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jpeg" ContentType="image/jpeg"/>
  <Default Extension="JPG" ContentType="image/.jpg"/>
  <Default Extension="emf" ContentType="image/x-emf"/>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trlProps/ctrlProp1.xml" ContentType="application/vnd.ms-excel.control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tabRatio="818"/>
  </bookViews>
  <sheets>
    <sheet name="目录" sheetId="90" r:id="rId1"/>
    <sheet name="电机常识与公式推导" sheetId="2" r:id="rId2"/>
    <sheet name="常用电流计算公式" sheetId="69" r:id="rId3"/>
    <sheet name="不同形状物体惯量计算" sheetId="4" r:id="rId4"/>
    <sheet name="丝杠水平运动 " sheetId="5" r:id="rId5"/>
    <sheet name="丝杠垂直运动" sheetId="7" r:id="rId6"/>
    <sheet name="皮带轮间歇运动" sheetId="8" r:id="rId7"/>
    <sheet name="皮带轮连续运动" sheetId="9" r:id="rId8"/>
    <sheet name="分度盘" sheetId="10" r:id="rId9"/>
    <sheet name="电动机启动端压计算 " sheetId="11" r:id="rId10"/>
    <sheet name="小车驱动功率" sheetId="12" r:id="rId11"/>
    <sheet name="机器人驱动力计算" sheetId="13" r:id="rId12"/>
    <sheet name="角加速度" sheetId="14" r:id="rId13"/>
    <sheet name="步进电机惯量计算" sheetId="15" r:id="rId14"/>
    <sheet name="负载转矩计算 " sheetId="16" r:id="rId15"/>
    <sheet name="风机性能表" sheetId="17" r:id="rId16"/>
    <sheet name="风机相关标准" sheetId="18" r:id="rId17"/>
    <sheet name="鼓风机选型计算" sheetId="20" r:id="rId18"/>
    <sheet name="风机选型计算 " sheetId="21" r:id="rId19"/>
    <sheet name="风机选型计算举例" sheetId="22" r:id="rId20"/>
    <sheet name="伺服电机惯量计算" sheetId="23" r:id="rId21"/>
    <sheet name="伺服电机选型计算" sheetId="24" r:id="rId22"/>
    <sheet name="伺服电机参数计算" sheetId="25" r:id="rId23"/>
    <sheet name="伺服电机电子齿轮比计算" sheetId="26" r:id="rId24"/>
    <sheet name="伺服电机选型举例" sheetId="27" r:id="rId25"/>
    <sheet name="伺服电机容量选择" sheetId="77" r:id="rId26"/>
    <sheet name="电动机保护装置整定计算" sheetId="28" r:id="rId27"/>
    <sheet name="电力电容器保护装置整定计算" sheetId="29" r:id="rId28"/>
    <sheet name="电机规格" sheetId="30" r:id="rId29"/>
    <sheet name="Y系列电机型号参数" sheetId="36" r:id="rId30"/>
    <sheet name="电机功率确定程序" sheetId="37" r:id="rId31"/>
    <sheet name="减速机公称功率" sheetId="38" r:id="rId32"/>
    <sheet name="输送线电机功率计算" sheetId="39" r:id="rId33"/>
    <sheet name="倍速链张力、电机功率计算" sheetId="40" r:id="rId34"/>
    <sheet name="输送出力" sheetId="78" r:id="rId35"/>
    <sheet name="异步电机转矩换算" sheetId="88" r:id="rId36"/>
    <sheet name="变压器差动保护试验公式详解" sheetId="41" r:id="rId37"/>
    <sheet name="电力负荷计算表" sheetId="42" r:id="rId38"/>
    <sheet name="电力负荷级别分类" sheetId="43" r:id="rId39"/>
    <sheet name="变压器电流值计算表格" sheetId="44" r:id="rId40"/>
    <sheet name="变压器容量计算表" sheetId="46" r:id="rId41"/>
    <sheet name="用电设备的Kx、cosφ" sheetId="47" r:id="rId42"/>
    <sheet name="照明用电设备Kx表" sheetId="48" r:id="rId43"/>
    <sheet name="变压器损耗计算" sheetId="49" r:id="rId44"/>
    <sheet name="短路电流估算" sheetId="50" r:id="rId45"/>
    <sheet name="电动机起动压降" sheetId="51" r:id="rId46"/>
    <sheet name="无功功率补偿率qc表" sheetId="52" r:id="rId47"/>
    <sheet name="照度计算表" sheetId="53" r:id="rId48"/>
    <sheet name="电工计算器" sheetId="54" r:id="rId49"/>
    <sheet name="电力系统负荷计算" sheetId="55" r:id="rId50"/>
    <sheet name="变压器型号、参数、电压降、启动电压降综合计算表" sheetId="56" r:id="rId51"/>
    <sheet name="电缆载流量、电压降、启动电压降" sheetId="57" r:id="rId52"/>
    <sheet name="线路电压降计算表" sheetId="58" r:id="rId53"/>
    <sheet name="短路电流计算表" sheetId="59" r:id="rId54"/>
    <sheet name="开关整定值计算表" sheetId="60" r:id="rId55"/>
    <sheet name="短路保护分级表" sheetId="61" r:id="rId56"/>
    <sheet name="开关选择继保整定一览表" sheetId="62" r:id="rId57"/>
    <sheet name="电缆选型计算" sheetId="63" r:id="rId58"/>
    <sheet name="电缆与桥架负荷计算" sheetId="64" r:id="rId59"/>
    <sheet name="电力变压器过流、速断保护整定值计算" sheetId="65" r:id="rId60"/>
    <sheet name="电力负荷计算" sheetId="66" r:id="rId61"/>
    <sheet name="电流计算器" sheetId="67" r:id="rId62"/>
    <sheet name="电气安装定额" sheetId="68" r:id="rId63"/>
    <sheet name="电流 功率耗电量数据表" sheetId="70" r:id="rId64"/>
    <sheet name="电线电缆载流表" sheetId="71" r:id="rId65"/>
    <sheet name="桥架 计算" sheetId="72" r:id="rId66"/>
    <sheet name="无功功率补偿率" sheetId="73" r:id="rId67"/>
    <sheet name="弱电线槽计算" sheetId="74" r:id="rId68"/>
    <sheet name="电容器装置继电保护整定计算" sheetId="75" r:id="rId69"/>
    <sheet name="皮带线-动力辊筒线-中小型电机选型计算" sheetId="80" r:id="rId70"/>
    <sheet name="皮带机输送机计算" sheetId="81" r:id="rId71"/>
    <sheet name="无功补偿容量选择  " sheetId="82" r:id="rId72"/>
    <sheet name="电容器选型运行数据分析公式" sheetId="83" r:id="rId73"/>
    <sheet name="综合布线计算书" sheetId="84" r:id="rId74"/>
    <sheet name="避雷针" sheetId="85" r:id="rId75"/>
    <sheet name="齿轮齿条电机选型" sheetId="86" r:id="rId76"/>
    <sheet name="倍速链线马达功率计算" sheetId="87" r:id="rId77"/>
    <sheet name="减速机选型计算" sheetId="89" r:id="rId78"/>
    <sheet name="传动滚筒轴功率" sheetId="91" r:id="rId79"/>
  </sheets>
  <externalReferences>
    <externalReference r:id="rId80"/>
    <externalReference r:id="rId81"/>
    <externalReference r:id="rId82"/>
    <externalReference r:id="rId83"/>
  </externalReferences>
  <definedNames>
    <definedName name="Z_B9330FFD_B5EF_4680_A375_DB92D4738404_.wvu.Cols" localSheetId="18" hidden="1">'风机选型计算 '!$H:$K,'风机选型计算 '!$M:$P</definedName>
    <definedName name="Z_B9330FFD_B5EF_4680_A375_DB92D4738404_.wvu.Cols" localSheetId="27" hidden="1">电力电容器保护装置整定计算!$F:$J</definedName>
    <definedName name="Z_B9330FFD_B5EF_4680_A375_DB92D4738404_.wvu.Cols" localSheetId="26" hidden="1">电动机保护装置整定计算!$F:$K</definedName>
    <definedName name="Z_B9330FFD_B5EF_4680_A375_DB92D4738404_.wvu.Cols" localSheetId="22" hidden="1">伺服电机参数计算!$E:$G,伺服电机参数计算!$K:$K</definedName>
  </definedNames>
  <calcPr calcId="144525"/>
  <customWorkbookViews>
    <customWorkbookView name="netpe09 - 個人檢視畫面" guid="{B9330FFD-B5EF-4680-A375-DB92D4738404}" personalView="1" maximized="1" windowWidth="1497" windowHeight="800" activeSheetId="22" showComments="commIndAndComment"/>
  </customWorkbookViews>
</workbook>
</file>

<file path=xl/comments1.xml><?xml version="1.0" encoding="utf-8"?>
<comments xmlns="http://schemas.openxmlformats.org/spreadsheetml/2006/main">
  <authors>
    <author>waker</author>
  </authors>
  <commentList>
    <comment ref="C6" authorId="0">
      <text>
        <r>
          <rPr>
            <sz val="9"/>
            <rFont val="宋体"/>
            <charset val="134"/>
          </rPr>
          <t>楼梯台阶
高165mm；宽305mm</t>
        </r>
      </text>
    </comment>
    <comment ref="F28" authorId="0">
      <text>
        <r>
          <rPr>
            <sz val="9"/>
            <rFont val="宋体"/>
            <charset val="134"/>
          </rPr>
          <t>MISUMI KGKS 2.0 2525
模数：2.0
斜齿轮</t>
        </r>
      </text>
    </comment>
  </commentList>
</comments>
</file>

<file path=xl/comments2.xml><?xml version="1.0" encoding="utf-8"?>
<comments xmlns="http://schemas.openxmlformats.org/spreadsheetml/2006/main">
  <authors>
    <author>netpe09</author>
  </authors>
  <commentList>
    <comment ref="L9"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3.xml><?xml version="1.0" encoding="utf-8"?>
<comments xmlns="http://schemas.openxmlformats.org/spreadsheetml/2006/main">
  <authors>
    <author>netpe09</author>
  </authors>
  <commentList>
    <comment ref="B6"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4.xml><?xml version="1.0" encoding="utf-8"?>
<comments xmlns="http://schemas.openxmlformats.org/spreadsheetml/2006/main">
  <authors>
    <author>netpe09</author>
  </authors>
  <commentList>
    <comment ref="A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E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F7"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5.xml><?xml version="1.0" encoding="utf-8"?>
<comments xmlns="http://schemas.openxmlformats.org/spreadsheetml/2006/main">
  <authors>
    <author>netpe09</author>
    <author>作者</author>
  </authors>
  <commentList>
    <comment ref="C2"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D2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E29" authorId="1">
      <text>
        <r>
          <rPr>
            <b/>
            <sz val="9"/>
            <rFont val="宋体"/>
            <charset val="134"/>
          </rPr>
          <t>作者:</t>
        </r>
        <r>
          <rPr>
            <sz val="9"/>
            <rFont val="宋体"/>
            <charset val="134"/>
          </rPr>
          <t xml:space="preserve">
水平轴</t>
        </r>
      </text>
    </comment>
    <comment ref="F29" authorId="1">
      <text>
        <r>
          <rPr>
            <b/>
            <sz val="9"/>
            <rFont val="宋体"/>
            <charset val="134"/>
          </rPr>
          <t>作者:</t>
        </r>
        <r>
          <rPr>
            <sz val="9"/>
            <rFont val="宋体"/>
            <charset val="134"/>
          </rPr>
          <t xml:space="preserve">
倾斜轴</t>
        </r>
      </text>
    </comment>
    <comment ref="E30" authorId="1">
      <text>
        <r>
          <rPr>
            <b/>
            <sz val="9"/>
            <rFont val="宋体"/>
            <charset val="134"/>
          </rPr>
          <t>作者:</t>
        </r>
        <r>
          <rPr>
            <sz val="9"/>
            <rFont val="宋体"/>
            <charset val="134"/>
          </rPr>
          <t xml:space="preserve">
重力轴</t>
        </r>
      </text>
    </comment>
    <comment ref="F30" authorId="1">
      <text>
        <r>
          <rPr>
            <b/>
            <sz val="9"/>
            <rFont val="宋体"/>
            <charset val="134"/>
          </rPr>
          <t>作者:</t>
        </r>
        <r>
          <rPr>
            <sz val="9"/>
            <rFont val="宋体"/>
            <charset val="134"/>
          </rPr>
          <t xml:space="preserve">
倾斜轴</t>
        </r>
      </text>
    </comment>
    <comment ref="E34" authorId="1">
      <text>
        <r>
          <rPr>
            <b/>
            <sz val="9"/>
            <rFont val="宋体"/>
            <charset val="134"/>
          </rPr>
          <t>作者:</t>
        </r>
        <r>
          <rPr>
            <sz val="9"/>
            <rFont val="宋体"/>
            <charset val="134"/>
          </rPr>
          <t xml:space="preserve">
水平轴</t>
        </r>
      </text>
    </comment>
    <comment ref="F34" authorId="1">
      <text>
        <r>
          <rPr>
            <b/>
            <sz val="9"/>
            <rFont val="宋体"/>
            <charset val="134"/>
          </rPr>
          <t>作者:</t>
        </r>
        <r>
          <rPr>
            <sz val="9"/>
            <rFont val="宋体"/>
            <charset val="134"/>
          </rPr>
          <t xml:space="preserve">
重力轴
</t>
        </r>
      </text>
    </comment>
    <comment ref="G34" authorId="1">
      <text>
        <r>
          <rPr>
            <b/>
            <sz val="9"/>
            <rFont val="宋体"/>
            <charset val="134"/>
          </rPr>
          <t>作者:</t>
        </r>
        <r>
          <rPr>
            <sz val="9"/>
            <rFont val="宋体"/>
            <charset val="134"/>
          </rPr>
          <t xml:space="preserve">
倾斜轴
</t>
        </r>
      </text>
    </comment>
  </commentList>
</comments>
</file>

<file path=xl/comments6.xml><?xml version="1.0" encoding="utf-8"?>
<comments xmlns="http://schemas.openxmlformats.org/spreadsheetml/2006/main">
  <authors>
    <author>netpe09</author>
  </authors>
  <commentList>
    <comment ref="E4"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D17"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7.xml><?xml version="1.0" encoding="utf-8"?>
<comments xmlns="http://schemas.openxmlformats.org/spreadsheetml/2006/main">
  <authors>
    <author>netpe09</author>
  </authors>
  <commentList>
    <comment ref="J2"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8.xml><?xml version="1.0" encoding="utf-8"?>
<comments xmlns="http://schemas.openxmlformats.org/spreadsheetml/2006/main">
  <authors>
    <author>番茄花园</author>
    <author>chenw</author>
    <author>netpe09</author>
  </authors>
  <commentList>
    <comment ref="A1" authorId="0">
      <text>
        <r>
          <rPr>
            <sz val="9"/>
            <rFont val="宋体"/>
            <charset val="134"/>
          </rPr>
          <t>本计算程序只需人工输入绿色单元格参数.</t>
        </r>
      </text>
    </comment>
    <comment ref="A3" authorId="1">
      <text>
        <r>
          <rPr>
            <sz val="9"/>
            <rFont val="宋体"/>
            <charset val="134"/>
          </rPr>
          <t>chenw:
单位：m/s</t>
        </r>
      </text>
    </comment>
    <comment ref="B3" authorId="1">
      <text>
        <r>
          <rPr>
            <sz val="9"/>
            <rFont val="宋体"/>
            <charset val="134"/>
          </rPr>
          <t>chenw:
单位：N</t>
        </r>
      </text>
    </comment>
    <comment ref="C3" authorId="1">
      <text>
        <r>
          <rPr>
            <sz val="9"/>
            <rFont val="宋体"/>
            <charset val="134"/>
          </rPr>
          <t>chenw:
一般取值在0.8～0.95之间</t>
        </r>
      </text>
    </comment>
    <comment ref="E4" authorId="2">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A6" authorId="1">
      <text>
        <r>
          <rPr>
            <sz val="9"/>
            <rFont val="宋体"/>
            <charset val="134"/>
          </rPr>
          <t>chenw:
单位：N.M</t>
        </r>
      </text>
    </comment>
    <comment ref="B6" authorId="1">
      <text>
        <r>
          <rPr>
            <sz val="9"/>
            <rFont val="宋体"/>
            <charset val="134"/>
          </rPr>
          <t>chenw:
单位r/min</t>
        </r>
      </text>
    </comment>
    <comment ref="C6" authorId="1">
      <text>
        <r>
          <rPr>
            <sz val="9"/>
            <rFont val="宋体"/>
            <charset val="134"/>
          </rPr>
          <t>chenw:
一般取值在0.8～0.95之间</t>
        </r>
      </text>
    </comment>
    <comment ref="E7" authorId="2">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A9" authorId="1">
      <text>
        <r>
          <rPr>
            <sz val="9"/>
            <rFont val="宋体"/>
            <charset val="134"/>
          </rPr>
          <t>chenw:
单位：Kw</t>
        </r>
      </text>
    </comment>
    <comment ref="B9" authorId="1">
      <text>
        <r>
          <rPr>
            <sz val="9"/>
            <rFont val="宋体"/>
            <charset val="134"/>
          </rPr>
          <t>chenw:
单位r/min</t>
        </r>
      </text>
    </comment>
    <comment ref="C9" authorId="1">
      <text>
        <r>
          <rPr>
            <sz val="9"/>
            <rFont val="宋体"/>
            <charset val="134"/>
          </rPr>
          <t>chenw:
若是减速电机，ηd=1;若在电机后安装减速器，ηd=0.95.</t>
        </r>
      </text>
    </comment>
  </commentList>
</comments>
</file>

<file path=xl/comments9.xml><?xml version="1.0" encoding="utf-8"?>
<comments xmlns="http://schemas.openxmlformats.org/spreadsheetml/2006/main">
  <authors>
    <author>netpe09</author>
  </authors>
  <commentList>
    <comment ref="E14"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0.xml><?xml version="1.0" encoding="utf-8"?>
<comments xmlns="http://schemas.openxmlformats.org/spreadsheetml/2006/main">
  <authors>
    <author>netpe09</author>
  </authors>
  <commentList>
    <comment ref="F2"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E12"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J2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1.xml><?xml version="1.0" encoding="utf-8"?>
<comments xmlns="http://schemas.openxmlformats.org/spreadsheetml/2006/main">
  <authors>
    <author>netpe09</author>
  </authors>
  <commentList>
    <comment ref="B3"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2.xml><?xml version="1.0" encoding="utf-8"?>
<comments xmlns="http://schemas.openxmlformats.org/spreadsheetml/2006/main">
  <authors>
    <author>netpe09</author>
  </authors>
  <commentList>
    <comment ref="A6"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3.xml><?xml version="1.0" encoding="utf-8"?>
<comments xmlns="http://schemas.openxmlformats.org/spreadsheetml/2006/main">
  <authors>
    <author>netpe09</author>
  </authors>
  <commentList>
    <comment ref="K5"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4.xml><?xml version="1.0" encoding="utf-8"?>
<comments xmlns="http://schemas.openxmlformats.org/spreadsheetml/2006/main">
  <authors>
    <author>netpe09</author>
  </authors>
  <commentList>
    <comment ref="A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A28"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5.xml><?xml version="1.0" encoding="utf-8"?>
<comments xmlns="http://schemas.openxmlformats.org/spreadsheetml/2006/main">
  <authors>
    <author>netpe09</author>
  </authors>
  <commentList>
    <comment ref="D28"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6.xml><?xml version="1.0" encoding="utf-8"?>
<comments xmlns="http://schemas.openxmlformats.org/spreadsheetml/2006/main">
  <authors>
    <author>netpe09</author>
  </authors>
  <commentList>
    <comment ref="A23"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 ref="A41" authorId="0">
      <text>
        <r>
          <rPr>
            <b/>
            <sz val="9"/>
            <rFont val="Tahoma"/>
            <charset val="134"/>
          </rPr>
          <t>netpe09:</t>
        </r>
        <r>
          <rPr>
            <sz val="9"/>
            <rFont val="Tahoma"/>
            <charset val="134"/>
          </rPr>
          <t xml:space="preserve">
(</t>
        </r>
        <r>
          <rPr>
            <sz val="9"/>
            <rFont val="MingLiU"/>
            <charset val="136"/>
          </rPr>
          <t>淘宝店铺</t>
        </r>
        <r>
          <rPr>
            <sz val="9"/>
            <rFont val="Tahoma"/>
            <charset val="134"/>
          </rPr>
          <t>:</t>
        </r>
        <r>
          <rPr>
            <sz val="9"/>
            <rFont val="MingLiU"/>
            <charset val="136"/>
          </rPr>
          <t>爱学习工作室</t>
        </r>
        <r>
          <rPr>
            <sz val="9"/>
            <rFont val="Tahoma"/>
            <charset val="134"/>
          </rPr>
          <t>)</t>
        </r>
      </text>
    </comment>
  </commentList>
</comments>
</file>

<file path=xl/comments17.xml><?xml version="1.0" encoding="utf-8"?>
<comments xmlns="http://schemas.openxmlformats.org/spreadsheetml/2006/main">
  <authors>
    <author>netpe09</author>
  </authors>
  <commentList>
    <comment ref="K1" authorId="0">
      <text>
        <r>
          <rPr>
            <sz val="12"/>
            <rFont val="PMingLiU"/>
            <charset val="134"/>
          </rPr>
          <t>淘宝店铺:
爱学习工作室</t>
        </r>
      </text>
    </comment>
  </commentList>
</comments>
</file>

<file path=xl/sharedStrings.xml><?xml version="1.0" encoding="utf-8"?>
<sst xmlns="http://schemas.openxmlformats.org/spreadsheetml/2006/main" count="14577" uniqueCount="7477">
  <si>
    <t>更新链接</t>
  </si>
  <si>
    <t>1.修复皮带输送选型计算电机种类选择问题</t>
  </si>
  <si>
    <t>3.修正齿轮齿条电机选型计算公式</t>
  </si>
  <si>
    <t>5.整合各系列电机规格资源</t>
  </si>
  <si>
    <t xml:space="preserve">7.增加传动滚筒轴电机功率计算  </t>
  </si>
  <si>
    <t>2.修复皮带动力辊筒线选型计算出错问题</t>
  </si>
  <si>
    <t>4.整合风机选型计算资源</t>
  </si>
  <si>
    <t>6.整合变压器容量计算资源</t>
  </si>
  <si>
    <t>序号</t>
  </si>
  <si>
    <t>名称:</t>
  </si>
  <si>
    <t>电机常识与相关公式推导</t>
  </si>
  <si>
    <t>风机选型计算举例</t>
  </si>
  <si>
    <t>变压器差动保护试验公式计算</t>
  </si>
  <si>
    <t>照明用电设备Kx表</t>
  </si>
  <si>
    <t>不同物体形状惯量计算</t>
  </si>
  <si>
    <t xml:space="preserve">角加速度计算 </t>
  </si>
  <si>
    <t>变压器容量计算表</t>
  </si>
  <si>
    <t>照度计算表</t>
  </si>
  <si>
    <t>丝杠水平运动选型计算</t>
  </si>
  <si>
    <t>不同驱动机构下负载转矩计算</t>
  </si>
  <si>
    <t>变压器电流值计算</t>
  </si>
  <si>
    <t>用电设备的Kx、cosφ</t>
  </si>
  <si>
    <t>丝杠垂直运动选型计算</t>
  </si>
  <si>
    <t>异步电机转矩换算</t>
  </si>
  <si>
    <t>变压器损耗计算</t>
  </si>
  <si>
    <t>弱电线槽计算</t>
  </si>
  <si>
    <t>皮带轮间歇运动选型计算</t>
  </si>
  <si>
    <t>步进电机惯量计算</t>
  </si>
  <si>
    <t>变压器参数电压综合计算表</t>
  </si>
  <si>
    <t>综合布线计算书</t>
  </si>
  <si>
    <t>皮带轮连续运动选型计算</t>
  </si>
  <si>
    <t>伺服电机惯量计算</t>
  </si>
  <si>
    <t>变压器过流速断保护整定值计算</t>
  </si>
  <si>
    <t>开关整定值计算表</t>
  </si>
  <si>
    <t>皮带运煤机的设计出力</t>
  </si>
  <si>
    <t>伺服电机参数计算</t>
  </si>
  <si>
    <t>电动机起动压降</t>
  </si>
  <si>
    <t>开关选择继保整定一览表</t>
  </si>
  <si>
    <t xml:space="preserve">                                                                      </t>
  </si>
  <si>
    <t>皮带输送机选型计算</t>
  </si>
  <si>
    <t>伺服电机电子齿轮比计算</t>
  </si>
  <si>
    <t>微机电动机保护装置整定计算</t>
  </si>
  <si>
    <t>线路电压降计算表</t>
  </si>
  <si>
    <t>皮带动力辊筒线电机选型计算</t>
  </si>
  <si>
    <t>伺服电机容量选择</t>
  </si>
  <si>
    <t>电力电容器保护装置整定计算</t>
  </si>
  <si>
    <t>无功功率补偿率qc表</t>
  </si>
  <si>
    <t>传动滚筒轴电机功率计算</t>
  </si>
  <si>
    <t>伺服电机选型计算</t>
  </si>
  <si>
    <t xml:space="preserve">电动机启动端压计算 </t>
  </si>
  <si>
    <t xml:space="preserve">无功补偿容量选择  </t>
  </si>
  <si>
    <t>倍速链线马达功率计算</t>
  </si>
  <si>
    <t>伺服电机选型举例</t>
  </si>
  <si>
    <t>电容器继电保护整定计算</t>
  </si>
  <si>
    <t>桥架 计算</t>
  </si>
  <si>
    <t>倍速链张力与电机功率计算</t>
  </si>
  <si>
    <t>各系列电机规格表</t>
  </si>
  <si>
    <t>电容器选型运行数据分析公式</t>
  </si>
  <si>
    <t>电工计算器</t>
  </si>
  <si>
    <t>电机功率确定与功率计算公式</t>
  </si>
  <si>
    <t>Y系列电机型号参数表</t>
  </si>
  <si>
    <t>电缆载流量、启动电压降计算</t>
  </si>
  <si>
    <t>避雷针防雷计算</t>
  </si>
  <si>
    <t>小车驱动电机功率计算</t>
  </si>
  <si>
    <t>电缆选型计算</t>
  </si>
  <si>
    <t>电气安装定额</t>
  </si>
  <si>
    <t>履带机器人驱动力计算</t>
  </si>
  <si>
    <t>电缆与桥架负荷计算</t>
  </si>
  <si>
    <t>水平及垂直输送电机功率计算</t>
  </si>
  <si>
    <t>电线电缆载流表</t>
  </si>
  <si>
    <t>减速机公称功率计算</t>
  </si>
  <si>
    <t>短路保护分级表</t>
  </si>
  <si>
    <t>减速机选型计算</t>
  </si>
  <si>
    <t>短路点短路电流计算表</t>
  </si>
  <si>
    <t>齿轮齿条电机选型计算</t>
  </si>
  <si>
    <t>短路电流估算</t>
  </si>
  <si>
    <t>分度盘机构选型计算</t>
  </si>
  <si>
    <t>电力负荷级别分类</t>
  </si>
  <si>
    <t xml:space="preserve">鼓风机选型计算 </t>
  </si>
  <si>
    <t>电力负荷计算</t>
  </si>
  <si>
    <t>风机相关标准</t>
  </si>
  <si>
    <t>电力系统负荷计算</t>
  </si>
  <si>
    <t>风机型号与风量对照表</t>
  </si>
  <si>
    <t>电流计算</t>
  </si>
  <si>
    <t>风机性能参数表</t>
  </si>
  <si>
    <t>电流功率耗电量数据表</t>
  </si>
  <si>
    <t>风机选型计算</t>
  </si>
  <si>
    <t>常用电流计算公式</t>
  </si>
  <si>
    <t>目录!A1</t>
  </si>
  <si>
    <t>常用电流计算公式(淘宝店铺:枫启教育)</t>
  </si>
  <si>
    <t>1：纯电阻负荷</t>
  </si>
  <si>
    <t>负荷的功率（W)</t>
  </si>
  <si>
    <r>
      <rPr>
        <sz val="11"/>
        <color indexed="10"/>
        <rFont val="宋体"/>
        <charset val="134"/>
      </rPr>
      <t xml:space="preserve"> </t>
    </r>
    <r>
      <rPr>
        <sz val="11"/>
        <color indexed="10"/>
        <rFont val="宋体"/>
        <charset val="134"/>
      </rPr>
      <t xml:space="preserve">负荷电流（A）   </t>
    </r>
    <r>
      <rPr>
        <sz val="18"/>
        <color indexed="10"/>
        <rFont val="宋体"/>
        <charset val="134"/>
      </rPr>
      <t>I</t>
    </r>
  </si>
  <si>
    <t>＝</t>
  </si>
  <si>
    <t>电源电压（V）</t>
  </si>
  <si>
    <t>2：感性负荷(淘宝店铺:枫启教育)</t>
  </si>
  <si>
    <t xml:space="preserve">  （V）</t>
  </si>
  <si>
    <r>
      <rPr>
        <sz val="12"/>
        <color indexed="8"/>
        <rFont val="宋体"/>
        <charset val="134"/>
      </rPr>
      <t>Cos</t>
    </r>
    <r>
      <rPr>
        <sz val="12"/>
        <color indexed="8"/>
        <rFont val="Arial"/>
        <charset val="134"/>
      </rPr>
      <t xml:space="preserve">φ </t>
    </r>
  </si>
  <si>
    <t>电压</t>
  </si>
  <si>
    <t>功率因数</t>
  </si>
  <si>
    <t>3：单相电动机负荷(淘宝店铺:枫启教育)</t>
  </si>
  <si>
    <t>η</t>
  </si>
  <si>
    <t>机械率</t>
  </si>
  <si>
    <t>4：三相电动机负荷(淘宝店铺:枫启教育)</t>
  </si>
  <si>
    <t>平方根</t>
  </si>
  <si>
    <t>5：住宅总负荷电流计算</t>
  </si>
  <si>
    <t>(淘宝店铺:枫启教育)</t>
  </si>
  <si>
    <r>
      <rPr>
        <sz val="18"/>
        <color indexed="10"/>
        <rFont val="宋体"/>
        <charset val="134"/>
      </rPr>
      <t>P</t>
    </r>
    <r>
      <rPr>
        <sz val="10"/>
        <color indexed="10"/>
        <rFont val="宋体"/>
        <charset val="134"/>
      </rPr>
      <t>js</t>
    </r>
  </si>
  <si>
    <t>×</t>
  </si>
  <si>
    <r>
      <rPr>
        <sz val="18"/>
        <color indexed="8"/>
        <rFont val="宋体"/>
        <charset val="134"/>
      </rPr>
      <t>K</t>
    </r>
    <r>
      <rPr>
        <sz val="12"/>
        <rFont val="宋体"/>
        <charset val="134"/>
      </rPr>
      <t>c</t>
    </r>
  </si>
  <si>
    <r>
      <rPr>
        <sz val="18"/>
        <color indexed="8"/>
        <rFont val="宋体"/>
        <charset val="134"/>
      </rPr>
      <t>P</t>
    </r>
    <r>
      <rPr>
        <sz val="10"/>
        <color indexed="8"/>
        <rFont val="宋体"/>
        <charset val="134"/>
      </rPr>
      <t>Σ</t>
    </r>
  </si>
  <si>
    <t>住宅用电计算负荷（W）</t>
  </si>
  <si>
    <t>同期系数，0.4～0.6，电器</t>
  </si>
  <si>
    <t>所有家用电器功率总和（W）</t>
  </si>
  <si>
    <t>越多此值越小，反之，此值越大</t>
  </si>
  <si>
    <r>
      <rPr>
        <sz val="18"/>
        <color indexed="10"/>
        <rFont val="宋体"/>
        <charset val="134"/>
      </rPr>
      <t>P</t>
    </r>
    <r>
      <rPr>
        <sz val="11"/>
        <color indexed="10"/>
        <rFont val="宋体"/>
        <charset val="134"/>
      </rPr>
      <t>js  住宅用电计算负荷（W）</t>
    </r>
  </si>
  <si>
    <r>
      <rPr>
        <sz val="11"/>
        <color indexed="10"/>
        <rFont val="宋体"/>
        <charset val="134"/>
      </rPr>
      <t xml:space="preserve"> </t>
    </r>
    <r>
      <rPr>
        <sz val="11"/>
        <color indexed="10"/>
        <rFont val="宋体"/>
        <charset val="134"/>
      </rPr>
      <t xml:space="preserve">  </t>
    </r>
    <r>
      <rPr>
        <sz val="18"/>
        <color indexed="10"/>
        <rFont val="宋体"/>
        <charset val="134"/>
      </rPr>
      <t xml:space="preserve"> I</t>
    </r>
    <r>
      <rPr>
        <sz val="10"/>
        <color indexed="10"/>
        <rFont val="宋体"/>
        <charset val="134"/>
      </rPr>
      <t>js</t>
    </r>
  </si>
  <si>
    <t>住宅用电谁计算电流（A）</t>
  </si>
  <si>
    <t>（V）</t>
  </si>
  <si>
    <t>功率因数0.8～0.9</t>
  </si>
  <si>
    <t>电线电缆母线的电阻计算公式</t>
  </si>
  <si>
    <t>1: 导线的电阻值计算</t>
  </si>
  <si>
    <r>
      <rPr>
        <sz val="18"/>
        <color indexed="10"/>
        <rFont val="宋体"/>
        <charset val="134"/>
      </rPr>
      <t>R</t>
    </r>
    <r>
      <rPr>
        <sz val="11"/>
        <color indexed="10"/>
        <rFont val="宋体"/>
        <charset val="134"/>
      </rPr>
      <t>o</t>
    </r>
  </si>
  <si>
    <t>ρ</t>
  </si>
  <si>
    <t>S</t>
  </si>
  <si>
    <t>导线的交流电阻</t>
  </si>
  <si>
    <t>导线材料的电阻率</t>
  </si>
  <si>
    <t>导线标称截面积</t>
  </si>
  <si>
    <t>（Ω/km)</t>
  </si>
  <si>
    <r>
      <rPr>
        <sz val="11"/>
        <color indexed="10"/>
        <rFont val="宋体"/>
        <charset val="134"/>
      </rPr>
      <t>（Ω·</t>
    </r>
    <r>
      <rPr>
        <sz val="14"/>
        <color indexed="10"/>
        <rFont val="宋体"/>
        <charset val="134"/>
      </rPr>
      <t>m</t>
    </r>
    <r>
      <rPr>
        <sz val="11"/>
        <color indexed="10"/>
        <rFont val="宋体"/>
        <charset val="134"/>
      </rPr>
      <t>㎡/km)</t>
    </r>
  </si>
  <si>
    <t>（m㎡）</t>
  </si>
  <si>
    <r>
      <rPr>
        <sz val="18"/>
        <color indexed="8"/>
        <rFont val="宋体"/>
        <charset val="134"/>
      </rPr>
      <t>R</t>
    </r>
    <r>
      <rPr>
        <sz val="10"/>
        <color indexed="8"/>
        <rFont val="宋体"/>
        <charset val="134"/>
      </rPr>
      <t>t</t>
    </r>
  </si>
  <si>
    <r>
      <rPr>
        <sz val="18"/>
        <color indexed="8"/>
        <rFont val="宋体"/>
        <charset val="134"/>
      </rPr>
      <t>R</t>
    </r>
    <r>
      <rPr>
        <sz val="10"/>
        <color indexed="8"/>
        <rFont val="宋体"/>
        <charset val="134"/>
      </rPr>
      <t>20</t>
    </r>
    <r>
      <rPr>
        <sz val="18"/>
        <color indexed="8"/>
        <rFont val="宋体"/>
        <charset val="134"/>
      </rPr>
      <t>［</t>
    </r>
    <r>
      <rPr>
        <sz val="18"/>
        <color indexed="8"/>
        <rFont val="宋体"/>
        <charset val="134"/>
      </rPr>
      <t>1</t>
    </r>
    <r>
      <rPr>
        <sz val="12"/>
        <color indexed="8"/>
        <rFont val="宋体"/>
        <charset val="134"/>
      </rPr>
      <t>┼</t>
    </r>
    <r>
      <rPr>
        <sz val="18"/>
        <color indexed="8"/>
        <rFont val="宋体"/>
        <charset val="134"/>
      </rPr>
      <t>a</t>
    </r>
    <r>
      <rPr>
        <sz val="12"/>
        <color indexed="8"/>
        <rFont val="宋体"/>
        <charset val="134"/>
      </rPr>
      <t>20</t>
    </r>
    <r>
      <rPr>
        <sz val="18"/>
        <color indexed="8"/>
        <rFont val="宋体"/>
        <charset val="134"/>
      </rPr>
      <t>(t-20)］</t>
    </r>
  </si>
  <si>
    <r>
      <rPr>
        <sz val="18"/>
        <color indexed="8"/>
        <rFont val="宋体"/>
        <charset val="134"/>
      </rPr>
      <t>R</t>
    </r>
    <r>
      <rPr>
        <sz val="12"/>
        <color indexed="8"/>
        <rFont val="宋体"/>
        <charset val="134"/>
      </rPr>
      <t>t</t>
    </r>
  </si>
  <si>
    <t>温度t℃时的电阻（Ω/km)</t>
  </si>
  <si>
    <r>
      <rPr>
        <sz val="18"/>
        <color indexed="8"/>
        <rFont val="宋体"/>
        <charset val="134"/>
      </rPr>
      <t>R</t>
    </r>
    <r>
      <rPr>
        <sz val="12"/>
        <rFont val="宋体"/>
        <charset val="134"/>
      </rPr>
      <t>20</t>
    </r>
  </si>
  <si>
    <t>温度为20℃时的电阻（Ω/km)</t>
  </si>
  <si>
    <r>
      <rPr>
        <sz val="18"/>
        <color indexed="8"/>
        <rFont val="宋体"/>
        <charset val="134"/>
      </rPr>
      <t>a</t>
    </r>
    <r>
      <rPr>
        <sz val="12"/>
        <rFont val="宋体"/>
        <charset val="134"/>
      </rPr>
      <t>20</t>
    </r>
  </si>
  <si>
    <t>电阻的温度系数</t>
  </si>
  <si>
    <t>2: 母线的电阻值计算</t>
  </si>
  <si>
    <r>
      <rPr>
        <sz val="11"/>
        <color indexed="10"/>
        <rFont val="宋体"/>
        <charset val="134"/>
      </rPr>
      <t>母线的电阻值</t>
    </r>
    <r>
      <rPr>
        <sz val="11"/>
        <color indexed="10"/>
        <rFont val="宋体"/>
        <charset val="134"/>
      </rPr>
      <t xml:space="preserve">  </t>
    </r>
    <r>
      <rPr>
        <sz val="11"/>
        <color indexed="10"/>
        <rFont val="宋体"/>
        <charset val="134"/>
      </rPr>
      <t xml:space="preserve"> </t>
    </r>
    <r>
      <rPr>
        <sz val="20"/>
        <color indexed="10"/>
        <rFont val="宋体"/>
        <charset val="134"/>
      </rPr>
      <t>R</t>
    </r>
    <r>
      <rPr>
        <sz val="11"/>
        <color indexed="10"/>
        <rFont val="宋体"/>
        <charset val="134"/>
      </rPr>
      <t>0</t>
    </r>
  </si>
  <si>
    <r>
      <rPr>
        <sz val="18"/>
        <color indexed="8"/>
        <rFont val="宋体"/>
        <charset val="134"/>
      </rPr>
      <t>10</t>
    </r>
    <r>
      <rPr>
        <vertAlign val="superscript"/>
        <sz val="18"/>
        <color indexed="8"/>
        <rFont val="宋体"/>
        <charset val="134"/>
      </rPr>
      <t>＋3</t>
    </r>
  </si>
  <si>
    <r>
      <rPr>
        <sz val="16"/>
        <color indexed="8"/>
        <rFont val="宋体"/>
        <charset val="134"/>
      </rPr>
      <t>m</t>
    </r>
    <r>
      <rPr>
        <sz val="16"/>
        <color indexed="8"/>
        <rFont val="宋体"/>
        <charset val="134"/>
      </rPr>
      <t>Ω</t>
    </r>
    <r>
      <rPr>
        <sz val="16"/>
        <color indexed="8"/>
        <rFont val="宋体"/>
        <charset val="134"/>
      </rPr>
      <t>/m</t>
    </r>
  </si>
  <si>
    <t>r</t>
  </si>
  <si>
    <r>
      <rPr>
        <sz val="18"/>
        <color indexed="10"/>
        <rFont val="宋体"/>
        <charset val="134"/>
      </rPr>
      <t>r﹦</t>
    </r>
    <r>
      <rPr>
        <sz val="12"/>
        <color indexed="10"/>
        <rFont val="宋体"/>
        <charset val="134"/>
      </rPr>
      <t>母线电导率</t>
    </r>
  </si>
  <si>
    <r>
      <rPr>
        <sz val="11"/>
        <color indexed="10"/>
        <rFont val="宋体"/>
        <charset val="134"/>
      </rPr>
      <t>导线面积</t>
    </r>
    <r>
      <rPr>
        <sz val="18"/>
        <color indexed="10"/>
        <rFont val="宋体"/>
        <charset val="134"/>
      </rPr>
      <t>mm</t>
    </r>
    <r>
      <rPr>
        <vertAlign val="superscript"/>
        <sz val="18"/>
        <color indexed="10"/>
        <rFont val="宋体"/>
        <charset val="134"/>
      </rPr>
      <t>2</t>
    </r>
  </si>
  <si>
    <t>铜54、 铝32</t>
  </si>
  <si>
    <t>按安全载流量选择导线截面</t>
  </si>
  <si>
    <r>
      <rPr>
        <sz val="12"/>
        <rFont val="宋体"/>
        <charset val="134"/>
      </rPr>
      <t xml:space="preserve">    </t>
    </r>
    <r>
      <rPr>
        <sz val="14"/>
        <color indexed="8"/>
        <rFont val="宋体"/>
        <charset val="134"/>
      </rPr>
      <t>按安全载流量选择导线截面，应满足下式要求：</t>
    </r>
  </si>
  <si>
    <r>
      <rPr>
        <sz val="18"/>
        <color indexed="8"/>
        <rFont val="宋体"/>
        <charset val="134"/>
      </rPr>
      <t>K I</t>
    </r>
    <r>
      <rPr>
        <sz val="14"/>
        <color indexed="8"/>
        <rFont val="宋体"/>
        <charset val="134"/>
      </rPr>
      <t>e</t>
    </r>
  </si>
  <si>
    <t>≧</t>
  </si>
  <si>
    <r>
      <rPr>
        <sz val="18"/>
        <color indexed="8"/>
        <rFont val="宋体"/>
        <charset val="134"/>
      </rPr>
      <t xml:space="preserve">I </t>
    </r>
    <r>
      <rPr>
        <sz val="12"/>
        <color indexed="8"/>
        <rFont val="宋体"/>
        <charset val="134"/>
      </rPr>
      <t>rs</t>
    </r>
  </si>
  <si>
    <t>式中</t>
  </si>
  <si>
    <r>
      <rPr>
        <sz val="14"/>
        <color indexed="8"/>
        <rFont val="宋体"/>
        <charset val="134"/>
      </rPr>
      <t>I</t>
    </r>
    <r>
      <rPr>
        <sz val="12"/>
        <rFont val="宋体"/>
        <charset val="134"/>
      </rPr>
      <t>e</t>
    </r>
  </si>
  <si>
    <t>导线安全载流量（A)；</t>
  </si>
  <si>
    <t>K</t>
  </si>
  <si>
    <t>当不境温度、穿管敷设等因素，与标准情况不同时的修正系数，见表3-18</t>
  </si>
  <si>
    <r>
      <rPr>
        <sz val="14"/>
        <color indexed="8"/>
        <rFont val="宋体"/>
        <charset val="134"/>
      </rPr>
      <t>I</t>
    </r>
    <r>
      <rPr>
        <sz val="12"/>
        <rFont val="宋体"/>
        <charset val="134"/>
      </rPr>
      <t>js</t>
    </r>
  </si>
  <si>
    <t>线路计算电流（A），其中：</t>
  </si>
  <si>
    <t>Pjs</t>
  </si>
  <si>
    <t>用有功功率表示的计算负荷（KW）</t>
  </si>
  <si>
    <t>Sjs</t>
  </si>
  <si>
    <t>用视在功率表示的计算成本负荷（KVA）</t>
  </si>
  <si>
    <t>三相电路(淘宝店铺:枫启教育)</t>
  </si>
  <si>
    <r>
      <rPr>
        <sz val="16"/>
        <color indexed="8"/>
        <rFont val="宋体"/>
        <charset val="134"/>
      </rPr>
      <t>P</t>
    </r>
    <r>
      <rPr>
        <sz val="12"/>
        <rFont val="宋体"/>
        <charset val="134"/>
      </rPr>
      <t>js</t>
    </r>
  </si>
  <si>
    <r>
      <rPr>
        <sz val="18"/>
        <color indexed="8"/>
        <rFont val="宋体"/>
        <charset val="134"/>
      </rPr>
      <t>S</t>
    </r>
    <r>
      <rPr>
        <sz val="12"/>
        <rFont val="宋体"/>
        <charset val="134"/>
      </rPr>
      <t>js</t>
    </r>
  </si>
  <si>
    <r>
      <rPr>
        <sz val="18"/>
        <color indexed="8"/>
        <rFont val="宋体"/>
        <charset val="134"/>
      </rPr>
      <t>I</t>
    </r>
    <r>
      <rPr>
        <sz val="12"/>
        <rFont val="宋体"/>
        <charset val="134"/>
      </rPr>
      <t>js</t>
    </r>
  </si>
  <si>
    <t>线路计算电流（A）</t>
  </si>
  <si>
    <r>
      <rPr>
        <sz val="12"/>
        <rFont val="宋体"/>
        <charset val="134"/>
      </rPr>
      <t xml:space="preserve"> </t>
    </r>
    <r>
      <rPr>
        <sz val="18"/>
        <color indexed="8"/>
        <rFont val="宋体"/>
        <charset val="134"/>
      </rPr>
      <t xml:space="preserve"> u</t>
    </r>
    <r>
      <rPr>
        <sz val="10"/>
        <color indexed="8"/>
        <rFont val="宋体"/>
        <charset val="134"/>
      </rPr>
      <t>e</t>
    </r>
  </si>
  <si>
    <t>单相电路</t>
  </si>
  <si>
    <r>
      <rPr>
        <sz val="18"/>
        <color indexed="10"/>
        <rFont val="宋体"/>
        <charset val="134"/>
      </rPr>
      <t>I</t>
    </r>
    <r>
      <rPr>
        <sz val="11"/>
        <color indexed="10"/>
        <rFont val="宋体"/>
        <charset val="134"/>
      </rPr>
      <t>js</t>
    </r>
  </si>
  <si>
    <r>
      <rPr>
        <sz val="18"/>
        <color indexed="8"/>
        <rFont val="宋体"/>
        <charset val="134"/>
      </rPr>
      <t>u</t>
    </r>
    <r>
      <rPr>
        <sz val="10"/>
        <color indexed="8"/>
        <rFont val="宋体"/>
        <charset val="134"/>
      </rPr>
      <t>e</t>
    </r>
  </si>
  <si>
    <t>电能表所测电量计算</t>
  </si>
  <si>
    <t>计算公式</t>
  </si>
  <si>
    <r>
      <rPr>
        <sz val="18"/>
        <color indexed="8"/>
        <rFont val="宋体"/>
        <charset val="134"/>
      </rPr>
      <t>K</t>
    </r>
    <r>
      <rPr>
        <sz val="12"/>
        <rFont val="宋体"/>
        <charset val="134"/>
      </rPr>
      <t>TA、</t>
    </r>
    <r>
      <rPr>
        <sz val="18"/>
        <color indexed="8"/>
        <rFont val="宋体"/>
        <charset val="134"/>
      </rPr>
      <t>K</t>
    </r>
    <r>
      <rPr>
        <sz val="12"/>
        <rFont val="宋体"/>
        <charset val="134"/>
      </rPr>
      <t>TV</t>
    </r>
  </si>
  <si>
    <t>实际使用的电流互感器和电压互感器的变化；</t>
  </si>
  <si>
    <r>
      <rPr>
        <sz val="18"/>
        <color indexed="8"/>
        <rFont val="宋体"/>
        <charset val="134"/>
      </rPr>
      <t>K</t>
    </r>
    <r>
      <rPr>
        <sz val="12"/>
        <rFont val="宋体"/>
        <charset val="134"/>
      </rPr>
      <t>TAe、</t>
    </r>
    <r>
      <rPr>
        <sz val="18"/>
        <color indexed="8"/>
        <rFont val="宋体"/>
        <charset val="134"/>
      </rPr>
      <t>K</t>
    </r>
    <r>
      <rPr>
        <sz val="12"/>
        <rFont val="宋体"/>
        <charset val="134"/>
      </rPr>
      <t>TVe</t>
    </r>
  </si>
  <si>
    <t>电能表铭牌上标注的电流互感器和电压互感器的变比；对于万用互感器接入直接接入的电能表，</t>
  </si>
  <si>
    <t>因其铭牌上没有标注电流互感器、电压互感器的额定变比，其KTAe=KTVe=1.没有标注计能器倍率的电能表，其Kj=1.</t>
  </si>
  <si>
    <r>
      <rPr>
        <sz val="18"/>
        <color indexed="8"/>
        <rFont val="宋体"/>
        <charset val="134"/>
      </rPr>
      <t>K</t>
    </r>
    <r>
      <rPr>
        <sz val="11"/>
        <color indexed="8"/>
        <rFont val="宋体"/>
        <charset val="134"/>
      </rPr>
      <t>j</t>
    </r>
  </si>
  <si>
    <t>计能器倍率，即读数盘方框上标注的倍数</t>
  </si>
  <si>
    <t>数值</t>
  </si>
  <si>
    <r>
      <rPr>
        <sz val="18"/>
        <color indexed="8"/>
        <rFont val="宋体"/>
        <charset val="134"/>
      </rPr>
      <t>K</t>
    </r>
    <r>
      <rPr>
        <sz val="11"/>
        <color indexed="8"/>
        <rFont val="宋体"/>
        <charset val="134"/>
      </rPr>
      <t>TV</t>
    </r>
  </si>
  <si>
    <r>
      <rPr>
        <sz val="18"/>
        <color indexed="8"/>
        <rFont val="宋体"/>
        <charset val="134"/>
      </rPr>
      <t>K</t>
    </r>
    <r>
      <rPr>
        <sz val="12"/>
        <rFont val="宋体"/>
        <charset val="134"/>
      </rPr>
      <t>TA、</t>
    </r>
  </si>
  <si>
    <t>（</t>
  </si>
  <si>
    <t>） ×  （</t>
  </si>
  <si>
    <t>）</t>
  </si>
  <si>
    <r>
      <rPr>
        <sz val="18"/>
        <color indexed="8"/>
        <rFont val="宋体"/>
        <charset val="134"/>
      </rPr>
      <t>K</t>
    </r>
    <r>
      <rPr>
        <sz val="12"/>
        <rFont val="宋体"/>
        <charset val="134"/>
      </rPr>
      <t>TAe</t>
    </r>
  </si>
  <si>
    <r>
      <rPr>
        <sz val="18"/>
        <color indexed="8"/>
        <rFont val="宋体"/>
        <charset val="134"/>
      </rPr>
      <t>K</t>
    </r>
    <r>
      <rPr>
        <sz val="12"/>
        <rFont val="宋体"/>
        <charset val="134"/>
      </rPr>
      <t>TVe</t>
    </r>
  </si>
  <si>
    <t>空调器容量的选择计算</t>
  </si>
  <si>
    <t>1：家庭用空调器容量的选择</t>
  </si>
  <si>
    <t>对于墙厚在24㎝以上，层高在3.2M以下，室外环境温度不超过43℃时，按每平方米选用120～140W为宜。例如15㎡的房间选用1800～2100W，</t>
  </si>
  <si>
    <t>房间朝南取小值，更爱西或房顶、墙壁较薄以及层高大于3.2M的房间取大值。</t>
  </si>
  <si>
    <t>不同制冷量单位的换算</t>
  </si>
  <si>
    <t>W</t>
  </si>
  <si>
    <t>Kcal/h</t>
  </si>
  <si>
    <t>BTU/h</t>
  </si>
  <si>
    <t>KJ/H</t>
  </si>
  <si>
    <t>国标</t>
  </si>
  <si>
    <t>千卡/每小时(旧国标）</t>
  </si>
  <si>
    <t>英国热量单位</t>
  </si>
  <si>
    <t>千焦/每小时（外国）</t>
  </si>
  <si>
    <t>2：较大场所用空调器容量的选择</t>
  </si>
  <si>
    <t>Q</t>
  </si>
  <si>
    <t>k</t>
  </si>
  <si>
    <t>(</t>
  </si>
  <si>
    <t>q</t>
  </si>
  <si>
    <t>V</t>
  </si>
  <si>
    <t>┼</t>
  </si>
  <si>
    <t>X</t>
  </si>
  <si>
    <t>u</t>
  </si>
  <si>
    <t>Qz</t>
  </si>
  <si>
    <t>)</t>
  </si>
  <si>
    <t>空调器的容量（KJ/h)</t>
  </si>
  <si>
    <t>空调容量裕量系数，</t>
  </si>
  <si>
    <t>房间所需</t>
  </si>
  <si>
    <t>房间的总</t>
  </si>
  <si>
    <t>房间总人数</t>
  </si>
  <si>
    <t>人体排热量</t>
  </si>
  <si>
    <t>房内设备同</t>
  </si>
  <si>
    <t>房间设备</t>
  </si>
  <si>
    <t>短期K=1</t>
  </si>
  <si>
    <t>冷量，q=</t>
  </si>
  <si>
    <t>容积</t>
  </si>
  <si>
    <t>坐时X=432KJ/h</t>
  </si>
  <si>
    <t>时使用率</t>
  </si>
  <si>
    <t>总发热量</t>
  </si>
  <si>
    <t>长期K=1.05～1.1</t>
  </si>
  <si>
    <t>105～143</t>
  </si>
  <si>
    <t>做动后X=1591KJ/h</t>
  </si>
  <si>
    <t>和利用率</t>
  </si>
  <si>
    <t>(KJ)</t>
  </si>
  <si>
    <t>之积，</t>
  </si>
  <si>
    <t>u=0～0.6</t>
  </si>
  <si>
    <t>电路电压损失计算</t>
  </si>
  <si>
    <t>1:电压损失是指送电端电压主与受电端电压之差，即</t>
  </si>
  <si>
    <t>电损电压v</t>
  </si>
  <si>
    <t>送电端电压v</t>
  </si>
  <si>
    <t>受电端电压v</t>
  </si>
  <si>
    <t>△U</t>
  </si>
  <si>
    <t>U1</t>
  </si>
  <si>
    <t>U2</t>
  </si>
  <si>
    <t>—</t>
  </si>
  <si>
    <t>2:通常用其百分数表示，即电压压损失率△U﹪。基计算公式</t>
  </si>
  <si>
    <t>电损电压﹪</t>
  </si>
  <si>
    <t>△U﹪</t>
  </si>
  <si>
    <t>Ue</t>
  </si>
  <si>
    <t>线路额定电压</t>
  </si>
  <si>
    <t>3：负荷在末端的线路电压损失计算。</t>
  </si>
  <si>
    <t>R、X</t>
  </si>
  <si>
    <t>o</t>
  </si>
  <si>
    <t xml:space="preserve">I、Cosφ </t>
  </si>
  <si>
    <t>末端接负荷的三相电路</t>
  </si>
  <si>
    <t>IXcosφ</t>
  </si>
  <si>
    <t>О</t>
  </si>
  <si>
    <t>φ</t>
  </si>
  <si>
    <t xml:space="preserve">      IR</t>
  </si>
  <si>
    <t>IRsinφ</t>
  </si>
  <si>
    <r>
      <rPr>
        <i/>
        <sz val="6"/>
        <color indexed="8"/>
        <rFont val="宋体"/>
        <charset val="134"/>
      </rPr>
      <t xml:space="preserve">     </t>
    </r>
    <r>
      <rPr>
        <i/>
        <sz val="11"/>
        <color indexed="8"/>
        <rFont val="宋体"/>
        <charset val="134"/>
      </rPr>
      <t xml:space="preserve">  I  </t>
    </r>
    <r>
      <rPr>
        <i/>
        <sz val="6"/>
        <color indexed="8"/>
        <rFont val="宋体"/>
        <charset val="134"/>
      </rPr>
      <t xml:space="preserve">    </t>
    </r>
    <r>
      <rPr>
        <i/>
        <sz val="8"/>
        <color indexed="8"/>
        <rFont val="宋体"/>
        <charset val="134"/>
      </rPr>
      <t>IRCosφ     IXsinφ</t>
    </r>
  </si>
  <si>
    <t>电压失量图</t>
  </si>
  <si>
    <t>图中，U1为变电所出口电压，即送电端电压；U2为负荷处的电压，即受电端电压（均对中性点电压而言，单位为KV).</t>
  </si>
  <si>
    <r>
      <rPr>
        <sz val="12"/>
        <rFont val="宋体"/>
        <charset val="134"/>
      </rPr>
      <t>在工程计算中，允许略去（</t>
    </r>
    <r>
      <rPr>
        <i/>
        <sz val="11"/>
        <color indexed="8"/>
        <rFont val="宋体"/>
        <charset val="134"/>
      </rPr>
      <t>Ixsinφ-IRCosφ）</t>
    </r>
    <r>
      <rPr>
        <sz val="12"/>
        <rFont val="宋体"/>
        <charset val="134"/>
      </rPr>
      <t xml:space="preserve"> </t>
    </r>
    <r>
      <rPr>
        <sz val="12"/>
        <color indexed="8"/>
        <rFont val="宋体"/>
        <charset val="134"/>
      </rPr>
      <t xml:space="preserve"> 部分（由此引起的误差不超过实际电压降的5﹪），因此线路</t>
    </r>
  </si>
  <si>
    <t>每相电压可按以下简化公式计算。</t>
  </si>
  <si>
    <t>PR  +  QX</t>
  </si>
  <si>
    <r>
      <rPr>
        <sz val="16"/>
        <color indexed="8"/>
        <rFont val="宋体"/>
        <charset val="134"/>
      </rPr>
      <t>△U</t>
    </r>
    <r>
      <rPr>
        <vertAlign val="subscript"/>
        <sz val="10"/>
        <color indexed="8"/>
        <rFont val="宋体"/>
        <charset val="134"/>
      </rPr>
      <t>X</t>
    </r>
  </si>
  <si>
    <t xml:space="preserve">  I (</t>
  </si>
  <si>
    <r>
      <rPr>
        <i/>
        <sz val="16"/>
        <color indexed="8"/>
        <rFont val="宋体"/>
        <charset val="134"/>
      </rPr>
      <t>R</t>
    </r>
    <r>
      <rPr>
        <sz val="12"/>
        <color indexed="8"/>
        <rFont val="宋体"/>
        <charset val="134"/>
      </rPr>
      <t xml:space="preserve"> </t>
    </r>
    <r>
      <rPr>
        <sz val="12"/>
        <color indexed="8"/>
        <rFont val="宋体"/>
        <charset val="134"/>
      </rPr>
      <t>Cos</t>
    </r>
    <r>
      <rPr>
        <sz val="12"/>
        <color indexed="8"/>
        <rFont val="Arial"/>
        <charset val="134"/>
      </rPr>
      <t xml:space="preserve">φ </t>
    </r>
  </si>
  <si>
    <r>
      <rPr>
        <sz val="16"/>
        <color indexed="8"/>
        <rFont val="Arial"/>
        <charset val="134"/>
      </rPr>
      <t xml:space="preserve">x  </t>
    </r>
    <r>
      <rPr>
        <sz val="12"/>
        <color indexed="8"/>
        <rFont val="Arial"/>
        <charset val="134"/>
      </rPr>
      <t>sinφ</t>
    </r>
  </si>
  <si>
    <r>
      <rPr>
        <sz val="16"/>
        <color indexed="8"/>
        <rFont val="宋体"/>
        <charset val="134"/>
      </rPr>
      <t xml:space="preserve">)  </t>
    </r>
    <r>
      <rPr>
        <sz val="18"/>
        <color indexed="8"/>
        <rFont val="宋体"/>
        <charset val="134"/>
      </rPr>
      <t>=</t>
    </r>
  </si>
  <si>
    <t>≈</t>
  </si>
  <si>
    <r>
      <rPr>
        <sz val="16"/>
        <color indexed="8"/>
        <rFont val="宋体"/>
        <charset val="134"/>
      </rPr>
      <t xml:space="preserve">  </t>
    </r>
    <r>
      <rPr>
        <sz val="16"/>
        <color indexed="8"/>
        <rFont val="宋体"/>
        <charset val="134"/>
      </rPr>
      <t>3  ×  U</t>
    </r>
    <r>
      <rPr>
        <vertAlign val="subscript"/>
        <sz val="16"/>
        <color indexed="8"/>
        <rFont val="宋体"/>
        <charset val="134"/>
      </rPr>
      <t>2</t>
    </r>
  </si>
  <si>
    <r>
      <rPr>
        <sz val="16"/>
        <color indexed="8"/>
        <rFont val="宋体"/>
        <charset val="134"/>
      </rPr>
      <t xml:space="preserve">  </t>
    </r>
    <r>
      <rPr>
        <sz val="16"/>
        <color indexed="8"/>
        <rFont val="宋体"/>
        <charset val="134"/>
      </rPr>
      <t>3  ×  U</t>
    </r>
    <r>
      <rPr>
        <vertAlign val="subscript"/>
        <sz val="16"/>
        <color indexed="8"/>
        <rFont val="宋体"/>
        <charset val="134"/>
      </rPr>
      <t>e</t>
    </r>
  </si>
  <si>
    <t>用线电压计算公式</t>
  </si>
  <si>
    <r>
      <rPr>
        <sz val="16"/>
        <color indexed="8"/>
        <rFont val="宋体"/>
        <charset val="134"/>
      </rPr>
      <t>△U</t>
    </r>
    <r>
      <rPr>
        <vertAlign val="subscript"/>
        <sz val="10"/>
        <color indexed="8"/>
        <rFont val="宋体"/>
        <charset val="134"/>
      </rPr>
      <t>1</t>
    </r>
  </si>
  <si>
    <r>
      <rPr>
        <sz val="12"/>
        <rFont val="宋体"/>
        <charset val="134"/>
      </rPr>
      <t xml:space="preserve">   </t>
    </r>
    <r>
      <rPr>
        <sz val="12"/>
        <rFont val="宋体"/>
        <charset val="134"/>
      </rPr>
      <t xml:space="preserve">3  </t>
    </r>
    <r>
      <rPr>
        <i/>
        <sz val="16"/>
        <color indexed="8"/>
        <rFont val="宋体"/>
        <charset val="134"/>
      </rPr>
      <t>I</t>
    </r>
    <r>
      <rPr>
        <sz val="16"/>
        <color indexed="8"/>
        <rFont val="宋体"/>
        <charset val="134"/>
      </rPr>
      <t>(</t>
    </r>
  </si>
  <si>
    <r>
      <rPr>
        <i/>
        <sz val="16"/>
        <color indexed="8"/>
        <rFont val="Arial"/>
        <charset val="134"/>
      </rPr>
      <t>x</t>
    </r>
    <r>
      <rPr>
        <sz val="16"/>
        <color indexed="8"/>
        <rFont val="Arial"/>
        <charset val="134"/>
      </rPr>
      <t xml:space="preserve">  </t>
    </r>
    <r>
      <rPr>
        <sz val="12"/>
        <color indexed="8"/>
        <rFont val="Arial"/>
        <charset val="134"/>
      </rPr>
      <t>sinφ</t>
    </r>
  </si>
  <si>
    <r>
      <rPr>
        <sz val="16"/>
        <color indexed="8"/>
        <rFont val="宋体"/>
        <charset val="134"/>
      </rPr>
      <t xml:space="preserve"> U</t>
    </r>
    <r>
      <rPr>
        <vertAlign val="subscript"/>
        <sz val="16"/>
        <color indexed="8"/>
        <rFont val="宋体"/>
        <charset val="134"/>
      </rPr>
      <t>2</t>
    </r>
  </si>
  <si>
    <r>
      <rPr>
        <sz val="16"/>
        <color indexed="8"/>
        <rFont val="宋体"/>
        <charset val="134"/>
      </rPr>
      <t xml:space="preserve">  U</t>
    </r>
    <r>
      <rPr>
        <vertAlign val="subscript"/>
        <sz val="16"/>
        <color indexed="8"/>
        <rFont val="宋体"/>
        <charset val="134"/>
      </rPr>
      <t>e</t>
    </r>
  </si>
  <si>
    <t xml:space="preserve">式中  △UX △U1                  分别为相电压、线电压的电压损失（V）           </t>
  </si>
  <si>
    <r>
      <rPr>
        <sz val="12"/>
        <rFont val="宋体"/>
        <charset val="134"/>
      </rPr>
      <t xml:space="preserve">      R、X                       分别为每条导线的电阻值和电抗值（</t>
    </r>
    <r>
      <rPr>
        <sz val="11"/>
        <color indexed="8"/>
        <rFont val="宋体"/>
        <charset val="134"/>
      </rPr>
      <t>Ω）</t>
    </r>
  </si>
  <si>
    <t xml:space="preserve">      Ue                         线路祖额定线电压（KV)</t>
  </si>
  <si>
    <t xml:space="preserve">      Cosφ                      负荷的功率因数                                P</t>
  </si>
  <si>
    <t xml:space="preserve">       I                         负荷电流（线电流，A）              I=</t>
  </si>
  <si>
    <r>
      <rPr>
        <sz val="12"/>
        <color indexed="8"/>
        <rFont val="宋体"/>
        <charset val="134"/>
      </rPr>
      <t xml:space="preserve">Ue </t>
    </r>
    <r>
      <rPr>
        <sz val="12"/>
        <color indexed="8"/>
        <rFont val="宋体"/>
        <charset val="134"/>
      </rPr>
      <t>Cos</t>
    </r>
    <r>
      <rPr>
        <sz val="12"/>
        <color indexed="8"/>
        <rFont val="Arial"/>
        <charset val="134"/>
      </rPr>
      <t xml:space="preserve">φ </t>
    </r>
  </si>
  <si>
    <t xml:space="preserve">      P、Q                       分别为三相负荷总有功功率（KW）、总无功功率（Kvar)</t>
  </si>
  <si>
    <t>电压损失率按下式计算</t>
  </si>
  <si>
    <t>P</t>
  </si>
  <si>
    <r>
      <rPr>
        <sz val="16"/>
        <color indexed="8"/>
        <rFont val="宋体"/>
        <charset val="134"/>
      </rPr>
      <t xml:space="preserve">(R </t>
    </r>
    <r>
      <rPr>
        <sz val="16"/>
        <color indexed="8"/>
        <rFont val="宋体"/>
        <charset val="134"/>
      </rPr>
      <t>Cos</t>
    </r>
    <r>
      <rPr>
        <sz val="16"/>
        <color indexed="8"/>
        <rFont val="Arial"/>
        <charset val="134"/>
      </rPr>
      <t>φ</t>
    </r>
    <r>
      <rPr>
        <sz val="16"/>
        <color indexed="8"/>
        <rFont val="宋体"/>
        <charset val="134"/>
      </rPr>
      <t>+x</t>
    </r>
    <r>
      <rPr>
        <sz val="16"/>
        <color indexed="8"/>
        <rFont val="Arial"/>
        <charset val="134"/>
      </rPr>
      <t xml:space="preserve"> Sinφ )</t>
    </r>
  </si>
  <si>
    <r>
      <rPr>
        <sz val="16"/>
        <color indexed="8"/>
        <rFont val="宋体"/>
        <charset val="134"/>
      </rPr>
      <t>10 Ue</t>
    </r>
    <r>
      <rPr>
        <vertAlign val="superscript"/>
        <sz val="16"/>
        <color indexed="8"/>
        <rFont val="宋体"/>
        <charset val="134"/>
      </rPr>
      <t>2</t>
    </r>
    <r>
      <rPr>
        <sz val="16"/>
        <color indexed="8"/>
        <rFont val="宋体"/>
        <charset val="134"/>
      </rPr>
      <t xml:space="preserve"> </t>
    </r>
  </si>
  <si>
    <r>
      <rPr>
        <sz val="16"/>
        <color indexed="8"/>
        <rFont val="宋体"/>
        <charset val="134"/>
      </rPr>
      <t>Cos</t>
    </r>
    <r>
      <rPr>
        <sz val="16"/>
        <color indexed="8"/>
        <rFont val="Arial"/>
        <charset val="134"/>
      </rPr>
      <t xml:space="preserve">φ </t>
    </r>
  </si>
  <si>
    <t>不同形状物体惯量计算 (淘宝店铺:枫启教育)</t>
  </si>
  <si>
    <r>
      <rPr>
        <sz val="10"/>
        <rFont val="宋体"/>
        <charset val="134"/>
      </rPr>
      <t>J</t>
    </r>
    <r>
      <rPr>
        <vertAlign val="subscript"/>
        <sz val="10"/>
        <rFont val="宋体"/>
        <charset val="134"/>
      </rPr>
      <t>0</t>
    </r>
    <r>
      <rPr>
        <sz val="10"/>
        <rFont val="宋体"/>
        <charset val="134"/>
      </rPr>
      <t xml:space="preserve"> ＝</t>
    </r>
  </si>
  <si>
    <r>
      <rPr>
        <sz val="12"/>
        <rFont val="宋体"/>
        <charset val="134"/>
      </rPr>
      <t>x</t>
    </r>
    <r>
      <rPr>
        <vertAlign val="subscript"/>
        <sz val="12"/>
        <rFont val="宋体"/>
        <charset val="134"/>
      </rPr>
      <t>0</t>
    </r>
    <r>
      <rPr>
        <sz val="12"/>
        <rFont val="宋体"/>
        <charset val="134"/>
      </rPr>
      <t>轴(通过重心的轴)的
惯性惯量 [kg·m</t>
    </r>
    <r>
      <rPr>
        <vertAlign val="superscript"/>
        <sz val="12"/>
        <rFont val="宋体"/>
        <charset val="134"/>
      </rPr>
      <t>2</t>
    </r>
    <r>
      <rPr>
        <sz val="12"/>
        <rFont val="宋体"/>
        <charset val="134"/>
      </rPr>
      <t>]</t>
    </r>
  </si>
  <si>
    <t>铁</t>
  </si>
  <si>
    <r>
      <rPr>
        <sz val="12"/>
        <rFont val="宋体"/>
        <charset val="134"/>
      </rPr>
      <t>7.9x10</t>
    </r>
    <r>
      <rPr>
        <vertAlign val="superscript"/>
        <sz val="12"/>
        <rFont val="宋体"/>
        <charset val="134"/>
      </rPr>
      <t>3</t>
    </r>
    <r>
      <rPr>
        <sz val="12"/>
        <rFont val="宋体"/>
        <charset val="134"/>
      </rPr>
      <t>kg/m</t>
    </r>
    <r>
      <rPr>
        <vertAlign val="superscript"/>
        <sz val="12"/>
        <rFont val="宋体"/>
        <charset val="134"/>
      </rPr>
      <t>3</t>
    </r>
  </si>
  <si>
    <t>Jx ＝</t>
  </si>
  <si>
    <t>x轴的惯性惯量 [kg·m2]</t>
  </si>
  <si>
    <t>铝</t>
  </si>
  <si>
    <r>
      <rPr>
        <sz val="12"/>
        <rFont val="宋体"/>
        <charset val="134"/>
      </rPr>
      <t>2.8x10</t>
    </r>
    <r>
      <rPr>
        <vertAlign val="superscript"/>
        <sz val="12"/>
        <rFont val="宋体"/>
        <charset val="134"/>
      </rPr>
      <t>3</t>
    </r>
    <r>
      <rPr>
        <sz val="12"/>
        <rFont val="宋体"/>
        <charset val="134"/>
      </rPr>
      <t>kg/m</t>
    </r>
    <r>
      <rPr>
        <vertAlign val="superscript"/>
        <sz val="12"/>
        <rFont val="宋体"/>
        <charset val="134"/>
      </rPr>
      <t>3</t>
    </r>
  </si>
  <si>
    <t>Jy ＝</t>
  </si>
  <si>
    <t>y轴的惯性惯量 [kg·m2]</t>
  </si>
  <si>
    <t>黄铜</t>
  </si>
  <si>
    <r>
      <rPr>
        <sz val="12"/>
        <rFont val="宋体"/>
        <charset val="134"/>
      </rPr>
      <t>8.5x10</t>
    </r>
    <r>
      <rPr>
        <vertAlign val="superscript"/>
        <sz val="12"/>
        <rFont val="宋体"/>
        <charset val="134"/>
      </rPr>
      <t>3</t>
    </r>
    <r>
      <rPr>
        <sz val="12"/>
        <rFont val="宋体"/>
        <charset val="134"/>
      </rPr>
      <t>kg/m</t>
    </r>
    <r>
      <rPr>
        <vertAlign val="superscript"/>
        <sz val="12"/>
        <rFont val="宋体"/>
        <charset val="134"/>
      </rPr>
      <t>3</t>
    </r>
  </si>
  <si>
    <t>m ＝</t>
  </si>
  <si>
    <t>质量（kg）</t>
  </si>
  <si>
    <t>尼龙</t>
  </si>
  <si>
    <r>
      <rPr>
        <sz val="12"/>
        <rFont val="宋体"/>
        <charset val="134"/>
      </rPr>
      <t>1.1x10</t>
    </r>
    <r>
      <rPr>
        <vertAlign val="superscript"/>
        <sz val="12"/>
        <rFont val="宋体"/>
        <charset val="134"/>
      </rPr>
      <t>3</t>
    </r>
    <r>
      <rPr>
        <sz val="12"/>
        <rFont val="宋体"/>
        <charset val="134"/>
      </rPr>
      <t>kg/m</t>
    </r>
    <r>
      <rPr>
        <vertAlign val="superscript"/>
        <sz val="12"/>
        <rFont val="宋体"/>
        <charset val="134"/>
      </rPr>
      <t>3</t>
    </r>
  </si>
  <si>
    <t>d0 ＝</t>
  </si>
  <si>
    <t>外径（m）</t>
  </si>
  <si>
    <t>d1 ＝</t>
  </si>
  <si>
    <t>内径（m）</t>
  </si>
  <si>
    <t>pi</t>
  </si>
  <si>
    <t>l ＝</t>
  </si>
  <si>
    <t>长度（m）</t>
  </si>
  <si>
    <t>注：</t>
  </si>
  <si>
    <t>*为必填项</t>
  </si>
  <si>
    <t>圆柱体惯量计算-圆柱体长度方向中心线和旋转中心线平行</t>
  </si>
  <si>
    <t>国际单位</t>
  </si>
  <si>
    <r>
      <rPr>
        <sz val="10"/>
        <rFont val="宋体"/>
        <charset val="134"/>
      </rPr>
      <t>外径d</t>
    </r>
    <r>
      <rPr>
        <vertAlign val="subscript"/>
        <sz val="10"/>
        <rFont val="宋体"/>
        <charset val="134"/>
      </rPr>
      <t>0</t>
    </r>
    <r>
      <rPr>
        <sz val="10"/>
        <rFont val="宋体"/>
        <charset val="134"/>
      </rPr>
      <t>（mm）</t>
    </r>
  </si>
  <si>
    <t>*</t>
  </si>
  <si>
    <t>m</t>
  </si>
  <si>
    <r>
      <rPr>
        <sz val="10"/>
        <rFont val="宋体"/>
        <charset val="134"/>
      </rPr>
      <t>内径d</t>
    </r>
    <r>
      <rPr>
        <vertAlign val="subscript"/>
        <sz val="10"/>
        <rFont val="宋体"/>
        <charset val="134"/>
      </rPr>
      <t>1</t>
    </r>
    <r>
      <rPr>
        <sz val="10"/>
        <rFont val="宋体"/>
        <charset val="134"/>
      </rPr>
      <t>（mm）</t>
    </r>
  </si>
  <si>
    <t>长度L（mm）</t>
  </si>
  <si>
    <r>
      <rPr>
        <sz val="10"/>
        <rFont val="宋体"/>
        <charset val="134"/>
      </rPr>
      <t>密度ρ（kg/m</t>
    </r>
    <r>
      <rPr>
        <vertAlign val="superscript"/>
        <sz val="10"/>
        <rFont val="宋体"/>
        <charset val="134"/>
      </rPr>
      <t>3</t>
    </r>
    <r>
      <rPr>
        <sz val="10"/>
        <rFont val="宋体"/>
        <charset val="134"/>
      </rPr>
      <t>)</t>
    </r>
  </si>
  <si>
    <t>重心线与旋转轴线距离e (mm)</t>
  </si>
  <si>
    <t>计算结果：</t>
  </si>
  <si>
    <t>物体质量m（kg）</t>
  </si>
  <si>
    <r>
      <rPr>
        <sz val="10"/>
        <rFont val="宋体"/>
        <charset val="134"/>
      </rPr>
      <t>物体惯量（kg.cm</t>
    </r>
    <r>
      <rPr>
        <vertAlign val="superscript"/>
        <sz val="10"/>
        <rFont val="宋体"/>
        <charset val="134"/>
      </rPr>
      <t>2</t>
    </r>
    <r>
      <rPr>
        <sz val="10"/>
        <rFont val="宋体"/>
        <charset val="134"/>
      </rPr>
      <t>）</t>
    </r>
  </si>
  <si>
    <r>
      <rPr>
        <sz val="12"/>
        <rFont val="宋体"/>
        <charset val="134"/>
      </rPr>
      <t>kg.m</t>
    </r>
    <r>
      <rPr>
        <vertAlign val="superscript"/>
        <sz val="12"/>
        <rFont val="宋体"/>
        <charset val="134"/>
      </rPr>
      <t>2</t>
    </r>
  </si>
  <si>
    <t>圆柱体惯量计算-圆柱体长度方向中心线和和旋转中心线垂直</t>
  </si>
  <si>
    <r>
      <rPr>
        <sz val="10"/>
        <rFont val="宋体"/>
        <charset val="134"/>
      </rPr>
      <t>外径d</t>
    </r>
    <r>
      <rPr>
        <vertAlign val="subscript"/>
        <sz val="10"/>
        <rFont val="宋体"/>
        <charset val="134"/>
      </rPr>
      <t>0</t>
    </r>
    <r>
      <rPr>
        <sz val="10"/>
        <rFont val="宋体"/>
        <charset val="134"/>
      </rPr>
      <t>（mm）：</t>
    </r>
  </si>
  <si>
    <r>
      <rPr>
        <sz val="10"/>
        <rFont val="宋体"/>
        <charset val="134"/>
      </rPr>
      <t>内径d</t>
    </r>
    <r>
      <rPr>
        <vertAlign val="subscript"/>
        <sz val="10"/>
        <rFont val="宋体"/>
        <charset val="134"/>
      </rPr>
      <t>1</t>
    </r>
    <r>
      <rPr>
        <sz val="10"/>
        <rFont val="宋体"/>
        <charset val="134"/>
      </rPr>
      <t>（mm）：</t>
    </r>
  </si>
  <si>
    <t>长度L（mm）：</t>
  </si>
  <si>
    <r>
      <rPr>
        <sz val="10"/>
        <rFont val="宋体"/>
        <charset val="134"/>
      </rPr>
      <t>密度ρ（kg/m</t>
    </r>
    <r>
      <rPr>
        <vertAlign val="superscript"/>
        <sz val="10"/>
        <rFont val="宋体"/>
        <charset val="134"/>
      </rPr>
      <t>3</t>
    </r>
    <r>
      <rPr>
        <sz val="10"/>
        <rFont val="宋体"/>
        <charset val="134"/>
      </rPr>
      <t>)：</t>
    </r>
  </si>
  <si>
    <t>方形物体惯量计算</t>
  </si>
  <si>
    <t>长度x（mm）：</t>
  </si>
  <si>
    <t>宽度y（mm）：</t>
  </si>
  <si>
    <t>高度z（mm）：</t>
  </si>
  <si>
    <t>重心线与旋转轴线距离e (m)</t>
  </si>
  <si>
    <t>饼状物体惯量计算</t>
  </si>
  <si>
    <t>直径d（mm）</t>
  </si>
  <si>
    <t>厚度h（mm）</t>
  </si>
  <si>
    <t>直线运动物体惯量计算</t>
  </si>
  <si>
    <t>电机每转1圈物体直线运动量A (m）</t>
  </si>
  <si>
    <t>直接惯量计算</t>
  </si>
  <si>
    <r>
      <rPr>
        <sz val="10"/>
        <rFont val="宋体"/>
        <charset val="134"/>
      </rPr>
      <t>惯量J</t>
    </r>
    <r>
      <rPr>
        <vertAlign val="subscript"/>
        <sz val="10"/>
        <rFont val="宋体"/>
        <charset val="134"/>
      </rPr>
      <t>0</t>
    </r>
    <r>
      <rPr>
        <sz val="10"/>
        <rFont val="宋体"/>
        <charset val="134"/>
      </rPr>
      <t>（kg.cm</t>
    </r>
    <r>
      <rPr>
        <vertAlign val="superscript"/>
        <sz val="10"/>
        <rFont val="宋体"/>
        <charset val="134"/>
      </rPr>
      <t>2</t>
    </r>
    <r>
      <rPr>
        <sz val="10"/>
        <rFont val="宋体"/>
        <charset val="134"/>
      </rPr>
      <t>）</t>
    </r>
  </si>
  <si>
    <t>质量m（kg）</t>
  </si>
  <si>
    <r>
      <rPr>
        <sz val="10"/>
        <rFont val="宋体"/>
        <charset val="134"/>
      </rPr>
      <t>质量m</t>
    </r>
    <r>
      <rPr>
        <vertAlign val="subscript"/>
        <sz val="10"/>
        <rFont val="宋体"/>
        <charset val="134"/>
      </rPr>
      <t>1</t>
    </r>
    <r>
      <rPr>
        <sz val="10"/>
        <rFont val="宋体"/>
        <charset val="134"/>
      </rPr>
      <t>（kg）</t>
    </r>
  </si>
  <si>
    <r>
      <rPr>
        <sz val="10"/>
        <rFont val="宋体"/>
        <charset val="134"/>
      </rPr>
      <t>惯量J</t>
    </r>
    <r>
      <rPr>
        <vertAlign val="subscript"/>
        <sz val="10"/>
        <rFont val="宋体"/>
        <charset val="134"/>
      </rPr>
      <t>1</t>
    </r>
    <r>
      <rPr>
        <sz val="10"/>
        <rFont val="宋体"/>
        <charset val="134"/>
      </rPr>
      <t>（kg.cm</t>
    </r>
    <r>
      <rPr>
        <vertAlign val="superscript"/>
        <sz val="10"/>
        <rFont val="宋体"/>
        <charset val="134"/>
      </rPr>
      <t>2</t>
    </r>
    <r>
      <rPr>
        <sz val="10"/>
        <rFont val="宋体"/>
        <charset val="134"/>
      </rPr>
      <t>）</t>
    </r>
  </si>
  <si>
    <t>丝杠水平运动选型计算表格</t>
  </si>
  <si>
    <t>机械结构参数：</t>
  </si>
  <si>
    <t>速度：</t>
  </si>
  <si>
    <t>Vl=</t>
  </si>
  <si>
    <t>m/min</t>
  </si>
  <si>
    <t>其他常数</t>
  </si>
  <si>
    <t>滑动部分质量</t>
  </si>
  <si>
    <t>M=</t>
  </si>
  <si>
    <t>kg</t>
  </si>
  <si>
    <t>G=</t>
  </si>
  <si>
    <t>m/s</t>
  </si>
  <si>
    <t>丝杠长度</t>
  </si>
  <si>
    <r>
      <rPr>
        <sz val="12"/>
        <rFont val="Times New Roman"/>
        <charset val="134"/>
      </rPr>
      <t>L</t>
    </r>
    <r>
      <rPr>
        <vertAlign val="subscript"/>
        <sz val="12"/>
        <rFont val="Times New Roman"/>
        <charset val="134"/>
      </rPr>
      <t>B</t>
    </r>
    <r>
      <rPr>
        <sz val="12"/>
        <rFont val="Times New Roman"/>
        <charset val="134"/>
      </rPr>
      <t>=</t>
    </r>
  </si>
  <si>
    <t>pi=</t>
  </si>
  <si>
    <t>丝杠直径</t>
  </si>
  <si>
    <r>
      <rPr>
        <sz val="12"/>
        <rFont val="Times New Roman"/>
        <charset val="134"/>
      </rPr>
      <t>D</t>
    </r>
    <r>
      <rPr>
        <vertAlign val="subscript"/>
        <sz val="12"/>
        <rFont val="Times New Roman"/>
        <charset val="134"/>
      </rPr>
      <t>B</t>
    </r>
    <r>
      <rPr>
        <sz val="12"/>
        <rFont val="Times New Roman"/>
        <charset val="134"/>
      </rPr>
      <t>=</t>
    </r>
  </si>
  <si>
    <t>丝杠密度</t>
  </si>
  <si>
    <t>ρ=</t>
  </si>
  <si>
    <r>
      <rPr>
        <sz val="12"/>
        <rFont val="宋体"/>
        <charset val="134"/>
      </rPr>
      <t>kg/m</t>
    </r>
    <r>
      <rPr>
        <vertAlign val="superscript"/>
        <sz val="14"/>
        <rFont val="宋体"/>
        <charset val="134"/>
      </rPr>
      <t>3</t>
    </r>
  </si>
  <si>
    <t>丝杠导程</t>
  </si>
  <si>
    <r>
      <rPr>
        <sz val="12"/>
        <rFont val="Times New Roman"/>
        <charset val="134"/>
      </rPr>
      <t>P</t>
    </r>
    <r>
      <rPr>
        <vertAlign val="subscript"/>
        <sz val="12"/>
        <rFont val="Times New Roman"/>
        <charset val="134"/>
      </rPr>
      <t>B</t>
    </r>
    <r>
      <rPr>
        <sz val="12"/>
        <rFont val="Times New Roman"/>
        <charset val="134"/>
      </rPr>
      <t>=</t>
    </r>
  </si>
  <si>
    <t>连轴器质量</t>
  </si>
  <si>
    <r>
      <rPr>
        <sz val="12"/>
        <rFont val="Times New Roman"/>
        <charset val="134"/>
      </rPr>
      <t>M</t>
    </r>
    <r>
      <rPr>
        <vertAlign val="subscript"/>
        <sz val="12"/>
        <rFont val="Times New Roman"/>
        <charset val="134"/>
      </rPr>
      <t>C</t>
    </r>
  </si>
  <si>
    <t>连轴器直径</t>
  </si>
  <si>
    <r>
      <rPr>
        <sz val="12"/>
        <rFont val="Times New Roman"/>
        <charset val="134"/>
      </rPr>
      <t>D</t>
    </r>
    <r>
      <rPr>
        <vertAlign val="subscript"/>
        <sz val="12"/>
        <rFont val="Times New Roman"/>
        <charset val="134"/>
      </rPr>
      <t>C</t>
    </r>
  </si>
  <si>
    <t>摩擦系数</t>
  </si>
  <si>
    <t>μ=</t>
  </si>
  <si>
    <t>移动距离</t>
  </si>
  <si>
    <t>L=</t>
  </si>
  <si>
    <t>机械效率</t>
  </si>
  <si>
    <t>η=</t>
  </si>
  <si>
    <t>定位时间</t>
  </si>
  <si>
    <r>
      <rPr>
        <sz val="16"/>
        <rFont val="Times New Roman"/>
        <charset val="134"/>
      </rPr>
      <t>t</t>
    </r>
    <r>
      <rPr>
        <sz val="12"/>
        <rFont val="Times New Roman"/>
        <charset val="134"/>
      </rPr>
      <t>=</t>
    </r>
  </si>
  <si>
    <t>s</t>
  </si>
  <si>
    <t>加减速时间比</t>
  </si>
  <si>
    <t>A=</t>
  </si>
  <si>
    <t>外力</t>
  </si>
  <si>
    <r>
      <rPr>
        <sz val="12"/>
        <rFont val="Times New Roman"/>
        <charset val="134"/>
      </rPr>
      <t>F</t>
    </r>
    <r>
      <rPr>
        <vertAlign val="subscript"/>
        <sz val="12"/>
        <rFont val="Times New Roman"/>
        <charset val="134"/>
      </rPr>
      <t>A</t>
    </r>
    <r>
      <rPr>
        <sz val="12"/>
        <rFont val="Times New Roman"/>
        <charset val="134"/>
      </rPr>
      <t>=</t>
    </r>
  </si>
  <si>
    <t>N</t>
  </si>
  <si>
    <t>移动方向与水平轴夹角</t>
  </si>
  <si>
    <r>
      <rPr>
        <sz val="14"/>
        <rFont val="Times New Roman"/>
        <charset val="134"/>
      </rPr>
      <t>a</t>
    </r>
    <r>
      <rPr>
        <sz val="12"/>
        <rFont val="Times New Roman"/>
        <charset val="134"/>
      </rPr>
      <t xml:space="preserve"> =</t>
    </r>
  </si>
  <si>
    <t>°</t>
  </si>
  <si>
    <r>
      <rPr>
        <sz val="12"/>
        <rFont val="Times New Roman"/>
        <charset val="134"/>
      </rPr>
      <t>1)</t>
    </r>
    <r>
      <rPr>
        <sz val="12"/>
        <rFont val="宋体"/>
        <charset val="134"/>
      </rPr>
      <t>速度曲线</t>
    </r>
  </si>
  <si>
    <t>加速时间</t>
  </si>
  <si>
    <r>
      <rPr>
        <sz val="16"/>
        <rFont val="Times New Roman"/>
        <charset val="134"/>
      </rPr>
      <t>t</t>
    </r>
    <r>
      <rPr>
        <vertAlign val="subscript"/>
        <sz val="12"/>
        <rFont val="Times New Roman"/>
        <charset val="134"/>
      </rPr>
      <t>0</t>
    </r>
    <r>
      <rPr>
        <sz val="12"/>
        <rFont val="Times New Roman"/>
        <charset val="134"/>
      </rPr>
      <t>=</t>
    </r>
  </si>
  <si>
    <r>
      <rPr>
        <sz val="16"/>
        <rFont val="Times New Roman"/>
        <charset val="134"/>
      </rPr>
      <t>t</t>
    </r>
    <r>
      <rPr>
        <sz val="12"/>
        <rFont val="Times New Roman"/>
        <charset val="134"/>
      </rPr>
      <t>*A</t>
    </r>
  </si>
  <si>
    <t xml:space="preserve"> </t>
  </si>
  <si>
    <t>=</t>
  </si>
  <si>
    <r>
      <rPr>
        <sz val="12"/>
        <rFont val="Times New Roman"/>
        <charset val="134"/>
      </rPr>
      <t>2)</t>
    </r>
    <r>
      <rPr>
        <sz val="12"/>
        <rFont val="宋体"/>
        <charset val="134"/>
      </rPr>
      <t>电机转速</t>
    </r>
  </si>
  <si>
    <r>
      <rPr>
        <sz val="12"/>
        <rFont val="Times New Roman"/>
        <charset val="134"/>
      </rPr>
      <t>N</t>
    </r>
    <r>
      <rPr>
        <vertAlign val="subscript"/>
        <sz val="12"/>
        <rFont val="Times New Roman"/>
        <charset val="134"/>
      </rPr>
      <t xml:space="preserve">M </t>
    </r>
    <r>
      <rPr>
        <sz val="12"/>
        <rFont val="Times New Roman"/>
        <charset val="134"/>
      </rPr>
      <t>=</t>
    </r>
  </si>
  <si>
    <r>
      <rPr>
        <sz val="14"/>
        <rFont val="宋体"/>
        <charset val="134"/>
      </rPr>
      <t>V</t>
    </r>
    <r>
      <rPr>
        <i/>
        <sz val="14"/>
        <rFont val="宋体"/>
        <charset val="134"/>
      </rPr>
      <t>l</t>
    </r>
    <r>
      <rPr>
        <sz val="14"/>
        <rFont val="宋体"/>
        <charset val="134"/>
      </rPr>
      <t>/P</t>
    </r>
    <r>
      <rPr>
        <vertAlign val="subscript"/>
        <sz val="16"/>
        <rFont val="宋体"/>
        <charset val="134"/>
      </rPr>
      <t>B</t>
    </r>
  </si>
  <si>
    <t>rpm</t>
  </si>
  <si>
    <r>
      <rPr>
        <sz val="12"/>
        <rFont val="Times New Roman"/>
        <charset val="134"/>
      </rPr>
      <t>3)</t>
    </r>
    <r>
      <rPr>
        <sz val="12"/>
        <rFont val="宋体"/>
        <charset val="134"/>
      </rPr>
      <t>负荷转矩计算</t>
    </r>
  </si>
  <si>
    <t>轴向负载F =</t>
  </si>
  <si>
    <t>FA+</t>
  </si>
  <si>
    <r>
      <rPr>
        <sz val="12"/>
        <rFont val="宋体"/>
        <charset val="134"/>
      </rPr>
      <t>负载转矩T</t>
    </r>
    <r>
      <rPr>
        <vertAlign val="subscript"/>
        <sz val="12"/>
        <rFont val="宋体"/>
        <charset val="134"/>
      </rPr>
      <t>L</t>
    </r>
    <r>
      <rPr>
        <sz val="12"/>
        <rFont val="宋体"/>
        <charset val="134"/>
      </rPr>
      <t xml:space="preserve"> =</t>
    </r>
  </si>
  <si>
    <t>Nm</t>
  </si>
  <si>
    <r>
      <rPr>
        <sz val="12"/>
        <rFont val="Times New Roman"/>
        <charset val="134"/>
      </rPr>
      <t>4)</t>
    </r>
    <r>
      <rPr>
        <sz val="12"/>
        <rFont val="宋体"/>
        <charset val="134"/>
      </rPr>
      <t>克服惯量的加速转矩计算（也称做：启动转矩）</t>
    </r>
  </si>
  <si>
    <t>直线运动平台与负载惯量</t>
  </si>
  <si>
    <r>
      <rPr>
        <sz val="12"/>
        <rFont val="Times New Roman"/>
        <charset val="134"/>
      </rPr>
      <t>J</t>
    </r>
    <r>
      <rPr>
        <vertAlign val="subscript"/>
        <sz val="12"/>
        <rFont val="Times New Roman"/>
        <charset val="134"/>
      </rPr>
      <t xml:space="preserve">L </t>
    </r>
    <r>
      <rPr>
        <sz val="12"/>
        <rFont val="Times New Roman"/>
        <charset val="134"/>
      </rPr>
      <t>=</t>
    </r>
  </si>
  <si>
    <r>
      <rPr>
        <sz val="12"/>
        <rFont val="宋体"/>
        <charset val="134"/>
      </rPr>
      <t>kgm</t>
    </r>
    <r>
      <rPr>
        <vertAlign val="superscript"/>
        <sz val="12"/>
        <rFont val="宋体"/>
        <charset val="134"/>
      </rPr>
      <t>2</t>
    </r>
  </si>
  <si>
    <t>滚珠丝杠惯量</t>
  </si>
  <si>
    <r>
      <rPr>
        <sz val="12"/>
        <rFont val="Times New Roman"/>
        <charset val="134"/>
      </rPr>
      <t>J</t>
    </r>
    <r>
      <rPr>
        <vertAlign val="subscript"/>
        <sz val="12"/>
        <rFont val="Times New Roman"/>
        <charset val="134"/>
      </rPr>
      <t xml:space="preserve">B </t>
    </r>
    <r>
      <rPr>
        <sz val="12"/>
        <rFont val="Times New Roman"/>
        <charset val="134"/>
      </rPr>
      <t>=</t>
    </r>
  </si>
  <si>
    <t>连轴器惯量</t>
  </si>
  <si>
    <r>
      <rPr>
        <sz val="12"/>
        <rFont val="Times New Roman"/>
        <charset val="134"/>
      </rPr>
      <t>J</t>
    </r>
    <r>
      <rPr>
        <vertAlign val="subscript"/>
        <sz val="12"/>
        <rFont val="Times New Roman"/>
        <charset val="134"/>
      </rPr>
      <t>C</t>
    </r>
    <r>
      <rPr>
        <sz val="12"/>
        <rFont val="Times New Roman"/>
        <charset val="134"/>
      </rPr>
      <t>=</t>
    </r>
  </si>
  <si>
    <t>总负荷惯量</t>
  </si>
  <si>
    <r>
      <rPr>
        <sz val="12"/>
        <rFont val="Times New Roman"/>
        <charset val="134"/>
      </rPr>
      <t>J</t>
    </r>
    <r>
      <rPr>
        <vertAlign val="subscript"/>
        <sz val="12"/>
        <rFont val="Times New Roman"/>
        <charset val="134"/>
      </rPr>
      <t>L</t>
    </r>
    <r>
      <rPr>
        <sz val="12"/>
        <rFont val="Times New Roman"/>
        <charset val="134"/>
      </rPr>
      <t>=</t>
    </r>
  </si>
  <si>
    <r>
      <rPr>
        <sz val="14"/>
        <rFont val="宋体"/>
        <charset val="134"/>
      </rPr>
      <t>J</t>
    </r>
    <r>
      <rPr>
        <vertAlign val="subscript"/>
        <sz val="14"/>
        <rFont val="宋体"/>
        <charset val="134"/>
      </rPr>
      <t>L</t>
    </r>
    <r>
      <rPr>
        <sz val="14"/>
        <rFont val="宋体"/>
        <charset val="134"/>
      </rPr>
      <t>+J</t>
    </r>
    <r>
      <rPr>
        <vertAlign val="subscript"/>
        <sz val="14"/>
        <rFont val="宋体"/>
        <charset val="134"/>
      </rPr>
      <t>B</t>
    </r>
    <r>
      <rPr>
        <sz val="14"/>
        <rFont val="宋体"/>
        <charset val="134"/>
      </rPr>
      <t>+J</t>
    </r>
    <r>
      <rPr>
        <vertAlign val="subscript"/>
        <sz val="14"/>
        <rFont val="宋体"/>
        <charset val="134"/>
      </rPr>
      <t>C</t>
    </r>
  </si>
  <si>
    <t>启动转矩</t>
  </si>
  <si>
    <r>
      <rPr>
        <sz val="14"/>
        <rFont val="Times New Roman"/>
        <charset val="134"/>
      </rPr>
      <t>T</t>
    </r>
    <r>
      <rPr>
        <vertAlign val="subscript"/>
        <sz val="14"/>
        <rFont val="Times New Roman"/>
        <charset val="134"/>
      </rPr>
      <t>S</t>
    </r>
    <r>
      <rPr>
        <sz val="14"/>
        <rFont val="Times New Roman"/>
        <charset val="134"/>
      </rPr>
      <t>=</t>
    </r>
  </si>
  <si>
    <t>安全系数</t>
  </si>
  <si>
    <t>S=</t>
  </si>
  <si>
    <t>5)必须转矩</t>
  </si>
  <si>
    <t>必须转矩</t>
  </si>
  <si>
    <r>
      <rPr>
        <sz val="12"/>
        <rFont val="Times New Roman"/>
        <charset val="134"/>
      </rPr>
      <t>T</t>
    </r>
    <r>
      <rPr>
        <vertAlign val="subscript"/>
        <sz val="12"/>
        <rFont val="Times New Roman"/>
        <charset val="134"/>
      </rPr>
      <t>M</t>
    </r>
    <r>
      <rPr>
        <sz val="12"/>
        <rFont val="Times New Roman"/>
        <charset val="134"/>
      </rPr>
      <t>=</t>
    </r>
  </si>
  <si>
    <r>
      <rPr>
        <sz val="14"/>
        <color indexed="8"/>
        <rFont val="宋体"/>
        <charset val="134"/>
      </rPr>
      <t>(T</t>
    </r>
    <r>
      <rPr>
        <vertAlign val="subscript"/>
        <sz val="14"/>
        <color indexed="8"/>
        <rFont val="宋体"/>
        <charset val="134"/>
      </rPr>
      <t>L</t>
    </r>
    <r>
      <rPr>
        <sz val="14"/>
        <color indexed="8"/>
        <rFont val="宋体"/>
        <charset val="134"/>
      </rPr>
      <t>+T</t>
    </r>
    <r>
      <rPr>
        <vertAlign val="subscript"/>
        <sz val="14"/>
        <color indexed="8"/>
        <rFont val="宋体"/>
        <charset val="134"/>
      </rPr>
      <t>S</t>
    </r>
    <r>
      <rPr>
        <sz val="14"/>
        <color indexed="8"/>
        <rFont val="宋体"/>
        <charset val="134"/>
      </rPr>
      <t>)*S</t>
    </r>
  </si>
  <si>
    <t>电机惯量</t>
  </si>
  <si>
    <r>
      <rPr>
        <sz val="12"/>
        <rFont val="Times New Roman"/>
        <charset val="134"/>
      </rPr>
      <t>J</t>
    </r>
    <r>
      <rPr>
        <vertAlign val="subscript"/>
        <sz val="12"/>
        <rFont val="Times New Roman"/>
        <charset val="134"/>
      </rPr>
      <t>M</t>
    </r>
    <r>
      <rPr>
        <sz val="12"/>
        <rFont val="Times New Roman"/>
        <charset val="134"/>
      </rPr>
      <t>=</t>
    </r>
  </si>
  <si>
    <r>
      <rPr>
        <sz val="12"/>
        <rFont val="Times New Roman"/>
        <charset val="134"/>
      </rPr>
      <t>6)</t>
    </r>
    <r>
      <rPr>
        <sz val="12"/>
        <rFont val="宋体"/>
        <charset val="134"/>
      </rPr>
      <t>电机选择</t>
    </r>
  </si>
  <si>
    <r>
      <rPr>
        <sz val="12"/>
        <rFont val="宋体"/>
        <charset val="134"/>
      </rPr>
      <t>根据计算，初步确定电机型号，然后输入转子惯量，确认</t>
    </r>
    <r>
      <rPr>
        <sz val="12"/>
        <rFont val="Times New Roman"/>
        <charset val="134"/>
      </rPr>
      <t>T</t>
    </r>
    <r>
      <rPr>
        <vertAlign val="subscript"/>
        <sz val="12"/>
        <rFont val="Times New Roman"/>
        <charset val="134"/>
      </rPr>
      <t>M</t>
    </r>
  </si>
  <si>
    <r>
      <rPr>
        <sz val="12"/>
        <rFont val="Times New Roman"/>
        <charset val="134"/>
      </rPr>
      <t>7)</t>
    </r>
    <r>
      <rPr>
        <sz val="12"/>
        <rFont val="宋体"/>
        <charset val="134"/>
      </rPr>
      <t>负荷与电机惯量比</t>
    </r>
  </si>
  <si>
    <t>惯量比</t>
  </si>
  <si>
    <r>
      <rPr>
        <sz val="12"/>
        <rFont val="宋体"/>
        <charset val="134"/>
      </rPr>
      <t>I</t>
    </r>
    <r>
      <rPr>
        <vertAlign val="subscript"/>
        <sz val="12"/>
        <rFont val="宋体"/>
        <charset val="134"/>
      </rPr>
      <t>1</t>
    </r>
    <r>
      <rPr>
        <sz val="12"/>
        <rFont val="宋体"/>
        <charset val="134"/>
      </rPr>
      <t>=</t>
    </r>
  </si>
  <si>
    <t>8)负荷与减速机惯量比</t>
  </si>
  <si>
    <t>当负荷与电机惯量比&gt;5时，考虑采用减速装置，提高惯量匹配</t>
  </si>
  <si>
    <t>折算后的惯量比</t>
  </si>
  <si>
    <r>
      <rPr>
        <sz val="12"/>
        <rFont val="宋体"/>
        <charset val="134"/>
      </rPr>
      <t>I</t>
    </r>
    <r>
      <rPr>
        <vertAlign val="subscript"/>
        <sz val="12"/>
        <rFont val="宋体"/>
        <charset val="134"/>
      </rPr>
      <t>2</t>
    </r>
    <r>
      <rPr>
        <sz val="12"/>
        <rFont val="宋体"/>
        <charset val="134"/>
      </rPr>
      <t>=</t>
    </r>
  </si>
  <si>
    <t>减速机减速比</t>
  </si>
  <si>
    <t>i＝</t>
  </si>
  <si>
    <t>丝杠垂直运动选型计算表格</t>
  </si>
  <si>
    <t>丝杠部分长度</t>
  </si>
  <si>
    <t>t=</t>
  </si>
  <si>
    <r>
      <rPr>
        <sz val="14"/>
        <rFont val="宋体"/>
        <charset val="134"/>
      </rPr>
      <t>V</t>
    </r>
    <r>
      <rPr>
        <i/>
        <sz val="14"/>
        <rFont val="宋体"/>
        <charset val="134"/>
      </rPr>
      <t>l</t>
    </r>
    <r>
      <rPr>
        <sz val="14"/>
        <rFont val="宋体"/>
        <charset val="134"/>
      </rPr>
      <t>/P</t>
    </r>
    <r>
      <rPr>
        <vertAlign val="subscript"/>
        <sz val="14"/>
        <rFont val="宋体"/>
        <charset val="134"/>
      </rPr>
      <t>B</t>
    </r>
  </si>
  <si>
    <t>轴向负载</t>
  </si>
  <si>
    <t xml:space="preserve">      F =</t>
  </si>
  <si>
    <t>负载转矩</t>
  </si>
  <si>
    <r>
      <rPr>
        <sz val="12"/>
        <rFont val="宋体"/>
        <charset val="134"/>
      </rPr>
      <t xml:space="preserve">      T</t>
    </r>
    <r>
      <rPr>
        <vertAlign val="subscript"/>
        <sz val="12"/>
        <rFont val="宋体"/>
        <charset val="134"/>
      </rPr>
      <t>L</t>
    </r>
    <r>
      <rPr>
        <sz val="12"/>
        <rFont val="宋体"/>
        <charset val="134"/>
      </rPr>
      <t xml:space="preserve"> =</t>
    </r>
  </si>
  <si>
    <t>皮带轮间歇运动选型计算表格</t>
  </si>
  <si>
    <t>皮带与工作物总质量</t>
  </si>
  <si>
    <r>
      <rPr>
        <sz val="12"/>
        <rFont val="Times New Roman"/>
        <charset val="134"/>
      </rPr>
      <t>m</t>
    </r>
    <r>
      <rPr>
        <vertAlign val="subscript"/>
        <sz val="12"/>
        <rFont val="Times New Roman"/>
        <charset val="134"/>
      </rPr>
      <t>L</t>
    </r>
    <r>
      <rPr>
        <sz val="12"/>
        <rFont val="Times New Roman"/>
        <charset val="134"/>
      </rPr>
      <t>=</t>
    </r>
  </si>
  <si>
    <t>g=</t>
  </si>
  <si>
    <t>滑动面摩擦系数</t>
  </si>
  <si>
    <t>滚筒直径</t>
  </si>
  <si>
    <t>D=</t>
  </si>
  <si>
    <t>滚筒质量</t>
  </si>
  <si>
    <r>
      <rPr>
        <sz val="12"/>
        <rFont val="Times New Roman"/>
        <charset val="134"/>
      </rPr>
      <t>m</t>
    </r>
    <r>
      <rPr>
        <vertAlign val="subscript"/>
        <sz val="12"/>
        <rFont val="Times New Roman"/>
        <charset val="134"/>
      </rPr>
      <t>2</t>
    </r>
    <r>
      <rPr>
        <sz val="12"/>
        <rFont val="Times New Roman"/>
        <charset val="134"/>
      </rPr>
      <t>=</t>
    </r>
  </si>
  <si>
    <t>传送带和滚筒的机械效率</t>
  </si>
  <si>
    <t>减速机机械效率</t>
  </si>
  <si>
    <r>
      <rPr>
        <sz val="12"/>
        <rFont val="Times New Roman"/>
        <charset val="134"/>
      </rPr>
      <t>η</t>
    </r>
    <r>
      <rPr>
        <vertAlign val="subscript"/>
        <sz val="12"/>
        <rFont val="Times New Roman"/>
        <charset val="134"/>
      </rPr>
      <t>G</t>
    </r>
    <r>
      <rPr>
        <sz val="12"/>
        <rFont val="Times New Roman"/>
        <charset val="134"/>
      </rPr>
      <t>=</t>
    </r>
  </si>
  <si>
    <t>减速比</t>
  </si>
  <si>
    <t>i=</t>
  </si>
  <si>
    <t>每次定位时间</t>
  </si>
  <si>
    <t>每次运动距离</t>
  </si>
  <si>
    <r>
      <rPr>
        <sz val="14"/>
        <rFont val="Times New Roman"/>
        <charset val="134"/>
      </rPr>
      <t>F</t>
    </r>
    <r>
      <rPr>
        <vertAlign val="subscript"/>
        <sz val="14"/>
        <rFont val="Times New Roman"/>
        <charset val="134"/>
      </rPr>
      <t>A</t>
    </r>
    <r>
      <rPr>
        <sz val="14"/>
        <rFont val="Times New Roman"/>
        <charset val="134"/>
      </rPr>
      <t>=</t>
    </r>
  </si>
  <si>
    <t>a =</t>
  </si>
  <si>
    <t>1)速度曲线</t>
  </si>
  <si>
    <r>
      <rPr>
        <sz val="12"/>
        <rFont val="宋体"/>
        <charset val="134"/>
      </rPr>
      <t>t</t>
    </r>
    <r>
      <rPr>
        <vertAlign val="subscript"/>
        <sz val="12"/>
        <rFont val="宋体"/>
        <charset val="134"/>
      </rPr>
      <t>0</t>
    </r>
    <r>
      <rPr>
        <sz val="12"/>
        <rFont val="宋体"/>
        <charset val="134"/>
      </rPr>
      <t>=</t>
    </r>
  </si>
  <si>
    <t>t*A</t>
  </si>
  <si>
    <t>2)电机转速</t>
  </si>
  <si>
    <t>减速机输出轴角加速度</t>
  </si>
  <si>
    <t xml:space="preserve">             β=</t>
  </si>
  <si>
    <r>
      <rPr>
        <sz val="12"/>
        <rFont val="宋体"/>
        <charset val="134"/>
      </rPr>
      <t>rad/s</t>
    </r>
    <r>
      <rPr>
        <vertAlign val="superscript"/>
        <sz val="12"/>
        <rFont val="宋体"/>
        <charset val="134"/>
      </rPr>
      <t>2</t>
    </r>
  </si>
  <si>
    <t>减速机输出轴转速</t>
  </si>
  <si>
    <r>
      <rPr>
        <sz val="12"/>
        <rFont val="宋体"/>
        <charset val="134"/>
      </rPr>
      <t>N</t>
    </r>
    <r>
      <rPr>
        <sz val="12"/>
        <rFont val="宋体"/>
        <charset val="134"/>
      </rPr>
      <t>=</t>
    </r>
  </si>
  <si>
    <t>电机输出轴角加速度</t>
  </si>
  <si>
    <r>
      <rPr>
        <sz val="12"/>
        <rFont val="宋体"/>
        <charset val="134"/>
      </rPr>
      <t>β</t>
    </r>
    <r>
      <rPr>
        <vertAlign val="subscript"/>
        <sz val="12"/>
        <rFont val="宋体"/>
        <charset val="134"/>
      </rPr>
      <t>M</t>
    </r>
    <r>
      <rPr>
        <sz val="12"/>
        <rFont val="宋体"/>
        <charset val="134"/>
      </rPr>
      <t>=</t>
    </r>
  </si>
  <si>
    <t>i*β</t>
  </si>
  <si>
    <t>电机输出轴转速</t>
  </si>
  <si>
    <r>
      <rPr>
        <sz val="12"/>
        <rFont val="宋体"/>
        <charset val="134"/>
      </rPr>
      <t>N</t>
    </r>
    <r>
      <rPr>
        <vertAlign val="subscript"/>
        <sz val="12"/>
        <rFont val="宋体"/>
        <charset val="134"/>
      </rPr>
      <t>M</t>
    </r>
    <r>
      <rPr>
        <sz val="12"/>
        <rFont val="宋体"/>
        <charset val="134"/>
      </rPr>
      <t>=</t>
    </r>
  </si>
  <si>
    <t>N*i</t>
  </si>
  <si>
    <t>3)计算负载转矩</t>
  </si>
  <si>
    <t>减速机轴向负载</t>
  </si>
  <si>
    <t>F=</t>
  </si>
  <si>
    <t>减速机轴负载转矩</t>
  </si>
  <si>
    <r>
      <rPr>
        <sz val="12"/>
        <rFont val="宋体"/>
        <charset val="134"/>
      </rPr>
      <t>T</t>
    </r>
    <r>
      <rPr>
        <vertAlign val="subscript"/>
        <sz val="12"/>
        <rFont val="宋体"/>
        <charset val="134"/>
      </rPr>
      <t>L</t>
    </r>
    <r>
      <rPr>
        <sz val="12"/>
        <rFont val="宋体"/>
        <charset val="134"/>
      </rPr>
      <t>=</t>
    </r>
  </si>
  <si>
    <t>电机轴负载转矩</t>
  </si>
  <si>
    <r>
      <rPr>
        <sz val="12"/>
        <rFont val="宋体"/>
        <charset val="134"/>
      </rPr>
      <t>T</t>
    </r>
    <r>
      <rPr>
        <vertAlign val="subscript"/>
        <sz val="12"/>
        <rFont val="宋体"/>
        <charset val="134"/>
      </rPr>
      <t>LM</t>
    </r>
    <r>
      <rPr>
        <sz val="12"/>
        <rFont val="宋体"/>
        <charset val="134"/>
      </rPr>
      <t>=</t>
    </r>
  </si>
  <si>
    <t>4)计算电机轴加速转矩（克服惯量）</t>
  </si>
  <si>
    <t>皮带和工作物的惯量</t>
  </si>
  <si>
    <r>
      <rPr>
        <sz val="12"/>
        <rFont val="宋体"/>
        <charset val="134"/>
      </rPr>
      <t>J</t>
    </r>
    <r>
      <rPr>
        <vertAlign val="subscript"/>
        <sz val="12"/>
        <rFont val="宋体"/>
        <charset val="134"/>
      </rPr>
      <t>M1</t>
    </r>
    <r>
      <rPr>
        <sz val="12"/>
        <rFont val="宋体"/>
        <charset val="134"/>
      </rPr>
      <t>=</t>
    </r>
  </si>
  <si>
    <t>滚筒的惯量</t>
  </si>
  <si>
    <r>
      <rPr>
        <sz val="12"/>
        <rFont val="宋体"/>
        <charset val="134"/>
      </rPr>
      <t>J</t>
    </r>
    <r>
      <rPr>
        <vertAlign val="subscript"/>
        <sz val="12"/>
        <rFont val="宋体"/>
        <charset val="134"/>
      </rPr>
      <t>M2</t>
    </r>
    <r>
      <rPr>
        <sz val="12"/>
        <rFont val="宋体"/>
        <charset val="134"/>
      </rPr>
      <t>=</t>
    </r>
  </si>
  <si>
    <r>
      <rPr>
        <sz val="12"/>
        <rFont val="宋体"/>
        <charset val="134"/>
      </rPr>
      <t>折算到减速机轴的负载惯量  J</t>
    </r>
    <r>
      <rPr>
        <vertAlign val="subscript"/>
        <sz val="12"/>
        <rFont val="宋体"/>
        <charset val="134"/>
      </rPr>
      <t>L</t>
    </r>
    <r>
      <rPr>
        <sz val="12"/>
        <rFont val="宋体"/>
        <charset val="134"/>
      </rPr>
      <t>=</t>
    </r>
  </si>
  <si>
    <r>
      <rPr>
        <sz val="12"/>
        <rFont val="宋体"/>
        <charset val="134"/>
      </rPr>
      <t>J</t>
    </r>
    <r>
      <rPr>
        <vertAlign val="subscript"/>
        <sz val="12"/>
        <rFont val="宋体"/>
        <charset val="134"/>
      </rPr>
      <t>M1</t>
    </r>
    <r>
      <rPr>
        <sz val="12"/>
        <rFont val="宋体"/>
        <charset val="134"/>
      </rPr>
      <t>+2J</t>
    </r>
    <r>
      <rPr>
        <vertAlign val="subscript"/>
        <sz val="12"/>
        <rFont val="宋体"/>
        <charset val="134"/>
      </rPr>
      <t>M2</t>
    </r>
  </si>
  <si>
    <t>全负载惯量</t>
  </si>
  <si>
    <t>J=</t>
  </si>
  <si>
    <t>电机轴加速转矩</t>
  </si>
  <si>
    <t>5）必须转矩</t>
  </si>
  <si>
    <r>
      <rPr>
        <sz val="14"/>
        <color indexed="8"/>
        <rFont val="宋体"/>
        <charset val="134"/>
      </rPr>
      <t>(T</t>
    </r>
    <r>
      <rPr>
        <vertAlign val="subscript"/>
        <sz val="14"/>
        <color indexed="8"/>
        <rFont val="宋体"/>
        <charset val="134"/>
      </rPr>
      <t>LM</t>
    </r>
    <r>
      <rPr>
        <sz val="14"/>
        <color indexed="8"/>
        <rFont val="宋体"/>
        <charset val="134"/>
      </rPr>
      <t>+T</t>
    </r>
    <r>
      <rPr>
        <vertAlign val="subscript"/>
        <sz val="14"/>
        <color indexed="8"/>
        <rFont val="宋体"/>
        <charset val="134"/>
      </rPr>
      <t>S</t>
    </r>
    <r>
      <rPr>
        <sz val="14"/>
        <color indexed="8"/>
        <rFont val="宋体"/>
        <charset val="134"/>
      </rPr>
      <t>)*S</t>
    </r>
  </si>
  <si>
    <r>
      <rPr>
        <sz val="12"/>
        <rFont val="Times New Roman"/>
        <charset val="134"/>
      </rPr>
      <t>6)</t>
    </r>
    <r>
      <rPr>
        <sz val="12"/>
        <rFont val="宋体"/>
        <charset val="134"/>
      </rPr>
      <t>负荷与电机惯量比</t>
    </r>
  </si>
  <si>
    <t>N1=</t>
  </si>
  <si>
    <t>皮带轮连续运动选型计算表格</t>
  </si>
  <si>
    <t>说明：由于是连续运动，所以在计算牛矩时只需考虑负载牛矩，启动牛矩忽略，但必须考虑到惯量的匹配</t>
  </si>
  <si>
    <t>皮带速度：</t>
  </si>
  <si>
    <t>V=</t>
  </si>
  <si>
    <t>m2=</t>
  </si>
  <si>
    <t>FA=</t>
  </si>
  <si>
    <t>1)电机转速</t>
  </si>
  <si>
    <t>2)计算负载转矩</t>
  </si>
  <si>
    <t>4)计算折算到电机轴的惯量</t>
  </si>
  <si>
    <r>
      <rPr>
        <sz val="14"/>
        <color indexed="8"/>
        <rFont val="宋体"/>
        <charset val="134"/>
      </rPr>
      <t>T</t>
    </r>
    <r>
      <rPr>
        <vertAlign val="subscript"/>
        <sz val="14"/>
        <color indexed="8"/>
        <rFont val="宋体"/>
        <charset val="134"/>
      </rPr>
      <t>LM</t>
    </r>
    <r>
      <rPr>
        <sz val="14"/>
        <color indexed="8"/>
        <rFont val="宋体"/>
        <charset val="134"/>
      </rPr>
      <t>*S</t>
    </r>
  </si>
  <si>
    <t>分度盘机构选型计算表格</t>
  </si>
  <si>
    <t>分度盘直径</t>
  </si>
  <si>
    <r>
      <rPr>
        <sz val="12"/>
        <rFont val="Times New Roman"/>
        <charset val="134"/>
      </rPr>
      <t>D</t>
    </r>
    <r>
      <rPr>
        <vertAlign val="subscript"/>
        <sz val="12"/>
        <rFont val="Times New Roman"/>
        <charset val="134"/>
      </rPr>
      <t>T</t>
    </r>
    <r>
      <rPr>
        <sz val="12"/>
        <rFont val="Times New Roman"/>
        <charset val="134"/>
      </rPr>
      <t>=</t>
    </r>
  </si>
  <si>
    <t>分度盘厚度</t>
  </si>
  <si>
    <r>
      <rPr>
        <sz val="12"/>
        <rFont val="Times New Roman"/>
        <charset val="134"/>
      </rPr>
      <t>L</t>
    </r>
    <r>
      <rPr>
        <vertAlign val="subscript"/>
        <sz val="12"/>
        <rFont val="Times New Roman"/>
        <charset val="134"/>
      </rPr>
      <t>T</t>
    </r>
    <r>
      <rPr>
        <sz val="12"/>
        <rFont val="Times New Roman"/>
        <charset val="134"/>
      </rPr>
      <t>=</t>
    </r>
  </si>
  <si>
    <t>工作物直径</t>
  </si>
  <si>
    <r>
      <rPr>
        <sz val="12"/>
        <rFont val="Times New Roman"/>
        <charset val="134"/>
      </rPr>
      <t>D</t>
    </r>
    <r>
      <rPr>
        <vertAlign val="subscript"/>
        <sz val="12"/>
        <rFont val="Times New Roman"/>
        <charset val="134"/>
      </rPr>
      <t>W</t>
    </r>
    <r>
      <rPr>
        <sz val="12"/>
        <rFont val="Times New Roman"/>
        <charset val="134"/>
      </rPr>
      <t>=</t>
    </r>
  </si>
  <si>
    <t>工作物厚度</t>
  </si>
  <si>
    <r>
      <rPr>
        <sz val="12"/>
        <rFont val="Times New Roman"/>
        <charset val="134"/>
      </rPr>
      <t>L</t>
    </r>
    <r>
      <rPr>
        <vertAlign val="subscript"/>
        <sz val="12"/>
        <rFont val="Times New Roman"/>
        <charset val="134"/>
      </rPr>
      <t>W</t>
    </r>
    <r>
      <rPr>
        <sz val="12"/>
        <rFont val="Times New Roman"/>
        <charset val="134"/>
      </rPr>
      <t>=</t>
    </r>
  </si>
  <si>
    <t>工作台材质密度</t>
  </si>
  <si>
    <r>
      <rPr>
        <sz val="12"/>
        <rFont val="Times New Roman"/>
        <charset val="134"/>
      </rPr>
      <t>kg/m</t>
    </r>
    <r>
      <rPr>
        <vertAlign val="superscript"/>
        <sz val="12"/>
        <rFont val="Times New Roman"/>
        <charset val="134"/>
      </rPr>
      <t>3</t>
    </r>
  </si>
  <si>
    <t>工作物数量</t>
  </si>
  <si>
    <t>n=</t>
  </si>
  <si>
    <t>个</t>
  </si>
  <si>
    <t>由分度盘中心至工作物中心的距离</t>
  </si>
  <si>
    <r>
      <rPr>
        <i/>
        <sz val="12"/>
        <rFont val="Times New Roman"/>
        <charset val="134"/>
      </rPr>
      <t>l</t>
    </r>
    <r>
      <rPr>
        <sz val="12"/>
        <rFont val="Times New Roman"/>
        <charset val="134"/>
      </rPr>
      <t>=</t>
    </r>
  </si>
  <si>
    <t>定位角度</t>
  </si>
  <si>
    <t>θ=</t>
  </si>
  <si>
    <r>
      <rPr>
        <sz val="14"/>
        <rFont val="Times New Roman"/>
        <charset val="134"/>
      </rPr>
      <t>t</t>
    </r>
    <r>
      <rPr>
        <sz val="14"/>
        <rFont val="Times New Roman"/>
        <charset val="134"/>
      </rPr>
      <t>=</t>
    </r>
  </si>
  <si>
    <t>减速机效率</t>
  </si>
  <si>
    <r>
      <rPr>
        <sz val="14"/>
        <rFont val="Times New Roman"/>
        <charset val="134"/>
      </rPr>
      <t>η</t>
    </r>
    <r>
      <rPr>
        <vertAlign val="subscript"/>
        <sz val="14"/>
        <rFont val="Times New Roman"/>
        <charset val="134"/>
      </rPr>
      <t>G</t>
    </r>
    <r>
      <rPr>
        <sz val="14"/>
        <rFont val="Times New Roman"/>
        <charset val="134"/>
      </rPr>
      <t>=</t>
    </r>
  </si>
  <si>
    <t>1）决定加减速时间</t>
  </si>
  <si>
    <t>加减速时间仍然以定位时间的25%</t>
  </si>
  <si>
    <t>加减速时间</t>
  </si>
  <si>
    <r>
      <rPr>
        <sz val="14"/>
        <rFont val="Times New Roman"/>
        <charset val="134"/>
      </rPr>
      <t>t</t>
    </r>
    <r>
      <rPr>
        <vertAlign val="subscript"/>
        <sz val="14"/>
        <rFont val="Times New Roman"/>
        <charset val="134"/>
      </rPr>
      <t>0</t>
    </r>
    <r>
      <rPr>
        <sz val="14"/>
        <rFont val="Times New Roman"/>
        <charset val="134"/>
      </rPr>
      <t>=</t>
    </r>
  </si>
  <si>
    <r>
      <rPr>
        <sz val="12"/>
        <rFont val="宋体"/>
        <charset val="134"/>
      </rPr>
      <t>β</t>
    </r>
    <r>
      <rPr>
        <vertAlign val="subscript"/>
        <sz val="12"/>
        <rFont val="宋体"/>
        <charset val="134"/>
      </rPr>
      <t>G</t>
    </r>
    <r>
      <rPr>
        <sz val="12"/>
        <rFont val="宋体"/>
        <charset val="134"/>
      </rPr>
      <t>=</t>
    </r>
  </si>
  <si>
    <t>减速机输出轴最大转速</t>
  </si>
  <si>
    <t>电机轴角加速度</t>
  </si>
  <si>
    <t>βm=</t>
  </si>
  <si>
    <r>
      <rPr>
        <sz val="12"/>
        <rFont val="宋体"/>
        <charset val="134"/>
      </rPr>
      <t>β</t>
    </r>
    <r>
      <rPr>
        <vertAlign val="subscript"/>
        <sz val="12"/>
        <rFont val="宋体"/>
        <charset val="134"/>
      </rPr>
      <t>G</t>
    </r>
    <r>
      <rPr>
        <sz val="12"/>
        <rFont val="宋体"/>
        <charset val="134"/>
      </rPr>
      <t>*i</t>
    </r>
  </si>
  <si>
    <t>因为摩擦负载及小，故忽略</t>
  </si>
  <si>
    <t>工作台的惯量</t>
  </si>
  <si>
    <r>
      <rPr>
        <sz val="12"/>
        <rFont val="宋体"/>
        <charset val="134"/>
      </rPr>
      <t>J</t>
    </r>
    <r>
      <rPr>
        <vertAlign val="subscript"/>
        <sz val="12"/>
        <rFont val="宋体"/>
        <charset val="134"/>
      </rPr>
      <t>T</t>
    </r>
    <r>
      <rPr>
        <sz val="12"/>
        <rFont val="宋体"/>
        <charset val="134"/>
      </rPr>
      <t>=</t>
    </r>
  </si>
  <si>
    <t>工作物的惯量</t>
  </si>
  <si>
    <r>
      <rPr>
        <sz val="12"/>
        <rFont val="宋体"/>
        <charset val="134"/>
      </rPr>
      <t>J</t>
    </r>
    <r>
      <rPr>
        <vertAlign val="subscript"/>
        <sz val="12"/>
        <rFont val="宋体"/>
        <charset val="134"/>
      </rPr>
      <t>W1</t>
    </r>
    <r>
      <rPr>
        <sz val="12"/>
        <rFont val="宋体"/>
        <charset val="134"/>
      </rPr>
      <t>=</t>
    </r>
  </si>
  <si>
    <t>（工作物同时绕工作物中心轴旋转,如果工作物没有自转，可以不考虑这部分惯量）</t>
  </si>
  <si>
    <t>工作物质量</t>
  </si>
  <si>
    <r>
      <rPr>
        <sz val="14"/>
        <rFont val="宋体"/>
        <charset val="134"/>
      </rPr>
      <t>m</t>
    </r>
    <r>
      <rPr>
        <vertAlign val="subscript"/>
        <sz val="12"/>
        <rFont val="宋体"/>
        <charset val="134"/>
      </rPr>
      <t>w</t>
    </r>
    <r>
      <rPr>
        <sz val="12"/>
        <rFont val="宋体"/>
        <charset val="134"/>
      </rPr>
      <t>=</t>
    </r>
  </si>
  <si>
    <r>
      <rPr>
        <sz val="12"/>
        <rFont val="宋体"/>
        <charset val="134"/>
      </rPr>
      <t>J</t>
    </r>
    <r>
      <rPr>
        <vertAlign val="subscript"/>
        <sz val="12"/>
        <rFont val="宋体"/>
        <charset val="134"/>
      </rPr>
      <t>W</t>
    </r>
    <r>
      <rPr>
        <sz val="12"/>
        <rFont val="宋体"/>
        <charset val="134"/>
      </rPr>
      <t>=</t>
    </r>
  </si>
  <si>
    <t>(按工作物体中心自转）</t>
  </si>
  <si>
    <r>
      <rPr>
        <sz val="12"/>
        <rFont val="宋体"/>
        <charset val="134"/>
      </rPr>
      <t>J</t>
    </r>
    <r>
      <rPr>
        <vertAlign val="subscript"/>
        <sz val="12"/>
        <rFont val="宋体"/>
        <charset val="134"/>
      </rPr>
      <t>L</t>
    </r>
    <r>
      <rPr>
        <sz val="12"/>
        <rFont val="宋体"/>
        <charset val="134"/>
      </rPr>
      <t>=</t>
    </r>
  </si>
  <si>
    <r>
      <rPr>
        <sz val="12"/>
        <rFont val="宋体"/>
        <charset val="134"/>
      </rPr>
      <t>J</t>
    </r>
    <r>
      <rPr>
        <vertAlign val="subscript"/>
        <sz val="12"/>
        <rFont val="宋体"/>
        <charset val="134"/>
      </rPr>
      <t>T</t>
    </r>
    <r>
      <rPr>
        <sz val="12"/>
        <rFont val="宋体"/>
        <charset val="134"/>
      </rPr>
      <t>+J</t>
    </r>
    <r>
      <rPr>
        <vertAlign val="subscript"/>
        <sz val="12"/>
        <rFont val="宋体"/>
        <charset val="134"/>
      </rPr>
      <t>W</t>
    </r>
  </si>
  <si>
    <t>5）加速转矩</t>
  </si>
  <si>
    <t>负载折算到电机轴上的惯量：</t>
  </si>
  <si>
    <r>
      <rPr>
        <sz val="12"/>
        <rFont val="宋体"/>
        <charset val="134"/>
      </rPr>
      <t>J</t>
    </r>
    <r>
      <rPr>
        <vertAlign val="subscript"/>
        <sz val="12"/>
        <rFont val="宋体"/>
        <charset val="134"/>
      </rPr>
      <t>LM</t>
    </r>
    <r>
      <rPr>
        <sz val="12"/>
        <rFont val="宋体"/>
        <charset val="134"/>
      </rPr>
      <t>=</t>
    </r>
  </si>
  <si>
    <r>
      <rPr>
        <sz val="12"/>
        <rFont val="宋体"/>
        <charset val="134"/>
      </rPr>
      <t>J</t>
    </r>
    <r>
      <rPr>
        <vertAlign val="subscript"/>
        <sz val="12"/>
        <rFont val="宋体"/>
        <charset val="134"/>
      </rPr>
      <t>L</t>
    </r>
    <r>
      <rPr>
        <sz val="12"/>
        <rFont val="宋体"/>
        <charset val="134"/>
      </rPr>
      <t>/i</t>
    </r>
    <r>
      <rPr>
        <vertAlign val="superscript"/>
        <sz val="12"/>
        <rFont val="宋体"/>
        <charset val="134"/>
      </rPr>
      <t>2</t>
    </r>
  </si>
  <si>
    <r>
      <rPr>
        <sz val="12"/>
        <rFont val="Times New Roman"/>
        <charset val="134"/>
      </rPr>
      <t>T</t>
    </r>
    <r>
      <rPr>
        <vertAlign val="subscript"/>
        <sz val="12"/>
        <rFont val="Times New Roman"/>
        <charset val="134"/>
      </rPr>
      <t>s</t>
    </r>
    <r>
      <rPr>
        <sz val="12"/>
        <rFont val="Times New Roman"/>
        <charset val="134"/>
      </rPr>
      <t>=</t>
    </r>
  </si>
  <si>
    <t>6)必须转矩</t>
  </si>
  <si>
    <t>T=</t>
  </si>
  <si>
    <r>
      <rPr>
        <sz val="12"/>
        <rFont val="宋体"/>
        <charset val="134"/>
      </rPr>
      <t>（T</t>
    </r>
    <r>
      <rPr>
        <vertAlign val="subscript"/>
        <sz val="12"/>
        <rFont val="宋体"/>
        <charset val="134"/>
      </rPr>
      <t>S</t>
    </r>
    <r>
      <rPr>
        <sz val="12"/>
        <rFont val="宋体"/>
        <charset val="134"/>
      </rPr>
      <t>+T</t>
    </r>
    <r>
      <rPr>
        <vertAlign val="subscript"/>
        <sz val="12"/>
        <rFont val="宋体"/>
        <charset val="134"/>
      </rPr>
      <t>L</t>
    </r>
    <r>
      <rPr>
        <sz val="12"/>
        <rFont val="宋体"/>
        <charset val="134"/>
      </rPr>
      <t>）*S</t>
    </r>
  </si>
  <si>
    <r>
      <rPr>
        <sz val="16"/>
        <rFont val="宋体"/>
        <charset val="134"/>
      </rPr>
      <t>电动机启动时端电压计算</t>
    </r>
    <r>
      <rPr>
        <sz val="16"/>
        <rFont val="Times New Roman"/>
        <charset val="134"/>
      </rPr>
      <t xml:space="preserve"> </t>
    </r>
    <r>
      <rPr>
        <sz val="16"/>
        <rFont val="宋体"/>
        <charset val="134"/>
      </rPr>
      <t>⊿</t>
    </r>
    <r>
      <rPr>
        <sz val="16"/>
        <rFont val="Times New Roman"/>
        <charset val="134"/>
      </rPr>
      <t>Uqd</t>
    </r>
  </si>
  <si>
    <r>
      <rPr>
        <sz val="12"/>
        <rFont val="Times New Roman"/>
        <charset val="134"/>
      </rPr>
      <t>1.</t>
    </r>
    <r>
      <rPr>
        <sz val="12"/>
        <rFont val="宋体"/>
        <charset val="134"/>
      </rPr>
      <t>经验公式估算法</t>
    </r>
  </si>
  <si>
    <t>⊿Uqm＝100（KiqSed+Sjh）/Sdm＋KiqPedL⊿Ux</t>
  </si>
  <si>
    <t>Sdm=100Seb/uk</t>
  </si>
  <si>
    <r>
      <rPr>
        <sz val="12"/>
        <rFont val="宋体"/>
        <charset val="134"/>
      </rPr>
      <t>启动电动机的全电压启动时的起动电流倍数</t>
    </r>
    <r>
      <rPr>
        <sz val="12"/>
        <rFont val="Times New Roman"/>
        <charset val="134"/>
      </rPr>
      <t xml:space="preserve"> </t>
    </r>
    <r>
      <rPr>
        <sz val="12"/>
        <rFont val="宋体"/>
        <charset val="134"/>
      </rPr>
      <t>Kiq</t>
    </r>
  </si>
  <si>
    <r>
      <rPr>
        <sz val="12"/>
        <rFont val="宋体"/>
        <charset val="134"/>
      </rPr>
      <t>启动电动机的额定容量</t>
    </r>
    <r>
      <rPr>
        <i/>
        <sz val="12"/>
        <rFont val="宋体"/>
        <charset val="134"/>
      </rPr>
      <t>Sed（kVA）</t>
    </r>
  </si>
  <si>
    <r>
      <rPr>
        <sz val="12"/>
        <rFont val="宋体"/>
        <charset val="134"/>
      </rPr>
      <t>变压器低压侧其他负荷容量</t>
    </r>
    <r>
      <rPr>
        <sz val="12"/>
        <rFont val="Times New Roman"/>
        <charset val="134"/>
      </rPr>
      <t xml:space="preserve"> </t>
    </r>
    <r>
      <rPr>
        <sz val="12"/>
        <rFont val="宋体"/>
        <charset val="134"/>
      </rPr>
      <t>Sjh（kVA）</t>
    </r>
  </si>
  <si>
    <r>
      <rPr>
        <sz val="12"/>
        <rFont val="宋体"/>
        <charset val="134"/>
      </rPr>
      <t>变压器额定容量</t>
    </r>
    <r>
      <rPr>
        <sz val="12"/>
        <rFont val="Times New Roman"/>
        <charset val="134"/>
      </rPr>
      <t>Seb</t>
    </r>
    <r>
      <rPr>
        <sz val="12"/>
        <rFont val="宋体"/>
        <charset val="134"/>
      </rPr>
      <t>（</t>
    </r>
    <r>
      <rPr>
        <sz val="12"/>
        <rFont val="Times New Roman"/>
        <charset val="134"/>
      </rPr>
      <t>kVA</t>
    </r>
    <r>
      <rPr>
        <sz val="12"/>
        <rFont val="宋体"/>
        <charset val="134"/>
      </rPr>
      <t>）</t>
    </r>
  </si>
  <si>
    <r>
      <rPr>
        <sz val="12"/>
        <rFont val="宋体"/>
        <charset val="134"/>
      </rPr>
      <t>变压器阻抗电压</t>
    </r>
    <r>
      <rPr>
        <sz val="12"/>
        <rFont val="Times New Roman"/>
        <charset val="134"/>
      </rPr>
      <t xml:space="preserve"> uk</t>
    </r>
    <r>
      <rPr>
        <sz val="12"/>
        <rFont val="宋体"/>
        <charset val="134"/>
      </rPr>
      <t>（％）</t>
    </r>
  </si>
  <si>
    <r>
      <rPr>
        <sz val="12"/>
        <rFont val="宋体"/>
        <charset val="134"/>
      </rPr>
      <t>变压器低压母线上的三相短路容量</t>
    </r>
    <r>
      <rPr>
        <sz val="12"/>
        <rFont val="Times New Roman"/>
        <charset val="134"/>
      </rPr>
      <t xml:space="preserve"> </t>
    </r>
    <r>
      <rPr>
        <sz val="12"/>
        <rFont val="宋体"/>
        <charset val="134"/>
      </rPr>
      <t>Sdm（kVA）</t>
    </r>
  </si>
  <si>
    <t>电动机启动电压计算 ⊿Uqm</t>
  </si>
  <si>
    <r>
      <rPr>
        <sz val="12"/>
        <rFont val="宋体"/>
        <charset val="134"/>
      </rPr>
      <t>电动机额定功率</t>
    </r>
    <r>
      <rPr>
        <sz val="12"/>
        <rFont val="Times New Roman"/>
        <charset val="134"/>
      </rPr>
      <t>Ped</t>
    </r>
    <r>
      <rPr>
        <sz val="12"/>
        <rFont val="宋体"/>
        <charset val="134"/>
      </rPr>
      <t>（</t>
    </r>
    <r>
      <rPr>
        <sz val="12"/>
        <rFont val="Times New Roman"/>
        <charset val="134"/>
      </rPr>
      <t>kW</t>
    </r>
    <r>
      <rPr>
        <sz val="12"/>
        <rFont val="宋体"/>
        <charset val="134"/>
      </rPr>
      <t>）</t>
    </r>
  </si>
  <si>
    <r>
      <rPr>
        <sz val="12"/>
        <rFont val="宋体"/>
        <charset val="134"/>
      </rPr>
      <t>电动机供电线路长度</t>
    </r>
    <r>
      <rPr>
        <sz val="12"/>
        <rFont val="Times New Roman"/>
        <charset val="134"/>
      </rPr>
      <t xml:space="preserve"> L</t>
    </r>
    <r>
      <rPr>
        <sz val="12"/>
        <rFont val="宋体"/>
        <charset val="134"/>
      </rPr>
      <t>（</t>
    </r>
    <r>
      <rPr>
        <sz val="12"/>
        <rFont val="Times New Roman"/>
        <charset val="134"/>
      </rPr>
      <t>km</t>
    </r>
    <r>
      <rPr>
        <sz val="12"/>
        <rFont val="宋体"/>
        <charset val="134"/>
      </rPr>
      <t>）</t>
    </r>
  </si>
  <si>
    <r>
      <rPr>
        <sz val="12"/>
        <rFont val="宋体"/>
        <charset val="134"/>
      </rPr>
      <t>每千瓦公里单位电压损失</t>
    </r>
    <r>
      <rPr>
        <sz val="12"/>
        <rFont val="Times New Roman"/>
        <charset val="134"/>
      </rPr>
      <t xml:space="preserve"> </t>
    </r>
    <r>
      <rPr>
        <sz val="12"/>
        <rFont val="宋体"/>
        <charset val="134"/>
      </rPr>
      <t>⊿</t>
    </r>
    <r>
      <rPr>
        <sz val="12"/>
        <rFont val="Times New Roman"/>
        <charset val="134"/>
      </rPr>
      <t>Ux</t>
    </r>
    <r>
      <rPr>
        <sz val="12"/>
        <rFont val="宋体"/>
        <charset val="134"/>
      </rPr>
      <t>（％）</t>
    </r>
  </si>
  <si>
    <t>设计数据</t>
  </si>
  <si>
    <t>常规参数</t>
  </si>
  <si>
    <t>计算结果</t>
  </si>
  <si>
    <t>质量：</t>
  </si>
  <si>
    <t>m=</t>
  </si>
  <si>
    <t>t</t>
  </si>
  <si>
    <t>小车速度:</t>
  </si>
  <si>
    <t>v=</t>
  </si>
  <si>
    <t>输入区</t>
  </si>
  <si>
    <t>摩擦系数：</t>
  </si>
  <si>
    <t>u=</t>
  </si>
  <si>
    <t>一般取0.1</t>
  </si>
  <si>
    <t>牵引力:</t>
  </si>
  <si>
    <t>F=umg</t>
  </si>
  <si>
    <t>KN</t>
  </si>
  <si>
    <t>功率系数：</t>
  </si>
  <si>
    <t>K=</t>
  </si>
  <si>
    <t>(K=1.2~2，K越大，加速能力越强；)</t>
  </si>
  <si>
    <t>输出区</t>
  </si>
  <si>
    <t>传动效率：</t>
  </si>
  <si>
    <t>电机功率：</t>
  </si>
  <si>
    <t>P=Fvk/60/η</t>
  </si>
  <si>
    <t>KW</t>
  </si>
  <si>
    <t>车轮直径：</t>
  </si>
  <si>
    <t>mm</t>
  </si>
  <si>
    <t>减速机输出转速：</t>
  </si>
  <si>
    <t>na=</t>
  </si>
  <si>
    <t>v=na*3.14*D*i/1000</t>
  </si>
  <si>
    <t>电机功率提升：</t>
  </si>
  <si>
    <t>P1=P/1.732</t>
  </si>
  <si>
    <t>功率提升转速：</t>
  </si>
  <si>
    <t>na1=na*1.732</t>
  </si>
  <si>
    <t>v=na1*3.14*D*i/1000</t>
  </si>
  <si>
    <t>道路参数输入</t>
  </si>
  <si>
    <t>电机选型（电机参数输入）</t>
  </si>
  <si>
    <t>行走电机减速器校验（自动计算）</t>
  </si>
  <si>
    <t>滚动摩擦系数f</t>
  </si>
  <si>
    <t>整车平地行走所需功率</t>
  </si>
  <si>
    <t>滑动摩擦系数u</t>
  </si>
  <si>
    <t>电机数量</t>
  </si>
  <si>
    <t>整车坡度行走所需功率</t>
  </si>
  <si>
    <t>地面峰值附着系数</t>
  </si>
  <si>
    <t>有效电机数</t>
  </si>
  <si>
    <t>整车电机提供有效功率</t>
  </si>
  <si>
    <t>轨道坡度</t>
  </si>
  <si>
    <t>%</t>
  </si>
  <si>
    <t>行走功率安全系数（需≥1.2）</t>
  </si>
  <si>
    <t>弧度</t>
  </si>
  <si>
    <t>电机功率</t>
  </si>
  <si>
    <t>整车平地所需行走扭矩</t>
  </si>
  <si>
    <t>度</t>
  </si>
  <si>
    <t>额定电压</t>
  </si>
  <si>
    <t>VDC</t>
  </si>
  <si>
    <t>整车坡道所需行走扭矩</t>
  </si>
  <si>
    <t>障碍高度</t>
  </si>
  <si>
    <t>实际扭矩</t>
  </si>
  <si>
    <t>整车电机额定输出扭矩</t>
  </si>
  <si>
    <t>空转电流</t>
  </si>
  <si>
    <t>A</t>
  </si>
  <si>
    <t>行走额定扭矩安全系数（需≥1.2）</t>
  </si>
  <si>
    <t>车体参数输入</t>
  </si>
  <si>
    <t>实际电流(平均)</t>
  </si>
  <si>
    <t>整车平地所需加速扭矩</t>
  </si>
  <si>
    <t>履带数量</t>
  </si>
  <si>
    <t>额定扭矩</t>
  </si>
  <si>
    <t>整车坡道所需加速扭矩</t>
  </si>
  <si>
    <t>有效履带数</t>
  </si>
  <si>
    <t>额定电流</t>
  </si>
  <si>
    <t>整车电机最大输出扭矩</t>
  </si>
  <si>
    <t>履带轮子直径</t>
  </si>
  <si>
    <t>最大扭矩</t>
  </si>
  <si>
    <t>加速最大扭矩安全系数（需≥1.2）</t>
  </si>
  <si>
    <t>履带驱动轮直径</t>
  </si>
  <si>
    <t>IP等级</t>
  </si>
  <si>
    <t>IP65</t>
  </si>
  <si>
    <t>越障，附加扭矩</t>
  </si>
  <si>
    <t>使用温度</t>
  </si>
  <si>
    <r>
      <rPr>
        <sz val="12"/>
        <color indexed="9"/>
        <rFont val="宋体"/>
        <charset val="134"/>
      </rPr>
      <t>`</t>
    </r>
    <r>
      <rPr>
        <sz val="12"/>
        <rFont val="宋体"/>
        <charset val="134"/>
      </rPr>
      <t>0～40</t>
    </r>
  </si>
  <si>
    <t>越障，整车所需扭矩</t>
  </si>
  <si>
    <t>履带间距（左右）B</t>
  </si>
  <si>
    <t>额定转速</t>
  </si>
  <si>
    <t>越障，整车电机最大扭矩</t>
  </si>
  <si>
    <t>接地长度（前后）L</t>
  </si>
  <si>
    <t>最高转速</t>
  </si>
  <si>
    <t>整车路面提供的最大扭矩</t>
  </si>
  <si>
    <t>车体重量</t>
  </si>
  <si>
    <t>行走最大扭矩安全系数（需≥1.2）</t>
  </si>
  <si>
    <t>负载重量</t>
  </si>
  <si>
    <t>电流最大不均匀度</t>
  </si>
  <si>
    <t>路面提供扭矩安全系数（需≥1.2）</t>
  </si>
  <si>
    <t>尺寸系数L/B(1～1.6)</t>
  </si>
  <si>
    <t>单电机最大平均电流</t>
  </si>
  <si>
    <t>平地原地回转，单履带阻力</t>
  </si>
  <si>
    <t>单电机额定提供驱动力</t>
  </si>
  <si>
    <t>原地回转扭矩安全系数（需≥1.2）</t>
  </si>
  <si>
    <t>运行参数输入</t>
  </si>
  <si>
    <t>减速器选型（减速器参数输入）</t>
  </si>
  <si>
    <t>整车行走设计输出参数</t>
  </si>
  <si>
    <t>平地车体额定速度</t>
  </si>
  <si>
    <t>平地（坡道）额定速度</t>
  </si>
  <si>
    <t>平地车体最大速度</t>
  </si>
  <si>
    <t>总减速比</t>
  </si>
  <si>
    <t>平地（坡道）最大速度</t>
  </si>
  <si>
    <t>坡道额定速度</t>
  </si>
  <si>
    <t>自制减速比</t>
  </si>
  <si>
    <t>运行加速度</t>
  </si>
  <si>
    <t>m/s2</t>
  </si>
  <si>
    <t>大齿轮</t>
  </si>
  <si>
    <t>坡道加速度</t>
  </si>
  <si>
    <t>小齿轮</t>
  </si>
  <si>
    <t>大齿轮许用扭矩</t>
  </si>
  <si>
    <t>额定时，大齿轮输出扭矩</t>
  </si>
  <si>
    <t>小齿轮许用扭矩</t>
  </si>
  <si>
    <t>额定时，小齿轮输出扭矩</t>
  </si>
  <si>
    <t>减速器减速比</t>
  </si>
  <si>
    <t>大齿轮安全系数（需≥1.2）</t>
  </si>
  <si>
    <t>小齿轮安全系数（需≥1.2）</t>
  </si>
  <si>
    <t>额定时，减速器输出扭矩</t>
  </si>
  <si>
    <t xml:space="preserve"> -30～90</t>
  </si>
  <si>
    <t>减速器安全系数（需≥1.2）</t>
  </si>
  <si>
    <t>角加速度(淘宝店铺:枫启教育)</t>
  </si>
  <si>
    <t>一.根据运动要求计算最大转速和角加速度</t>
  </si>
  <si>
    <t>运动参数：</t>
  </si>
  <si>
    <t>每次运动角度</t>
  </si>
  <si>
    <t>负载惯量</t>
  </si>
  <si>
    <r>
      <rPr>
        <sz val="12"/>
        <rFont val="宋体"/>
        <charset val="134"/>
      </rPr>
      <t>Kg.m</t>
    </r>
    <r>
      <rPr>
        <vertAlign val="superscript"/>
        <sz val="12"/>
        <rFont val="宋体"/>
        <charset val="134"/>
      </rPr>
      <t>2</t>
    </r>
  </si>
  <si>
    <r>
      <rPr>
        <sz val="12"/>
        <rFont val="宋体"/>
        <charset val="134"/>
      </rPr>
      <t>N</t>
    </r>
    <r>
      <rPr>
        <sz val="12"/>
        <rFont val="宋体"/>
        <charset val="134"/>
      </rPr>
      <t>max</t>
    </r>
    <r>
      <rPr>
        <sz val="12"/>
        <rFont val="宋体"/>
        <charset val="134"/>
      </rPr>
      <t>=</t>
    </r>
  </si>
  <si>
    <t>Nmax*i</t>
  </si>
  <si>
    <t>电机输出扭据：</t>
  </si>
  <si>
    <t>Jβ</t>
  </si>
  <si>
    <t>Ts＝</t>
  </si>
  <si>
    <t>2×T</t>
  </si>
  <si>
    <t>结果输出区</t>
  </si>
  <si>
    <t>参数输入区</t>
  </si>
  <si>
    <t>W(可动部分总重量KG)=</t>
  </si>
  <si>
    <t>BP(丝杆螺矩mm)=</t>
  </si>
  <si>
    <t>GL(减速比)=</t>
  </si>
  <si>
    <t>J1=</t>
  </si>
  <si>
    <t>D(小齿轮/链轮直径mm)=</t>
  </si>
  <si>
    <t>J1(转盘的惯性矩)=</t>
  </si>
  <si>
    <t>W(转盘上物体的重量KG)=</t>
  </si>
  <si>
    <t>L(物体与旋转轴的距离mm)=</t>
  </si>
  <si>
    <t>转速(n/s)=</t>
  </si>
  <si>
    <t>加速时间=</t>
  </si>
  <si>
    <t>E(角加速度)=</t>
  </si>
  <si>
    <t>TL(系统外力折算到电机力矩)=</t>
  </si>
  <si>
    <t>n(传动系统的效率)=</t>
  </si>
  <si>
    <t>不同驱动机构下负载转矩计算 (淘宝店铺:枫启教育)</t>
  </si>
  <si>
    <t>已知参数:(淘宝店铺:枫启教育)</t>
  </si>
  <si>
    <t>圆周率π</t>
  </si>
  <si>
    <t>g＝</t>
  </si>
  <si>
    <r>
      <rPr>
        <sz val="12"/>
        <rFont val="宋体"/>
        <charset val="134"/>
      </rPr>
      <t>重力加速度[m/s</t>
    </r>
    <r>
      <rPr>
        <vertAlign val="superscript"/>
        <sz val="12"/>
        <rFont val="宋体"/>
        <charset val="134"/>
      </rPr>
      <t>2</t>
    </r>
    <r>
      <rPr>
        <sz val="12"/>
        <rFont val="宋体"/>
        <charset val="134"/>
      </rPr>
      <t>](9.807)</t>
    </r>
  </si>
  <si>
    <t>F＝</t>
  </si>
  <si>
    <r>
      <rPr>
        <sz val="12"/>
        <rFont val="宋体"/>
        <charset val="134"/>
      </rPr>
      <t>轴方向负载（N</t>
    </r>
    <r>
      <rPr>
        <sz val="12"/>
        <rFont val="宋体"/>
        <charset val="134"/>
      </rPr>
      <t>)</t>
    </r>
  </si>
  <si>
    <r>
      <rPr>
        <sz val="12"/>
        <rFont val="宋体"/>
        <charset val="134"/>
      </rPr>
      <t>F</t>
    </r>
    <r>
      <rPr>
        <vertAlign val="subscript"/>
        <sz val="12"/>
        <rFont val="宋体"/>
        <charset val="134"/>
      </rPr>
      <t>0</t>
    </r>
    <r>
      <rPr>
        <sz val="12"/>
        <rFont val="宋体"/>
        <charset val="134"/>
      </rPr>
      <t>＝</t>
    </r>
  </si>
  <si>
    <r>
      <rPr>
        <sz val="12"/>
        <rFont val="宋体"/>
        <charset val="134"/>
      </rPr>
      <t>预负载（N</t>
    </r>
    <r>
      <rPr>
        <sz val="12"/>
        <rFont val="宋体"/>
        <charset val="134"/>
      </rPr>
      <t>)(≈1/3 F)</t>
    </r>
  </si>
  <si>
    <r>
      <rPr>
        <sz val="12"/>
        <rFont val="宋体"/>
        <charset val="134"/>
      </rPr>
      <t>μ</t>
    </r>
    <r>
      <rPr>
        <vertAlign val="subscript"/>
        <sz val="12"/>
        <rFont val="宋体"/>
        <charset val="134"/>
      </rPr>
      <t>0</t>
    </r>
    <r>
      <rPr>
        <sz val="12"/>
        <rFont val="宋体"/>
        <charset val="134"/>
      </rPr>
      <t>＝</t>
    </r>
  </si>
  <si>
    <t>预压螺帽的内部摩擦系数（0.1-0.3)</t>
  </si>
  <si>
    <t>η＝</t>
  </si>
  <si>
    <t>机械效率（0.85-0.95)</t>
  </si>
  <si>
    <t>减速比（机构的减速比）</t>
  </si>
  <si>
    <r>
      <rPr>
        <sz val="12"/>
        <rFont val="宋体"/>
        <charset val="134"/>
      </rPr>
      <t>P</t>
    </r>
    <r>
      <rPr>
        <vertAlign val="subscript"/>
        <sz val="12"/>
        <rFont val="宋体"/>
        <charset val="134"/>
      </rPr>
      <t>B</t>
    </r>
    <r>
      <rPr>
        <sz val="12"/>
        <rFont val="宋体"/>
        <charset val="134"/>
      </rPr>
      <t>＝</t>
    </r>
  </si>
  <si>
    <t>滚珠螺杆螺距（m/rev)</t>
  </si>
  <si>
    <t>ρ＝</t>
  </si>
  <si>
    <r>
      <rPr>
        <sz val="12"/>
        <rFont val="宋体"/>
        <charset val="134"/>
      </rPr>
      <t>密度（kg/m</t>
    </r>
    <r>
      <rPr>
        <vertAlign val="superscript"/>
        <sz val="12"/>
        <rFont val="宋体"/>
        <charset val="134"/>
      </rPr>
      <t>3</t>
    </r>
    <r>
      <rPr>
        <sz val="12"/>
        <rFont val="宋体"/>
        <charset val="134"/>
      </rPr>
      <t>)</t>
    </r>
  </si>
  <si>
    <r>
      <rPr>
        <sz val="12"/>
        <rFont val="宋体"/>
        <charset val="134"/>
      </rPr>
      <t>F</t>
    </r>
    <r>
      <rPr>
        <vertAlign val="subscript"/>
        <sz val="12"/>
        <rFont val="宋体"/>
        <charset val="134"/>
      </rPr>
      <t>A</t>
    </r>
    <r>
      <rPr>
        <sz val="12"/>
        <rFont val="宋体"/>
        <charset val="134"/>
      </rPr>
      <t>＝</t>
    </r>
  </si>
  <si>
    <t>外力(N)</t>
  </si>
  <si>
    <t>FB＝</t>
  </si>
  <si>
    <t>主轴开始运动时的力（N)</t>
  </si>
  <si>
    <r>
      <rPr>
        <sz val="12"/>
        <rFont val="宋体"/>
        <charset val="134"/>
      </rPr>
      <t>(F</t>
    </r>
    <r>
      <rPr>
        <vertAlign val="subscript"/>
        <sz val="12"/>
        <rFont val="宋体"/>
        <charset val="134"/>
      </rPr>
      <t>B</t>
    </r>
    <r>
      <rPr>
        <sz val="12"/>
        <rFont val="宋体"/>
        <charset val="134"/>
      </rPr>
      <t>=弹簧秤值（kgxg [m/s2]))</t>
    </r>
  </si>
  <si>
    <t>m＝</t>
  </si>
  <si>
    <t>工作物与工作台的总质量（kg）</t>
  </si>
  <si>
    <t>μ＝</t>
  </si>
  <si>
    <t>滑动面的摩擦系数(0.05）</t>
  </si>
  <si>
    <t>a＝</t>
  </si>
  <si>
    <t>倾斜角度（°）</t>
  </si>
  <si>
    <t>D＝</t>
  </si>
  <si>
    <t>终段滑轮直径（m）</t>
  </si>
  <si>
    <t>滚珠螺杠驱动下负载转矩</t>
  </si>
  <si>
    <t>计算结果:</t>
  </si>
  <si>
    <t>滑轮驱动下负载转矩</t>
  </si>
  <si>
    <t>金属线、皮带  齿轮、齿条驱动下负载转矩</t>
  </si>
  <si>
    <t>F计算结果:</t>
  </si>
  <si>
    <t>实际测试计算方法</t>
  </si>
  <si>
    <t xml:space="preserve">风机性能表   </t>
  </si>
  <si>
    <t>主要参数</t>
  </si>
  <si>
    <r>
      <rPr>
        <sz val="12"/>
        <rFont val="宋体"/>
        <charset val="134"/>
      </rPr>
      <t>叶轮直</t>
    </r>
    <r>
      <rPr>
        <sz val="12"/>
        <rFont val="Times New Roman"/>
        <charset val="134"/>
      </rPr>
      <t xml:space="preserve"> </t>
    </r>
    <r>
      <rPr>
        <sz val="12"/>
        <rFont val="宋体"/>
        <charset val="134"/>
      </rPr>
      <t>径</t>
    </r>
    <r>
      <rPr>
        <sz val="12"/>
        <rFont val="Times New Roman"/>
        <charset val="134"/>
      </rPr>
      <t xml:space="preserve"> </t>
    </r>
    <r>
      <rPr>
        <sz val="12"/>
        <rFont val="宋体"/>
        <charset val="134"/>
      </rPr>
      <t>（米）</t>
    </r>
  </si>
  <si>
    <t>参数输入</t>
  </si>
  <si>
    <r>
      <rPr>
        <sz val="12"/>
        <rFont val="宋体"/>
        <charset val="134"/>
      </rPr>
      <t>主轴转速（</t>
    </r>
    <r>
      <rPr>
        <sz val="12"/>
        <rFont val="Times New Roman"/>
        <charset val="134"/>
      </rPr>
      <t>rpm)</t>
    </r>
  </si>
  <si>
    <r>
      <rPr>
        <sz val="12"/>
        <rFont val="宋体"/>
        <charset val="134"/>
      </rPr>
      <t>介质温度</t>
    </r>
    <r>
      <rPr>
        <sz val="12"/>
        <rFont val="Times New Roman"/>
        <charset val="134"/>
      </rPr>
      <t>(</t>
    </r>
    <r>
      <rPr>
        <sz val="12"/>
        <rFont val="宋体"/>
        <charset val="134"/>
      </rPr>
      <t>℃</t>
    </r>
    <r>
      <rPr>
        <sz val="12"/>
        <rFont val="Times New Roman"/>
        <charset val="134"/>
      </rPr>
      <t>)</t>
    </r>
  </si>
  <si>
    <r>
      <rPr>
        <sz val="12"/>
        <rFont val="宋体"/>
        <charset val="134"/>
      </rPr>
      <t>进口大气压</t>
    </r>
    <r>
      <rPr>
        <sz val="12"/>
        <rFont val="Times New Roman"/>
        <charset val="134"/>
      </rPr>
      <t>(pa)</t>
    </r>
  </si>
  <si>
    <t>空气密度</t>
  </si>
  <si>
    <t>压力系数</t>
  </si>
  <si>
    <t>流量系数</t>
  </si>
  <si>
    <r>
      <rPr>
        <sz val="12"/>
        <rFont val="宋体"/>
        <charset val="134"/>
      </rPr>
      <t>效率</t>
    </r>
    <r>
      <rPr>
        <sz val="12"/>
        <rFont val="Times New Roman"/>
        <charset val="134"/>
      </rPr>
      <t xml:space="preserve">   (%)</t>
    </r>
  </si>
  <si>
    <r>
      <rPr>
        <sz val="12"/>
        <color indexed="49"/>
        <rFont val="宋体"/>
        <charset val="134"/>
      </rPr>
      <t>压力</t>
    </r>
    <r>
      <rPr>
        <sz val="12"/>
        <color indexed="49"/>
        <rFont val="Times New Roman"/>
        <charset val="134"/>
      </rPr>
      <t xml:space="preserve">  (pa)</t>
    </r>
  </si>
  <si>
    <r>
      <rPr>
        <sz val="12"/>
        <color indexed="49"/>
        <rFont val="宋体"/>
        <charset val="134"/>
      </rPr>
      <t>流量</t>
    </r>
    <r>
      <rPr>
        <sz val="12"/>
        <color indexed="49"/>
        <rFont val="Times New Roman"/>
        <charset val="134"/>
      </rPr>
      <t xml:space="preserve">  (m3/h)</t>
    </r>
  </si>
  <si>
    <r>
      <rPr>
        <sz val="12"/>
        <color indexed="49"/>
        <rFont val="宋体"/>
        <charset val="134"/>
      </rPr>
      <t>内功率</t>
    </r>
    <r>
      <rPr>
        <sz val="12"/>
        <color indexed="49"/>
        <rFont val="Times New Roman"/>
        <charset val="134"/>
      </rPr>
      <t xml:space="preserve">  (kw)</t>
    </r>
  </si>
  <si>
    <t>风机相关标准(淘宝店铺:枫启教育)</t>
  </si>
  <si>
    <t>淘宝店铺链接</t>
  </si>
  <si>
    <t>标准编号</t>
  </si>
  <si>
    <t>标准名称</t>
  </si>
  <si>
    <t>适用范围</t>
  </si>
  <si>
    <t>API Std 673-2002</t>
  </si>
  <si>
    <r>
      <rPr>
        <sz val="12"/>
        <color indexed="8"/>
        <rFont val="宋体"/>
        <charset val="134"/>
      </rPr>
      <t>石油、化工和气体工业用离心风机</t>
    </r>
  </si>
  <si>
    <t>规定了石油、化工和气体工业连续运行离心风机的最低要求。
适用于单级叶轮压升不超过25.4kPa的离心风机，不适用于冷却塔风机、空气冷却风机、换气扇以及容积式鼓风机。</t>
  </si>
  <si>
    <t>DL/T 468-2004</t>
  </si>
  <si>
    <t>电站锅炉风机选型和使用导则</t>
  </si>
  <si>
    <t>规定了电站锅炉通风机的设计、制造、选型、安装、运行、验收及风机进出口管道布置设计的基本要求。
适用于电站锅炉的送风机、引风机、一次风机、排粉风机（煤粉风机）、烟气再循环风机、烟气脱硫装置的增压风机和磨煤机用的密封风机，其他供锅炉用的小型风机，如点火风机、冷却风机等可参考使用。</t>
  </si>
  <si>
    <t>DL/T 469-2004</t>
  </si>
  <si>
    <t>电站锅炉风机现场性能试验</t>
  </si>
  <si>
    <t>给出了安装在工作管道中的电站锅炉通风机的一个或多个工况点性能特性的测定规则和方法。
适用于电站锅炉的送风机、引风机、一次风机、排粉风机（煤粉风机）、烟气再循环风机、烟气脱硫装置的增压风机和磨煤机用的密封风机，其他供锅炉用的小型风机，如点火风机、冷却风机等可参考使用。不包括噪声试验、振动试验和机械运转试验。</t>
  </si>
  <si>
    <r>
      <rPr>
        <sz val="9"/>
        <color theme="1"/>
        <rFont val="Verdana"/>
        <charset val="134"/>
      </rPr>
      <t xml:space="preserve">GB/T 10178-2006
</t>
    </r>
    <r>
      <rPr>
        <sz val="9"/>
        <color indexed="8"/>
        <rFont val="宋体"/>
        <charset val="134"/>
      </rPr>
      <t>（等同采用</t>
    </r>
    <r>
      <rPr>
        <sz val="9"/>
        <color indexed="8"/>
        <rFont val="Verdana"/>
        <charset val="134"/>
      </rPr>
      <t>ISO5802:2001</t>
    </r>
    <r>
      <rPr>
        <sz val="9"/>
        <color indexed="8"/>
        <rFont val="宋体"/>
        <charset val="134"/>
      </rPr>
      <t>）</t>
    </r>
  </si>
  <si>
    <t>工业通风机现场性能试验</t>
  </si>
  <si>
    <t>适用于安装在工作管路上的通风机的一个或多个工况点性能特性测定，所测气体必须是单一的。</t>
  </si>
  <si>
    <r>
      <rPr>
        <sz val="9"/>
        <color theme="1"/>
        <rFont val="Verdana"/>
        <charset val="134"/>
      </rPr>
      <t xml:space="preserve">GB/T 1236-2000
</t>
    </r>
    <r>
      <rPr>
        <sz val="9"/>
        <color indexed="8"/>
        <rFont val="宋体"/>
        <charset val="134"/>
      </rPr>
      <t>（等同采用</t>
    </r>
    <r>
      <rPr>
        <sz val="9"/>
        <color indexed="8"/>
        <rFont val="Verdana"/>
        <charset val="134"/>
      </rPr>
      <t>ISO5801:1997</t>
    </r>
    <r>
      <rPr>
        <sz val="9"/>
        <color indexed="8"/>
        <rFont val="宋体"/>
        <charset val="134"/>
      </rPr>
      <t>）</t>
    </r>
  </si>
  <si>
    <t>工业通风机用标准化风道进行性能试验</t>
  </si>
  <si>
    <t>提出了对测量误差的估算和给出了模型试验情况下，在规定的试验范围内，转速、输送气体和规格变化试验结果的换算规则。
适用于除转为空气循环设计的风扇（例如屋顶吊扇和台扇）之外的各种型式的工业通风机性能的测定。</t>
  </si>
  <si>
    <t>GB/T 2888-2008</t>
  </si>
  <si>
    <t>风机和罗茨鼓风机噪声测量方法</t>
  </si>
  <si>
    <t>规定了A声级和声压级的噪声测量方法，同时也规定了声功率级的噪声测量方法。
适用于一般型式的通风机、透平压缩机、透平鼓风机和罗茨风机的噪声测试。</t>
  </si>
  <si>
    <t>GB/T 3235-2008</t>
  </si>
  <si>
    <t>通风机基本形式、尺寸、参数及性能曲线</t>
  </si>
  <si>
    <t>规定了通风机的基本型式、尺寸参数和性能曲线。
适用于除射流式通风机、横流式通风机及家用或类似用途的风机设备以外的工业用离心式和轴流式通风机。</t>
  </si>
  <si>
    <t>JB 8523-1997</t>
  </si>
  <si>
    <t>防爆通风机技术条件</t>
  </si>
  <si>
    <r>
      <rPr>
        <sz val="12"/>
        <color indexed="8"/>
        <rFont val="宋体"/>
        <charset val="134"/>
      </rPr>
      <t>规定了一般用途防爆通风机的技术要求、试验方法、检验规则、保证期、标志、包装及运输。
适用于爆炸环境中输送在最低闪点浓度以下的气体与空气形成的易燃、易爆的气体混合物的通风换气用风机，其最高温度不超过</t>
    </r>
    <r>
      <rPr>
        <sz val="12"/>
        <color indexed="8"/>
        <rFont val="Verdana"/>
        <charset val="134"/>
      </rPr>
      <t>80</t>
    </r>
    <r>
      <rPr>
        <sz val="12"/>
        <color indexed="8"/>
        <rFont val="宋体"/>
        <charset val="134"/>
      </rPr>
      <t>℃，含尘量和其他固体杂质含量不大于</t>
    </r>
    <r>
      <rPr>
        <sz val="12"/>
        <color indexed="8"/>
        <rFont val="Verdana"/>
        <charset val="134"/>
      </rPr>
      <t>100mg/m3</t>
    </r>
    <r>
      <rPr>
        <sz val="12"/>
        <color indexed="8"/>
        <rFont val="宋体"/>
        <charset val="134"/>
      </rPr>
      <t>，直径不大于</t>
    </r>
    <r>
      <rPr>
        <sz val="12"/>
        <color indexed="8"/>
        <rFont val="Verdana"/>
        <charset val="134"/>
      </rPr>
      <t>1mm</t>
    </r>
    <r>
      <rPr>
        <sz val="12"/>
        <color indexed="8"/>
        <rFont val="宋体"/>
        <charset val="134"/>
      </rPr>
      <t>。</t>
    </r>
  </si>
  <si>
    <t>JB/T 10213-2000</t>
  </si>
  <si>
    <t>通风机焊接质量检验技术条件</t>
  </si>
  <si>
    <t>规定了通风机的焊接质量的技术要求，检查方法及检验规则。
适用于手工电弧焊焊接低碳钢、低合金结构钢等材料制造的离心呵呵轴流式通风机的焊缝质量检验。</t>
  </si>
  <si>
    <t>JB/T 10214-2000</t>
  </si>
  <si>
    <t>通风机铆焊件技术条件</t>
  </si>
  <si>
    <t>规定了铆焊件的材料、主要铆焊件的拼接、铆焊件的落料公差、制造公差及铆焊质量要求。
适用于离心式和轴流式通风机中的铆接件，其他风机的铆接件可参考使用。</t>
  </si>
  <si>
    <t>JB/T 10281-2001</t>
  </si>
  <si>
    <t>消防排烟通风机技术条件</t>
  </si>
  <si>
    <t>规定了消防排烟通风机的定义、技术要求、试验方法、检验规则、标志、包装和运输。
适用于安装在各类建筑中的机械排烟系统，发生火灾时，起排烟作用的轴流式和离心式通风机。</t>
  </si>
  <si>
    <t>JB/T 10563-2006</t>
  </si>
  <si>
    <t>一般用途离心通风机技术条件</t>
  </si>
  <si>
    <t>规定了一般用途离心通风机的技术要求、试验方法、检验方法、检验规则、保证期、标志和包装。
适用于通风机系统、空调和工业生产上用的离心通风机，其输送介质为空气或空气和其他不含腐蚀性、最高通风机压力不高于30kPa的气体混合物，介质进口温度不超过80℃、含尘量和其他固体杂质的含量不大于100mg/m3，介质无粘性和其他物料。</t>
  </si>
  <si>
    <t>JB/T 2977-2005</t>
  </si>
  <si>
    <t>工业通风机、透平鼓风机和压缩机名词术语</t>
  </si>
  <si>
    <t>规定了工业通风机、透平鼓风机和压缩机装置、结构型式、零部件、性能与设计、运行与试验等方面的专用术语。
适用于制定其他有关标准、编写产品技术文件、编写或翻译书籍文献、教材、样本和国内外的技术交流。</t>
  </si>
  <si>
    <t>JB/T 3165-1999</t>
  </si>
  <si>
    <t>离心和轴流式鼓风机压缩机热力性能试验</t>
  </si>
  <si>
    <t>规定了离心和轴流鼓风机和压缩机热力性能试验的试验方法。
适用于制造厂对压比大于1.15，气体物性参数为已知的离心和轴流鼓风机、压缩机和排气机的热力性能试验</t>
  </si>
  <si>
    <t>JB/T 4357-2008</t>
  </si>
  <si>
    <t>工业蒸气锅炉用离心引风机</t>
  </si>
  <si>
    <t>规定了工业锅炉用离心引风机的基本要求，试验与验收，成套供应与保证，标志、包装与运输。
适用于工业锅炉用离心引风机，引风机进口应配置有除尘器。引风机的进口烟气温度应大于80℃，小于250℃，烟气含尘量不得大于400mg/Nm3的无腐蚀性气体。</t>
  </si>
  <si>
    <t>JB/T 4358-2008</t>
  </si>
  <si>
    <t>电站锅炉离心式通风机</t>
  </si>
  <si>
    <t>规定了电站轴流式通风机的技术要求，试验方法，检验方法，标志、包装与运输。
适用于火电厂电站蒸汽锅炉的离心式通风机（包括送风机、一次风机和引风机）</t>
  </si>
  <si>
    <t>JB/T 4362-2011</t>
  </si>
  <si>
    <t>电站轴流式通风机</t>
  </si>
  <si>
    <t>规定了电站锅炉用离心式通风机的技术要求，试验方法，检验规则，标志、包装与运输，贮存及保养等。
适用于火电站锅炉轴流式送风机、引风机及一次空气风机，也包括火电站轴流脱硫、脱硝风机。送风机及一次空气风机的工作介质温度，在正常情况下不得高于70℃；引风机的工作介质温度不得高于250℃。</t>
  </si>
  <si>
    <t>JB/T 4364-1999</t>
  </si>
  <si>
    <t>风机配套消声器性能试验方法</t>
  </si>
  <si>
    <t>规定了制造厂在试验台上对风机配套消声器在空气中进行声学和空气动力学性能的出厂试验方法和要求。
适用于以阻性为主的消声器，不适用于控制射流噪声的排气放空消声器性能试验。</t>
  </si>
  <si>
    <r>
      <rPr>
        <sz val="9"/>
        <color theme="1"/>
        <rFont val="Verdana"/>
        <charset val="134"/>
      </rPr>
      <t xml:space="preserve">JB/T 4365-1997
</t>
    </r>
    <r>
      <rPr>
        <sz val="9"/>
        <color indexed="8"/>
        <rFont val="宋体"/>
        <charset val="134"/>
      </rPr>
      <t>（等效采用</t>
    </r>
    <r>
      <rPr>
        <sz val="9"/>
        <color indexed="8"/>
        <rFont val="Verdana"/>
        <charset val="134"/>
      </rPr>
      <t>API614-1992</t>
    </r>
    <r>
      <rPr>
        <sz val="9"/>
        <color indexed="8"/>
        <rFont val="宋体"/>
        <charset val="134"/>
      </rPr>
      <t>）</t>
    </r>
  </si>
  <si>
    <t>专用的润滑、轴密封和控制油系统</t>
  </si>
  <si>
    <t>规定了专用的润滑油系统、轴密封系统及控制油系统的最低要求。
适用于压缩机、齿轮传动设备、泵及驱动机等设备，不适用于内燃机。</t>
  </si>
  <si>
    <t>JB/T 53063-1999</t>
  </si>
  <si>
    <t>一般用途离心通风机产品质量分等</t>
  </si>
  <si>
    <t>内部使用</t>
  </si>
  <si>
    <t>JB/T 53064-1999</t>
  </si>
  <si>
    <t>离心压缩机产品质量分等</t>
  </si>
  <si>
    <t>JB/T 53266-1997</t>
  </si>
  <si>
    <t>整体齿轮增速组装型离心压缩机产品质量分等</t>
  </si>
  <si>
    <t>内部使用(淘宝店铺:枫启教育)</t>
  </si>
  <si>
    <t>JB/T 53269-1999</t>
  </si>
  <si>
    <t>冷却塔轴流通风机质量分等</t>
  </si>
  <si>
    <t>JB/T 53270-1999</t>
  </si>
  <si>
    <t>电站轴流式风机质量分等</t>
  </si>
  <si>
    <t>JB/T 53274-1999</t>
  </si>
  <si>
    <t>一般用途的离心式鼓风机质量分等</t>
  </si>
  <si>
    <t>JB/T 53275-1999</t>
  </si>
  <si>
    <t>工业锅炉用离心引风机质量分等</t>
  </si>
  <si>
    <t>JB/T 53276-1999</t>
  </si>
  <si>
    <t>一般用途轴流通风机质量分等</t>
  </si>
  <si>
    <t>JB/T 53278-1999</t>
  </si>
  <si>
    <t>一般用途轴流压缩机质量分等</t>
  </si>
  <si>
    <t>JB/T 53282-1999</t>
  </si>
  <si>
    <t>一般用途罗茨鼓风机产品质量分等</t>
  </si>
  <si>
    <t>JB/T 53283-1999</t>
  </si>
  <si>
    <t>高温离心通风机产品质量分等</t>
  </si>
  <si>
    <t>JB/T 53285-1999</t>
  </si>
  <si>
    <t>电站锅炉离心送风机和引风机产品质量分等</t>
  </si>
  <si>
    <t>JB/T 53289-1999</t>
  </si>
  <si>
    <t>防爆通风机产品质量分等</t>
  </si>
  <si>
    <t>JB/T 6444-2004</t>
  </si>
  <si>
    <t>风机包装通用技术条件</t>
  </si>
  <si>
    <t>规定了风机包装的技术要求，及钠盐规则，试验方法，标志语随机文件，运输与贮存。
适用于各类离心式和轴流式通风机、鼓风机、压缩机、罗茨风机产品和配件的包装。</t>
  </si>
  <si>
    <t>JB/T 6445-2005</t>
  </si>
  <si>
    <t>工业通风机叶轮超速实验</t>
  </si>
  <si>
    <t>规定了工业通风机叶轮超速试验条件、试验前的准备、试验步骤、试验结果的评定及试验验收报告。
适用于常温下使用的离心式、轴流式通风机叶轮的超速试验，亦可用于通风机转子的超速试验。</t>
  </si>
  <si>
    <t>JB/T 6885-1993</t>
  </si>
  <si>
    <t>通风机圆形法兰尺寸</t>
  </si>
  <si>
    <r>
      <rPr>
        <sz val="12"/>
        <color indexed="8"/>
        <rFont val="宋体"/>
        <charset val="134"/>
      </rPr>
      <t>规定了一般用途通风机圆形法兰的尺寸。
适用于输送无毒、不饱和、无腐蚀、不易燃、无磨损颗粒和温度不超过</t>
    </r>
    <r>
      <rPr>
        <sz val="12"/>
        <color indexed="8"/>
        <rFont val="Verdana"/>
        <charset val="134"/>
      </rPr>
      <t>80</t>
    </r>
    <r>
      <rPr>
        <sz val="12"/>
        <color indexed="8"/>
        <rFont val="宋体"/>
        <charset val="134"/>
      </rPr>
      <t>℃的空气通风机及其管网用法兰。</t>
    </r>
  </si>
  <si>
    <t>JB/T 6886-2010</t>
  </si>
  <si>
    <t>通风机涂装技术条件</t>
  </si>
  <si>
    <t>规定了通风机产品涂装的技术要求、安全卫生和涂膜检验。
适用于一般用途通风机的涂装，对特殊用途的通风机亦可参考使用。</t>
  </si>
  <si>
    <t>JB/T 6887-2004</t>
  </si>
  <si>
    <t>风机用铸铁件技术条件</t>
  </si>
  <si>
    <t>规定了风机用铸铁件的技术要求、试验方法和验收规则。
适用于透平式通风机、鼓风机、压缩机、膨胀机及罗茨、叶氏鼓风机所使用的灰铸铁、球墨铸铁和中懵抗磨球墨铸铁、高硅耐蚀铸铁、耐热铸铁等合金铸铁件。</t>
  </si>
  <si>
    <t>JB/T 6888-2004</t>
  </si>
  <si>
    <t>风机用铸钢件技术条件</t>
  </si>
  <si>
    <t>规定了风机用铸铁件的技术要求、试验方法和验收规则。
本标准适用于透平压缩机、鼓风机、通风机、膨胀机及罗茨鼓风机（包括辅机）产品用的碳素钢、不锈钢和低温钢铸件。</t>
  </si>
  <si>
    <t>JB/T 6891-2004</t>
  </si>
  <si>
    <t>风机用消声器技术条件</t>
  </si>
  <si>
    <t>规定了风机用消声器的技术要求、性能试验方法、检验规则以及标志、包装、储存与运输、质量保证等要求。
适用于一般用途的离心式和轴流式通风机、鼓风机、压缩机配套的各种进气、出气、放空消声器，本标准不适用于特殊结构和特殊用途的风机配套消声器产品。</t>
  </si>
  <si>
    <t>JB/T 7258-2006</t>
  </si>
  <si>
    <t>一般用途的离心式鼓风机</t>
  </si>
  <si>
    <r>
      <rPr>
        <sz val="12"/>
        <color indexed="8"/>
        <rFont val="宋体"/>
        <charset val="134"/>
      </rPr>
      <t>规定了一般用途离心式鼓风机的技术要求、结构、试验、外观、涂饰与防锈、成套供应与保证、标志、包装、运输与保管等最低要求。
适用于出口压力</t>
    </r>
    <r>
      <rPr>
        <sz val="12"/>
        <color indexed="8"/>
        <rFont val="Verdana"/>
        <charset val="134"/>
      </rPr>
      <t>0.03MPa~0.20MPa</t>
    </r>
    <r>
      <rPr>
        <sz val="12"/>
        <color indexed="8"/>
        <rFont val="宋体"/>
        <charset val="134"/>
      </rPr>
      <t>，或其压比为</t>
    </r>
    <r>
      <rPr>
        <sz val="12"/>
        <color indexed="8"/>
        <rFont val="Verdana"/>
        <charset val="134"/>
      </rPr>
      <t>1.3-3</t>
    </r>
    <r>
      <rPr>
        <sz val="12"/>
        <color indexed="8"/>
        <rFont val="宋体"/>
        <charset val="134"/>
      </rPr>
      <t>，含尘量不大于</t>
    </r>
    <r>
      <rPr>
        <sz val="12"/>
        <color indexed="8"/>
        <rFont val="Verdana"/>
        <charset val="134"/>
      </rPr>
      <t>10mg/m3</t>
    </r>
    <r>
      <rPr>
        <sz val="12"/>
        <color indexed="8"/>
        <rFont val="宋体"/>
        <charset val="134"/>
      </rPr>
      <t>，输送介质为空气及其他无毒无腐蚀性气体的离心式鼓风机。</t>
    </r>
  </si>
  <si>
    <t>JB/T 8689-1998</t>
  </si>
  <si>
    <t>通风机振动检测及其限值</t>
  </si>
  <si>
    <t>规定了通风机运行的振动极限，测量部位、测量仪器要求、被测产品的安装以及测量时的运行条件。
适用于离心式、轴流式和混流式通风机产品尺长检验、型式试验和使用现场振动指标的验收。</t>
  </si>
  <si>
    <t>JB/T 8690-1998</t>
  </si>
  <si>
    <t>工业通风机噪声限值</t>
  </si>
  <si>
    <t>适用于一般型式的离心和轴流通风机，不适用于屋顶、旋涡、特殊高压等型式和对噪声有特殊要求的通风机。</t>
  </si>
  <si>
    <t>JB/T 8822-1998</t>
  </si>
  <si>
    <t>高温离心通风机技术条件</t>
  </si>
  <si>
    <r>
      <rPr>
        <sz val="12"/>
        <color indexed="8"/>
        <rFont val="宋体"/>
        <charset val="134"/>
      </rPr>
      <t>规定了高温离心式通风机的技术要求、试验方法、检验规则、保证期、标志、包装及运输。
适用于输送介质温度为</t>
    </r>
    <r>
      <rPr>
        <sz val="12"/>
        <color indexed="8"/>
        <rFont val="Verdana"/>
        <charset val="134"/>
      </rPr>
      <t>250</t>
    </r>
    <r>
      <rPr>
        <sz val="12"/>
        <color indexed="8"/>
        <rFont val="宋体"/>
        <charset val="134"/>
      </rPr>
      <t>℃以上，含尘浓度不大于</t>
    </r>
    <r>
      <rPr>
        <sz val="12"/>
        <color indexed="8"/>
        <rFont val="Verdana"/>
        <charset val="134"/>
      </rPr>
      <t>100mg/Nm3</t>
    </r>
    <r>
      <rPr>
        <sz val="12"/>
        <color indexed="8"/>
        <rFont val="宋体"/>
        <charset val="134"/>
      </rPr>
      <t>，无腐蚀性介质的离心式通风机。</t>
    </r>
  </si>
  <si>
    <t>JB/T 8940-1999</t>
  </si>
  <si>
    <t>通风机产品型号编制方法</t>
  </si>
  <si>
    <t>规定了通风机产品型号的编制方法。
适用于离心式、轴流式通风机。</t>
  </si>
  <si>
    <r>
      <rPr>
        <sz val="9"/>
        <color theme="1"/>
        <rFont val="Verdana"/>
        <charset val="134"/>
      </rPr>
      <t xml:space="preserve">JB/T 8941.1-1999
</t>
    </r>
    <r>
      <rPr>
        <sz val="9"/>
        <color indexed="8"/>
        <rFont val="宋体"/>
        <charset val="134"/>
      </rPr>
      <t>（等同采用</t>
    </r>
    <r>
      <rPr>
        <sz val="9"/>
        <color indexed="8"/>
        <rFont val="Verdana"/>
        <charset val="134"/>
      </rPr>
      <t>ISO1217:1996</t>
    </r>
    <r>
      <rPr>
        <sz val="9"/>
        <color indexed="8"/>
        <rFont val="宋体"/>
        <charset val="134"/>
      </rPr>
      <t>）</t>
    </r>
  </si>
  <si>
    <t>一般用途罗茨鼓风机第1部分技术条件</t>
  </si>
  <si>
    <r>
      <rPr>
        <sz val="12"/>
        <color indexed="8"/>
        <rFont val="宋体"/>
        <charset val="134"/>
      </rPr>
      <t>规定了一般用途罗茨鼓风机（包括单级、双级、成组的正压和负压鼓风机）的要求、试验方法、检验规则、标志、包装、运输、储存、成套供应与保证期。
适用于输送空气和中性无毒气体的一般用途罗茨鼓风机，进气温度不高于</t>
    </r>
    <r>
      <rPr>
        <sz val="12"/>
        <color indexed="8"/>
        <rFont val="Verdana"/>
        <charset val="134"/>
      </rPr>
      <t>40</t>
    </r>
    <r>
      <rPr>
        <sz val="12"/>
        <color indexed="8"/>
        <rFont val="宋体"/>
        <charset val="134"/>
      </rPr>
      <t>℃，气体中固体微粒含量不大于</t>
    </r>
    <r>
      <rPr>
        <sz val="12"/>
        <color indexed="8"/>
        <rFont val="Verdana"/>
        <charset val="134"/>
      </rPr>
      <t>100mg/m3</t>
    </r>
    <r>
      <rPr>
        <sz val="12"/>
        <color indexed="8"/>
        <rFont val="宋体"/>
        <charset val="134"/>
      </rPr>
      <t>，微粒最大尺寸不大于鼓风机气缸内各相对运动部件的最小工作间隙的一半。</t>
    </r>
  </si>
  <si>
    <r>
      <rPr>
        <sz val="9"/>
        <color theme="1"/>
        <rFont val="Verdana"/>
        <charset val="134"/>
      </rPr>
      <t xml:space="preserve">JB/T 8941.2-1999
</t>
    </r>
    <r>
      <rPr>
        <sz val="9"/>
        <color indexed="8"/>
        <rFont val="宋体"/>
        <charset val="134"/>
      </rPr>
      <t>（等同采用</t>
    </r>
    <r>
      <rPr>
        <sz val="9"/>
        <color indexed="8"/>
        <rFont val="Verdana"/>
        <charset val="134"/>
      </rPr>
      <t>ISO1217:1996</t>
    </r>
  </si>
  <si>
    <t>一般用途罗茨鼓风机第2部分性能试验方法</t>
  </si>
  <si>
    <t>规定了一般用途罗茨鼓风机的性能试验方法。
适用于一般用途罗茨鼓风机的性能试验，输送特殊气体的鼓风机，制造厂和买方可协商参考本标准进行性能试验。</t>
  </si>
  <si>
    <t>JB/T 9099-1999</t>
  </si>
  <si>
    <t>冷却塔轴流通风机技术条件</t>
  </si>
  <si>
    <r>
      <rPr>
        <sz val="12"/>
        <color indexed="8"/>
        <rFont val="宋体"/>
        <charset val="134"/>
      </rPr>
      <t>规定了冷却塔轴流式通风机的技术要求，试验方法，检验规则及标志、包装与运输和质量保证等。
适用于环境温度为</t>
    </r>
    <r>
      <rPr>
        <sz val="12"/>
        <color indexed="8"/>
        <rFont val="Verdana"/>
        <charset val="134"/>
      </rPr>
      <t>50</t>
    </r>
    <r>
      <rPr>
        <sz val="12"/>
        <color indexed="8"/>
        <rFont val="宋体"/>
        <charset val="134"/>
      </rPr>
      <t>℃以下、空气的相对湿度为</t>
    </r>
    <r>
      <rPr>
        <sz val="12"/>
        <color indexed="8"/>
        <rFont val="Verdana"/>
        <charset val="134"/>
      </rPr>
      <t>100%</t>
    </r>
    <r>
      <rPr>
        <sz val="12"/>
        <color indexed="8"/>
        <rFont val="宋体"/>
        <charset val="134"/>
      </rPr>
      <t>、用作循环水系统的冷却塔强制通风的通风机</t>
    </r>
  </si>
  <si>
    <r>
      <rPr>
        <sz val="9"/>
        <color theme="1"/>
        <rFont val="Verdana"/>
        <charset val="134"/>
      </rPr>
      <t xml:space="preserve">JB/T 9101-1999
</t>
    </r>
    <r>
      <rPr>
        <sz val="9"/>
        <color indexed="8"/>
        <rFont val="宋体"/>
        <charset val="134"/>
      </rPr>
      <t>（参考</t>
    </r>
    <r>
      <rPr>
        <sz val="9"/>
        <color indexed="8"/>
        <rFont val="Verdana"/>
        <charset val="134"/>
      </rPr>
      <t>ISO1940-1</t>
    </r>
    <r>
      <rPr>
        <sz val="9"/>
        <color indexed="8"/>
        <rFont val="宋体"/>
        <charset val="134"/>
      </rPr>
      <t>：</t>
    </r>
    <r>
      <rPr>
        <sz val="9"/>
        <color indexed="8"/>
        <rFont val="Verdana"/>
        <charset val="134"/>
      </rPr>
      <t>1986</t>
    </r>
    <r>
      <rPr>
        <sz val="9"/>
        <color indexed="8"/>
        <rFont val="宋体"/>
        <charset val="134"/>
      </rPr>
      <t>）</t>
    </r>
  </si>
  <si>
    <t>通风机转子平衡</t>
  </si>
  <si>
    <t>规定了通风机转子的平衡方法、平衡品质等级、平衡设备精度要求、校正方法及复检的规定。
适用于离心通风机、轴流通风机转子和叶轮的平衡。</t>
  </si>
  <si>
    <t>SH/T 3170-2011</t>
  </si>
  <si>
    <r>
      <rPr>
        <sz val="12"/>
        <color indexed="8"/>
        <rFont val="宋体"/>
        <charset val="134"/>
      </rPr>
      <t>石油化工离心风机工程技术规范</t>
    </r>
  </si>
  <si>
    <t>规定了石油化工离心风机及其系统再设计、制造、检验和试验等方面的最低要求。
适用于石油化工单级或多级离心风机及其系统设计及设备采购，单级压升不超过25kPa，出口压力不超过0.2MPa(G)，不适用于冷却塔、空冷器、换气用风机。</t>
  </si>
  <si>
    <t>项目名称</t>
  </si>
  <si>
    <t>单位</t>
  </si>
  <si>
    <t>符号</t>
  </si>
  <si>
    <t>公式</t>
  </si>
  <si>
    <t>工况点</t>
  </si>
  <si>
    <t>备注</t>
  </si>
  <si>
    <r>
      <rPr>
        <sz val="11"/>
        <rFont val="宋体"/>
        <charset val="134"/>
      </rPr>
      <t>夏季高压</t>
    </r>
    <r>
      <rPr>
        <sz val="11"/>
        <rFont val="Arial"/>
        <charset val="134"/>
      </rPr>
      <t xml:space="preserve">                A</t>
    </r>
  </si>
  <si>
    <r>
      <rPr>
        <sz val="11"/>
        <rFont val="宋体"/>
        <charset val="134"/>
      </rPr>
      <t>夏季常压</t>
    </r>
    <r>
      <rPr>
        <sz val="11"/>
        <rFont val="Arial"/>
        <charset val="134"/>
      </rPr>
      <t xml:space="preserve">                B</t>
    </r>
  </si>
  <si>
    <r>
      <rPr>
        <sz val="11"/>
        <rFont val="宋体"/>
        <charset val="134"/>
      </rPr>
      <t>冬季常压</t>
    </r>
    <r>
      <rPr>
        <sz val="11"/>
        <rFont val="Arial"/>
        <charset val="134"/>
      </rPr>
      <t xml:space="preserve">                C</t>
    </r>
  </si>
  <si>
    <r>
      <rPr>
        <sz val="11"/>
        <rFont val="宋体"/>
        <charset val="134"/>
      </rPr>
      <t>冬季高压</t>
    </r>
    <r>
      <rPr>
        <sz val="11"/>
        <rFont val="Arial"/>
        <charset val="134"/>
      </rPr>
      <t xml:space="preserve">                D</t>
    </r>
  </si>
  <si>
    <r>
      <rPr>
        <sz val="11"/>
        <rFont val="宋体"/>
        <charset val="134"/>
      </rPr>
      <t>平均高压</t>
    </r>
    <r>
      <rPr>
        <sz val="11"/>
        <rFont val="Arial"/>
        <charset val="134"/>
      </rPr>
      <t xml:space="preserve">                E</t>
    </r>
  </si>
  <si>
    <r>
      <rPr>
        <sz val="11"/>
        <rFont val="宋体"/>
        <charset val="134"/>
      </rPr>
      <t>炉容积</t>
    </r>
    <r>
      <rPr>
        <sz val="11"/>
        <rFont val="Arial"/>
        <charset val="134"/>
      </rPr>
      <t xml:space="preserve">      </t>
    </r>
  </si>
  <si>
    <r>
      <rPr>
        <sz val="11"/>
        <rFont val="Arial"/>
        <charset val="134"/>
      </rPr>
      <t>m</t>
    </r>
    <r>
      <rPr>
        <vertAlign val="superscript"/>
        <sz val="11"/>
        <rFont val="Arial"/>
        <charset val="134"/>
      </rPr>
      <t>3</t>
    </r>
  </si>
  <si>
    <t>已知</t>
  </si>
  <si>
    <t>炉有效容积</t>
  </si>
  <si>
    <r>
      <rPr>
        <sz val="11"/>
        <rFont val="Arial"/>
        <charset val="134"/>
      </rPr>
      <t>V</t>
    </r>
    <r>
      <rPr>
        <vertAlign val="subscript"/>
        <sz val="11"/>
        <rFont val="Arial"/>
        <charset val="134"/>
      </rPr>
      <t>u</t>
    </r>
  </si>
  <si>
    <t>当地大气压</t>
  </si>
  <si>
    <t>MPa</t>
  </si>
  <si>
    <r>
      <rPr>
        <sz val="11"/>
        <rFont val="Arial"/>
        <charset val="134"/>
      </rPr>
      <t>P</t>
    </r>
    <r>
      <rPr>
        <vertAlign val="subscript"/>
        <sz val="11"/>
        <rFont val="Arial"/>
        <charset val="134"/>
      </rPr>
      <t>0</t>
    </r>
  </si>
  <si>
    <t>当地空气温度</t>
  </si>
  <si>
    <t>℃</t>
  </si>
  <si>
    <t>相对湿度</t>
  </si>
  <si>
    <t>d</t>
  </si>
  <si>
    <r>
      <rPr>
        <sz val="11"/>
        <rFont val="宋体"/>
        <charset val="134"/>
      </rPr>
      <t>热风炉充风量</t>
    </r>
    <r>
      <rPr>
        <sz val="11"/>
        <rFont val="Arial"/>
        <charset val="134"/>
      </rPr>
      <t xml:space="preserve"> </t>
    </r>
  </si>
  <si>
    <r>
      <rPr>
        <sz val="11"/>
        <rFont val="Arial"/>
        <charset val="134"/>
      </rPr>
      <t>m</t>
    </r>
    <r>
      <rPr>
        <vertAlign val="superscript"/>
        <sz val="11"/>
        <rFont val="Arial"/>
        <charset val="134"/>
      </rPr>
      <t>3</t>
    </r>
    <r>
      <rPr>
        <sz val="11"/>
        <rFont val="Arial"/>
        <charset val="134"/>
      </rPr>
      <t>/min(</t>
    </r>
    <r>
      <rPr>
        <sz val="11"/>
        <rFont val="宋体"/>
        <charset val="134"/>
      </rPr>
      <t>标</t>
    </r>
    <r>
      <rPr>
        <sz val="11"/>
        <rFont val="Arial"/>
        <charset val="134"/>
      </rPr>
      <t>)</t>
    </r>
  </si>
  <si>
    <r>
      <rPr>
        <sz val="11"/>
        <rFont val="Arial"/>
        <charset val="134"/>
      </rPr>
      <t>Q</t>
    </r>
    <r>
      <rPr>
        <vertAlign val="subscript"/>
        <sz val="11"/>
        <rFont val="Arial"/>
        <charset val="134"/>
      </rPr>
      <t>f</t>
    </r>
  </si>
  <si>
    <t>炼铁提供</t>
  </si>
  <si>
    <r>
      <rPr>
        <sz val="11"/>
        <rFont val="宋体"/>
        <charset val="134"/>
      </rPr>
      <t>冶炼强度</t>
    </r>
  </si>
  <si>
    <r>
      <rPr>
        <sz val="11"/>
        <rFont val="Arial"/>
        <charset val="134"/>
      </rPr>
      <t xml:space="preserve"> t</t>
    </r>
    <r>
      <rPr>
        <sz val="11"/>
        <rFont val="宋体"/>
        <charset val="134"/>
      </rPr>
      <t>焦</t>
    </r>
    <r>
      <rPr>
        <sz val="11"/>
        <rFont val="Arial"/>
        <charset val="134"/>
      </rPr>
      <t>/m</t>
    </r>
    <r>
      <rPr>
        <vertAlign val="superscript"/>
        <sz val="11"/>
        <rFont val="Arial"/>
        <charset val="134"/>
      </rPr>
      <t>3</t>
    </r>
    <r>
      <rPr>
        <sz val="11"/>
        <rFont val="Arial"/>
        <charset val="134"/>
      </rPr>
      <t>d</t>
    </r>
  </si>
  <si>
    <t>i</t>
  </si>
  <si>
    <r>
      <rPr>
        <sz val="11"/>
        <rFont val="宋体"/>
        <charset val="134"/>
      </rPr>
      <t>炉顶压力</t>
    </r>
    <r>
      <rPr>
        <sz val="11"/>
        <rFont val="Arial"/>
        <charset val="134"/>
      </rPr>
      <t>(</t>
    </r>
    <r>
      <rPr>
        <sz val="11"/>
        <rFont val="宋体"/>
        <charset val="134"/>
      </rPr>
      <t>表压</t>
    </r>
    <r>
      <rPr>
        <sz val="11"/>
        <rFont val="Arial"/>
        <charset val="134"/>
      </rPr>
      <t>)</t>
    </r>
  </si>
  <si>
    <t xml:space="preserve">MPa  </t>
  </si>
  <si>
    <r>
      <rPr>
        <sz val="11"/>
        <rFont val="Arial"/>
        <charset val="134"/>
      </rPr>
      <t>P</t>
    </r>
    <r>
      <rPr>
        <vertAlign val="subscript"/>
        <sz val="11"/>
        <rFont val="Arial"/>
        <charset val="134"/>
      </rPr>
      <t>d</t>
    </r>
  </si>
  <si>
    <r>
      <rPr>
        <sz val="11"/>
        <rFont val="宋体"/>
        <charset val="134"/>
      </rPr>
      <t>料柱损失</t>
    </r>
    <r>
      <rPr>
        <sz val="11"/>
        <rFont val="Arial"/>
        <charset val="134"/>
      </rPr>
      <t>(</t>
    </r>
    <r>
      <rPr>
        <sz val="11"/>
        <rFont val="宋体"/>
        <charset val="134"/>
      </rPr>
      <t>表压</t>
    </r>
    <r>
      <rPr>
        <sz val="11"/>
        <rFont val="Arial"/>
        <charset val="134"/>
      </rPr>
      <t>)</t>
    </r>
  </si>
  <si>
    <r>
      <rPr>
        <sz val="11"/>
        <rFont val="宋体"/>
        <charset val="134"/>
      </rPr>
      <t>△</t>
    </r>
    <r>
      <rPr>
        <sz val="11"/>
        <rFont val="Arial"/>
        <charset val="134"/>
      </rPr>
      <t>P</t>
    </r>
    <r>
      <rPr>
        <vertAlign val="subscript"/>
        <sz val="11"/>
        <rFont val="Arial"/>
        <charset val="134"/>
      </rPr>
      <t>1</t>
    </r>
  </si>
  <si>
    <r>
      <rPr>
        <sz val="11"/>
        <rFont val="宋体"/>
        <charset val="134"/>
      </rPr>
      <t>送风系统管网损失</t>
    </r>
    <r>
      <rPr>
        <sz val="11"/>
        <rFont val="Arial"/>
        <charset val="134"/>
      </rPr>
      <t>(</t>
    </r>
    <r>
      <rPr>
        <sz val="11"/>
        <rFont val="宋体"/>
        <charset val="134"/>
      </rPr>
      <t>表压</t>
    </r>
    <r>
      <rPr>
        <sz val="11"/>
        <rFont val="Arial"/>
        <charset val="134"/>
      </rPr>
      <t>)</t>
    </r>
  </si>
  <si>
    <r>
      <rPr>
        <sz val="11"/>
        <rFont val="宋体"/>
        <charset val="134"/>
      </rPr>
      <t>△</t>
    </r>
    <r>
      <rPr>
        <sz val="11"/>
        <rFont val="Arial"/>
        <charset val="134"/>
      </rPr>
      <t>P</t>
    </r>
    <r>
      <rPr>
        <vertAlign val="subscript"/>
        <sz val="11"/>
        <rFont val="Arial"/>
        <charset val="134"/>
      </rPr>
      <t>f</t>
    </r>
  </si>
  <si>
    <r>
      <rPr>
        <sz val="11"/>
        <rFont val="宋体"/>
        <charset val="134"/>
      </rPr>
      <t>高炉所需风压</t>
    </r>
    <r>
      <rPr>
        <sz val="11"/>
        <rFont val="Arial"/>
        <charset val="134"/>
      </rPr>
      <t xml:space="preserve"> (</t>
    </r>
    <r>
      <rPr>
        <sz val="11"/>
        <rFont val="宋体"/>
        <charset val="134"/>
      </rPr>
      <t>表压</t>
    </r>
    <r>
      <rPr>
        <sz val="11"/>
        <rFont val="Arial"/>
        <charset val="134"/>
      </rPr>
      <t>)</t>
    </r>
  </si>
  <si>
    <r>
      <rPr>
        <sz val="11"/>
        <rFont val="Arial"/>
        <charset val="134"/>
      </rPr>
      <t>P</t>
    </r>
    <r>
      <rPr>
        <vertAlign val="subscript"/>
        <sz val="11"/>
        <rFont val="Arial"/>
        <charset val="134"/>
      </rPr>
      <t>c</t>
    </r>
  </si>
  <si>
    <r>
      <rPr>
        <sz val="11"/>
        <rFont val="Arial"/>
        <charset val="134"/>
      </rPr>
      <t>P</t>
    </r>
    <r>
      <rPr>
        <vertAlign val="subscript"/>
        <sz val="11"/>
        <rFont val="Arial"/>
        <charset val="134"/>
      </rPr>
      <t>c</t>
    </r>
    <r>
      <rPr>
        <sz val="11"/>
        <rFont val="宋体"/>
        <charset val="134"/>
      </rPr>
      <t>＝</t>
    </r>
    <r>
      <rPr>
        <sz val="11"/>
        <rFont val="Arial"/>
        <charset val="134"/>
      </rPr>
      <t>P</t>
    </r>
    <r>
      <rPr>
        <vertAlign val="subscript"/>
        <sz val="11"/>
        <rFont val="Arial"/>
        <charset val="134"/>
      </rPr>
      <t>d</t>
    </r>
    <r>
      <rPr>
        <sz val="11"/>
        <rFont val="Arial"/>
        <charset val="134"/>
      </rPr>
      <t>+</t>
    </r>
    <r>
      <rPr>
        <sz val="11"/>
        <rFont val="宋体"/>
        <charset val="134"/>
      </rPr>
      <t>△</t>
    </r>
    <r>
      <rPr>
        <sz val="11"/>
        <rFont val="Arial"/>
        <charset val="134"/>
      </rPr>
      <t>P</t>
    </r>
    <r>
      <rPr>
        <vertAlign val="subscript"/>
        <sz val="11"/>
        <rFont val="Arial"/>
        <charset val="134"/>
      </rPr>
      <t>1</t>
    </r>
    <r>
      <rPr>
        <sz val="11"/>
        <rFont val="Arial"/>
        <charset val="134"/>
      </rPr>
      <t>+</t>
    </r>
    <r>
      <rPr>
        <sz val="11"/>
        <rFont val="宋体"/>
        <charset val="134"/>
      </rPr>
      <t>△</t>
    </r>
    <r>
      <rPr>
        <sz val="11"/>
        <rFont val="Arial"/>
        <charset val="134"/>
      </rPr>
      <t>P</t>
    </r>
    <r>
      <rPr>
        <vertAlign val="subscript"/>
        <sz val="11"/>
        <rFont val="Arial"/>
        <charset val="134"/>
      </rPr>
      <t>f</t>
    </r>
  </si>
  <si>
    <r>
      <rPr>
        <sz val="11"/>
        <rFont val="宋体"/>
        <charset val="134"/>
      </rPr>
      <t>吸风阻力损失</t>
    </r>
    <r>
      <rPr>
        <sz val="11"/>
        <rFont val="Arial"/>
        <charset val="134"/>
      </rPr>
      <t>(</t>
    </r>
    <r>
      <rPr>
        <sz val="11"/>
        <rFont val="宋体"/>
        <charset val="134"/>
      </rPr>
      <t>表压</t>
    </r>
    <r>
      <rPr>
        <sz val="11"/>
        <rFont val="Arial"/>
        <charset val="134"/>
      </rPr>
      <t xml:space="preserve">)           </t>
    </r>
  </si>
  <si>
    <r>
      <rPr>
        <sz val="11"/>
        <rFont val="宋体"/>
        <charset val="134"/>
      </rPr>
      <t>△</t>
    </r>
    <r>
      <rPr>
        <sz val="11"/>
        <rFont val="Arial"/>
        <charset val="134"/>
      </rPr>
      <t>P</t>
    </r>
    <r>
      <rPr>
        <vertAlign val="subscript"/>
        <sz val="11"/>
        <rFont val="Arial"/>
        <charset val="134"/>
      </rPr>
      <t>x</t>
    </r>
  </si>
  <si>
    <r>
      <rPr>
        <sz val="11"/>
        <rFont val="宋体"/>
        <charset val="134"/>
      </rPr>
      <t>风机入口压力</t>
    </r>
    <r>
      <rPr>
        <sz val="11"/>
        <rFont val="Arial"/>
        <charset val="134"/>
      </rPr>
      <t>(</t>
    </r>
    <r>
      <rPr>
        <sz val="11"/>
        <rFont val="宋体"/>
        <charset val="134"/>
      </rPr>
      <t>绝压</t>
    </r>
    <r>
      <rPr>
        <sz val="11"/>
        <rFont val="Arial"/>
        <charset val="134"/>
      </rPr>
      <t>)</t>
    </r>
  </si>
  <si>
    <r>
      <rPr>
        <sz val="11"/>
        <rFont val="Arial"/>
        <charset val="134"/>
      </rPr>
      <t>P</t>
    </r>
    <r>
      <rPr>
        <vertAlign val="subscript"/>
        <sz val="11"/>
        <rFont val="Arial"/>
        <charset val="134"/>
      </rPr>
      <t>fx</t>
    </r>
  </si>
  <si>
    <r>
      <rPr>
        <sz val="11"/>
        <rFont val="Arial"/>
        <charset val="134"/>
      </rPr>
      <t>P</t>
    </r>
    <r>
      <rPr>
        <vertAlign val="subscript"/>
        <sz val="11"/>
        <rFont val="Arial"/>
        <charset val="134"/>
      </rPr>
      <t>fx</t>
    </r>
    <r>
      <rPr>
        <sz val="11"/>
        <rFont val="宋体"/>
        <charset val="134"/>
      </rPr>
      <t>＝</t>
    </r>
    <r>
      <rPr>
        <sz val="11"/>
        <rFont val="Arial"/>
        <charset val="134"/>
      </rPr>
      <t>P</t>
    </r>
    <r>
      <rPr>
        <vertAlign val="subscript"/>
        <sz val="11"/>
        <rFont val="Arial"/>
        <charset val="134"/>
      </rPr>
      <t>0</t>
    </r>
    <r>
      <rPr>
        <sz val="11"/>
        <rFont val="Arial"/>
        <charset val="134"/>
      </rPr>
      <t>-</t>
    </r>
    <r>
      <rPr>
        <sz val="11"/>
        <rFont val="宋体"/>
        <charset val="134"/>
      </rPr>
      <t>△</t>
    </r>
    <r>
      <rPr>
        <sz val="11"/>
        <rFont val="Arial"/>
        <charset val="134"/>
      </rPr>
      <t>P</t>
    </r>
    <r>
      <rPr>
        <vertAlign val="subscript"/>
        <sz val="11"/>
        <rFont val="Arial"/>
        <charset val="134"/>
      </rPr>
      <t>x</t>
    </r>
  </si>
  <si>
    <r>
      <rPr>
        <sz val="11"/>
        <rFont val="宋体"/>
        <charset val="134"/>
      </rPr>
      <t>风机出口风压</t>
    </r>
    <r>
      <rPr>
        <sz val="11"/>
        <rFont val="Arial"/>
        <charset val="134"/>
      </rPr>
      <t>(</t>
    </r>
    <r>
      <rPr>
        <sz val="11"/>
        <rFont val="宋体"/>
        <charset val="134"/>
      </rPr>
      <t>绝压</t>
    </r>
    <r>
      <rPr>
        <sz val="11"/>
        <rFont val="Arial"/>
        <charset val="134"/>
      </rPr>
      <t>)</t>
    </r>
  </si>
  <si>
    <r>
      <rPr>
        <sz val="11"/>
        <rFont val="Arial"/>
        <charset val="134"/>
      </rPr>
      <t>P</t>
    </r>
    <r>
      <rPr>
        <vertAlign val="subscript"/>
        <sz val="11"/>
        <rFont val="Arial"/>
        <charset val="134"/>
      </rPr>
      <t>h</t>
    </r>
  </si>
  <si>
    <r>
      <rPr>
        <sz val="11"/>
        <rFont val="Arial"/>
        <charset val="134"/>
      </rPr>
      <t>P</t>
    </r>
    <r>
      <rPr>
        <vertAlign val="subscript"/>
        <sz val="11"/>
        <rFont val="Arial"/>
        <charset val="134"/>
      </rPr>
      <t>h</t>
    </r>
    <r>
      <rPr>
        <sz val="11"/>
        <rFont val="宋体"/>
        <charset val="134"/>
      </rPr>
      <t>＝</t>
    </r>
    <r>
      <rPr>
        <sz val="11"/>
        <rFont val="Arial"/>
        <charset val="134"/>
      </rPr>
      <t>P</t>
    </r>
    <r>
      <rPr>
        <vertAlign val="subscript"/>
        <sz val="11"/>
        <rFont val="Arial"/>
        <charset val="134"/>
      </rPr>
      <t>0</t>
    </r>
    <r>
      <rPr>
        <sz val="11"/>
        <rFont val="Arial"/>
        <charset val="134"/>
      </rPr>
      <t>+P</t>
    </r>
    <r>
      <rPr>
        <vertAlign val="subscript"/>
        <sz val="11"/>
        <rFont val="Arial"/>
        <charset val="134"/>
      </rPr>
      <t>c</t>
    </r>
  </si>
  <si>
    <r>
      <rPr>
        <sz val="11"/>
        <rFont val="宋体"/>
        <charset val="134"/>
      </rPr>
      <t>压比</t>
    </r>
    <r>
      <rPr>
        <sz val="11"/>
        <rFont val="Arial"/>
        <charset val="134"/>
      </rPr>
      <t>(</t>
    </r>
    <r>
      <rPr>
        <sz val="11"/>
        <rFont val="宋体"/>
        <charset val="134"/>
      </rPr>
      <t>绝对压力之比</t>
    </r>
    <r>
      <rPr>
        <sz val="11"/>
        <rFont val="Arial"/>
        <charset val="134"/>
      </rPr>
      <t>)</t>
    </r>
  </si>
  <si>
    <t>ε</t>
  </si>
  <si>
    <r>
      <rPr>
        <sz val="11"/>
        <rFont val="Arial"/>
        <charset val="134"/>
      </rPr>
      <t>ε=P</t>
    </r>
    <r>
      <rPr>
        <vertAlign val="subscript"/>
        <sz val="11"/>
        <rFont val="Arial"/>
        <charset val="134"/>
      </rPr>
      <t>h</t>
    </r>
    <r>
      <rPr>
        <sz val="11"/>
        <rFont val="Arial"/>
        <charset val="134"/>
      </rPr>
      <t>/P</t>
    </r>
    <r>
      <rPr>
        <vertAlign val="subscript"/>
        <sz val="11"/>
        <rFont val="Arial"/>
        <charset val="134"/>
      </rPr>
      <t>fx</t>
    </r>
  </si>
  <si>
    <r>
      <rPr>
        <sz val="11"/>
        <rFont val="宋体"/>
        <charset val="134"/>
      </rPr>
      <t>吨焦耗风量</t>
    </r>
  </si>
  <si>
    <r>
      <rPr>
        <sz val="11"/>
        <rFont val="Arial"/>
        <charset val="134"/>
      </rPr>
      <t>m</t>
    </r>
    <r>
      <rPr>
        <vertAlign val="superscript"/>
        <sz val="11"/>
        <rFont val="Arial"/>
        <charset val="134"/>
      </rPr>
      <t>3</t>
    </r>
    <r>
      <rPr>
        <sz val="11"/>
        <rFont val="Arial"/>
        <charset val="134"/>
      </rPr>
      <t>/t</t>
    </r>
    <r>
      <rPr>
        <sz val="11"/>
        <rFont val="宋体"/>
        <charset val="134"/>
      </rPr>
      <t>焦</t>
    </r>
    <r>
      <rPr>
        <sz val="11"/>
        <rFont val="Arial"/>
        <charset val="134"/>
      </rPr>
      <t>(</t>
    </r>
    <r>
      <rPr>
        <sz val="11"/>
        <rFont val="宋体"/>
        <charset val="134"/>
      </rPr>
      <t>标</t>
    </r>
    <r>
      <rPr>
        <sz val="11"/>
        <rFont val="Arial"/>
        <charset val="134"/>
      </rPr>
      <t>)</t>
    </r>
  </si>
  <si>
    <r>
      <rPr>
        <sz val="11"/>
        <rFont val="宋体"/>
        <charset val="134"/>
      </rPr>
      <t>富氧</t>
    </r>
    <r>
      <rPr>
        <sz val="11"/>
        <rFont val="Arial"/>
        <charset val="134"/>
      </rPr>
      <t>3</t>
    </r>
    <r>
      <rPr>
        <sz val="11"/>
        <rFont val="宋体"/>
        <charset val="134"/>
      </rPr>
      <t>％时：</t>
    </r>
    <r>
      <rPr>
        <sz val="11"/>
        <rFont val="Arial"/>
        <charset val="134"/>
      </rPr>
      <t>2200</t>
    </r>
    <r>
      <rPr>
        <sz val="11"/>
        <rFont val="宋体"/>
        <charset val="134"/>
      </rPr>
      <t>；不富氧：</t>
    </r>
    <r>
      <rPr>
        <sz val="11"/>
        <rFont val="Arial"/>
        <charset val="134"/>
      </rPr>
      <t>2600</t>
    </r>
  </si>
  <si>
    <t>高炉入炉风量</t>
  </si>
  <si>
    <r>
      <rPr>
        <sz val="11"/>
        <rFont val="Arial"/>
        <charset val="134"/>
      </rPr>
      <t>Q</t>
    </r>
    <r>
      <rPr>
        <vertAlign val="subscript"/>
        <sz val="11"/>
        <rFont val="Arial"/>
        <charset val="134"/>
      </rPr>
      <t>g</t>
    </r>
  </si>
  <si>
    <r>
      <rPr>
        <sz val="11"/>
        <rFont val="Arial"/>
        <charset val="134"/>
      </rPr>
      <t>Q</t>
    </r>
    <r>
      <rPr>
        <vertAlign val="subscript"/>
        <sz val="11"/>
        <rFont val="Arial"/>
        <charset val="134"/>
      </rPr>
      <t>g</t>
    </r>
    <r>
      <rPr>
        <sz val="11"/>
        <rFont val="Arial"/>
        <charset val="134"/>
      </rPr>
      <t>=V</t>
    </r>
    <r>
      <rPr>
        <vertAlign val="subscript"/>
        <sz val="11"/>
        <rFont val="Arial"/>
        <charset val="134"/>
      </rPr>
      <t>u</t>
    </r>
    <r>
      <rPr>
        <sz val="11"/>
        <rFont val="Arial"/>
        <charset val="134"/>
      </rPr>
      <t>×i×q/1440</t>
    </r>
  </si>
  <si>
    <t>漏风损失</t>
  </si>
  <si>
    <t>δ</t>
  </si>
  <si>
    <t>风机出口风量</t>
  </si>
  <si>
    <r>
      <rPr>
        <sz val="11"/>
        <rFont val="Arial"/>
        <charset val="134"/>
      </rPr>
      <t>Q</t>
    </r>
    <r>
      <rPr>
        <vertAlign val="subscript"/>
        <sz val="11"/>
        <rFont val="Arial"/>
        <charset val="134"/>
      </rPr>
      <t>2</t>
    </r>
  </si>
  <si>
    <r>
      <rPr>
        <sz val="11"/>
        <rFont val="Arial"/>
        <charset val="134"/>
      </rPr>
      <t>Q</t>
    </r>
    <r>
      <rPr>
        <vertAlign val="subscript"/>
        <sz val="11"/>
        <rFont val="Arial"/>
        <charset val="134"/>
      </rPr>
      <t>2</t>
    </r>
    <r>
      <rPr>
        <sz val="11"/>
        <rFont val="宋体"/>
        <charset val="134"/>
      </rPr>
      <t>＝</t>
    </r>
    <r>
      <rPr>
        <sz val="11"/>
        <rFont val="Arial"/>
        <charset val="134"/>
      </rPr>
      <t>Q</t>
    </r>
    <r>
      <rPr>
        <vertAlign val="subscript"/>
        <sz val="11"/>
        <rFont val="Arial"/>
        <charset val="134"/>
      </rPr>
      <t>g</t>
    </r>
    <r>
      <rPr>
        <sz val="11"/>
        <rFont val="Arial"/>
        <charset val="134"/>
      </rPr>
      <t>×</t>
    </r>
    <r>
      <rPr>
        <sz val="11"/>
        <rFont val="宋体"/>
        <charset val="134"/>
      </rPr>
      <t>（</t>
    </r>
    <r>
      <rPr>
        <sz val="11"/>
        <rFont val="Arial"/>
        <charset val="134"/>
      </rPr>
      <t>1+δ</t>
    </r>
    <r>
      <rPr>
        <sz val="11"/>
        <rFont val="宋体"/>
        <charset val="134"/>
      </rPr>
      <t>）</t>
    </r>
  </si>
  <si>
    <t>不充风时</t>
  </si>
  <si>
    <r>
      <rPr>
        <sz val="11"/>
        <rFont val="宋体"/>
        <charset val="134"/>
      </rPr>
      <t>风机出口风量</t>
    </r>
    <r>
      <rPr>
        <sz val="11"/>
        <rFont val="Arial"/>
        <charset val="134"/>
      </rPr>
      <t xml:space="preserve">       </t>
    </r>
  </si>
  <si>
    <r>
      <rPr>
        <sz val="11"/>
        <rFont val="Arial"/>
        <charset val="134"/>
      </rPr>
      <t>Q</t>
    </r>
    <r>
      <rPr>
        <vertAlign val="subscript"/>
        <sz val="11"/>
        <rFont val="Arial"/>
        <charset val="134"/>
      </rPr>
      <t>3</t>
    </r>
  </si>
  <si>
    <r>
      <rPr>
        <sz val="11"/>
        <rFont val="Arial"/>
        <charset val="134"/>
      </rPr>
      <t>Q</t>
    </r>
    <r>
      <rPr>
        <vertAlign val="subscript"/>
        <sz val="11"/>
        <rFont val="Arial"/>
        <charset val="134"/>
      </rPr>
      <t>3</t>
    </r>
    <r>
      <rPr>
        <sz val="11"/>
        <rFont val="宋体"/>
        <charset val="134"/>
      </rPr>
      <t>＝</t>
    </r>
    <r>
      <rPr>
        <sz val="11"/>
        <rFont val="Arial"/>
        <charset val="134"/>
      </rPr>
      <t>Q</t>
    </r>
    <r>
      <rPr>
        <vertAlign val="subscript"/>
        <sz val="11"/>
        <rFont val="Arial"/>
        <charset val="134"/>
      </rPr>
      <t>2</t>
    </r>
    <r>
      <rPr>
        <sz val="11"/>
        <rFont val="Arial"/>
        <charset val="134"/>
      </rPr>
      <t>+Q</t>
    </r>
    <r>
      <rPr>
        <vertAlign val="subscript"/>
        <sz val="11"/>
        <rFont val="Arial"/>
        <charset val="134"/>
      </rPr>
      <t>f</t>
    </r>
  </si>
  <si>
    <t>充风时</t>
  </si>
  <si>
    <t>风量修正系数计算</t>
  </si>
  <si>
    <t>大气温度</t>
  </si>
  <si>
    <r>
      <rPr>
        <sz val="11"/>
        <rFont val="Arial"/>
        <charset val="134"/>
      </rPr>
      <t>t</t>
    </r>
    <r>
      <rPr>
        <vertAlign val="subscript"/>
        <sz val="11"/>
        <rFont val="Arial"/>
        <charset val="134"/>
      </rPr>
      <t>a</t>
    </r>
  </si>
  <si>
    <t>标准大气绝对温度</t>
  </si>
  <si>
    <r>
      <rPr>
        <sz val="11"/>
        <rFont val="Arial"/>
        <charset val="134"/>
      </rPr>
      <t>T</t>
    </r>
    <r>
      <rPr>
        <vertAlign val="subscript"/>
        <sz val="11"/>
        <rFont val="Arial"/>
        <charset val="134"/>
      </rPr>
      <t>0</t>
    </r>
  </si>
  <si>
    <t>大气绝对温度</t>
  </si>
  <si>
    <r>
      <rPr>
        <sz val="11"/>
        <rFont val="Arial"/>
        <charset val="134"/>
      </rPr>
      <t>T</t>
    </r>
    <r>
      <rPr>
        <vertAlign val="subscript"/>
        <sz val="11"/>
        <rFont val="Arial"/>
        <charset val="134"/>
      </rPr>
      <t>a</t>
    </r>
  </si>
  <si>
    <r>
      <rPr>
        <sz val="11"/>
        <rFont val="Arial"/>
        <charset val="134"/>
      </rPr>
      <t>T</t>
    </r>
    <r>
      <rPr>
        <vertAlign val="subscript"/>
        <sz val="11"/>
        <rFont val="Arial"/>
        <charset val="134"/>
      </rPr>
      <t>a</t>
    </r>
    <r>
      <rPr>
        <sz val="11"/>
        <rFont val="宋体"/>
        <charset val="134"/>
      </rPr>
      <t>＝</t>
    </r>
    <r>
      <rPr>
        <sz val="11"/>
        <rFont val="Arial"/>
        <charset val="134"/>
      </rPr>
      <t>T</t>
    </r>
    <r>
      <rPr>
        <vertAlign val="subscript"/>
        <sz val="11"/>
        <rFont val="Arial"/>
        <charset val="134"/>
      </rPr>
      <t>0</t>
    </r>
    <r>
      <rPr>
        <sz val="11"/>
        <rFont val="Arial"/>
        <charset val="134"/>
      </rPr>
      <t>+t</t>
    </r>
    <r>
      <rPr>
        <vertAlign val="subscript"/>
        <sz val="11"/>
        <rFont val="Arial"/>
        <charset val="134"/>
      </rPr>
      <t>a</t>
    </r>
  </si>
  <si>
    <t>标准大气压力</t>
  </si>
  <si>
    <t>实际大气压力</t>
  </si>
  <si>
    <r>
      <rPr>
        <sz val="11"/>
        <rFont val="Arial"/>
        <charset val="134"/>
      </rPr>
      <t>P</t>
    </r>
    <r>
      <rPr>
        <vertAlign val="subscript"/>
        <sz val="11"/>
        <rFont val="Arial"/>
        <charset val="134"/>
      </rPr>
      <t>a</t>
    </r>
  </si>
  <si>
    <t>鼓风机进风系统的阻力</t>
  </si>
  <si>
    <r>
      <rPr>
        <sz val="11"/>
        <rFont val="Arial"/>
        <charset val="134"/>
      </rPr>
      <t>ΔP</t>
    </r>
    <r>
      <rPr>
        <vertAlign val="subscript"/>
        <sz val="11"/>
        <rFont val="Arial"/>
        <charset val="134"/>
      </rPr>
      <t>X</t>
    </r>
  </si>
  <si>
    <t>鼓风机吸口法兰处压力</t>
  </si>
  <si>
    <r>
      <rPr>
        <sz val="11"/>
        <rFont val="Arial"/>
        <charset val="134"/>
      </rPr>
      <t>P</t>
    </r>
    <r>
      <rPr>
        <vertAlign val="subscript"/>
        <sz val="11"/>
        <rFont val="Arial"/>
        <charset val="134"/>
      </rPr>
      <t>X</t>
    </r>
  </si>
  <si>
    <t>空气相对湿度</t>
  </si>
  <si>
    <t>水蒸汽的饱和压力</t>
  </si>
  <si>
    <r>
      <rPr>
        <sz val="11"/>
        <rFont val="Arial"/>
        <charset val="134"/>
      </rPr>
      <t>P</t>
    </r>
    <r>
      <rPr>
        <vertAlign val="subscript"/>
        <sz val="11"/>
        <rFont val="Arial"/>
        <charset val="134"/>
      </rPr>
      <t>bz</t>
    </r>
  </si>
  <si>
    <r>
      <rPr>
        <sz val="11"/>
        <rFont val="宋体"/>
        <charset val="134"/>
      </rPr>
      <t>查《空压站设计手册》表</t>
    </r>
    <r>
      <rPr>
        <sz val="11"/>
        <rFont val="Arial"/>
        <charset val="134"/>
      </rPr>
      <t>1-5</t>
    </r>
  </si>
  <si>
    <t>实际大气绝对湿度</t>
  </si>
  <si>
    <r>
      <rPr>
        <sz val="11"/>
        <rFont val="Arial"/>
        <charset val="134"/>
      </rPr>
      <t>P</t>
    </r>
    <r>
      <rPr>
        <vertAlign val="subscript"/>
        <sz val="11"/>
        <rFont val="Arial"/>
        <charset val="134"/>
      </rPr>
      <t>z</t>
    </r>
  </si>
  <si>
    <r>
      <rPr>
        <sz val="11"/>
        <rFont val="Arial"/>
        <charset val="134"/>
      </rPr>
      <t>P</t>
    </r>
    <r>
      <rPr>
        <vertAlign val="subscript"/>
        <sz val="11"/>
        <rFont val="Arial"/>
        <charset val="134"/>
      </rPr>
      <t>z</t>
    </r>
    <r>
      <rPr>
        <sz val="11"/>
        <rFont val="宋体"/>
        <charset val="134"/>
      </rPr>
      <t>＝</t>
    </r>
    <r>
      <rPr>
        <sz val="11"/>
        <rFont val="Arial"/>
        <charset val="134"/>
      </rPr>
      <t>P</t>
    </r>
    <r>
      <rPr>
        <vertAlign val="subscript"/>
        <sz val="11"/>
        <rFont val="Arial"/>
        <charset val="134"/>
      </rPr>
      <t>bz</t>
    </r>
    <r>
      <rPr>
        <sz val="11"/>
        <rFont val="Arial"/>
        <charset val="134"/>
      </rPr>
      <t>×φ/100</t>
    </r>
  </si>
  <si>
    <t>气压修正系数</t>
  </si>
  <si>
    <r>
      <rPr>
        <sz val="11"/>
        <rFont val="Arial"/>
        <charset val="134"/>
      </rPr>
      <t>K</t>
    </r>
    <r>
      <rPr>
        <vertAlign val="subscript"/>
        <sz val="11"/>
        <rFont val="Arial"/>
        <charset val="134"/>
      </rPr>
      <t>1</t>
    </r>
  </si>
  <si>
    <r>
      <rPr>
        <sz val="11"/>
        <rFont val="Arial"/>
        <charset val="134"/>
      </rPr>
      <t>K</t>
    </r>
    <r>
      <rPr>
        <vertAlign val="subscript"/>
        <sz val="11"/>
        <rFont val="Arial"/>
        <charset val="134"/>
      </rPr>
      <t>1</t>
    </r>
    <r>
      <rPr>
        <sz val="11"/>
        <rFont val="Arial"/>
        <charset val="134"/>
      </rPr>
      <t>=P</t>
    </r>
    <r>
      <rPr>
        <vertAlign val="subscript"/>
        <sz val="11"/>
        <rFont val="Arial"/>
        <charset val="134"/>
      </rPr>
      <t>X</t>
    </r>
    <r>
      <rPr>
        <sz val="11"/>
        <rFont val="Arial"/>
        <charset val="134"/>
      </rPr>
      <t>/P</t>
    </r>
    <r>
      <rPr>
        <vertAlign val="subscript"/>
        <sz val="11"/>
        <rFont val="Arial"/>
        <charset val="134"/>
      </rPr>
      <t>0</t>
    </r>
  </si>
  <si>
    <t>气温修正系数</t>
  </si>
  <si>
    <r>
      <rPr>
        <sz val="11"/>
        <rFont val="Arial"/>
        <charset val="134"/>
      </rPr>
      <t>K</t>
    </r>
    <r>
      <rPr>
        <vertAlign val="subscript"/>
        <sz val="11"/>
        <rFont val="Arial"/>
        <charset val="134"/>
      </rPr>
      <t>2</t>
    </r>
  </si>
  <si>
    <r>
      <rPr>
        <sz val="11"/>
        <rFont val="Arial"/>
        <charset val="134"/>
      </rPr>
      <t>K</t>
    </r>
    <r>
      <rPr>
        <vertAlign val="subscript"/>
        <sz val="11"/>
        <rFont val="Arial"/>
        <charset val="134"/>
      </rPr>
      <t>2</t>
    </r>
    <r>
      <rPr>
        <sz val="11"/>
        <rFont val="Arial"/>
        <charset val="134"/>
      </rPr>
      <t>=T</t>
    </r>
    <r>
      <rPr>
        <vertAlign val="subscript"/>
        <sz val="11"/>
        <rFont val="Arial"/>
        <charset val="134"/>
      </rPr>
      <t>0</t>
    </r>
    <r>
      <rPr>
        <sz val="11"/>
        <rFont val="Arial"/>
        <charset val="134"/>
      </rPr>
      <t>/T</t>
    </r>
    <r>
      <rPr>
        <vertAlign val="subscript"/>
        <sz val="11"/>
        <rFont val="Arial"/>
        <charset val="134"/>
      </rPr>
      <t xml:space="preserve">a </t>
    </r>
  </si>
  <si>
    <t>湿度修正系数</t>
  </si>
  <si>
    <r>
      <rPr>
        <sz val="11"/>
        <rFont val="Arial"/>
        <charset val="134"/>
      </rPr>
      <t>K</t>
    </r>
    <r>
      <rPr>
        <vertAlign val="subscript"/>
        <sz val="11"/>
        <rFont val="Arial"/>
        <charset val="134"/>
      </rPr>
      <t>3</t>
    </r>
  </si>
  <si>
    <r>
      <rPr>
        <sz val="11"/>
        <rFont val="Arial"/>
        <charset val="134"/>
      </rPr>
      <t>K</t>
    </r>
    <r>
      <rPr>
        <vertAlign val="subscript"/>
        <sz val="11"/>
        <rFont val="Arial"/>
        <charset val="134"/>
      </rPr>
      <t>3</t>
    </r>
    <r>
      <rPr>
        <sz val="11"/>
        <rFont val="Arial"/>
        <charset val="134"/>
      </rPr>
      <t>=1</t>
    </r>
    <r>
      <rPr>
        <sz val="11"/>
        <rFont val="宋体"/>
        <charset val="134"/>
      </rPr>
      <t>－</t>
    </r>
    <r>
      <rPr>
        <sz val="11"/>
        <rFont val="Arial"/>
        <charset val="134"/>
      </rPr>
      <t>P</t>
    </r>
    <r>
      <rPr>
        <vertAlign val="subscript"/>
        <sz val="11"/>
        <rFont val="Arial"/>
        <charset val="134"/>
      </rPr>
      <t>Z</t>
    </r>
    <r>
      <rPr>
        <sz val="11"/>
        <rFont val="Arial"/>
        <charset val="134"/>
      </rPr>
      <t>/P</t>
    </r>
    <r>
      <rPr>
        <vertAlign val="subscript"/>
        <sz val="11"/>
        <rFont val="Arial"/>
        <charset val="134"/>
      </rPr>
      <t>a</t>
    </r>
  </si>
  <si>
    <t>风量修正系数</t>
  </si>
  <si>
    <r>
      <rPr>
        <sz val="11"/>
        <rFont val="Arial"/>
        <charset val="134"/>
      </rPr>
      <t>K=K</t>
    </r>
    <r>
      <rPr>
        <vertAlign val="subscript"/>
        <sz val="11"/>
        <rFont val="Arial"/>
        <charset val="134"/>
      </rPr>
      <t>1</t>
    </r>
    <r>
      <rPr>
        <sz val="11"/>
        <rFont val="Arial"/>
        <charset val="134"/>
      </rPr>
      <t>×K</t>
    </r>
    <r>
      <rPr>
        <vertAlign val="subscript"/>
        <sz val="11"/>
        <rFont val="Arial"/>
        <charset val="134"/>
      </rPr>
      <t>2</t>
    </r>
    <r>
      <rPr>
        <sz val="11"/>
        <rFont val="Arial"/>
        <charset val="134"/>
      </rPr>
      <t>×K</t>
    </r>
    <r>
      <rPr>
        <vertAlign val="subscript"/>
        <sz val="11"/>
        <rFont val="Arial"/>
        <charset val="134"/>
      </rPr>
      <t>3</t>
    </r>
  </si>
  <si>
    <t>空气绝对含湿量</t>
  </si>
  <si>
    <r>
      <rPr>
        <sz val="11"/>
        <rFont val="Arial"/>
        <charset val="134"/>
      </rPr>
      <t>g(</t>
    </r>
    <r>
      <rPr>
        <sz val="11"/>
        <rFont val="宋体"/>
        <charset val="134"/>
      </rPr>
      <t>水蒸汽</t>
    </r>
    <r>
      <rPr>
        <sz val="11"/>
        <rFont val="Arial"/>
        <charset val="134"/>
      </rPr>
      <t>)/kg(</t>
    </r>
    <r>
      <rPr>
        <sz val="11"/>
        <rFont val="宋体"/>
        <charset val="134"/>
      </rPr>
      <t>干空气</t>
    </r>
    <r>
      <rPr>
        <sz val="11"/>
        <rFont val="Arial"/>
        <charset val="134"/>
      </rPr>
      <t>)</t>
    </r>
  </si>
  <si>
    <t>鼓风机实际送风量</t>
  </si>
  <si>
    <r>
      <rPr>
        <sz val="11"/>
        <rFont val="Arial"/>
        <charset val="134"/>
      </rPr>
      <t>m</t>
    </r>
    <r>
      <rPr>
        <vertAlign val="superscript"/>
        <sz val="11"/>
        <rFont val="Arial"/>
        <charset val="134"/>
      </rPr>
      <t>3</t>
    </r>
    <r>
      <rPr>
        <sz val="11"/>
        <rFont val="Arial"/>
        <charset val="134"/>
      </rPr>
      <t>/min</t>
    </r>
  </si>
  <si>
    <r>
      <rPr>
        <sz val="11"/>
        <rFont val="Arial"/>
        <charset val="134"/>
      </rPr>
      <t>Q=Q</t>
    </r>
    <r>
      <rPr>
        <vertAlign val="subscript"/>
        <sz val="11"/>
        <rFont val="Arial"/>
        <charset val="134"/>
      </rPr>
      <t>3</t>
    </r>
    <r>
      <rPr>
        <sz val="11"/>
        <rFont val="Arial"/>
        <charset val="134"/>
      </rPr>
      <t>/K</t>
    </r>
  </si>
  <si>
    <t>Q'</t>
  </si>
  <si>
    <t>机后富氧率</t>
  </si>
  <si>
    <t>机后富氧修正系数</t>
  </si>
  <si>
    <r>
      <rPr>
        <sz val="11"/>
        <rFont val="Arial"/>
        <charset val="134"/>
      </rPr>
      <t>k</t>
    </r>
    <r>
      <rPr>
        <vertAlign val="subscript"/>
        <sz val="11"/>
        <rFont val="Arial"/>
        <charset val="134"/>
      </rPr>
      <t>hz</t>
    </r>
  </si>
  <si>
    <t>机前富氧要考虑风量修正，机后富氧不考虑</t>
  </si>
  <si>
    <t>鼓风机富氧后实际送风量</t>
  </si>
  <si>
    <t>鼓风机机械效率</t>
  </si>
  <si>
    <r>
      <rPr>
        <sz val="11"/>
        <rFont val="Arial"/>
        <charset val="134"/>
      </rPr>
      <t>η</t>
    </r>
    <r>
      <rPr>
        <vertAlign val="subscript"/>
        <sz val="11"/>
        <rFont val="Arial"/>
        <charset val="134"/>
      </rPr>
      <t>m</t>
    </r>
  </si>
  <si>
    <r>
      <rPr>
        <sz val="11"/>
        <rFont val="Arial"/>
        <charset val="134"/>
      </rPr>
      <t>0.97</t>
    </r>
    <r>
      <rPr>
        <sz val="11"/>
        <rFont val="宋体"/>
        <charset val="134"/>
      </rPr>
      <t>～</t>
    </r>
    <r>
      <rPr>
        <sz val="11"/>
        <rFont val="Arial"/>
        <charset val="134"/>
      </rPr>
      <t>0.99</t>
    </r>
  </si>
  <si>
    <t>绝热系数</t>
  </si>
  <si>
    <r>
      <rPr>
        <sz val="11"/>
        <rFont val="宋体"/>
        <charset val="134"/>
      </rPr>
      <t>绝热系数</t>
    </r>
    <r>
      <rPr>
        <sz val="11"/>
        <rFont val="Arial"/>
        <charset val="134"/>
      </rPr>
      <t xml:space="preserve"> </t>
    </r>
  </si>
  <si>
    <t>n</t>
  </si>
  <si>
    <t>k/(k-1)</t>
  </si>
  <si>
    <t>多变效率</t>
  </si>
  <si>
    <r>
      <rPr>
        <sz val="11"/>
        <rFont val="Arial"/>
        <charset val="134"/>
      </rPr>
      <t xml:space="preserve"> η</t>
    </r>
    <r>
      <rPr>
        <vertAlign val="subscript"/>
        <sz val="11"/>
        <rFont val="Arial"/>
        <charset val="134"/>
      </rPr>
      <t>n</t>
    </r>
  </si>
  <si>
    <r>
      <rPr>
        <sz val="11"/>
        <rFont val="Arial"/>
        <charset val="134"/>
      </rPr>
      <t>0.85</t>
    </r>
    <r>
      <rPr>
        <sz val="11"/>
        <rFont val="宋体"/>
        <charset val="134"/>
      </rPr>
      <t>～</t>
    </r>
    <r>
      <rPr>
        <sz val="11"/>
        <rFont val="Arial"/>
        <charset val="134"/>
      </rPr>
      <t>0.9</t>
    </r>
  </si>
  <si>
    <r>
      <rPr>
        <sz val="11"/>
        <rFont val="宋体"/>
        <charset val="134"/>
      </rPr>
      <t>多变指数</t>
    </r>
    <r>
      <rPr>
        <sz val="11"/>
        <rFont val="Arial"/>
        <charset val="134"/>
      </rPr>
      <t xml:space="preserve">  </t>
    </r>
  </si>
  <si>
    <t>σ</t>
  </si>
  <si>
    <r>
      <rPr>
        <sz val="11"/>
        <rFont val="Arial"/>
        <charset val="134"/>
      </rPr>
      <t>σ=n×η</t>
    </r>
    <r>
      <rPr>
        <vertAlign val="subscript"/>
        <sz val="11"/>
        <rFont val="Arial"/>
        <charset val="134"/>
      </rPr>
      <t>n</t>
    </r>
    <r>
      <rPr>
        <sz val="11"/>
        <rFont val="Arial"/>
        <charset val="134"/>
      </rPr>
      <t>=k×η</t>
    </r>
    <r>
      <rPr>
        <vertAlign val="subscript"/>
        <sz val="11"/>
        <rFont val="Arial"/>
        <charset val="134"/>
      </rPr>
      <t>n</t>
    </r>
    <r>
      <rPr>
        <sz val="11"/>
        <rFont val="Arial"/>
        <charset val="134"/>
      </rPr>
      <t>/(k-1)</t>
    </r>
  </si>
  <si>
    <t>鼓风机轴功率</t>
  </si>
  <si>
    <r>
      <rPr>
        <sz val="11"/>
        <rFont val="Arial"/>
        <charset val="134"/>
      </rPr>
      <t>N</t>
    </r>
    <r>
      <rPr>
        <vertAlign val="subscript"/>
        <sz val="11"/>
        <rFont val="Arial"/>
        <charset val="134"/>
      </rPr>
      <t>e</t>
    </r>
  </si>
  <si>
    <t>kW</t>
  </si>
  <si>
    <r>
      <rPr>
        <sz val="11"/>
        <rFont val="Arial"/>
        <charset val="134"/>
      </rPr>
      <t>N</t>
    </r>
    <r>
      <rPr>
        <vertAlign val="subscript"/>
        <sz val="11"/>
        <rFont val="Arial"/>
        <charset val="134"/>
      </rPr>
      <t>e</t>
    </r>
    <r>
      <rPr>
        <sz val="11"/>
        <rFont val="Arial"/>
        <charset val="134"/>
      </rPr>
      <t>=P</t>
    </r>
    <r>
      <rPr>
        <vertAlign val="subscript"/>
        <sz val="11"/>
        <rFont val="Arial"/>
        <charset val="134"/>
      </rPr>
      <t>fx</t>
    </r>
    <r>
      <rPr>
        <sz val="11"/>
        <rFont val="Arial"/>
        <charset val="134"/>
      </rPr>
      <t>×Q×k/(k-1)×(ε</t>
    </r>
    <r>
      <rPr>
        <vertAlign val="superscript"/>
        <sz val="11"/>
        <rFont val="Arial"/>
        <charset val="134"/>
      </rPr>
      <t>(k-1)/k/ηn</t>
    </r>
    <r>
      <rPr>
        <sz val="11"/>
        <rFont val="宋体"/>
        <charset val="134"/>
      </rPr>
      <t>－</t>
    </r>
    <r>
      <rPr>
        <sz val="11"/>
        <rFont val="Arial"/>
        <charset val="134"/>
      </rPr>
      <t>1)/6120×η</t>
    </r>
    <r>
      <rPr>
        <vertAlign val="subscript"/>
        <sz val="11"/>
        <rFont val="Arial"/>
        <charset val="134"/>
      </rPr>
      <t>m</t>
    </r>
  </si>
  <si>
    <t>联轴器效率</t>
  </si>
  <si>
    <r>
      <rPr>
        <sz val="11"/>
        <rFont val="Arial"/>
        <charset val="134"/>
      </rPr>
      <t>η</t>
    </r>
    <r>
      <rPr>
        <vertAlign val="subscript"/>
        <sz val="11"/>
        <rFont val="Arial"/>
        <charset val="134"/>
      </rPr>
      <t>z</t>
    </r>
  </si>
  <si>
    <t>变速箱效率</t>
  </si>
  <si>
    <r>
      <rPr>
        <sz val="11"/>
        <rFont val="Arial"/>
        <charset val="134"/>
      </rPr>
      <t>η</t>
    </r>
    <r>
      <rPr>
        <vertAlign val="subscript"/>
        <sz val="11"/>
        <rFont val="Arial"/>
        <charset val="134"/>
      </rPr>
      <t>b</t>
    </r>
  </si>
  <si>
    <t>汽动风机没有变速箱</t>
  </si>
  <si>
    <r>
      <rPr>
        <sz val="11"/>
        <rFont val="Arial"/>
        <charset val="134"/>
      </rPr>
      <t>0.95</t>
    </r>
    <r>
      <rPr>
        <sz val="11"/>
        <rFont val="宋体"/>
        <charset val="134"/>
      </rPr>
      <t>～</t>
    </r>
    <r>
      <rPr>
        <sz val="11"/>
        <rFont val="Arial"/>
        <charset val="134"/>
      </rPr>
      <t>0.97</t>
    </r>
  </si>
  <si>
    <r>
      <rPr>
        <sz val="11"/>
        <rFont val="宋体"/>
        <charset val="134"/>
      </rPr>
      <t>汽轮机功率</t>
    </r>
    <r>
      <rPr>
        <sz val="11"/>
        <rFont val="Arial"/>
        <charset val="134"/>
      </rPr>
      <t xml:space="preserve">     </t>
    </r>
  </si>
  <si>
    <t xml:space="preserve">Ne </t>
  </si>
  <si>
    <t>汽机耗汽率</t>
  </si>
  <si>
    <t>kg/kW</t>
  </si>
  <si>
    <t>汽机耗汽量</t>
  </si>
  <si>
    <t>t/h</t>
  </si>
  <si>
    <t xml:space="preserve">新日铁法           </t>
  </si>
  <si>
    <t>B</t>
  </si>
  <si>
    <t>C</t>
  </si>
  <si>
    <t>D</t>
  </si>
  <si>
    <t>E</t>
  </si>
  <si>
    <r>
      <rPr>
        <sz val="11"/>
        <rFont val="宋体"/>
        <charset val="134"/>
      </rPr>
      <t>高炉容积</t>
    </r>
    <r>
      <rPr>
        <sz val="11"/>
        <rFont val="Arial"/>
        <charset val="134"/>
      </rPr>
      <t xml:space="preserve">      </t>
    </r>
  </si>
  <si>
    <t>高炉有效容积</t>
  </si>
  <si>
    <r>
      <rPr>
        <sz val="11"/>
        <rFont val="Arial"/>
        <charset val="134"/>
      </rPr>
      <t>V</t>
    </r>
    <r>
      <rPr>
        <vertAlign val="subscript"/>
        <sz val="11"/>
        <rFont val="Arial"/>
        <charset val="134"/>
      </rPr>
      <t>n</t>
    </r>
  </si>
  <si>
    <t>热风炉充风量</t>
  </si>
  <si>
    <r>
      <rPr>
        <sz val="11"/>
        <rFont val="Arial"/>
        <charset val="134"/>
      </rPr>
      <t xml:space="preserve"> Nm</t>
    </r>
    <r>
      <rPr>
        <vertAlign val="superscript"/>
        <sz val="11"/>
        <rFont val="Arial"/>
        <charset val="134"/>
      </rPr>
      <t>3</t>
    </r>
    <r>
      <rPr>
        <sz val="11"/>
        <rFont val="Arial"/>
        <charset val="134"/>
      </rPr>
      <t>/min</t>
    </r>
  </si>
  <si>
    <t>日产铁量</t>
  </si>
  <si>
    <t>t/d</t>
  </si>
  <si>
    <t>炉顶压力(表)</t>
  </si>
  <si>
    <r>
      <rPr>
        <sz val="11"/>
        <rFont val="Arial"/>
        <charset val="134"/>
      </rPr>
      <t>P</t>
    </r>
    <r>
      <rPr>
        <vertAlign val="subscript"/>
        <sz val="11"/>
        <rFont val="Arial"/>
        <charset val="134"/>
      </rPr>
      <t>t</t>
    </r>
  </si>
  <si>
    <r>
      <rPr>
        <sz val="11"/>
        <rFont val="宋体"/>
        <charset val="134"/>
      </rPr>
      <t>料柱损失</t>
    </r>
    <r>
      <rPr>
        <sz val="11"/>
        <rFont val="Arial"/>
        <charset val="134"/>
      </rPr>
      <t xml:space="preserve"> (</t>
    </r>
    <r>
      <rPr>
        <sz val="11"/>
        <rFont val="宋体"/>
        <charset val="134"/>
      </rPr>
      <t>表</t>
    </r>
    <r>
      <rPr>
        <sz val="11"/>
        <rFont val="Arial"/>
        <charset val="134"/>
      </rPr>
      <t>)</t>
    </r>
  </si>
  <si>
    <t>送风系统管网损失(表)</t>
  </si>
  <si>
    <r>
      <rPr>
        <sz val="11"/>
        <rFont val="宋体"/>
        <charset val="134"/>
      </rPr>
      <t>已知</t>
    </r>
    <r>
      <rPr>
        <sz val="11"/>
        <rFont val="Arial"/>
        <charset val="134"/>
      </rPr>
      <t xml:space="preserve">  </t>
    </r>
  </si>
  <si>
    <t>风口前鼓风压力</t>
  </si>
  <si>
    <r>
      <rPr>
        <sz val="11"/>
        <rFont val="Arial"/>
        <charset val="134"/>
      </rPr>
      <t>P</t>
    </r>
    <r>
      <rPr>
        <vertAlign val="subscript"/>
        <sz val="11"/>
        <rFont val="Arial"/>
        <charset val="134"/>
      </rPr>
      <t>b</t>
    </r>
  </si>
  <si>
    <t>炉内透气阻力系数</t>
  </si>
  <si>
    <t>炉腹煤气量</t>
  </si>
  <si>
    <r>
      <rPr>
        <sz val="11"/>
        <rFont val="Arial"/>
        <charset val="134"/>
      </rPr>
      <t>Nm</t>
    </r>
    <r>
      <rPr>
        <vertAlign val="superscript"/>
        <sz val="11"/>
        <rFont val="Arial"/>
        <charset val="134"/>
      </rPr>
      <t>3</t>
    </r>
    <r>
      <rPr>
        <sz val="11"/>
        <rFont val="Arial"/>
        <charset val="134"/>
      </rPr>
      <t>/min</t>
    </r>
  </si>
  <si>
    <r>
      <rPr>
        <sz val="11"/>
        <rFont val="Arial"/>
        <charset val="134"/>
      </rPr>
      <t>V</t>
    </r>
    <r>
      <rPr>
        <vertAlign val="subscript"/>
        <sz val="11"/>
        <rFont val="Arial"/>
        <charset val="134"/>
      </rPr>
      <t>BG</t>
    </r>
  </si>
  <si>
    <t>冷风管网损失(表)</t>
  </si>
  <si>
    <r>
      <rPr>
        <sz val="11"/>
        <rFont val="宋体"/>
        <charset val="134"/>
      </rPr>
      <t>吸风阻力损失(表)</t>
    </r>
    <r>
      <rPr>
        <sz val="11"/>
        <rFont val="Arial"/>
        <charset val="134"/>
      </rPr>
      <t xml:space="preserve">  </t>
    </r>
  </si>
  <si>
    <r>
      <rPr>
        <sz val="11"/>
        <rFont val="宋体"/>
        <charset val="134"/>
      </rPr>
      <t>高炉所需风压(表)</t>
    </r>
    <r>
      <rPr>
        <sz val="11"/>
        <rFont val="Arial"/>
        <charset val="134"/>
      </rPr>
      <t xml:space="preserve">   </t>
    </r>
  </si>
  <si>
    <r>
      <rPr>
        <sz val="11"/>
        <rFont val="宋体"/>
        <charset val="134"/>
      </rPr>
      <t>风机吸入口压力</t>
    </r>
    <r>
      <rPr>
        <sz val="11"/>
        <rFont val="Arial"/>
        <charset val="134"/>
      </rPr>
      <t>(</t>
    </r>
    <r>
      <rPr>
        <sz val="11"/>
        <rFont val="宋体"/>
        <charset val="134"/>
      </rPr>
      <t>绝</t>
    </r>
    <r>
      <rPr>
        <sz val="11"/>
        <rFont val="Arial"/>
        <charset val="134"/>
      </rPr>
      <t>)</t>
    </r>
  </si>
  <si>
    <r>
      <rPr>
        <sz val="11"/>
        <rFont val="宋体"/>
        <charset val="134"/>
      </rPr>
      <t>风机出口风压</t>
    </r>
    <r>
      <rPr>
        <sz val="11"/>
        <rFont val="Arial"/>
        <charset val="134"/>
      </rPr>
      <t xml:space="preserve"> (</t>
    </r>
    <r>
      <rPr>
        <sz val="11"/>
        <rFont val="宋体"/>
        <charset val="134"/>
      </rPr>
      <t>绝</t>
    </r>
    <r>
      <rPr>
        <sz val="11"/>
        <rFont val="Arial"/>
        <charset val="134"/>
      </rPr>
      <t>)</t>
    </r>
  </si>
  <si>
    <t>Ph</t>
  </si>
  <si>
    <r>
      <rPr>
        <sz val="11"/>
        <rFont val="宋体"/>
        <charset val="134"/>
      </rPr>
      <t>压比</t>
    </r>
    <r>
      <rPr>
        <sz val="11"/>
        <rFont val="Arial"/>
        <charset val="134"/>
      </rPr>
      <t xml:space="preserve"> (</t>
    </r>
    <r>
      <rPr>
        <sz val="11"/>
        <rFont val="宋体"/>
        <charset val="134"/>
      </rPr>
      <t>绝对压力之比</t>
    </r>
    <r>
      <rPr>
        <sz val="11"/>
        <rFont val="Arial"/>
        <charset val="134"/>
      </rPr>
      <t>)</t>
    </r>
  </si>
  <si>
    <r>
      <rPr>
        <sz val="11"/>
        <rFont val="宋体"/>
        <charset val="134"/>
      </rPr>
      <t>燃料比</t>
    </r>
    <r>
      <rPr>
        <sz val="11"/>
        <rFont val="Arial"/>
        <charset val="134"/>
      </rPr>
      <t xml:space="preserve">  </t>
    </r>
  </si>
  <si>
    <r>
      <rPr>
        <sz val="11"/>
        <rFont val="Arial"/>
        <charset val="134"/>
      </rPr>
      <t xml:space="preserve"> kg/t</t>
    </r>
    <r>
      <rPr>
        <sz val="11"/>
        <rFont val="宋体"/>
        <charset val="134"/>
      </rPr>
      <t>铁</t>
    </r>
  </si>
  <si>
    <r>
      <rPr>
        <sz val="11"/>
        <rFont val="Arial"/>
        <charset val="134"/>
      </rPr>
      <t>F</t>
    </r>
    <r>
      <rPr>
        <vertAlign val="subscript"/>
        <sz val="11"/>
        <rFont val="Arial"/>
        <charset val="134"/>
      </rPr>
      <t>R</t>
    </r>
  </si>
  <si>
    <r>
      <rPr>
        <sz val="11"/>
        <rFont val="宋体"/>
        <charset val="134"/>
      </rPr>
      <t>生铁耗风量</t>
    </r>
    <r>
      <rPr>
        <sz val="11"/>
        <rFont val="Arial"/>
        <charset val="134"/>
      </rPr>
      <t xml:space="preserve"> </t>
    </r>
  </si>
  <si>
    <t>qo</t>
  </si>
  <si>
    <r>
      <rPr>
        <sz val="11"/>
        <rFont val="宋体"/>
        <charset val="134"/>
      </rPr>
      <t>高炉入炉风量</t>
    </r>
    <r>
      <rPr>
        <sz val="11"/>
        <rFont val="Arial"/>
        <charset val="134"/>
      </rPr>
      <t xml:space="preserve"> </t>
    </r>
  </si>
  <si>
    <r>
      <rPr>
        <sz val="11"/>
        <rFont val="Arial"/>
        <charset val="134"/>
      </rPr>
      <t>V</t>
    </r>
    <r>
      <rPr>
        <vertAlign val="subscript"/>
        <sz val="11"/>
        <rFont val="Arial"/>
        <charset val="134"/>
      </rPr>
      <t>B</t>
    </r>
  </si>
  <si>
    <r>
      <rPr>
        <sz val="11"/>
        <rFont val="宋体"/>
        <charset val="134"/>
      </rPr>
      <t>漏风损失</t>
    </r>
    <r>
      <rPr>
        <sz val="11"/>
        <rFont val="Arial"/>
        <charset val="134"/>
      </rPr>
      <t xml:space="preserve">   </t>
    </r>
  </si>
  <si>
    <r>
      <rPr>
        <sz val="11"/>
        <rFont val="宋体"/>
        <charset val="134"/>
      </rPr>
      <t>风机出口风量</t>
    </r>
    <r>
      <rPr>
        <sz val="11"/>
        <rFont val="Arial"/>
        <charset val="134"/>
      </rPr>
      <t xml:space="preserve">    </t>
    </r>
  </si>
  <si>
    <r>
      <rPr>
        <sz val="11"/>
        <rFont val="宋体"/>
        <charset val="134"/>
      </rPr>
      <t>风机风量</t>
    </r>
    <r>
      <rPr>
        <sz val="11"/>
        <rFont val="Arial"/>
        <charset val="134"/>
      </rPr>
      <t xml:space="preserve">       </t>
    </r>
  </si>
  <si>
    <r>
      <rPr>
        <sz val="11"/>
        <rFont val="宋体"/>
        <charset val="134"/>
      </rPr>
      <t>风量修正</t>
    </r>
    <r>
      <rPr>
        <sz val="11"/>
        <rFont val="Arial"/>
        <charset val="134"/>
      </rPr>
      <t xml:space="preserve">  </t>
    </r>
  </si>
  <si>
    <t>机前富氧率</t>
  </si>
  <si>
    <t>机前富氧修正系数</t>
  </si>
  <si>
    <r>
      <rPr>
        <sz val="11"/>
        <rFont val="宋体"/>
        <charset val="134"/>
      </rPr>
      <t>绝热系数</t>
    </r>
    <r>
      <rPr>
        <sz val="11"/>
        <rFont val="Arial"/>
        <charset val="134"/>
      </rPr>
      <t xml:space="preserve"> k</t>
    </r>
  </si>
  <si>
    <r>
      <rPr>
        <sz val="11"/>
        <rFont val="宋体"/>
        <charset val="134"/>
      </rPr>
      <t>绝热系数</t>
    </r>
    <r>
      <rPr>
        <sz val="11"/>
        <rFont val="Arial"/>
        <charset val="134"/>
      </rPr>
      <t xml:space="preserve"> k/(k-1)</t>
    </r>
  </si>
  <si>
    <r>
      <rPr>
        <sz val="11"/>
        <rFont val="宋体"/>
        <charset val="134"/>
      </rPr>
      <t>多变效率</t>
    </r>
    <r>
      <rPr>
        <sz val="11"/>
        <rFont val="Arial"/>
        <charset val="134"/>
      </rPr>
      <t xml:space="preserve">  </t>
    </r>
  </si>
  <si>
    <r>
      <rPr>
        <sz val="11"/>
        <rFont val="Arial"/>
        <charset val="134"/>
      </rPr>
      <t>η</t>
    </r>
    <r>
      <rPr>
        <vertAlign val="subscript"/>
        <sz val="11"/>
        <rFont val="Arial"/>
        <charset val="134"/>
      </rPr>
      <t>n</t>
    </r>
  </si>
  <si>
    <r>
      <rPr>
        <sz val="11"/>
        <rFont val="宋体"/>
        <charset val="134"/>
      </rPr>
      <t>鼓风机轴功率</t>
    </r>
    <r>
      <rPr>
        <sz val="11"/>
        <rFont val="Arial"/>
        <charset val="134"/>
      </rPr>
      <t xml:space="preserve">  </t>
    </r>
  </si>
  <si>
    <r>
      <rPr>
        <sz val="11"/>
        <rFont val="宋体"/>
        <charset val="134"/>
      </rPr>
      <t>联轴器效率</t>
    </r>
    <r>
      <rPr>
        <sz val="11"/>
        <rFont val="Arial"/>
        <charset val="134"/>
      </rPr>
      <t xml:space="preserve">  </t>
    </r>
  </si>
  <si>
    <r>
      <rPr>
        <sz val="11"/>
        <rFont val="宋体"/>
        <charset val="134"/>
      </rPr>
      <t>变速箱效率</t>
    </r>
    <r>
      <rPr>
        <sz val="11"/>
        <rFont val="Arial"/>
        <charset val="134"/>
      </rPr>
      <t xml:space="preserve"> </t>
    </r>
  </si>
  <si>
    <r>
      <rPr>
        <sz val="11"/>
        <rFont val="宋体"/>
        <charset val="134"/>
      </rPr>
      <t>汽轮机功率</t>
    </r>
    <r>
      <rPr>
        <sz val="11"/>
        <rFont val="Arial"/>
        <charset val="134"/>
      </rPr>
      <t xml:space="preserve">    </t>
    </r>
  </si>
  <si>
    <t>Ne</t>
  </si>
  <si>
    <t>风机选型软件 --林建忠编制</t>
  </si>
  <si>
    <t>10-14</t>
  </si>
  <si>
    <t>10-18</t>
  </si>
  <si>
    <t>流  量</t>
  </si>
  <si>
    <r>
      <rPr>
        <sz val="12"/>
        <rFont val="华文宋体"/>
        <charset val="134"/>
      </rPr>
      <t>m</t>
    </r>
    <r>
      <rPr>
        <vertAlign val="superscript"/>
        <sz val="12"/>
        <rFont val="华文宋体"/>
        <charset val="134"/>
      </rPr>
      <t>3</t>
    </r>
    <r>
      <rPr>
        <sz val="12"/>
        <rFont val="华文宋体"/>
        <charset val="134"/>
      </rPr>
      <t>/h</t>
    </r>
  </si>
  <si>
    <t>海拔高度</t>
  </si>
  <si>
    <t>11-26</t>
  </si>
  <si>
    <t>标准密度</t>
  </si>
  <si>
    <r>
      <rPr>
        <sz val="12"/>
        <rFont val="华文宋体"/>
        <charset val="134"/>
      </rPr>
      <t>kg/m</t>
    </r>
    <r>
      <rPr>
        <vertAlign val="superscript"/>
        <sz val="12"/>
        <rFont val="华文宋体"/>
        <charset val="134"/>
      </rPr>
      <t>3</t>
    </r>
  </si>
  <si>
    <t xml:space="preserve"> 全  压</t>
  </si>
  <si>
    <t>Pa</t>
  </si>
  <si>
    <t xml:space="preserve"> 当地大气压</t>
  </si>
  <si>
    <t>11-30</t>
  </si>
  <si>
    <t>进口压力</t>
  </si>
  <si>
    <t>工况密度</t>
  </si>
  <si>
    <t>11-38</t>
  </si>
  <si>
    <t>工作温度</t>
  </si>
  <si>
    <t>工作转速</t>
  </si>
  <si>
    <t>r/min</t>
  </si>
  <si>
    <t>14-46</t>
  </si>
  <si>
    <t>绝热指数</t>
  </si>
  <si>
    <t>压缩性系数</t>
  </si>
  <si>
    <t>4-57</t>
  </si>
  <si>
    <t>计算比转数</t>
  </si>
  <si>
    <t>风机型号</t>
  </si>
  <si>
    <t>4-68</t>
  </si>
  <si>
    <t>4-60</t>
  </si>
  <si>
    <t>粗算叶轮直径</t>
  </si>
  <si>
    <t>给定叶轮直径</t>
  </si>
  <si>
    <t>单吸</t>
  </si>
  <si>
    <t>选型结果：</t>
  </si>
  <si>
    <r>
      <rPr>
        <sz val="12"/>
        <rFont val="宋体"/>
        <charset val="134"/>
      </rPr>
      <t>线速度</t>
    </r>
    <r>
      <rPr>
        <sz val="12"/>
        <rFont val="Times New Roman"/>
        <charset val="134"/>
      </rPr>
      <t>m/s</t>
    </r>
    <r>
      <rPr>
        <sz val="12"/>
        <rFont val="宋体"/>
        <charset val="134"/>
      </rPr>
      <t>：</t>
    </r>
  </si>
  <si>
    <t>4-70</t>
  </si>
  <si>
    <t>电机型号:
380V</t>
  </si>
  <si>
    <t>电机型号:
6KV</t>
  </si>
  <si>
    <t>电机型号:
10KV</t>
  </si>
  <si>
    <r>
      <rPr>
        <sz val="12"/>
        <rFont val="华文宋体"/>
        <charset val="134"/>
      </rPr>
      <t>流量m</t>
    </r>
    <r>
      <rPr>
        <vertAlign val="superscript"/>
        <sz val="12"/>
        <rFont val="华文宋体"/>
        <charset val="134"/>
      </rPr>
      <t>3</t>
    </r>
    <r>
      <rPr>
        <sz val="12"/>
        <rFont val="华文宋体"/>
        <charset val="134"/>
      </rPr>
      <t>/h</t>
    </r>
  </si>
  <si>
    <t xml:space="preserve"> 全压Pa</t>
  </si>
  <si>
    <t>内效率（%）</t>
  </si>
  <si>
    <t>内功率（KW）</t>
  </si>
  <si>
    <t>所需功率（KW）</t>
  </si>
  <si>
    <t>4-72</t>
  </si>
  <si>
    <t>4-73</t>
  </si>
  <si>
    <t>双吸</t>
  </si>
  <si>
    <t>4-73-13</t>
  </si>
  <si>
    <t>4-73-15</t>
  </si>
  <si>
    <t>4-73-18</t>
  </si>
  <si>
    <t>F</t>
  </si>
  <si>
    <t>4-73D</t>
  </si>
  <si>
    <t>4-73F</t>
  </si>
  <si>
    <t>4-76</t>
  </si>
  <si>
    <t>5-29</t>
  </si>
  <si>
    <t>5-36</t>
  </si>
  <si>
    <t>5-44</t>
  </si>
  <si>
    <t>5-47</t>
  </si>
  <si>
    <t>5-47-12</t>
  </si>
  <si>
    <t>5-48</t>
  </si>
  <si>
    <t>5-49</t>
  </si>
  <si>
    <t>5-50</t>
  </si>
  <si>
    <t>5-51</t>
  </si>
  <si>
    <t>5-51F</t>
  </si>
  <si>
    <t>5-52</t>
  </si>
  <si>
    <t>5-53</t>
  </si>
  <si>
    <t>6-20</t>
  </si>
  <si>
    <t>6-23</t>
  </si>
  <si>
    <t>6-29</t>
  </si>
  <si>
    <t>6-30</t>
  </si>
  <si>
    <t>6-31</t>
  </si>
  <si>
    <t>6-40</t>
  </si>
  <si>
    <t>6-46</t>
  </si>
  <si>
    <t>6-48</t>
  </si>
  <si>
    <t>6-51</t>
  </si>
  <si>
    <t>6-51F</t>
  </si>
  <si>
    <t>6-52</t>
  </si>
  <si>
    <t>7-16</t>
  </si>
  <si>
    <t>7-29</t>
  </si>
  <si>
    <t>7-41</t>
  </si>
  <si>
    <t>8-09</t>
  </si>
  <si>
    <t>8-18</t>
  </si>
  <si>
    <t>8-39</t>
  </si>
  <si>
    <t>9-12</t>
  </si>
  <si>
    <t>9-16</t>
  </si>
  <si>
    <t>9-18</t>
  </si>
  <si>
    <t>9-19</t>
  </si>
  <si>
    <t>9-26</t>
  </si>
  <si>
    <t>9-28</t>
  </si>
  <si>
    <t>9-28F</t>
  </si>
  <si>
    <t>9-38</t>
  </si>
  <si>
    <t>9-55</t>
  </si>
  <si>
    <t>BB24</t>
  </si>
  <si>
    <t>BB50</t>
  </si>
  <si>
    <r>
      <rPr>
        <sz val="12"/>
        <rFont val="Times New Roman"/>
        <charset val="134"/>
      </rPr>
      <t>G</t>
    </r>
    <r>
      <rPr>
        <sz val="12"/>
        <rFont val="宋体"/>
        <charset val="134"/>
      </rPr>
      <t>4-68</t>
    </r>
  </si>
  <si>
    <r>
      <rPr>
        <sz val="12"/>
        <rFont val="Times New Roman"/>
        <charset val="134"/>
      </rPr>
      <t>M</t>
    </r>
    <r>
      <rPr>
        <sz val="12"/>
        <rFont val="宋体"/>
        <charset val="134"/>
      </rPr>
      <t>9-26</t>
    </r>
  </si>
  <si>
    <r>
      <rPr>
        <sz val="12"/>
        <rFont val="Times New Roman"/>
        <charset val="134"/>
      </rPr>
      <t>T</t>
    </r>
    <r>
      <rPr>
        <sz val="12"/>
        <rFont val="宋体"/>
        <charset val="134"/>
      </rPr>
      <t>4-72</t>
    </r>
  </si>
  <si>
    <r>
      <rPr>
        <sz val="12"/>
        <rFont val="Times New Roman"/>
        <charset val="134"/>
      </rPr>
      <t>X</t>
    </r>
    <r>
      <rPr>
        <sz val="12"/>
        <rFont val="宋体"/>
        <charset val="134"/>
      </rPr>
      <t>4-73</t>
    </r>
  </si>
  <si>
    <r>
      <rPr>
        <sz val="12"/>
        <rFont val="Times New Roman"/>
        <charset val="134"/>
      </rPr>
      <t>Y</t>
    </r>
    <r>
      <rPr>
        <sz val="12"/>
        <rFont val="宋体"/>
        <charset val="134"/>
      </rPr>
      <t>4-68</t>
    </r>
  </si>
  <si>
    <t>风机选型计算书</t>
  </si>
  <si>
    <r>
      <rPr>
        <b/>
        <sz val="20"/>
        <rFont val="宋体"/>
        <charset val="134"/>
      </rPr>
      <t>工程</t>
    </r>
    <r>
      <rPr>
        <b/>
        <sz val="20"/>
        <rFont val="Times New Roman"/>
        <charset val="134"/>
      </rPr>
      <t>:</t>
    </r>
    <r>
      <rPr>
        <b/>
        <sz val="20"/>
        <rFont val="宋体"/>
        <charset val="134"/>
      </rPr>
      <t>内蒙★★电厂</t>
    </r>
  </si>
  <si>
    <r>
      <rPr>
        <b/>
        <sz val="18"/>
        <rFont val="宋体"/>
        <charset val="134"/>
      </rPr>
      <t>工程号</t>
    </r>
    <r>
      <rPr>
        <b/>
        <sz val="18"/>
        <rFont val="Times New Roman"/>
        <charset val="134"/>
      </rPr>
      <t>:</t>
    </r>
  </si>
  <si>
    <t>1.1煤质</t>
  </si>
  <si>
    <t>煤质资料</t>
  </si>
  <si>
    <t>项目</t>
  </si>
  <si>
    <t>设计煤种</t>
  </si>
  <si>
    <t>应用基碳</t>
  </si>
  <si>
    <t>Car</t>
  </si>
  <si>
    <t>％</t>
  </si>
  <si>
    <t>应用基氧</t>
  </si>
  <si>
    <t>OAR</t>
  </si>
  <si>
    <t>应用基氢</t>
  </si>
  <si>
    <t>Hy</t>
  </si>
  <si>
    <t>应用基氮</t>
  </si>
  <si>
    <t>Nar</t>
  </si>
  <si>
    <t>全水</t>
  </si>
  <si>
    <t>War</t>
  </si>
  <si>
    <t>应用基灰</t>
  </si>
  <si>
    <t>Aar</t>
  </si>
  <si>
    <t>全硫</t>
  </si>
  <si>
    <t>Sar</t>
  </si>
  <si>
    <t>挥发份</t>
  </si>
  <si>
    <t>Vdaf</t>
  </si>
  <si>
    <t>低位发热量</t>
  </si>
  <si>
    <t>Qnet.ar</t>
  </si>
  <si>
    <t>kJ/kg</t>
  </si>
  <si>
    <t>可磨系数</t>
  </si>
  <si>
    <r>
      <rPr>
        <sz val="14"/>
        <rFont val="Times New Roman"/>
        <charset val="134"/>
      </rPr>
      <t>1.2</t>
    </r>
    <r>
      <rPr>
        <sz val="14"/>
        <rFont val="宋体"/>
        <charset val="134"/>
      </rPr>
      <t>、计算燃烧空气量</t>
    </r>
  </si>
  <si>
    <t>Vo=</t>
  </si>
  <si>
    <t>0.0889*(Car+0.375Sar)+0.265*Hy-0.033*Oar</t>
  </si>
  <si>
    <t>Nm3/kg</t>
  </si>
  <si>
    <r>
      <rPr>
        <sz val="14"/>
        <rFont val="Times New Roman"/>
        <charset val="134"/>
      </rPr>
      <t>1.3</t>
    </r>
    <r>
      <rPr>
        <sz val="14"/>
        <rFont val="宋体"/>
        <charset val="134"/>
      </rPr>
      <t>、理论烟气量计算</t>
    </r>
  </si>
  <si>
    <r>
      <rPr>
        <sz val="14"/>
        <rFont val="Times New Roman"/>
        <charset val="134"/>
      </rPr>
      <t>1</t>
    </r>
    <r>
      <rPr>
        <sz val="14"/>
        <rFont val="宋体"/>
        <charset val="134"/>
      </rPr>
      <t>）</t>
    </r>
    <r>
      <rPr>
        <sz val="14"/>
        <rFont val="Times New Roman"/>
        <charset val="134"/>
      </rPr>
      <t>CO2</t>
    </r>
    <r>
      <rPr>
        <sz val="14"/>
        <rFont val="宋体"/>
        <charset val="134"/>
      </rPr>
      <t>和</t>
    </r>
    <r>
      <rPr>
        <sz val="14"/>
        <rFont val="Times New Roman"/>
        <charset val="134"/>
      </rPr>
      <t>SO2</t>
    </r>
    <r>
      <rPr>
        <sz val="14"/>
        <rFont val="宋体"/>
        <charset val="134"/>
      </rPr>
      <t>产生量计算</t>
    </r>
  </si>
  <si>
    <t>VRO2=</t>
  </si>
  <si>
    <t>VCO2+VSO2</t>
  </si>
  <si>
    <t>1.866*Car/100+0.7*Sar/100</t>
  </si>
  <si>
    <t>/</t>
  </si>
  <si>
    <r>
      <rPr>
        <sz val="14"/>
        <rFont val="Times New Roman"/>
        <charset val="134"/>
      </rPr>
      <t>2</t>
    </r>
    <r>
      <rPr>
        <sz val="14"/>
        <rFont val="宋体"/>
        <charset val="134"/>
      </rPr>
      <t>）烟气中的含氮量计算</t>
    </r>
  </si>
  <si>
    <r>
      <rPr>
        <sz val="14"/>
        <rFont val="Times New Roman"/>
        <charset val="134"/>
      </rPr>
      <t>VN2</t>
    </r>
    <r>
      <rPr>
        <sz val="14"/>
        <rFont val="宋体"/>
        <charset val="134"/>
      </rPr>
      <t>＝</t>
    </r>
  </si>
  <si>
    <t>0.8*Nar/100+0.79*Vo</t>
  </si>
  <si>
    <r>
      <rPr>
        <sz val="14"/>
        <rFont val="Times New Roman"/>
        <charset val="134"/>
      </rPr>
      <t>3)</t>
    </r>
    <r>
      <rPr>
        <sz val="14"/>
        <rFont val="宋体"/>
        <charset val="134"/>
      </rPr>
      <t>理论水蒸气含量计算</t>
    </r>
  </si>
  <si>
    <t>VH2Oo=</t>
  </si>
  <si>
    <t>0.0124*War+0.111Har+0.00161*d*Vo</t>
  </si>
  <si>
    <r>
      <rPr>
        <sz val="14"/>
        <rFont val="Times New Roman"/>
        <charset val="134"/>
      </rPr>
      <t>4</t>
    </r>
    <r>
      <rPr>
        <sz val="14"/>
        <rFont val="宋体"/>
        <charset val="134"/>
      </rPr>
      <t>）理论烟气量计算</t>
    </r>
  </si>
  <si>
    <t>Vyo=</t>
  </si>
  <si>
    <t>VRO2+VN2+VH2Oo</t>
  </si>
  <si>
    <r>
      <rPr>
        <sz val="14"/>
        <rFont val="Times New Roman"/>
        <charset val="134"/>
      </rPr>
      <t>1.4</t>
    </r>
    <r>
      <rPr>
        <sz val="14"/>
        <rFont val="宋体"/>
        <charset val="134"/>
      </rPr>
      <t>、实际烟气量计算</t>
    </r>
  </si>
  <si>
    <t>炉膛出口过量空气系数：</t>
  </si>
  <si>
    <r>
      <rPr>
        <sz val="14"/>
        <rFont val="Times New Roman"/>
        <charset val="134"/>
      </rPr>
      <t>1</t>
    </r>
    <r>
      <rPr>
        <sz val="14"/>
        <rFont val="宋体"/>
        <charset val="134"/>
      </rPr>
      <t>）过量空气中的</t>
    </r>
    <r>
      <rPr>
        <sz val="14"/>
        <rFont val="Times New Roman"/>
        <charset val="134"/>
      </rPr>
      <t>O2</t>
    </r>
    <r>
      <rPr>
        <sz val="14"/>
        <rFont val="宋体"/>
        <charset val="134"/>
      </rPr>
      <t>和</t>
    </r>
    <r>
      <rPr>
        <sz val="14"/>
        <rFont val="Times New Roman"/>
        <charset val="134"/>
      </rPr>
      <t>N2</t>
    </r>
    <r>
      <rPr>
        <sz val="14"/>
        <rFont val="宋体"/>
        <charset val="134"/>
      </rPr>
      <t>容积</t>
    </r>
  </si>
  <si>
    <t>VN2-VN2o=</t>
  </si>
  <si>
    <r>
      <rPr>
        <sz val="14"/>
        <rFont val="Times New Roman"/>
        <charset val="134"/>
      </rPr>
      <t>0.79*</t>
    </r>
    <r>
      <rPr>
        <sz val="14"/>
        <rFont val="宋体"/>
        <charset val="134"/>
      </rPr>
      <t>（</t>
    </r>
    <r>
      <rPr>
        <sz val="14"/>
        <rFont val="Times New Roman"/>
        <charset val="134"/>
      </rPr>
      <t>a-1</t>
    </r>
    <r>
      <rPr>
        <sz val="14"/>
        <rFont val="宋体"/>
        <charset val="134"/>
      </rPr>
      <t>）</t>
    </r>
    <r>
      <rPr>
        <sz val="14"/>
        <rFont val="Times New Roman"/>
        <charset val="134"/>
      </rPr>
      <t>*Vo</t>
    </r>
  </si>
  <si>
    <r>
      <rPr>
        <sz val="14"/>
        <rFont val="Times New Roman"/>
        <charset val="134"/>
      </rPr>
      <t>VO2</t>
    </r>
    <r>
      <rPr>
        <sz val="14"/>
        <rFont val="宋体"/>
        <charset val="134"/>
      </rPr>
      <t>＝</t>
    </r>
  </si>
  <si>
    <r>
      <rPr>
        <sz val="14"/>
        <rFont val="Times New Roman"/>
        <charset val="134"/>
      </rPr>
      <t>0.21*</t>
    </r>
    <r>
      <rPr>
        <sz val="14"/>
        <rFont val="宋体"/>
        <charset val="134"/>
      </rPr>
      <t>（</t>
    </r>
    <r>
      <rPr>
        <sz val="14"/>
        <rFont val="Times New Roman"/>
        <charset val="134"/>
      </rPr>
      <t>a-1</t>
    </r>
    <r>
      <rPr>
        <sz val="14"/>
        <rFont val="宋体"/>
        <charset val="134"/>
      </rPr>
      <t>）</t>
    </r>
    <r>
      <rPr>
        <sz val="14"/>
        <rFont val="Times New Roman"/>
        <charset val="134"/>
      </rPr>
      <t>*Vo</t>
    </r>
  </si>
  <si>
    <r>
      <rPr>
        <sz val="14"/>
        <rFont val="Times New Roman"/>
        <charset val="134"/>
      </rPr>
      <t>2)</t>
    </r>
    <r>
      <rPr>
        <sz val="14"/>
        <rFont val="宋体"/>
        <charset val="134"/>
      </rPr>
      <t>过量空气总的水蒸汽容积</t>
    </r>
  </si>
  <si>
    <t>VH2O-VH2Oo=</t>
  </si>
  <si>
    <t>0.00161*d*(a-1)*Vo</t>
  </si>
  <si>
    <r>
      <rPr>
        <sz val="14"/>
        <rFont val="Times New Roman"/>
        <charset val="134"/>
      </rPr>
      <t>3</t>
    </r>
    <r>
      <rPr>
        <sz val="14"/>
        <rFont val="宋体"/>
        <charset val="134"/>
      </rPr>
      <t>）实际烟气量计算</t>
    </r>
  </si>
  <si>
    <t>Vy=</t>
  </si>
  <si>
    <t>Vyo+VO2+(VN2-VN2o)+(VH2O-VH2Oo)</t>
  </si>
  <si>
    <r>
      <rPr>
        <sz val="14"/>
        <rFont val="Times New Roman"/>
        <charset val="134"/>
      </rPr>
      <t>1.5</t>
    </r>
    <r>
      <rPr>
        <sz val="14"/>
        <rFont val="宋体"/>
        <charset val="134"/>
      </rPr>
      <t>、锅炉燃煤量</t>
    </r>
  </si>
  <si>
    <t>B=</t>
  </si>
  <si>
    <r>
      <rPr>
        <sz val="14"/>
        <rFont val="Times New Roman"/>
        <charset val="134"/>
      </rPr>
      <t>(D*(Igr-Igs)+Dpw*(Ipw-Igs))/(</t>
    </r>
    <r>
      <rPr>
        <sz val="14"/>
        <rFont val="宋体"/>
        <charset val="134"/>
      </rPr>
      <t>η</t>
    </r>
    <r>
      <rPr>
        <sz val="14"/>
        <rFont val="Times New Roman"/>
        <charset val="134"/>
      </rPr>
      <t>gs*Qnet.ar)</t>
    </r>
  </si>
  <si>
    <t>锅炉蒸发量</t>
  </si>
  <si>
    <t>排污率</t>
  </si>
  <si>
    <t>锅炉效率</t>
  </si>
  <si>
    <t>给水焓</t>
  </si>
  <si>
    <t>主蒸汽焓</t>
  </si>
  <si>
    <t>排污水焓</t>
  </si>
  <si>
    <t>煤仓</t>
  </si>
  <si>
    <r>
      <rPr>
        <sz val="14"/>
        <rFont val="Times New Roman"/>
        <charset val="134"/>
      </rPr>
      <t>1.6</t>
    </r>
    <r>
      <rPr>
        <sz val="14"/>
        <rFont val="宋体"/>
        <charset val="134"/>
      </rPr>
      <t>、计算燃煤量</t>
    </r>
  </si>
  <si>
    <t>Bj=</t>
  </si>
  <si>
    <t>B*(100-q4)/100</t>
  </si>
  <si>
    <t>石灰石量</t>
  </si>
  <si>
    <r>
      <rPr>
        <sz val="14"/>
        <rFont val="Times New Roman"/>
        <charset val="134"/>
      </rPr>
      <t>1.7</t>
    </r>
    <r>
      <rPr>
        <sz val="14"/>
        <rFont val="宋体"/>
        <charset val="134"/>
      </rPr>
      <t>、灰渣量计算</t>
    </r>
  </si>
  <si>
    <t>Qhz=</t>
  </si>
  <si>
    <t>B*(Aar/100+(q4*Qnet.ar)/(100*8100*4.186))</t>
  </si>
  <si>
    <t>加入石灰石</t>
  </si>
  <si>
    <r>
      <rPr>
        <sz val="14"/>
        <rFont val="Times New Roman"/>
        <charset val="134"/>
      </rPr>
      <t>1)</t>
    </r>
    <r>
      <rPr>
        <sz val="14"/>
        <rFont val="宋体"/>
        <charset val="134"/>
      </rPr>
      <t>飞灰量计算</t>
    </r>
  </si>
  <si>
    <t>afh=</t>
  </si>
  <si>
    <t>Qfh=</t>
  </si>
  <si>
    <t>Bj*afh*Aar/100</t>
  </si>
  <si>
    <r>
      <rPr>
        <sz val="14"/>
        <rFont val="Times New Roman"/>
        <charset val="134"/>
      </rPr>
      <t>2)</t>
    </r>
    <r>
      <rPr>
        <sz val="14"/>
        <rFont val="宋体"/>
        <charset val="134"/>
      </rPr>
      <t>渣量计算</t>
    </r>
  </si>
  <si>
    <t>Qz=</t>
  </si>
  <si>
    <t>Qhz-Qfh</t>
  </si>
  <si>
    <r>
      <rPr>
        <sz val="14"/>
        <rFont val="Times New Roman"/>
        <charset val="134"/>
      </rPr>
      <t>1.8</t>
    </r>
    <r>
      <rPr>
        <sz val="14"/>
        <rFont val="宋体"/>
        <charset val="134"/>
      </rPr>
      <t>、送风机选型风量计算</t>
    </r>
  </si>
  <si>
    <t>kPa</t>
  </si>
  <si>
    <t>送风机风量储备系数</t>
  </si>
  <si>
    <t>Vg=</t>
  </si>
  <si>
    <t>k1*Bj*1000*aL*Vo*(273+tk)*101/(273*b)</t>
  </si>
  <si>
    <t>m3/h</t>
  </si>
  <si>
    <r>
      <rPr>
        <sz val="14"/>
        <color indexed="10"/>
        <rFont val="宋体"/>
        <charset val="134"/>
      </rPr>
      <t>一次风占</t>
    </r>
    <r>
      <rPr>
        <sz val="14"/>
        <color indexed="10"/>
        <rFont val="Times New Roman"/>
        <charset val="134"/>
      </rPr>
      <t>60%</t>
    </r>
  </si>
  <si>
    <r>
      <rPr>
        <sz val="14"/>
        <color indexed="10"/>
        <rFont val="宋体"/>
        <charset val="134"/>
      </rPr>
      <t>二次风占</t>
    </r>
    <r>
      <rPr>
        <sz val="14"/>
        <color indexed="10"/>
        <rFont val="Times New Roman"/>
        <charset val="134"/>
      </rPr>
      <t>40%</t>
    </r>
  </si>
  <si>
    <t>锅炉厂提供总风量</t>
  </si>
  <si>
    <t>Nm3/h</t>
  </si>
  <si>
    <t>修正</t>
  </si>
  <si>
    <t>按锅炉厂系统计算</t>
  </si>
  <si>
    <t>一次风量</t>
  </si>
  <si>
    <t>二次风量</t>
  </si>
  <si>
    <t>选取</t>
  </si>
  <si>
    <r>
      <rPr>
        <sz val="14"/>
        <rFont val="Times New Roman"/>
        <charset val="134"/>
      </rPr>
      <t>1.9</t>
    </r>
    <r>
      <rPr>
        <sz val="14"/>
        <rFont val="宋体"/>
        <charset val="134"/>
      </rPr>
      <t>、送风机选型阻力计算</t>
    </r>
  </si>
  <si>
    <t>一次风机阻力计算</t>
  </si>
  <si>
    <t>锅炉本体空气侧阻力</t>
  </si>
  <si>
    <t>风道总阻力</t>
  </si>
  <si>
    <t>风压储备系数</t>
  </si>
  <si>
    <t>Hg=</t>
  </si>
  <si>
    <r>
      <rPr>
        <sz val="14"/>
        <rFont val="Times New Roman"/>
        <charset val="134"/>
      </rPr>
      <t>K2*</t>
    </r>
    <r>
      <rPr>
        <sz val="14"/>
        <rFont val="宋体"/>
        <charset val="134"/>
      </rPr>
      <t>∑Δ</t>
    </r>
    <r>
      <rPr>
        <sz val="14"/>
        <rFont val="Times New Roman"/>
        <charset val="134"/>
      </rPr>
      <t>h*((273+tk)/(273+tg))*(101/b)*(1.293/</t>
    </r>
    <r>
      <rPr>
        <sz val="14"/>
        <rFont val="宋体"/>
        <charset val="134"/>
      </rPr>
      <t>ρ</t>
    </r>
    <r>
      <rPr>
        <sz val="14"/>
        <rFont val="Times New Roman"/>
        <charset val="134"/>
      </rPr>
      <t>ko)</t>
    </r>
  </si>
  <si>
    <t>锅炉厂推荐</t>
  </si>
  <si>
    <t>二次风机阻力计算</t>
  </si>
  <si>
    <r>
      <rPr>
        <sz val="14"/>
        <rFont val="Times New Roman"/>
        <charset val="134"/>
      </rPr>
      <t>1.10</t>
    </r>
    <r>
      <rPr>
        <sz val="14"/>
        <rFont val="宋体"/>
        <charset val="134"/>
      </rPr>
      <t>、送风机选型</t>
    </r>
  </si>
  <si>
    <t>锅炉一次风机台数</t>
  </si>
  <si>
    <t>台</t>
  </si>
  <si>
    <t>风量</t>
  </si>
  <si>
    <t>风压</t>
  </si>
  <si>
    <t>电动机功率计算</t>
  </si>
  <si>
    <r>
      <rPr>
        <sz val="14"/>
        <rFont val="宋体"/>
        <charset val="134"/>
      </rPr>
      <t>风机效率η</t>
    </r>
    <r>
      <rPr>
        <sz val="14"/>
        <rFont val="Times New Roman"/>
        <charset val="134"/>
      </rPr>
      <t>1</t>
    </r>
  </si>
  <si>
    <r>
      <rPr>
        <sz val="14"/>
        <rFont val="宋体"/>
        <charset val="134"/>
      </rPr>
      <t>机械效率η</t>
    </r>
    <r>
      <rPr>
        <sz val="14"/>
        <rFont val="Times New Roman"/>
        <charset val="134"/>
      </rPr>
      <t>2</t>
    </r>
  </si>
  <si>
    <r>
      <rPr>
        <sz val="14"/>
        <rFont val="宋体"/>
        <charset val="134"/>
      </rPr>
      <t>电动机效率η</t>
    </r>
    <r>
      <rPr>
        <sz val="14"/>
        <rFont val="Times New Roman"/>
        <charset val="134"/>
      </rPr>
      <t>3</t>
    </r>
  </si>
  <si>
    <t>电动机备用系数</t>
  </si>
  <si>
    <t>Ng=</t>
  </si>
  <si>
    <r>
      <rPr>
        <sz val="14"/>
        <rFont val="Times New Roman"/>
        <charset val="134"/>
      </rPr>
      <t>B*Vg*Hg/(3600*9.81*102*</t>
    </r>
    <r>
      <rPr>
        <sz val="14"/>
        <rFont val="宋体"/>
        <charset val="134"/>
      </rPr>
      <t>η</t>
    </r>
    <r>
      <rPr>
        <sz val="14"/>
        <rFont val="Times New Roman"/>
        <charset val="134"/>
      </rPr>
      <t>1*</t>
    </r>
    <r>
      <rPr>
        <sz val="14"/>
        <rFont val="宋体"/>
        <charset val="134"/>
      </rPr>
      <t>η</t>
    </r>
    <r>
      <rPr>
        <sz val="14"/>
        <rFont val="Times New Roman"/>
        <charset val="134"/>
      </rPr>
      <t>2*</t>
    </r>
    <r>
      <rPr>
        <sz val="14"/>
        <rFont val="宋体"/>
        <charset val="134"/>
      </rPr>
      <t>η</t>
    </r>
    <r>
      <rPr>
        <sz val="14"/>
        <rFont val="Times New Roman"/>
        <charset val="134"/>
      </rPr>
      <t>3)</t>
    </r>
  </si>
  <si>
    <t>锅炉二次风机台数</t>
  </si>
  <si>
    <r>
      <rPr>
        <sz val="14"/>
        <rFont val="Times New Roman"/>
        <charset val="134"/>
      </rPr>
      <t>1.11</t>
    </r>
    <r>
      <rPr>
        <sz val="14"/>
        <rFont val="宋体"/>
        <charset val="134"/>
      </rPr>
      <t>、引风机选型计算</t>
    </r>
  </si>
  <si>
    <r>
      <rPr>
        <sz val="14"/>
        <rFont val="Times New Roman"/>
        <charset val="134"/>
      </rPr>
      <t>1</t>
    </r>
    <r>
      <rPr>
        <sz val="14"/>
        <rFont val="宋体"/>
        <charset val="134"/>
      </rPr>
      <t>）风量计算</t>
    </r>
  </si>
  <si>
    <t>风量储备系数</t>
  </si>
  <si>
    <t>炉后烟道漏风系数</t>
  </si>
  <si>
    <t>排烟温度</t>
  </si>
  <si>
    <r>
      <rPr>
        <sz val="14"/>
        <rFont val="Times New Roman"/>
        <charset val="134"/>
      </rPr>
      <t>k1*Bj*</t>
    </r>
    <r>
      <rPr>
        <sz val="14"/>
        <rFont val="宋体"/>
        <charset val="134"/>
      </rPr>
      <t>∑</t>
    </r>
    <r>
      <rPr>
        <sz val="14"/>
        <rFont val="Times New Roman"/>
        <charset val="134"/>
      </rPr>
      <t>Vy*(273+tp)*101*1000/(273*b)</t>
    </r>
  </si>
  <si>
    <t>按锅炉厂数据计算</t>
  </si>
  <si>
    <t>烟气量</t>
  </si>
  <si>
    <t>烟囱高度</t>
  </si>
  <si>
    <t>米</t>
  </si>
  <si>
    <t>出口流速</t>
  </si>
  <si>
    <r>
      <rPr>
        <sz val="14"/>
        <rFont val="Times New Roman"/>
        <charset val="134"/>
      </rPr>
      <t>2</t>
    </r>
    <r>
      <rPr>
        <sz val="14"/>
        <rFont val="宋体"/>
        <charset val="134"/>
      </rPr>
      <t>）风压计算</t>
    </r>
  </si>
  <si>
    <t>锅炉本体烟气侧阻力</t>
  </si>
  <si>
    <t>除尘器阻力</t>
  </si>
  <si>
    <t>烟道阻力</t>
  </si>
  <si>
    <t>烟囱阻力</t>
  </si>
  <si>
    <t>烟囱自生通风力</t>
  </si>
  <si>
    <t>储备系数</t>
  </si>
  <si>
    <r>
      <rPr>
        <sz val="14"/>
        <rFont val="Times New Roman"/>
        <charset val="134"/>
      </rPr>
      <t>Hy</t>
    </r>
    <r>
      <rPr>
        <sz val="14"/>
        <rFont val="宋体"/>
        <charset val="134"/>
      </rPr>
      <t>＝</t>
    </r>
  </si>
  <si>
    <r>
      <rPr>
        <sz val="14"/>
        <rFont val="Times New Roman"/>
        <charset val="134"/>
      </rPr>
      <t>K2*</t>
    </r>
    <r>
      <rPr>
        <sz val="14"/>
        <rFont val="宋体"/>
        <charset val="134"/>
      </rPr>
      <t>∑Δ</t>
    </r>
    <r>
      <rPr>
        <sz val="14"/>
        <rFont val="Times New Roman"/>
        <charset val="134"/>
      </rPr>
      <t>h*((273+tp)/(273+ty))*(101/b)</t>
    </r>
  </si>
  <si>
    <r>
      <rPr>
        <sz val="14"/>
        <rFont val="Times New Roman"/>
        <charset val="134"/>
      </rPr>
      <t>3</t>
    </r>
    <r>
      <rPr>
        <sz val="14"/>
        <rFont val="宋体"/>
        <charset val="134"/>
      </rPr>
      <t>）引风机选型</t>
    </r>
  </si>
  <si>
    <t>风机台数</t>
  </si>
  <si>
    <t>Ny=</t>
  </si>
  <si>
    <r>
      <rPr>
        <sz val="14"/>
        <rFont val="Times New Roman"/>
        <charset val="134"/>
      </rPr>
      <t>B*Vy*Hy</t>
    </r>
    <r>
      <rPr>
        <sz val="14"/>
        <rFont val="宋体"/>
        <charset val="134"/>
      </rPr>
      <t>／（</t>
    </r>
    <r>
      <rPr>
        <sz val="14"/>
        <rFont val="Times New Roman"/>
        <charset val="134"/>
      </rPr>
      <t>3600*9.81*102*</t>
    </r>
    <r>
      <rPr>
        <sz val="14"/>
        <rFont val="宋体"/>
        <charset val="134"/>
      </rPr>
      <t>η</t>
    </r>
    <r>
      <rPr>
        <sz val="14"/>
        <rFont val="Times New Roman"/>
        <charset val="134"/>
      </rPr>
      <t>1*</t>
    </r>
    <r>
      <rPr>
        <sz val="14"/>
        <rFont val="宋体"/>
        <charset val="134"/>
      </rPr>
      <t>η</t>
    </r>
    <r>
      <rPr>
        <sz val="14"/>
        <rFont val="Times New Roman"/>
        <charset val="134"/>
      </rPr>
      <t>2*</t>
    </r>
    <r>
      <rPr>
        <sz val="14"/>
        <rFont val="宋体"/>
        <charset val="134"/>
      </rPr>
      <t>η</t>
    </r>
    <r>
      <rPr>
        <sz val="14"/>
        <rFont val="Times New Roman"/>
        <charset val="134"/>
      </rPr>
      <t>3</t>
    </r>
    <r>
      <rPr>
        <sz val="14"/>
        <rFont val="宋体"/>
        <charset val="134"/>
      </rPr>
      <t>）</t>
    </r>
  </si>
  <si>
    <t>基本参数(淘宝店铺:枫启教育)</t>
  </si>
  <si>
    <t>齿轮齿条传动</t>
  </si>
  <si>
    <r>
      <rPr>
        <sz val="12"/>
        <rFont val="宋体"/>
        <charset val="134"/>
      </rPr>
      <t>被移动件的质量</t>
    </r>
    <r>
      <rPr>
        <sz val="12"/>
        <rFont val="Arial"/>
        <charset val="134"/>
      </rPr>
      <t xml:space="preserve"> (M) [kg]:</t>
    </r>
  </si>
  <si>
    <r>
      <rPr>
        <sz val="12"/>
        <rFont val="宋体"/>
        <charset val="134"/>
      </rPr>
      <t>快移速度</t>
    </r>
    <r>
      <rPr>
        <sz val="12"/>
        <rFont val="Arial"/>
        <charset val="134"/>
      </rPr>
      <t xml:space="preserve"> [m/min]:</t>
    </r>
  </si>
  <si>
    <r>
      <rPr>
        <sz val="12"/>
        <rFont val="宋体"/>
        <charset val="134"/>
      </rPr>
      <t>加速时间(t</t>
    </r>
    <r>
      <rPr>
        <vertAlign val="subscript"/>
        <sz val="12"/>
        <rFont val="宋体"/>
        <charset val="134"/>
      </rPr>
      <t>a</t>
    </r>
    <r>
      <rPr>
        <sz val="12"/>
        <rFont val="宋体"/>
        <charset val="134"/>
      </rPr>
      <t>)[</t>
    </r>
    <r>
      <rPr>
        <sz val="12"/>
        <rFont val="宋体"/>
        <charset val="134"/>
      </rPr>
      <t>S</t>
    </r>
    <r>
      <rPr>
        <sz val="12"/>
        <rFont val="宋体"/>
        <charset val="134"/>
      </rPr>
      <t>]:</t>
    </r>
  </si>
  <si>
    <r>
      <rPr>
        <sz val="12"/>
        <rFont val="宋体"/>
        <charset val="134"/>
      </rPr>
      <t>加速度</t>
    </r>
    <r>
      <rPr>
        <sz val="12"/>
        <rFont val="Arial"/>
        <charset val="134"/>
      </rPr>
      <t xml:space="preserve"> (a)[m/s</t>
    </r>
    <r>
      <rPr>
        <vertAlign val="superscript"/>
        <sz val="12"/>
        <rFont val="Arial"/>
        <charset val="134"/>
      </rPr>
      <t>2</t>
    </r>
    <r>
      <rPr>
        <sz val="12"/>
        <rFont val="Arial"/>
        <charset val="134"/>
      </rPr>
      <t>]:</t>
    </r>
  </si>
  <si>
    <r>
      <rPr>
        <sz val="12"/>
        <rFont val="宋体"/>
        <charset val="134"/>
      </rPr>
      <t>最大切削抗力</t>
    </r>
    <r>
      <rPr>
        <sz val="12"/>
        <rFont val="Arial"/>
        <charset val="134"/>
      </rPr>
      <t xml:space="preserve"> (F</t>
    </r>
    <r>
      <rPr>
        <vertAlign val="subscript"/>
        <sz val="12"/>
        <rFont val="Arial"/>
        <charset val="134"/>
      </rPr>
      <t>C</t>
    </r>
    <r>
      <rPr>
        <sz val="12"/>
        <rFont val="Arial"/>
        <charset val="134"/>
      </rPr>
      <t>) [N]:</t>
    </r>
  </si>
  <si>
    <t>最大抗力时的速度 [m/min]:</t>
  </si>
  <si>
    <r>
      <rPr>
        <sz val="12"/>
        <rFont val="宋体"/>
        <charset val="134"/>
      </rPr>
      <t>摩擦系数</t>
    </r>
    <r>
      <rPr>
        <sz val="12"/>
        <rFont val="Arial"/>
        <charset val="134"/>
      </rPr>
      <t xml:space="preserve"> (u):</t>
    </r>
  </si>
  <si>
    <t>齿轮模数m</t>
  </si>
  <si>
    <t>齿轮齿数Z</t>
  </si>
  <si>
    <r>
      <rPr>
        <sz val="12"/>
        <rFont val="宋体"/>
        <charset val="134"/>
      </rPr>
      <t>齿轮斜角a</t>
    </r>
    <r>
      <rPr>
        <sz val="12"/>
        <rFont val="宋体"/>
        <charset val="134"/>
      </rPr>
      <t>[度]</t>
    </r>
  </si>
  <si>
    <r>
      <rPr>
        <sz val="12"/>
        <rFont val="宋体"/>
        <charset val="134"/>
      </rPr>
      <t>齿轮分度圆直径</t>
    </r>
    <r>
      <rPr>
        <sz val="12"/>
        <rFont val="Arial"/>
        <charset val="134"/>
      </rPr>
      <t xml:space="preserve"> (D) [m]:</t>
    </r>
  </si>
  <si>
    <t>齿轮压力角</t>
  </si>
  <si>
    <t>传动效率η</t>
  </si>
  <si>
    <r>
      <rPr>
        <sz val="12"/>
        <rFont val="宋体"/>
        <charset val="134"/>
      </rPr>
      <t>齿轮受力X</t>
    </r>
    <r>
      <rPr>
        <sz val="12"/>
        <rFont val="宋体"/>
        <charset val="134"/>
      </rPr>
      <t>2[mm]</t>
    </r>
  </si>
  <si>
    <t>水平/垂直运动</t>
  </si>
  <si>
    <t>水平</t>
  </si>
  <si>
    <r>
      <rPr>
        <sz val="12"/>
        <rFont val="宋体"/>
        <charset val="134"/>
      </rPr>
      <t>重力加速度</t>
    </r>
    <r>
      <rPr>
        <sz val="12"/>
        <rFont val="宋体"/>
        <charset val="134"/>
      </rPr>
      <t>(</t>
    </r>
    <r>
      <rPr>
        <sz val="12"/>
        <rFont val="宋体"/>
        <charset val="134"/>
      </rPr>
      <t>g</t>
    </r>
    <r>
      <rPr>
        <sz val="12"/>
        <rFont val="宋体"/>
        <charset val="134"/>
      </rPr>
      <t>)[m/s2]:</t>
    </r>
  </si>
  <si>
    <t>快速移动时：减速机和电机-力和力矩的计算</t>
  </si>
  <si>
    <r>
      <rPr>
        <sz val="12"/>
        <rFont val="宋体"/>
        <charset val="134"/>
      </rPr>
      <t>加速力</t>
    </r>
    <r>
      <rPr>
        <sz val="12"/>
        <rFont val="Arial"/>
        <charset val="134"/>
      </rPr>
      <t xml:space="preserve"> (F</t>
    </r>
    <r>
      <rPr>
        <vertAlign val="subscript"/>
        <sz val="12"/>
        <rFont val="Arial"/>
        <charset val="134"/>
      </rPr>
      <t>a</t>
    </r>
    <r>
      <rPr>
        <sz val="12"/>
        <rFont val="Arial"/>
        <charset val="134"/>
      </rPr>
      <t>) [N]:</t>
    </r>
  </si>
  <si>
    <r>
      <rPr>
        <sz val="12"/>
        <rFont val="宋体"/>
        <charset val="134"/>
      </rPr>
      <t>摩擦力</t>
    </r>
    <r>
      <rPr>
        <sz val="12"/>
        <rFont val="Arial"/>
        <charset val="134"/>
      </rPr>
      <t xml:space="preserve"> (F</t>
    </r>
    <r>
      <rPr>
        <vertAlign val="subscript"/>
        <sz val="12"/>
        <rFont val="Arial"/>
        <charset val="134"/>
      </rPr>
      <t>f</t>
    </r>
    <r>
      <rPr>
        <sz val="12"/>
        <rFont val="Arial"/>
        <charset val="134"/>
      </rPr>
      <t>) [N]:</t>
    </r>
  </si>
  <si>
    <r>
      <rPr>
        <sz val="12"/>
        <rFont val="宋体"/>
        <charset val="134"/>
      </rPr>
      <t>合力</t>
    </r>
    <r>
      <rPr>
        <sz val="12"/>
        <rFont val="Arial"/>
        <charset val="134"/>
      </rPr>
      <t xml:space="preserve"> [N]</t>
    </r>
  </si>
  <si>
    <r>
      <rPr>
        <sz val="12"/>
        <rFont val="宋体"/>
        <charset val="134"/>
      </rPr>
      <t>齿轮最高转速</t>
    </r>
    <r>
      <rPr>
        <sz val="12"/>
        <rFont val="Arial"/>
        <charset val="134"/>
      </rPr>
      <t xml:space="preserve"> (n1) [min</t>
    </r>
    <r>
      <rPr>
        <vertAlign val="superscript"/>
        <sz val="12"/>
        <rFont val="Arial"/>
        <charset val="134"/>
      </rPr>
      <t>-1</t>
    </r>
    <r>
      <rPr>
        <sz val="12"/>
        <rFont val="Arial"/>
        <charset val="134"/>
      </rPr>
      <t>]</t>
    </r>
  </si>
  <si>
    <r>
      <rPr>
        <sz val="12"/>
        <rFont val="宋体"/>
        <charset val="134"/>
      </rPr>
      <t>齿轮角加速度</t>
    </r>
    <r>
      <rPr>
        <sz val="12"/>
        <rFont val="宋体"/>
        <charset val="134"/>
      </rPr>
      <t>b</t>
    </r>
    <r>
      <rPr>
        <vertAlign val="subscript"/>
        <sz val="12"/>
        <rFont val="宋体"/>
        <charset val="134"/>
      </rPr>
      <t>G</t>
    </r>
    <r>
      <rPr>
        <sz val="12"/>
        <rFont val="宋体"/>
        <charset val="134"/>
      </rPr>
      <t>[Rad/s</t>
    </r>
    <r>
      <rPr>
        <vertAlign val="superscript"/>
        <sz val="12"/>
        <rFont val="宋体"/>
        <charset val="134"/>
      </rPr>
      <t>2</t>
    </r>
    <r>
      <rPr>
        <sz val="12"/>
        <rFont val="宋体"/>
        <charset val="134"/>
      </rPr>
      <t>]</t>
    </r>
  </si>
  <si>
    <r>
      <rPr>
        <sz val="12"/>
        <rFont val="宋体"/>
        <charset val="134"/>
      </rPr>
      <t>齿轮自身惯量J</t>
    </r>
    <r>
      <rPr>
        <vertAlign val="subscript"/>
        <sz val="12"/>
        <rFont val="宋体"/>
        <charset val="134"/>
      </rPr>
      <t>G</t>
    </r>
    <r>
      <rPr>
        <sz val="12"/>
        <rFont val="宋体"/>
        <charset val="134"/>
      </rPr>
      <t>[Kg.m</t>
    </r>
    <r>
      <rPr>
        <vertAlign val="superscript"/>
        <sz val="12"/>
        <rFont val="宋体"/>
        <charset val="134"/>
      </rPr>
      <t>2</t>
    </r>
    <r>
      <rPr>
        <sz val="12"/>
        <rFont val="宋体"/>
        <charset val="134"/>
      </rPr>
      <t>]</t>
    </r>
  </si>
  <si>
    <r>
      <rPr>
        <sz val="12"/>
        <rFont val="宋体"/>
        <charset val="134"/>
      </rPr>
      <t>齿轮损耗的加速力矩T</t>
    </r>
    <r>
      <rPr>
        <vertAlign val="subscript"/>
        <sz val="12"/>
        <rFont val="宋体"/>
        <charset val="134"/>
      </rPr>
      <t>G</t>
    </r>
    <r>
      <rPr>
        <sz val="12"/>
        <rFont val="宋体"/>
        <charset val="134"/>
      </rPr>
      <t>[N]</t>
    </r>
  </si>
  <si>
    <r>
      <rPr>
        <sz val="12"/>
        <rFont val="宋体"/>
        <charset val="134"/>
      </rPr>
      <t>合力矩</t>
    </r>
    <r>
      <rPr>
        <sz val="12"/>
        <rFont val="Arial"/>
        <charset val="134"/>
      </rPr>
      <t xml:space="preserve"> (T</t>
    </r>
    <r>
      <rPr>
        <vertAlign val="subscript"/>
        <sz val="12"/>
        <rFont val="Arial"/>
        <charset val="134"/>
      </rPr>
      <t>req</t>
    </r>
    <r>
      <rPr>
        <sz val="12"/>
        <rFont val="Arial"/>
        <charset val="134"/>
      </rPr>
      <t>) [Nm]</t>
    </r>
  </si>
  <si>
    <t>减速比i</t>
  </si>
  <si>
    <t>根据电机额定速度倒着推算</t>
  </si>
  <si>
    <t>减速机效率η2</t>
  </si>
  <si>
    <r>
      <rPr>
        <sz val="12"/>
        <rFont val="宋体"/>
        <charset val="134"/>
      </rPr>
      <t>减速机输入端的加速力矩T</t>
    </r>
    <r>
      <rPr>
        <sz val="12"/>
        <rFont val="宋体"/>
        <charset val="134"/>
      </rPr>
      <t>2</t>
    </r>
    <r>
      <rPr>
        <sz val="12"/>
        <rFont val="宋体"/>
        <charset val="134"/>
      </rPr>
      <t>[Nm]:</t>
    </r>
  </si>
  <si>
    <t>考虑减速机的速比和效率</t>
  </si>
  <si>
    <r>
      <rPr>
        <sz val="12"/>
        <rFont val="宋体"/>
        <charset val="134"/>
      </rPr>
      <t>电机自身转动惯量J</t>
    </r>
    <r>
      <rPr>
        <sz val="12"/>
        <rFont val="宋体"/>
        <charset val="134"/>
      </rPr>
      <t>m</t>
    </r>
    <r>
      <rPr>
        <sz val="12"/>
        <rFont val="宋体"/>
        <charset val="134"/>
      </rPr>
      <t>[Kg.m</t>
    </r>
    <r>
      <rPr>
        <vertAlign val="superscript"/>
        <sz val="12"/>
        <rFont val="宋体"/>
        <charset val="134"/>
      </rPr>
      <t>2</t>
    </r>
    <r>
      <rPr>
        <sz val="12"/>
        <rFont val="宋体"/>
        <charset val="134"/>
      </rPr>
      <t>]:</t>
    </r>
  </si>
  <si>
    <t>取FKM55 的惯量</t>
  </si>
  <si>
    <r>
      <rPr>
        <sz val="12"/>
        <rFont val="宋体"/>
        <charset val="134"/>
      </rPr>
      <t>电机的最大转速n</t>
    </r>
    <r>
      <rPr>
        <sz val="12"/>
        <rFont val="宋体"/>
        <charset val="134"/>
      </rPr>
      <t>2</t>
    </r>
    <r>
      <rPr>
        <sz val="12"/>
        <rFont val="宋体"/>
        <charset val="134"/>
      </rPr>
      <t>[rpm]：</t>
    </r>
  </si>
  <si>
    <t>考虑速比</t>
  </si>
  <si>
    <r>
      <rPr>
        <sz val="12"/>
        <rFont val="宋体"/>
        <charset val="134"/>
      </rPr>
      <t>电机角加速度b</t>
    </r>
    <r>
      <rPr>
        <sz val="12"/>
        <rFont val="宋体"/>
        <charset val="134"/>
      </rPr>
      <t>m[Rad/s</t>
    </r>
    <r>
      <rPr>
        <vertAlign val="superscript"/>
        <sz val="12"/>
        <rFont val="宋体"/>
        <charset val="134"/>
      </rPr>
      <t>2</t>
    </r>
    <r>
      <rPr>
        <sz val="12"/>
        <rFont val="宋体"/>
        <charset val="134"/>
      </rPr>
      <t>]:</t>
    </r>
  </si>
  <si>
    <r>
      <rPr>
        <sz val="12"/>
        <rFont val="宋体"/>
        <charset val="134"/>
      </rPr>
      <t>电机克服自身惯量加速的力矩T</t>
    </r>
    <r>
      <rPr>
        <sz val="12"/>
        <rFont val="宋体"/>
        <charset val="134"/>
      </rPr>
      <t>m[Nm]：</t>
    </r>
  </si>
  <si>
    <t>力矩等于惯量乘以角加速度</t>
  </si>
  <si>
    <r>
      <rPr>
        <sz val="12"/>
        <rFont val="宋体"/>
        <charset val="134"/>
      </rPr>
      <t>电机在加速时总的输出力矩T</t>
    </r>
    <r>
      <rPr>
        <sz val="12"/>
        <rFont val="宋体"/>
        <charset val="134"/>
      </rPr>
      <t>m1</t>
    </r>
    <r>
      <rPr>
        <sz val="12"/>
        <rFont val="宋体"/>
        <charset val="134"/>
      </rPr>
      <t>[Nm]：</t>
    </r>
  </si>
  <si>
    <t>合力矩</t>
  </si>
  <si>
    <t>切削时：减速机和电机-力和力矩的计算</t>
  </si>
  <si>
    <r>
      <rPr>
        <sz val="12"/>
        <rFont val="宋体"/>
        <charset val="134"/>
      </rPr>
      <t>切削抗力 (F</t>
    </r>
    <r>
      <rPr>
        <sz val="12"/>
        <rFont val="宋体"/>
        <charset val="134"/>
      </rPr>
      <t>c</t>
    </r>
    <r>
      <rPr>
        <sz val="12"/>
        <rFont val="宋体"/>
        <charset val="134"/>
      </rPr>
      <t>) [N]:</t>
    </r>
  </si>
  <si>
    <r>
      <rPr>
        <sz val="12"/>
        <rFont val="宋体"/>
        <charset val="134"/>
      </rPr>
      <t>摩擦力</t>
    </r>
    <r>
      <rPr>
        <sz val="12"/>
        <rFont val="Arial"/>
        <charset val="134"/>
      </rPr>
      <t xml:space="preserve"> (f) [N]:</t>
    </r>
  </si>
  <si>
    <r>
      <rPr>
        <sz val="12"/>
        <rFont val="宋体"/>
        <charset val="134"/>
      </rPr>
      <t>力矩</t>
    </r>
    <r>
      <rPr>
        <sz val="12"/>
        <rFont val="Arial"/>
        <charset val="134"/>
      </rPr>
      <t xml:space="preserve"> (Tc) [Nm]</t>
    </r>
  </si>
  <si>
    <t>电机输出端的额定力矩T3[Nm]（减速机输入端）</t>
  </si>
  <si>
    <t>对应的齿轮转速[rpm]:</t>
  </si>
  <si>
    <t>电机转速[rpm]:</t>
  </si>
  <si>
    <t>侧倾力矩的计算</t>
  </si>
  <si>
    <t>齿轮传递的最大水平切向力</t>
  </si>
  <si>
    <r>
      <rPr>
        <sz val="12"/>
        <rFont val="宋体"/>
        <charset val="134"/>
      </rPr>
      <t>齿轮端面压力角</t>
    </r>
    <r>
      <rPr>
        <sz val="14"/>
        <rFont val="宋体"/>
        <charset val="134"/>
      </rPr>
      <t>a</t>
    </r>
    <r>
      <rPr>
        <sz val="12"/>
        <rFont val="宋体"/>
        <charset val="134"/>
      </rPr>
      <t>n[度]</t>
    </r>
  </si>
  <si>
    <t>斜齿轮的端面压力角</t>
  </si>
  <si>
    <r>
      <rPr>
        <sz val="14"/>
        <rFont val="宋体"/>
        <charset val="134"/>
      </rPr>
      <t>最大径向力F</t>
    </r>
    <r>
      <rPr>
        <vertAlign val="subscript"/>
        <sz val="14"/>
        <rFont val="宋体"/>
        <charset val="134"/>
      </rPr>
      <t>2rmax</t>
    </r>
  </si>
  <si>
    <t>斜角a0[度]</t>
  </si>
  <si>
    <t>斜齿轮的斜角</t>
  </si>
  <si>
    <r>
      <rPr>
        <sz val="14"/>
        <rFont val="宋体"/>
        <charset val="134"/>
      </rPr>
      <t>最大轴向力F</t>
    </r>
    <r>
      <rPr>
        <vertAlign val="subscript"/>
        <sz val="14"/>
        <rFont val="宋体"/>
        <charset val="134"/>
      </rPr>
      <t>2amax</t>
    </r>
    <r>
      <rPr>
        <sz val="14"/>
        <rFont val="宋体"/>
        <charset val="134"/>
      </rPr>
      <t>[N]</t>
    </r>
  </si>
  <si>
    <t>减速器输出端轴承的支撑跨度Z2</t>
  </si>
  <si>
    <t>来自样本</t>
  </si>
  <si>
    <r>
      <rPr>
        <sz val="14"/>
        <rFont val="宋体"/>
        <charset val="134"/>
      </rPr>
      <t>径向力的力臂长x</t>
    </r>
    <r>
      <rPr>
        <vertAlign val="subscript"/>
        <sz val="14"/>
        <rFont val="宋体"/>
        <charset val="134"/>
      </rPr>
      <t>2</t>
    </r>
  </si>
  <si>
    <t>由齿轮安装位置决定</t>
  </si>
  <si>
    <r>
      <rPr>
        <sz val="14"/>
        <rFont val="宋体"/>
        <charset val="134"/>
      </rPr>
      <t>轴向力的力臂长y</t>
    </r>
    <r>
      <rPr>
        <vertAlign val="subscript"/>
        <sz val="14"/>
        <rFont val="宋体"/>
        <charset val="134"/>
      </rPr>
      <t>2</t>
    </r>
  </si>
  <si>
    <t>由齿轮半径决定</t>
  </si>
  <si>
    <r>
      <rPr>
        <sz val="14"/>
        <rFont val="宋体"/>
        <charset val="134"/>
      </rPr>
      <t>侧倾力矩M</t>
    </r>
    <r>
      <rPr>
        <vertAlign val="subscript"/>
        <sz val="14"/>
        <rFont val="宋体"/>
        <charset val="134"/>
      </rPr>
      <t>2Kmax</t>
    </r>
    <r>
      <rPr>
        <sz val="14"/>
        <rFont val="宋体"/>
        <charset val="134"/>
      </rPr>
      <t>[Nm]</t>
    </r>
  </si>
  <si>
    <t>减速机选择</t>
  </si>
  <si>
    <t>计算值</t>
  </si>
  <si>
    <t>样本允许值</t>
  </si>
  <si>
    <t>使用率</t>
  </si>
  <si>
    <t>减速箱型号</t>
  </si>
  <si>
    <t>TP050S-MF1-10-0K1</t>
  </si>
  <si>
    <t>加速力矩[Nm]</t>
  </si>
  <si>
    <t>额定力矩[Nm]</t>
  </si>
  <si>
    <t>最大侧倾力矩[Nm]</t>
  </si>
  <si>
    <t>最大轴向力[N]</t>
  </si>
  <si>
    <t>最大径向力[N]</t>
  </si>
  <si>
    <r>
      <rPr>
        <sz val="12"/>
        <rFont val="宋体"/>
        <charset val="134"/>
      </rPr>
      <t>最大输入转速[</t>
    </r>
    <r>
      <rPr>
        <sz val="12"/>
        <rFont val="宋体"/>
        <charset val="134"/>
      </rPr>
      <t>RPM</t>
    </r>
    <r>
      <rPr>
        <sz val="12"/>
        <rFont val="宋体"/>
        <charset val="134"/>
      </rPr>
      <t>]</t>
    </r>
  </si>
  <si>
    <t>额定输入转速[RPM]</t>
  </si>
  <si>
    <t>电机的选择</t>
  </si>
  <si>
    <t>电机规格</t>
  </si>
  <si>
    <t>1FT6105-_SF7_</t>
  </si>
  <si>
    <t>实际计算值</t>
  </si>
  <si>
    <t>使用百分比</t>
  </si>
  <si>
    <t>最大力矩[Nm]</t>
  </si>
  <si>
    <t>最大输入转速[rpm]</t>
  </si>
  <si>
    <t>额定输入转速[rpm]</t>
  </si>
  <si>
    <t>惯量匹配计算</t>
  </si>
  <si>
    <r>
      <rPr>
        <sz val="12"/>
        <rFont val="宋体"/>
        <charset val="134"/>
      </rPr>
      <t>负载惯量J</t>
    </r>
    <r>
      <rPr>
        <vertAlign val="subscript"/>
        <sz val="12"/>
        <rFont val="宋体"/>
        <charset val="134"/>
      </rPr>
      <t>L</t>
    </r>
    <r>
      <rPr>
        <sz val="12"/>
        <rFont val="宋体"/>
        <charset val="134"/>
      </rPr>
      <t>[Kg.m</t>
    </r>
    <r>
      <rPr>
        <vertAlign val="superscript"/>
        <sz val="12"/>
        <rFont val="宋体"/>
        <charset val="134"/>
      </rPr>
      <t>2</t>
    </r>
    <r>
      <rPr>
        <sz val="12"/>
        <rFont val="宋体"/>
        <charset val="134"/>
      </rPr>
      <t>]:</t>
    </r>
  </si>
  <si>
    <r>
      <rPr>
        <sz val="12"/>
        <rFont val="宋体"/>
        <charset val="134"/>
      </rPr>
      <t>齿轮惯量J</t>
    </r>
    <r>
      <rPr>
        <vertAlign val="subscript"/>
        <sz val="12"/>
        <rFont val="宋体"/>
        <charset val="134"/>
      </rPr>
      <t>G</t>
    </r>
    <r>
      <rPr>
        <sz val="12"/>
        <rFont val="宋体"/>
        <charset val="134"/>
      </rPr>
      <t>[Kg.m</t>
    </r>
    <r>
      <rPr>
        <vertAlign val="superscript"/>
        <sz val="12"/>
        <rFont val="宋体"/>
        <charset val="134"/>
      </rPr>
      <t>2</t>
    </r>
    <r>
      <rPr>
        <sz val="12"/>
        <rFont val="宋体"/>
        <charset val="134"/>
      </rPr>
      <t>]:</t>
    </r>
  </si>
  <si>
    <r>
      <rPr>
        <sz val="12"/>
        <rFont val="宋体"/>
        <charset val="134"/>
      </rPr>
      <t>折算到减速机输入端的惯量J1[Kg.m</t>
    </r>
    <r>
      <rPr>
        <vertAlign val="superscript"/>
        <sz val="12"/>
        <rFont val="宋体"/>
        <charset val="134"/>
      </rPr>
      <t>2</t>
    </r>
    <r>
      <rPr>
        <sz val="12"/>
        <rFont val="宋体"/>
        <charset val="134"/>
      </rPr>
      <t>]:</t>
    </r>
  </si>
  <si>
    <r>
      <rPr>
        <sz val="12"/>
        <rFont val="宋体"/>
        <charset val="134"/>
      </rPr>
      <t>减速机自身惯量J</t>
    </r>
    <r>
      <rPr>
        <vertAlign val="subscript"/>
        <sz val="12"/>
        <rFont val="宋体"/>
        <charset val="134"/>
      </rPr>
      <t>g</t>
    </r>
    <r>
      <rPr>
        <sz val="12"/>
        <rFont val="宋体"/>
        <charset val="134"/>
      </rPr>
      <t>[Kg.m</t>
    </r>
    <r>
      <rPr>
        <vertAlign val="superscript"/>
        <sz val="12"/>
        <rFont val="宋体"/>
        <charset val="134"/>
      </rPr>
      <t>2</t>
    </r>
    <r>
      <rPr>
        <sz val="12"/>
        <rFont val="宋体"/>
        <charset val="134"/>
      </rPr>
      <t>]:</t>
    </r>
  </si>
  <si>
    <r>
      <rPr>
        <sz val="12"/>
        <rFont val="宋体"/>
        <charset val="134"/>
      </rPr>
      <t>折算到电机输出端的惯量J2[Kg.m</t>
    </r>
    <r>
      <rPr>
        <vertAlign val="superscript"/>
        <sz val="12"/>
        <rFont val="宋体"/>
        <charset val="134"/>
      </rPr>
      <t>2</t>
    </r>
    <r>
      <rPr>
        <sz val="12"/>
        <rFont val="宋体"/>
        <charset val="134"/>
      </rPr>
      <t>]:</t>
    </r>
  </si>
  <si>
    <r>
      <rPr>
        <sz val="12"/>
        <rFont val="宋体"/>
        <charset val="134"/>
      </rPr>
      <t>电机自身惯量J</t>
    </r>
    <r>
      <rPr>
        <vertAlign val="subscript"/>
        <sz val="12"/>
        <rFont val="宋体"/>
        <charset val="134"/>
      </rPr>
      <t>m</t>
    </r>
    <r>
      <rPr>
        <sz val="12"/>
        <rFont val="宋体"/>
        <charset val="134"/>
      </rPr>
      <t>[Kg.m</t>
    </r>
    <r>
      <rPr>
        <vertAlign val="superscript"/>
        <sz val="12"/>
        <rFont val="宋体"/>
        <charset val="134"/>
      </rPr>
      <t>2</t>
    </r>
    <r>
      <rPr>
        <sz val="12"/>
        <rFont val="宋体"/>
        <charset val="134"/>
      </rPr>
      <t>]:</t>
    </r>
  </si>
  <si>
    <t>来自电机样本</t>
  </si>
  <si>
    <t>惯量匹配值λ</t>
  </si>
  <si>
    <t>直线电机选型</t>
  </si>
  <si>
    <t>旋转电机选型</t>
  </si>
  <si>
    <t>a(m/s*s)</t>
  </si>
  <si>
    <t>加速度要求</t>
  </si>
  <si>
    <t>V(m/min)</t>
  </si>
  <si>
    <t>平台移动速度</t>
  </si>
  <si>
    <t>S(mm)</t>
  </si>
  <si>
    <t>单一性行程移动距离</t>
  </si>
  <si>
    <t>Mt(kg)</t>
  </si>
  <si>
    <t>移动平台质量</t>
  </si>
  <si>
    <t>Mf(kg)</t>
  </si>
  <si>
    <t>负载质量</t>
  </si>
  <si>
    <t>μ</t>
  </si>
  <si>
    <t>导轨摩擦系数</t>
  </si>
  <si>
    <t>机械传动效率</t>
  </si>
  <si>
    <t>PB(mm)</t>
  </si>
  <si>
    <t>导螺杆节距</t>
  </si>
  <si>
    <t>Fa=Fd</t>
  </si>
  <si>
    <t>加减速阶段推力</t>
  </si>
  <si>
    <t>DB(mm)</t>
  </si>
  <si>
    <t>导螺杆直径</t>
  </si>
  <si>
    <t>Fv</t>
  </si>
  <si>
    <t>匀速阶段推力</t>
  </si>
  <si>
    <t>MB(kg)</t>
  </si>
  <si>
    <t>导螺杆质量</t>
  </si>
  <si>
    <t>t1=t3</t>
  </si>
  <si>
    <t>t2</t>
  </si>
  <si>
    <t>匀速运动时间</t>
  </si>
  <si>
    <t>Ja</t>
  </si>
  <si>
    <t>工作台转动惯量</t>
  </si>
  <si>
    <t>Jb</t>
  </si>
  <si>
    <t>丝杆转动惯量</t>
  </si>
  <si>
    <t>电机转速</t>
  </si>
  <si>
    <t>匀速移动时间</t>
  </si>
  <si>
    <t>计算结果，选择至少满足以下要求的直线电机</t>
  </si>
  <si>
    <t>TA</t>
  </si>
  <si>
    <t>加速扭矩(淘宝店铺:枫启教育)</t>
  </si>
  <si>
    <t>Fp(N)</t>
  </si>
  <si>
    <t>峰值推力（大于该值）</t>
  </si>
  <si>
    <t>TB</t>
  </si>
  <si>
    <t>匀速扭矩（克服摩擦所需要的扭矩）</t>
  </si>
  <si>
    <t>Fc(N)</t>
  </si>
  <si>
    <t>有效推力（大于该值）</t>
  </si>
  <si>
    <t>TC</t>
  </si>
  <si>
    <t>减速扭矩</t>
  </si>
  <si>
    <t>Ke</t>
  </si>
  <si>
    <t>反电势常数（小于该值）</t>
  </si>
  <si>
    <t>Ip(A)</t>
  </si>
  <si>
    <t>勿超驱动器标称值</t>
  </si>
  <si>
    <t>峰值电流</t>
  </si>
  <si>
    <t>Ic(A)</t>
  </si>
  <si>
    <t>计算结果，选择至少满足以下要求的旋转电机</t>
  </si>
  <si>
    <t>Tmax(Nm)</t>
  </si>
  <si>
    <t>峰值扭矩（电机峰值扭矩大于该值）</t>
  </si>
  <si>
    <t>结果输出</t>
  </si>
  <si>
    <t>Trmsx（Nm）</t>
  </si>
  <si>
    <t>时效扭矩（电机额定扭矩大于该值）</t>
  </si>
  <si>
    <t>Tf（Nm）</t>
  </si>
  <si>
    <t>额定扭矩（电机额定扭矩大于该值）</t>
  </si>
  <si>
    <t>JA(*10-4kg*m2)</t>
  </si>
  <si>
    <t>转子惯量（电子转子惯量大于该值）</t>
  </si>
  <si>
    <t>峰值电流(淘宝店铺:枫启教育)</t>
  </si>
  <si>
    <t>其他表格的数据均为计算过程，勿动！！！</t>
  </si>
  <si>
    <t>伺服电机选型参数计算表</t>
  </si>
  <si>
    <t>本计算表是根据FANUC伺服电机选型要求制作</t>
  </si>
  <si>
    <t>基本参数</t>
  </si>
  <si>
    <t>轴类型</t>
  </si>
  <si>
    <t>水平轴</t>
  </si>
  <si>
    <t>传动类型</t>
  </si>
  <si>
    <t>丝杠</t>
  </si>
  <si>
    <t>参数名称</t>
  </si>
  <si>
    <t>值</t>
  </si>
  <si>
    <t>备注(淘宝店铺:枫启教育)</t>
  </si>
  <si>
    <t>重力轴</t>
  </si>
  <si>
    <t>质量                   m</t>
  </si>
  <si>
    <t>包括工作台及工作台的负载质量</t>
  </si>
  <si>
    <t>倾斜轴</t>
  </si>
  <si>
    <t>平衡质量              mb</t>
  </si>
  <si>
    <t>平衡力                Fb</t>
  </si>
  <si>
    <t>丝杠直径               d</t>
  </si>
  <si>
    <t>丝杠导程              Pb</t>
  </si>
  <si>
    <t>mm/rev</t>
  </si>
  <si>
    <t>丝杆转动一圈的距离</t>
  </si>
  <si>
    <t>丝杠长度               l</t>
  </si>
  <si>
    <t>减速比               1/z</t>
  </si>
  <si>
    <t>1/</t>
  </si>
  <si>
    <t>其他惯量              J13</t>
  </si>
  <si>
    <t>kgm2</t>
  </si>
  <si>
    <t>主要包括电机到丝杠间减速机构在电机轴端的折算惯量</t>
  </si>
  <si>
    <t>摩擦系数               u</t>
  </si>
  <si>
    <t>-</t>
  </si>
  <si>
    <t>根据实际机械情况设定，一般滚动导轨为0.05，滑动导轨为0.1</t>
  </si>
  <si>
    <t>切削力                Fc</t>
  </si>
  <si>
    <t>无法确定可暂设为0，电机选型时根据空载扭矩比率进行选型</t>
  </si>
  <si>
    <t xml:space="preserve">机械效率 </t>
  </si>
  <si>
    <t>一般综合机械效率可设定为0.9</t>
  </si>
  <si>
    <t>倾斜角                θ</t>
  </si>
  <si>
    <t>最大进给速度           V</t>
  </si>
  <si>
    <t>最大加速度          amax</t>
  </si>
  <si>
    <t>m/sec2</t>
  </si>
  <si>
    <t>根据实际机床的设计要求设定要求的最大加速度</t>
  </si>
  <si>
    <t>电机选型变量表</t>
  </si>
  <si>
    <t>电机一转移动量          P</t>
  </si>
  <si>
    <t>m/rev</t>
  </si>
  <si>
    <t>电机最大转速            N</t>
  </si>
  <si>
    <t>rev/min</t>
  </si>
  <si>
    <t>质量折算惯量          J11</t>
  </si>
  <si>
    <t>丝杠折算惯量          J12</t>
  </si>
  <si>
    <t>丝杠材料密度7800kg/m3</t>
  </si>
  <si>
    <t>负载惯量              J1</t>
  </si>
  <si>
    <t>摩擦扭矩              Tf</t>
  </si>
  <si>
    <t>重力扭矩              Tg</t>
  </si>
  <si>
    <t>空载扭矩              Tm</t>
  </si>
  <si>
    <t>切削扭矩              Tc</t>
  </si>
  <si>
    <t>负载扭矩              Tmc</t>
  </si>
  <si>
    <t>加速扭矩             Tmax</t>
  </si>
  <si>
    <t>伺服电机数据表</t>
  </si>
  <si>
    <t>型号</t>
  </si>
  <si>
    <t>FANUC BIS22/2000</t>
  </si>
  <si>
    <t>参数</t>
  </si>
  <si>
    <t>惯量                 Jm</t>
  </si>
  <si>
    <t>扭矩                 Ts</t>
  </si>
  <si>
    <t xml:space="preserve">电机最高转速          </t>
  </si>
  <si>
    <t>伺服电机选型确认表</t>
  </si>
  <si>
    <t>判定结论</t>
  </si>
  <si>
    <t>负载惯量比</t>
  </si>
  <si>
    <t>空载扭矩比率</t>
  </si>
  <si>
    <t>负载扭矩比率</t>
  </si>
  <si>
    <t>加速扭矩</t>
  </si>
  <si>
    <t>伺服电机电子齿轮比计算公式</t>
  </si>
  <si>
    <t>常用编码器分辨率</t>
  </si>
  <si>
    <t>12位</t>
  </si>
  <si>
    <r>
      <rPr>
        <sz val="12"/>
        <rFont val="宋体"/>
        <charset val="134"/>
      </rPr>
      <t>编码</t>
    </r>
    <r>
      <rPr>
        <sz val="12"/>
        <rFont val="Dotum"/>
        <charset val="134"/>
      </rPr>
      <t>器分辨率&lt;p/r&gt;</t>
    </r>
  </si>
  <si>
    <t>直径&lt;mm&gt;</t>
  </si>
  <si>
    <t>*圆周长计算及取整数公式，输入直径，计算周长、取整数；</t>
  </si>
  <si>
    <t>13位</t>
  </si>
  <si>
    <r>
      <rPr>
        <sz val="12"/>
        <rFont val="Dotum"/>
        <charset val="134"/>
      </rPr>
      <t>每脉冲移</t>
    </r>
    <r>
      <rPr>
        <sz val="12"/>
        <rFont val="宋体"/>
        <charset val="134"/>
      </rPr>
      <t>动</t>
    </r>
    <r>
      <rPr>
        <sz val="12"/>
        <rFont val="Dotum"/>
        <charset val="134"/>
      </rPr>
      <t>量&lt;脉冲</t>
    </r>
    <r>
      <rPr>
        <sz val="12"/>
        <rFont val="宋体"/>
        <charset val="134"/>
      </rPr>
      <t>当</t>
    </r>
    <r>
      <rPr>
        <sz val="12"/>
        <rFont val="Dotum"/>
        <charset val="134"/>
      </rPr>
      <t>量mm/p&gt;</t>
    </r>
  </si>
  <si>
    <t>圆周长计算&lt;mm&gt;</t>
  </si>
  <si>
    <t>14位</t>
  </si>
  <si>
    <r>
      <rPr>
        <sz val="12"/>
        <rFont val="Dotum"/>
        <charset val="134"/>
      </rPr>
      <t>机械部分每周（或</t>
    </r>
    <r>
      <rPr>
        <sz val="12"/>
        <rFont val="宋体"/>
        <charset val="134"/>
      </rPr>
      <t>丝杠每转</t>
    </r>
    <r>
      <rPr>
        <sz val="12"/>
        <rFont val="Dotum"/>
        <charset val="134"/>
      </rPr>
      <t>)移</t>
    </r>
    <r>
      <rPr>
        <sz val="12"/>
        <rFont val="宋体"/>
        <charset val="134"/>
      </rPr>
      <t>动</t>
    </r>
    <r>
      <rPr>
        <sz val="12"/>
        <rFont val="Dotum"/>
        <charset val="134"/>
      </rPr>
      <t>距离&lt;mm&gt;</t>
    </r>
  </si>
  <si>
    <t>周长取整数</t>
  </si>
  <si>
    <t>15位</t>
  </si>
  <si>
    <r>
      <rPr>
        <sz val="12"/>
        <rFont val="Dotum"/>
        <charset val="134"/>
      </rPr>
      <t>机械</t>
    </r>
    <r>
      <rPr>
        <sz val="12"/>
        <rFont val="宋体"/>
        <charset val="134"/>
      </rPr>
      <t>减</t>
    </r>
    <r>
      <rPr>
        <sz val="12"/>
        <rFont val="Dotum"/>
        <charset val="134"/>
      </rPr>
      <t>速比</t>
    </r>
  </si>
  <si>
    <r>
      <rPr>
        <sz val="12"/>
        <rFont val="Dotum"/>
        <charset val="134"/>
      </rPr>
      <t>分子(</t>
    </r>
    <r>
      <rPr>
        <sz val="12"/>
        <rFont val="宋体"/>
        <charset val="134"/>
      </rPr>
      <t>机械端）</t>
    </r>
  </si>
  <si>
    <t>比率结果校验</t>
  </si>
  <si>
    <r>
      <rPr>
        <sz val="12"/>
        <rFont val="Arial"/>
        <charset val="134"/>
      </rPr>
      <t>*</t>
    </r>
    <r>
      <rPr>
        <sz val="12"/>
        <rFont val="宋体"/>
        <charset val="134"/>
      </rPr>
      <t>下面部分自动对电子齿轮比约分（因为电子齿轮比分子、分母输入最大数不能超过编码器分辨率），所以要约分后输入驱动器，公式做的还不完整，有时需人工干预一下！</t>
    </r>
  </si>
  <si>
    <t>16位</t>
  </si>
  <si>
    <r>
      <rPr>
        <sz val="12"/>
        <rFont val="Dotum"/>
        <charset val="134"/>
      </rPr>
      <t>分母</t>
    </r>
    <r>
      <rPr>
        <sz val="12"/>
        <rFont val="宋体"/>
        <charset val="134"/>
      </rPr>
      <t>（电机端）</t>
    </r>
  </si>
  <si>
    <r>
      <rPr>
        <sz val="12"/>
        <rFont val="宋体"/>
        <charset val="134"/>
      </rPr>
      <t>电</t>
    </r>
    <r>
      <rPr>
        <sz val="12"/>
        <rFont val="Dotum"/>
        <charset val="134"/>
      </rPr>
      <t>子</t>
    </r>
    <r>
      <rPr>
        <sz val="12"/>
        <rFont val="宋体"/>
        <charset val="134"/>
      </rPr>
      <t>齿轮</t>
    </r>
    <r>
      <rPr>
        <sz val="12"/>
        <rFont val="Dotum"/>
        <charset val="134"/>
      </rPr>
      <t>比</t>
    </r>
  </si>
  <si>
    <t>CMX</t>
  </si>
  <si>
    <t>17位</t>
  </si>
  <si>
    <t>CDV</t>
  </si>
  <si>
    <t>20位</t>
  </si>
  <si>
    <t>比率</t>
  </si>
  <si>
    <r>
      <rPr>
        <b/>
        <sz val="12"/>
        <rFont val="Arial"/>
        <charset val="134"/>
      </rPr>
      <t>CMX</t>
    </r>
    <r>
      <rPr>
        <b/>
        <sz val="12"/>
        <rFont val="宋体"/>
        <charset val="134"/>
      </rPr>
      <t>计算公式</t>
    </r>
  </si>
  <si>
    <t>=编码器分辨率&lt;p/r&gt;*设定脉冲当量&lt;mm/p&gt;*10^3*减速比分母/减速比分子</t>
  </si>
  <si>
    <t>22位</t>
  </si>
  <si>
    <r>
      <rPr>
        <sz val="12"/>
        <rFont val="Dotum"/>
        <charset val="134"/>
      </rPr>
      <t>机械移</t>
    </r>
    <r>
      <rPr>
        <sz val="12"/>
        <rFont val="宋体"/>
        <charset val="134"/>
      </rPr>
      <t>动</t>
    </r>
    <r>
      <rPr>
        <sz val="12"/>
        <rFont val="Dotum"/>
        <charset val="134"/>
      </rPr>
      <t>每mm需脉冲</t>
    </r>
    <r>
      <rPr>
        <sz val="12"/>
        <rFont val="宋体"/>
        <charset val="134"/>
      </rPr>
      <t>数</t>
    </r>
    <r>
      <rPr>
        <sz val="12"/>
        <rFont val="Dotum"/>
        <charset val="134"/>
      </rPr>
      <t>&lt;p/mm&gt;</t>
    </r>
  </si>
  <si>
    <r>
      <rPr>
        <sz val="12"/>
        <rFont val="Dotum"/>
        <charset val="134"/>
      </rPr>
      <t>PLC可</t>
    </r>
    <r>
      <rPr>
        <sz val="12"/>
        <rFont val="宋体"/>
        <charset val="134"/>
      </rPr>
      <t>输</t>
    </r>
    <r>
      <rPr>
        <sz val="12"/>
        <rFont val="Dotum"/>
        <charset val="134"/>
      </rPr>
      <t>出最高脉冲</t>
    </r>
    <r>
      <rPr>
        <sz val="12"/>
        <rFont val="宋体"/>
        <charset val="134"/>
      </rPr>
      <t>频</t>
    </r>
    <r>
      <rPr>
        <sz val="12"/>
        <rFont val="Dotum"/>
        <charset val="134"/>
      </rPr>
      <t>率&lt;p/s&gt;</t>
    </r>
  </si>
  <si>
    <r>
      <rPr>
        <b/>
        <sz val="12"/>
        <rFont val="Arial"/>
        <charset val="134"/>
      </rPr>
      <t>CDV</t>
    </r>
    <r>
      <rPr>
        <b/>
        <sz val="12"/>
        <rFont val="宋体"/>
        <charset val="134"/>
      </rPr>
      <t>计算公式</t>
    </r>
  </si>
  <si>
    <t>=机械部分每圈位移量&lt;mm&gt;*10^3; *丝杠螺杆可输入丝杠导程，圆盘结构的输入360，同步带等结构的输入带轮的周长；(淘宝店铺:枫启教育)</t>
  </si>
  <si>
    <r>
      <rPr>
        <sz val="12"/>
        <rFont val="宋体"/>
        <charset val="134"/>
      </rPr>
      <t>电机额定转速</t>
    </r>
    <r>
      <rPr>
        <sz val="12"/>
        <rFont val="Dotum"/>
        <charset val="134"/>
      </rPr>
      <t>&lt;r/min&gt;</t>
    </r>
  </si>
  <si>
    <r>
      <rPr>
        <sz val="12"/>
        <rFont val="宋体"/>
        <charset val="134"/>
      </rPr>
      <t>输入机械位移量</t>
    </r>
    <r>
      <rPr>
        <sz val="12"/>
        <rFont val="Dotum"/>
        <charset val="134"/>
      </rPr>
      <t>&lt;mm&gt;</t>
    </r>
  </si>
  <si>
    <r>
      <rPr>
        <sz val="12"/>
        <rFont val="宋体"/>
        <charset val="134"/>
      </rPr>
      <t>此部分输入机械位移量，计算</t>
    </r>
    <r>
      <rPr>
        <sz val="12"/>
        <rFont val="Arial"/>
        <charset val="134"/>
      </rPr>
      <t>PLC</t>
    </r>
    <r>
      <rPr>
        <sz val="12"/>
        <rFont val="宋体"/>
        <charset val="134"/>
      </rPr>
      <t>输出脉冲数和校验是否超过可输出最大脉冲数（</t>
    </r>
    <r>
      <rPr>
        <sz val="12"/>
        <rFont val="Arial"/>
        <charset val="134"/>
      </rPr>
      <t>2^32</t>
    </r>
    <r>
      <rPr>
        <sz val="12"/>
        <rFont val="宋体"/>
        <charset val="134"/>
      </rPr>
      <t>）</t>
    </r>
    <r>
      <rPr>
        <sz val="12"/>
        <rFont val="Arial"/>
        <charset val="134"/>
      </rPr>
      <t>,</t>
    </r>
    <r>
      <rPr>
        <sz val="12"/>
        <rFont val="宋体"/>
        <charset val="134"/>
      </rPr>
      <t>一般很少能超过的吧，超过了只能做相对定位了</t>
    </r>
  </si>
  <si>
    <r>
      <rPr>
        <sz val="12"/>
        <rFont val="宋体"/>
        <charset val="134"/>
      </rPr>
      <t>计算</t>
    </r>
    <r>
      <rPr>
        <sz val="12"/>
        <rFont val="Dotum"/>
        <charset val="134"/>
      </rPr>
      <t>PLC</t>
    </r>
    <r>
      <rPr>
        <sz val="12"/>
        <rFont val="宋体"/>
        <charset val="134"/>
      </rPr>
      <t>输出脉冲数</t>
    </r>
    <r>
      <rPr>
        <sz val="12"/>
        <rFont val="Dotum"/>
        <charset val="134"/>
      </rPr>
      <t>&lt;p&gt;</t>
    </r>
  </si>
  <si>
    <t>可输出最大脉冲数&lt;p&gt;</t>
  </si>
  <si>
    <t>计算输出脉冲数校验</t>
  </si>
  <si>
    <t>输入机械位移速度&lt;mm/s&gt;</t>
  </si>
  <si>
    <r>
      <rPr>
        <sz val="12"/>
        <rFont val="宋体"/>
        <charset val="134"/>
      </rPr>
      <t>根据输入的位移速度计算出</t>
    </r>
    <r>
      <rPr>
        <sz val="12"/>
        <rFont val="Arial"/>
        <charset val="134"/>
      </rPr>
      <t>PLC</t>
    </r>
    <r>
      <rPr>
        <sz val="12"/>
        <rFont val="宋体"/>
        <charset val="134"/>
      </rPr>
      <t>输出脉冲频率及当前电机转速；</t>
    </r>
  </si>
  <si>
    <t>计算PLC输出脉冲频率&lt;p/s&gt;</t>
  </si>
  <si>
    <t>当前速度时电机转速&lt;r/min&gt;</t>
  </si>
  <si>
    <t>输出脉冲频率是否超限校验</t>
  </si>
  <si>
    <t>电机转速是否超限校验</t>
  </si>
  <si>
    <t>依最大可输出脉冲计算可输入最大位移速度&lt;mm/s&gt;</t>
  </si>
  <si>
    <t>最大速mm/min</t>
  </si>
  <si>
    <t>最大速m/min</t>
  </si>
  <si>
    <t>依电机额定速度计算可输入最大位移速度&lt;mm/s&gt;</t>
  </si>
  <si>
    <r>
      <rPr>
        <sz val="12"/>
        <rFont val="宋体"/>
        <charset val="134"/>
      </rPr>
      <t>电机速度r</t>
    </r>
    <r>
      <rPr>
        <sz val="12"/>
        <rFont val="宋体"/>
        <charset val="134"/>
      </rPr>
      <t>/min</t>
    </r>
  </si>
  <si>
    <t>依输出脉冲最大和电机额定转速计算出的电子齿轮比</t>
  </si>
  <si>
    <t>*根据最大输出脉冲频率和电机最大转速计算出脉冲当量，可使输出脉冲和电机转速同时达到最大值，但使用设定时还是将每mm脉冲数调整为整数为宜，便于程序计算输出脉冲时都是整数，不会造成累积误差；(淘宝店铺:枫启机械教育)</t>
  </si>
  <si>
    <r>
      <rPr>
        <sz val="12"/>
        <rFont val="宋体"/>
        <charset val="134"/>
      </rPr>
      <t>由此计算出的脉冲当量&lt;</t>
    </r>
    <r>
      <rPr>
        <sz val="12"/>
        <rFont val="宋体"/>
        <charset val="134"/>
      </rPr>
      <t>mm/p&gt;</t>
    </r>
  </si>
  <si>
    <t>①机械系统的决定</t>
  </si>
  <si>
    <t>负载质量M（kg）</t>
  </si>
  <si>
    <t>·滚珠丝杠节距P（mm）</t>
  </si>
  <si>
    <t>·滚珠丝杠直径D（mm）</t>
  </si>
  <si>
    <t>·滚珠丝杠质量MB（kg）</t>
  </si>
  <si>
    <t>·滚珠丝杠摩擦系数μ</t>
  </si>
  <si>
    <t>·因无减速器，所以G=1、η=1</t>
  </si>
  <si>
    <t>②动作模式的决定</t>
  </si>
  <si>
    <t>速度(mm/s)</t>
  </si>
  <si>
    <t>单一变化</t>
  </si>
  <si>
    <t>·负载移动速度V（mm/s）</t>
  </si>
  <si>
    <t>·行程L（mm）</t>
  </si>
  <si>
    <t>·行程时间tS（s）</t>
  </si>
  <si>
    <t>·加减速时间tA（s）</t>
  </si>
  <si>
    <t>·定位精度AP（mm）</t>
  </si>
  <si>
    <t>时间(s)</t>
  </si>
  <si>
    <t>③换算到电机轴负载惯量的计算</t>
  </si>
  <si>
    <t>滚珠丝杠的惯量JB=</t>
  </si>
  <si>
    <t>kg.m2</t>
  </si>
  <si>
    <t>负载的惯量JW=</t>
  </si>
  <si>
    <t>换算到电机轴负载惯量JL=JW</t>
  </si>
  <si>
    <r>
      <rPr>
        <sz val="20"/>
        <rFont val="宋体"/>
        <charset val="134"/>
      </rPr>
      <t>J</t>
    </r>
    <r>
      <rPr>
        <vertAlign val="subscript"/>
        <sz val="20"/>
        <rFont val="宋体"/>
        <charset val="134"/>
      </rPr>
      <t>L</t>
    </r>
    <r>
      <rPr>
        <sz val="20"/>
        <rFont val="宋体"/>
        <charset val="134"/>
      </rPr>
      <t>=G</t>
    </r>
    <r>
      <rPr>
        <vertAlign val="superscript"/>
        <sz val="20"/>
        <rFont val="宋体"/>
        <charset val="134"/>
      </rPr>
      <t>2</t>
    </r>
    <r>
      <rPr>
        <sz val="20"/>
        <rFont val="宋体"/>
        <charset val="134"/>
      </rPr>
      <t>x(J</t>
    </r>
    <r>
      <rPr>
        <vertAlign val="subscript"/>
        <sz val="20"/>
        <rFont val="宋体"/>
        <charset val="134"/>
      </rPr>
      <t>W</t>
    </r>
    <r>
      <rPr>
        <sz val="20"/>
        <rFont val="宋体"/>
        <charset val="134"/>
      </rPr>
      <t>+J</t>
    </r>
    <r>
      <rPr>
        <vertAlign val="subscript"/>
        <sz val="20"/>
        <rFont val="宋体"/>
        <charset val="134"/>
      </rPr>
      <t>2</t>
    </r>
    <r>
      <rPr>
        <sz val="20"/>
        <rFont val="宋体"/>
        <charset val="134"/>
      </rPr>
      <t>)+J</t>
    </r>
    <r>
      <rPr>
        <vertAlign val="subscript"/>
        <sz val="20"/>
        <rFont val="宋体"/>
        <charset val="134"/>
      </rPr>
      <t>1</t>
    </r>
  </si>
  <si>
    <t>④负载转矩的计算</t>
  </si>
  <si>
    <t>对摩擦力的转矩Tw</t>
  </si>
  <si>
    <t>N.m</t>
  </si>
  <si>
    <t>换算到电机轴负载转矩TL=Tw</t>
  </si>
  <si>
    <t>⑤旋转数的计算</t>
  </si>
  <si>
    <t>转数N</t>
  </si>
  <si>
    <t>N=60V/P.G</t>
  </si>
  <si>
    <t>⑥电机的初步选定[选自OMNUC U系列的初步选定举例]</t>
  </si>
  <si>
    <t>选定电机的转子·惯量为负载的1/30*以上的电机</t>
  </si>
  <si>
    <r>
      <rPr>
        <sz val="20"/>
        <rFont val="宋体"/>
        <charset val="134"/>
      </rPr>
      <t>JM≥J</t>
    </r>
    <r>
      <rPr>
        <vertAlign val="subscript"/>
        <sz val="20"/>
        <rFont val="宋体"/>
        <charset val="134"/>
      </rPr>
      <t>L</t>
    </r>
    <r>
      <rPr>
        <sz val="20"/>
        <rFont val="宋体"/>
        <charset val="134"/>
      </rPr>
      <t>/30</t>
    </r>
  </si>
  <si>
    <r>
      <rPr>
        <sz val="20"/>
        <rFont val="宋体"/>
        <charset val="134"/>
      </rPr>
      <t>kg.m</t>
    </r>
    <r>
      <rPr>
        <vertAlign val="superscript"/>
        <sz val="20"/>
        <rFont val="宋体"/>
        <charset val="134"/>
      </rPr>
      <t>2</t>
    </r>
  </si>
  <si>
    <t>初步选择定R88M-U20030(Jm=</t>
  </si>
  <si>
    <t>选定电机的额定转矩×0.8
比换算到电机轴负载转矩
大的电机N.m</t>
  </si>
  <si>
    <r>
      <rPr>
        <sz val="20"/>
        <rFont val="宋体"/>
        <charset val="134"/>
      </rPr>
      <t>TMx0.8＞T</t>
    </r>
    <r>
      <rPr>
        <vertAlign val="subscript"/>
        <sz val="20"/>
        <rFont val="宋体"/>
        <charset val="134"/>
      </rPr>
      <t>L</t>
    </r>
  </si>
  <si>
    <t>＞</t>
  </si>
  <si>
    <t>根据R88M-U20030的额定转矩Tm=</t>
  </si>
  <si>
    <t>(N.m)</t>
  </si>
  <si>
    <t>＊ 此值因各系列而异，请加以注意。</t>
  </si>
  <si>
    <t>⑦加减速转矩的计算</t>
  </si>
  <si>
    <t>加减速转矩TA</t>
  </si>
  <si>
    <t>⑧瞬时最大转矩、有效转矩的计算</t>
  </si>
  <si>
    <t>必要的瞬时最大转矩为T1</t>
  </si>
  <si>
    <t>T1=TA+TL</t>
  </si>
  <si>
    <t>T2=TL</t>
  </si>
  <si>
    <t>T3=TL-TA</t>
  </si>
  <si>
    <t>有效转矩Trms为</t>
  </si>
  <si>
    <t>⑨讨论</t>
  </si>
  <si>
    <t>负载惯量JL</t>
  </si>
  <si>
    <t>≦[电机的转子惯量JM</t>
  </si>
  <si>
    <t>×[适用的惯量比=30]</t>
  </si>
  <si>
    <t>条件满足</t>
  </si>
  <si>
    <t>有效转矩Trms</t>
  </si>
  <si>
    <t>﹤[电机的额定转矩</t>
  </si>
  <si>
    <t>N.M</t>
  </si>
  <si>
    <t>瞬时最大转矩T1</t>
  </si>
  <si>
    <t>﹤[电机的瞬时最大转矩</t>
  </si>
  <si>
    <t>必要的最大转数N</t>
  </si>
  <si>
    <t>≦[电机的额定转数</t>
  </si>
  <si>
    <t>编码器分辨率R=P.G/AP.S</t>
  </si>
  <si>
    <t>(脉冲/转)</t>
  </si>
  <si>
    <t>U系列的编码器规格为2048（脉冲/转），经编码器分频比设定至1000（脉冲/转）的情况下使用。</t>
  </si>
  <si>
    <t>负载速度</t>
  </si>
  <si>
    <t>ν</t>
  </si>
  <si>
    <t>直线运动部件质量</t>
  </si>
  <si>
    <t>M</t>
  </si>
  <si>
    <t>㎏</t>
  </si>
  <si>
    <t>滚珠丝杆长度</t>
  </si>
  <si>
    <r>
      <rPr>
        <sz val="12"/>
        <rFont val="宋体"/>
        <charset val="134"/>
      </rPr>
      <t>L</t>
    </r>
    <r>
      <rPr>
        <vertAlign val="subscript"/>
        <sz val="12"/>
        <rFont val="宋体"/>
        <charset val="134"/>
      </rPr>
      <t>B</t>
    </r>
  </si>
  <si>
    <t>滚珠丝杆直径</t>
  </si>
  <si>
    <r>
      <rPr>
        <sz val="12"/>
        <rFont val="宋体"/>
        <charset val="134"/>
      </rPr>
      <t>D</t>
    </r>
    <r>
      <rPr>
        <vertAlign val="subscript"/>
        <sz val="12"/>
        <rFont val="宋体"/>
        <charset val="134"/>
      </rPr>
      <t>B</t>
    </r>
  </si>
  <si>
    <t>滚珠丝杆导程</t>
  </si>
  <si>
    <r>
      <rPr>
        <sz val="12"/>
        <rFont val="宋体"/>
        <charset val="134"/>
      </rPr>
      <t>P</t>
    </r>
    <r>
      <rPr>
        <vertAlign val="subscript"/>
        <sz val="12"/>
        <rFont val="宋体"/>
        <charset val="134"/>
      </rPr>
      <t>B</t>
    </r>
  </si>
  <si>
    <t>滚珠丝杆材质密度</t>
  </si>
  <si>
    <r>
      <rPr>
        <sz val="12"/>
        <rFont val="宋体"/>
        <charset val="134"/>
      </rPr>
      <t>㎏/</t>
    </r>
    <r>
      <rPr>
        <sz val="12"/>
        <rFont val="BatangChe"/>
        <charset val="129"/>
      </rPr>
      <t>㎥</t>
    </r>
  </si>
  <si>
    <t>R</t>
  </si>
  <si>
    <t>直线运动部分承受的外力</t>
  </si>
  <si>
    <t>同步轮质量</t>
  </si>
  <si>
    <t>Mc</t>
  </si>
  <si>
    <t>同步轮外径</t>
  </si>
  <si>
    <r>
      <rPr>
        <sz val="12"/>
        <rFont val="宋体"/>
        <charset val="134"/>
      </rPr>
      <t>D</t>
    </r>
    <r>
      <rPr>
        <vertAlign val="subscript"/>
        <sz val="12"/>
        <rFont val="宋体"/>
        <charset val="134"/>
      </rPr>
      <t>C</t>
    </r>
  </si>
  <si>
    <t>传送次数</t>
  </si>
  <si>
    <t xml:space="preserve">次/min </t>
  </si>
  <si>
    <t>传送长度</t>
  </si>
  <si>
    <t>L</t>
  </si>
  <si>
    <t>传送时间</t>
  </si>
  <si>
    <r>
      <rPr>
        <sz val="12"/>
        <rFont val="宋体"/>
        <charset val="134"/>
      </rPr>
      <t>t</t>
    </r>
    <r>
      <rPr>
        <vertAlign val="subscript"/>
        <sz val="12"/>
        <rFont val="宋体"/>
        <charset val="134"/>
      </rPr>
      <t>m</t>
    </r>
  </si>
  <si>
    <t>圆周率</t>
  </si>
  <si>
    <t>π</t>
  </si>
  <si>
    <t>1.0 速度线图(淘宝店铺:枫启教育)</t>
  </si>
  <si>
    <t>7.0 伺服电机的预选(淘宝店铺:枫启教育)</t>
  </si>
  <si>
    <t>t=60/n</t>
  </si>
  <si>
    <t>①选型条件</t>
  </si>
  <si>
    <t>假设ta=td，ts=0.1s,则</t>
  </si>
  <si>
    <r>
      <rPr>
        <sz val="12"/>
        <rFont val="宋体"/>
        <charset val="134"/>
      </rPr>
      <t>T</t>
    </r>
    <r>
      <rPr>
        <vertAlign val="subscript"/>
        <sz val="12"/>
        <rFont val="宋体"/>
        <charset val="134"/>
      </rPr>
      <t>L</t>
    </r>
    <r>
      <rPr>
        <sz val="12"/>
        <rFont val="宋体"/>
        <charset val="134"/>
      </rPr>
      <t>≤电机额定转矩</t>
    </r>
  </si>
  <si>
    <t>ta=tm-ts-(60*L/ν)
=0.5-0.1-(60*0.2/40)=0.1s</t>
  </si>
  <si>
    <t>tc=0.5-0.1-0.1*2=0.2s</t>
  </si>
  <si>
    <r>
      <rPr>
        <sz val="12"/>
        <rFont val="宋体"/>
        <charset val="134"/>
      </rPr>
      <t>N</t>
    </r>
    <r>
      <rPr>
        <vertAlign val="subscript"/>
        <sz val="12"/>
        <rFont val="宋体"/>
        <charset val="134"/>
      </rPr>
      <t>M</t>
    </r>
    <r>
      <rPr>
        <sz val="12"/>
        <rFont val="宋体"/>
        <charset val="134"/>
      </rPr>
      <t>≤电机额定转速</t>
    </r>
  </si>
  <si>
    <r>
      <rPr>
        <sz val="12"/>
        <rFont val="宋体"/>
        <charset val="134"/>
      </rPr>
      <t>J</t>
    </r>
    <r>
      <rPr>
        <vertAlign val="subscript"/>
        <sz val="12"/>
        <rFont val="宋体"/>
        <charset val="134"/>
      </rPr>
      <t>L</t>
    </r>
    <r>
      <rPr>
        <sz val="12"/>
        <rFont val="宋体"/>
        <charset val="134"/>
      </rPr>
      <t>≤容许负载转动惯量</t>
    </r>
  </si>
  <si>
    <t>2.0 转速</t>
  </si>
  <si>
    <r>
      <rPr>
        <sz val="12"/>
        <rFont val="宋体"/>
        <charset val="134"/>
      </rPr>
      <t>J</t>
    </r>
    <r>
      <rPr>
        <vertAlign val="subscript"/>
        <sz val="12"/>
        <rFont val="宋体"/>
        <charset val="134"/>
      </rPr>
      <t>M</t>
    </r>
    <r>
      <rPr>
        <sz val="12"/>
        <rFont val="宋体"/>
        <charset val="134"/>
      </rPr>
      <t>(</t>
    </r>
    <r>
      <rPr>
        <sz val="12"/>
        <rFont val="宋体"/>
        <charset val="134"/>
      </rPr>
      <t>kg*m^2)</t>
    </r>
  </si>
  <si>
    <r>
      <rPr>
        <sz val="12"/>
        <rFont val="宋体"/>
        <charset val="134"/>
      </rPr>
      <t>根据选型条件暂选为以下电机：</t>
    </r>
    <r>
      <rPr>
        <sz val="12"/>
        <color indexed="14"/>
        <rFont val="宋体"/>
        <charset val="134"/>
      </rPr>
      <t>SGM7J-02A</t>
    </r>
  </si>
  <si>
    <r>
      <rPr>
        <sz val="12"/>
        <rFont val="宋体"/>
        <charset val="134"/>
      </rPr>
      <t>负载轴转速：N</t>
    </r>
    <r>
      <rPr>
        <vertAlign val="subscript"/>
        <sz val="12"/>
        <rFont val="宋体"/>
        <charset val="134"/>
      </rPr>
      <t>L</t>
    </r>
    <r>
      <rPr>
        <sz val="12"/>
        <rFont val="宋体"/>
        <charset val="134"/>
      </rPr>
      <t>=ν/P</t>
    </r>
    <r>
      <rPr>
        <vertAlign val="subscript"/>
        <sz val="12"/>
        <rFont val="宋体"/>
        <charset val="134"/>
      </rPr>
      <t>B</t>
    </r>
  </si>
  <si>
    <t>②暂选伺服电机的各项参数如下：</t>
  </si>
  <si>
    <r>
      <rPr>
        <sz val="12"/>
        <rFont val="宋体"/>
        <charset val="134"/>
      </rPr>
      <t>电机轴转速：N</t>
    </r>
    <r>
      <rPr>
        <vertAlign val="subscript"/>
        <sz val="12"/>
        <rFont val="宋体"/>
        <charset val="134"/>
      </rPr>
      <t>M</t>
    </r>
    <r>
      <rPr>
        <sz val="12"/>
        <rFont val="宋体"/>
        <charset val="134"/>
      </rPr>
      <t>=</t>
    </r>
    <r>
      <rPr>
        <sz val="12"/>
        <rFont val="宋体"/>
        <charset val="134"/>
      </rPr>
      <t>N</t>
    </r>
    <r>
      <rPr>
        <vertAlign val="subscript"/>
        <sz val="12"/>
        <rFont val="宋体"/>
        <charset val="134"/>
      </rPr>
      <t>L</t>
    </r>
    <r>
      <rPr>
        <sz val="12"/>
        <rFont val="宋体"/>
        <charset val="134"/>
      </rPr>
      <t>*</t>
    </r>
    <r>
      <rPr>
        <sz val="12"/>
        <rFont val="宋体"/>
        <charset val="134"/>
      </rPr>
      <t>R</t>
    </r>
  </si>
  <si>
    <t>3.0 负载转矩</t>
  </si>
  <si>
    <t>N*m</t>
  </si>
  <si>
    <t>4.0 负载转动惯量</t>
  </si>
  <si>
    <t>直线运动部分：</t>
  </si>
  <si>
    <t>kg*m^2</t>
  </si>
  <si>
    <t>滚珠丝杆：</t>
  </si>
  <si>
    <t>8.0 预选的伺服电机的确认(淘宝店铺:枫启教育)</t>
  </si>
  <si>
    <t>同步轮：</t>
  </si>
  <si>
    <t>所需加速转
矩的确认</t>
  </si>
  <si>
    <t>电机轴换算负载转动惯量：</t>
  </si>
  <si>
    <t>所需减速转
矩的确认</t>
  </si>
  <si>
    <t>5.0 负载行走功率</t>
  </si>
  <si>
    <t>转矩有效值的确认</t>
  </si>
  <si>
    <t>6.0 负载加速功率</t>
  </si>
  <si>
    <t>9.0 位置检测分辨率(淘宝店铺:枫启教育)</t>
  </si>
  <si>
    <r>
      <rPr>
        <sz val="12"/>
        <rFont val="宋体"/>
        <charset val="134"/>
      </rPr>
      <t>位置检测单位Δ</t>
    </r>
    <r>
      <rPr>
        <vertAlign val="subscript"/>
        <sz val="12"/>
        <rFont val="宋体"/>
        <charset val="134"/>
      </rPr>
      <t>τ</t>
    </r>
    <r>
      <rPr>
        <sz val="12"/>
        <rFont val="宋体"/>
        <charset val="134"/>
      </rPr>
      <t>=0.01mm/pulse</t>
    </r>
  </si>
  <si>
    <t>根据滚珠丝杆导程PB=0.02m，电机旋转一圈的脉冲数如下式所示。</t>
  </si>
  <si>
    <t>电机旋转一圈的脉冲数（pulse）低于编码器分辨率
16777216（P/rev）,因此可以使用暂选的伺服电机。</t>
  </si>
  <si>
    <t>10.0 指令脉冲频率(淘宝店铺:枫启教育)</t>
  </si>
  <si>
    <t>根据负载速度ν=40m/min=2000/3(mm/s)和定位分辨率
（每一个脉冲的移动量）=0.01mm/pulse，指令脉冲频率如下式所示</t>
  </si>
  <si>
    <r>
      <rPr>
        <sz val="12"/>
        <rFont val="宋体"/>
        <charset val="134"/>
      </rPr>
      <t>V</t>
    </r>
    <r>
      <rPr>
        <vertAlign val="subscript"/>
        <sz val="12"/>
        <rFont val="宋体"/>
        <charset val="134"/>
      </rPr>
      <t>S</t>
    </r>
    <r>
      <rPr>
        <sz val="12"/>
        <rFont val="宋体"/>
        <charset val="134"/>
      </rPr>
      <t>=ν</t>
    </r>
    <r>
      <rPr>
        <sz val="12"/>
        <rFont val="宋体"/>
        <charset val="134"/>
      </rPr>
      <t>/Δ</t>
    </r>
    <r>
      <rPr>
        <vertAlign val="subscript"/>
        <sz val="12"/>
        <rFont val="宋体"/>
        <charset val="134"/>
      </rPr>
      <t>τ</t>
    </r>
    <r>
      <rPr>
        <sz val="12"/>
        <rFont val="宋体"/>
        <charset val="134"/>
      </rPr>
      <t>=</t>
    </r>
    <r>
      <rPr>
        <sz val="12"/>
        <rFont val="宋体"/>
        <charset val="134"/>
      </rPr>
      <t>2000/(3X0.01)=66667(pps)</t>
    </r>
  </si>
  <si>
    <t>伺服驱动采用集电极开路，最大输入脉冲频率为200kpps。指令脉
冲频率低于最大输入脉冲频率，因此可以使用暂选的伺服电机。</t>
  </si>
  <si>
    <t>通过上述分析，从位置控制方面暂选的伺服电机判断为可以使用。</t>
  </si>
  <si>
    <t>催化裂化变电所改造工程</t>
  </si>
  <si>
    <r>
      <rPr>
        <sz val="12"/>
        <color indexed="9"/>
        <rFont val="Times New Roman"/>
        <charset val="134"/>
      </rPr>
      <t>IEEE</t>
    </r>
    <r>
      <rPr>
        <sz val="12"/>
        <color indexed="9"/>
        <rFont val="仿宋_GB2312"/>
        <charset val="134"/>
      </rPr>
      <t>非常反时限</t>
    </r>
  </si>
  <si>
    <r>
      <rPr>
        <sz val="12"/>
        <color indexed="9"/>
        <rFont val="Times New Roman"/>
        <charset val="134"/>
      </rPr>
      <t>IEEE</t>
    </r>
    <r>
      <rPr>
        <sz val="12"/>
        <color indexed="9"/>
        <rFont val="仿宋_GB2312"/>
        <charset val="134"/>
      </rPr>
      <t>适度反时限</t>
    </r>
  </si>
  <si>
    <t>微机电动机保护装置整定计算书</t>
  </si>
  <si>
    <r>
      <rPr>
        <sz val="12"/>
        <color indexed="9"/>
        <rFont val="Times New Roman"/>
        <charset val="134"/>
      </rPr>
      <t>IEC</t>
    </r>
    <r>
      <rPr>
        <sz val="12"/>
        <color indexed="9"/>
        <rFont val="仿宋_GB2312"/>
        <charset val="134"/>
      </rPr>
      <t>极端反时限</t>
    </r>
  </si>
  <si>
    <r>
      <rPr>
        <sz val="12"/>
        <color indexed="9"/>
        <rFont val="Times New Roman"/>
        <charset val="134"/>
      </rPr>
      <t>IEC</t>
    </r>
    <r>
      <rPr>
        <sz val="12"/>
        <color indexed="9"/>
        <rFont val="仿宋_GB2312"/>
        <charset val="134"/>
      </rPr>
      <t>非常反时限</t>
    </r>
  </si>
  <si>
    <r>
      <rPr>
        <sz val="12"/>
        <color indexed="9"/>
        <rFont val="Times New Roman"/>
        <charset val="134"/>
      </rPr>
      <t>IEC</t>
    </r>
    <r>
      <rPr>
        <sz val="12"/>
        <color indexed="9"/>
        <rFont val="仿宋_GB2312"/>
        <charset val="134"/>
      </rPr>
      <t>标准反时限</t>
    </r>
  </si>
  <si>
    <r>
      <rPr>
        <sz val="12"/>
        <color indexed="9"/>
        <rFont val="Times New Roman"/>
        <charset val="134"/>
      </rPr>
      <t>UK</t>
    </r>
    <r>
      <rPr>
        <sz val="12"/>
        <color indexed="9"/>
        <rFont val="仿宋_GB2312"/>
        <charset val="134"/>
      </rPr>
      <t>长时反时限</t>
    </r>
  </si>
  <si>
    <t>计算人：</t>
  </si>
  <si>
    <r>
      <rPr>
        <sz val="12"/>
        <color indexed="9"/>
        <rFont val="Times New Roman"/>
        <charset val="134"/>
      </rPr>
      <t>US</t>
    </r>
    <r>
      <rPr>
        <sz val="12"/>
        <color indexed="9"/>
        <rFont val="仿宋_GB2312"/>
        <charset val="134"/>
      </rPr>
      <t>长时反时限</t>
    </r>
  </si>
  <si>
    <t>校对人：</t>
  </si>
  <si>
    <t>审核人：</t>
  </si>
  <si>
    <t>计算单位：</t>
  </si>
  <si>
    <t>计算日期：</t>
  </si>
  <si>
    <t>投入</t>
  </si>
  <si>
    <t>退出</t>
  </si>
  <si>
    <t>生产装置名称：</t>
  </si>
  <si>
    <t>催化裂化</t>
  </si>
  <si>
    <t>普通型电动机</t>
  </si>
  <si>
    <t>电动机名称：</t>
  </si>
  <si>
    <t>主风机</t>
  </si>
  <si>
    <t>增安型电动机</t>
  </si>
  <si>
    <t>电动机位号：</t>
  </si>
  <si>
    <t>B1102</t>
  </si>
  <si>
    <t>开关柜编号：</t>
  </si>
  <si>
    <t>相电流互感器一次侧额定电流</t>
  </si>
  <si>
    <t>相电流互感器二次侧额定电流</t>
  </si>
  <si>
    <t>磁平衡电流互感器一次侧额定电流</t>
  </si>
  <si>
    <t>磁平衡电流互感器二次侧额定电流</t>
  </si>
  <si>
    <t>零序电流互感器一次侧额定电流</t>
  </si>
  <si>
    <t>零序电流互感器二次侧额定电流</t>
  </si>
  <si>
    <t>电压互感器一次侧额定电压</t>
  </si>
  <si>
    <t>KV</t>
  </si>
  <si>
    <t>电压互感器二次侧额定电压</t>
  </si>
  <si>
    <t>是否为增安型电动机？</t>
  </si>
  <si>
    <r>
      <rPr>
        <sz val="12"/>
        <rFont val="仿宋_GB2312"/>
        <charset val="134"/>
      </rPr>
      <t>电动机额定电流</t>
    </r>
    <r>
      <rPr>
        <sz val="12"/>
        <rFont val="Times New Roman"/>
        <charset val="134"/>
      </rPr>
      <t xml:space="preserve"> </t>
    </r>
    <r>
      <rPr>
        <i/>
        <sz val="12"/>
        <rFont val="Times New Roman"/>
        <charset val="134"/>
      </rPr>
      <t>I</t>
    </r>
    <r>
      <rPr>
        <i/>
        <vertAlign val="subscript"/>
        <sz val="12"/>
        <rFont val="Times New Roman"/>
        <charset val="134"/>
      </rPr>
      <t>rM</t>
    </r>
  </si>
  <si>
    <r>
      <rPr>
        <sz val="12"/>
        <rFont val="仿宋_GB2312"/>
        <charset val="134"/>
      </rPr>
      <t>电动机启动电流倍数</t>
    </r>
    <r>
      <rPr>
        <sz val="12"/>
        <rFont val="Times New Roman"/>
        <charset val="134"/>
      </rPr>
      <t xml:space="preserve"> </t>
    </r>
    <r>
      <rPr>
        <i/>
        <sz val="12"/>
        <rFont val="Times New Roman"/>
        <charset val="134"/>
      </rPr>
      <t>K</t>
    </r>
    <r>
      <rPr>
        <i/>
        <vertAlign val="subscript"/>
        <sz val="12"/>
        <rFont val="Times New Roman"/>
        <charset val="134"/>
      </rPr>
      <t>st</t>
    </r>
  </si>
  <si>
    <t>秒</t>
  </si>
  <si>
    <r>
      <rPr>
        <sz val="12"/>
        <rFont val="仿宋_GB2312"/>
        <charset val="134"/>
      </rPr>
      <t>最小运行方式下系统两相短路电流</t>
    </r>
    <r>
      <rPr>
        <sz val="12"/>
        <rFont val="Times New Roman"/>
        <charset val="134"/>
      </rPr>
      <t xml:space="preserve"> </t>
    </r>
    <r>
      <rPr>
        <i/>
        <sz val="12"/>
        <rFont val="Times New Roman"/>
        <charset val="134"/>
      </rPr>
      <t>I"</t>
    </r>
    <r>
      <rPr>
        <i/>
        <vertAlign val="subscript"/>
        <sz val="12"/>
        <rFont val="Times New Roman"/>
        <charset val="134"/>
      </rPr>
      <t>min.SC2</t>
    </r>
  </si>
  <si>
    <t>KA</t>
  </si>
  <si>
    <t>说明：蓝色字体单元格可改变！应将退出的保护隐藏！</t>
  </si>
  <si>
    <t>热过负荷保护</t>
  </si>
  <si>
    <t>投入热过负荷功能？</t>
  </si>
  <si>
    <r>
      <rPr>
        <sz val="12"/>
        <rFont val="仿宋_GB2312"/>
        <charset val="134"/>
      </rPr>
      <t>（投</t>
    </r>
    <r>
      <rPr>
        <sz val="12"/>
        <rFont val="Times New Roman"/>
        <charset val="134"/>
      </rPr>
      <t>/</t>
    </r>
    <r>
      <rPr>
        <sz val="12"/>
        <rFont val="仿宋_GB2312"/>
        <charset val="134"/>
      </rPr>
      <t>退）</t>
    </r>
  </si>
  <si>
    <r>
      <rPr>
        <sz val="12"/>
        <rFont val="仿宋_GB2312"/>
        <charset val="134"/>
      </rPr>
      <t>热过负荷系数</t>
    </r>
    <r>
      <rPr>
        <sz val="12"/>
        <rFont val="Times New Roman"/>
        <charset val="134"/>
      </rPr>
      <t xml:space="preserve"> </t>
    </r>
    <r>
      <rPr>
        <i/>
        <sz val="12"/>
        <rFont val="Times New Roman"/>
        <charset val="134"/>
      </rPr>
      <t>K</t>
    </r>
    <r>
      <rPr>
        <i/>
        <vertAlign val="subscript"/>
        <sz val="12"/>
        <rFont val="Times New Roman"/>
        <charset val="134"/>
      </rPr>
      <t>HOL</t>
    </r>
  </si>
  <si>
    <r>
      <rPr>
        <sz val="12"/>
        <rFont val="仿宋_GB2312"/>
        <charset val="134"/>
      </rPr>
      <t>热过负荷整定值</t>
    </r>
    <r>
      <rPr>
        <sz val="12"/>
        <rFont val="Times New Roman"/>
        <charset val="134"/>
      </rPr>
      <t xml:space="preserve"> </t>
    </r>
    <r>
      <rPr>
        <i/>
        <sz val="12"/>
        <rFont val="Times New Roman"/>
        <charset val="134"/>
      </rPr>
      <t>I</t>
    </r>
    <r>
      <rPr>
        <i/>
        <vertAlign val="subscript"/>
        <sz val="12"/>
        <rFont val="Times New Roman"/>
        <charset val="134"/>
      </rPr>
      <t>set.HOL</t>
    </r>
  </si>
  <si>
    <r>
      <rPr>
        <i/>
        <sz val="12"/>
        <rFont val="Times New Roman"/>
        <charset val="134"/>
      </rPr>
      <t>I</t>
    </r>
    <r>
      <rPr>
        <i/>
        <vertAlign val="subscript"/>
        <sz val="12"/>
        <rFont val="Times New Roman"/>
        <charset val="134"/>
      </rPr>
      <t>n</t>
    </r>
  </si>
  <si>
    <r>
      <rPr>
        <sz val="12"/>
        <rFont val="仿宋_GB2312"/>
        <charset val="134"/>
      </rPr>
      <t>热过负荷一次整定电流值</t>
    </r>
    <r>
      <rPr>
        <sz val="12"/>
        <rFont val="Times New Roman"/>
        <charset val="134"/>
      </rPr>
      <t xml:space="preserve"> </t>
    </r>
    <r>
      <rPr>
        <i/>
        <sz val="12"/>
        <rFont val="Times New Roman"/>
        <charset val="134"/>
      </rPr>
      <t>I</t>
    </r>
    <r>
      <rPr>
        <i/>
        <vertAlign val="subscript"/>
        <sz val="12"/>
        <rFont val="Times New Roman"/>
        <charset val="134"/>
      </rPr>
      <t>set.HOL.p</t>
    </r>
  </si>
  <si>
    <r>
      <rPr>
        <sz val="12"/>
        <rFont val="仿宋_GB2312"/>
        <charset val="134"/>
      </rPr>
      <t>热过负荷二次整定电流值</t>
    </r>
    <r>
      <rPr>
        <sz val="12"/>
        <rFont val="Times New Roman"/>
        <charset val="134"/>
      </rPr>
      <t xml:space="preserve"> </t>
    </r>
    <r>
      <rPr>
        <i/>
        <sz val="12"/>
        <rFont val="Times New Roman"/>
        <charset val="134"/>
      </rPr>
      <t>I</t>
    </r>
    <r>
      <rPr>
        <i/>
        <vertAlign val="subscript"/>
        <sz val="12"/>
        <rFont val="Times New Roman"/>
        <charset val="134"/>
      </rPr>
      <t>set.HOL.s</t>
    </r>
  </si>
  <si>
    <r>
      <rPr>
        <sz val="12"/>
        <rFont val="仿宋_GB2312"/>
        <charset val="134"/>
      </rPr>
      <t>负序系数</t>
    </r>
    <r>
      <rPr>
        <sz val="12"/>
        <rFont val="Times New Roman"/>
        <charset val="134"/>
      </rPr>
      <t xml:space="preserve"> </t>
    </r>
    <r>
      <rPr>
        <i/>
        <sz val="12"/>
        <rFont val="Times New Roman"/>
        <charset val="134"/>
      </rPr>
      <t>K</t>
    </r>
    <r>
      <rPr>
        <i/>
        <vertAlign val="subscript"/>
        <sz val="12"/>
        <rFont val="Times New Roman"/>
        <charset val="134"/>
      </rPr>
      <t>ns</t>
    </r>
  </si>
  <si>
    <r>
      <rPr>
        <sz val="12"/>
        <rFont val="仿宋_GB2312"/>
        <charset val="134"/>
      </rPr>
      <t>热时间常数</t>
    </r>
    <r>
      <rPr>
        <sz val="12"/>
        <rFont val="Times New Roman"/>
        <charset val="134"/>
      </rPr>
      <t xml:space="preserve"> </t>
    </r>
    <r>
      <rPr>
        <i/>
        <sz val="12"/>
        <rFont val="Times New Roman"/>
        <charset val="134"/>
      </rPr>
      <t>t</t>
    </r>
    <r>
      <rPr>
        <i/>
        <vertAlign val="subscript"/>
        <sz val="12"/>
        <rFont val="Times New Roman"/>
        <charset val="134"/>
      </rPr>
      <t>hot1</t>
    </r>
  </si>
  <si>
    <t>分</t>
  </si>
  <si>
    <r>
      <rPr>
        <sz val="12"/>
        <rFont val="仿宋_GB2312"/>
        <charset val="134"/>
      </rPr>
      <t>热时间常数</t>
    </r>
    <r>
      <rPr>
        <sz val="12"/>
        <rFont val="Times New Roman"/>
        <charset val="134"/>
      </rPr>
      <t xml:space="preserve"> </t>
    </r>
    <r>
      <rPr>
        <i/>
        <sz val="12"/>
        <rFont val="Times New Roman"/>
        <charset val="134"/>
      </rPr>
      <t>t</t>
    </r>
    <r>
      <rPr>
        <i/>
        <vertAlign val="subscript"/>
        <sz val="12"/>
        <rFont val="Times New Roman"/>
        <charset val="134"/>
      </rPr>
      <t>hot2</t>
    </r>
  </si>
  <si>
    <r>
      <rPr>
        <sz val="12"/>
        <rFont val="仿宋_GB2312"/>
        <charset val="134"/>
      </rPr>
      <t>冷却时间常数</t>
    </r>
    <r>
      <rPr>
        <sz val="12"/>
        <rFont val="Times New Roman"/>
        <charset val="134"/>
      </rPr>
      <t xml:space="preserve"> </t>
    </r>
    <r>
      <rPr>
        <i/>
        <sz val="12"/>
        <rFont val="Times New Roman"/>
        <charset val="134"/>
      </rPr>
      <t>t</t>
    </r>
    <r>
      <rPr>
        <i/>
        <vertAlign val="subscript"/>
        <sz val="12"/>
        <rFont val="Times New Roman"/>
        <charset val="134"/>
      </rPr>
      <t>cool</t>
    </r>
  </si>
  <si>
    <t>投入热过负荷报警功能？</t>
  </si>
  <si>
    <r>
      <rPr>
        <sz val="12"/>
        <rFont val="仿宋_GB2312"/>
        <charset val="134"/>
      </rPr>
      <t>热过负荷报警整定值</t>
    </r>
    <r>
      <rPr>
        <sz val="12"/>
        <rFont val="Times New Roman"/>
        <charset val="134"/>
      </rPr>
      <t xml:space="preserve"> </t>
    </r>
    <r>
      <rPr>
        <i/>
        <sz val="12"/>
        <rFont val="Times New Roman"/>
        <charset val="134"/>
      </rPr>
      <t>A</t>
    </r>
    <r>
      <rPr>
        <i/>
        <vertAlign val="subscript"/>
        <sz val="12"/>
        <rFont val="Times New Roman"/>
        <charset val="134"/>
      </rPr>
      <t>HOL</t>
    </r>
  </si>
  <si>
    <t xml:space="preserve"> %</t>
  </si>
  <si>
    <t>曲线过负荷保护</t>
  </si>
  <si>
    <t>投入曲线过负荷功能？</t>
  </si>
  <si>
    <t>过负荷曲线类型</t>
  </si>
  <si>
    <t>UK长时反时限</t>
  </si>
  <si>
    <r>
      <rPr>
        <sz val="12"/>
        <rFont val="仿宋_GB2312"/>
        <charset val="134"/>
      </rPr>
      <t>曲线过负荷系数</t>
    </r>
    <r>
      <rPr>
        <sz val="12"/>
        <rFont val="Times New Roman"/>
        <charset val="134"/>
      </rPr>
      <t xml:space="preserve"> </t>
    </r>
    <r>
      <rPr>
        <i/>
        <sz val="12"/>
        <rFont val="Times New Roman"/>
        <charset val="134"/>
      </rPr>
      <t>K</t>
    </r>
    <r>
      <rPr>
        <i/>
        <vertAlign val="subscript"/>
        <sz val="12"/>
        <rFont val="Times New Roman"/>
        <charset val="134"/>
      </rPr>
      <t>COL</t>
    </r>
  </si>
  <si>
    <r>
      <rPr>
        <sz val="12"/>
        <rFont val="仿宋_GB2312"/>
        <charset val="134"/>
      </rPr>
      <t>曲线负荷整定值</t>
    </r>
    <r>
      <rPr>
        <sz val="12"/>
        <rFont val="Times New Roman"/>
        <charset val="134"/>
      </rPr>
      <t xml:space="preserve"> </t>
    </r>
    <r>
      <rPr>
        <i/>
        <sz val="12"/>
        <rFont val="Times New Roman"/>
        <charset val="134"/>
      </rPr>
      <t>I</t>
    </r>
    <r>
      <rPr>
        <i/>
        <vertAlign val="subscript"/>
        <sz val="12"/>
        <rFont val="Times New Roman"/>
        <charset val="134"/>
      </rPr>
      <t>set.COL</t>
    </r>
  </si>
  <si>
    <r>
      <rPr>
        <sz val="12"/>
        <rFont val="仿宋_GB2312"/>
        <charset val="134"/>
      </rPr>
      <t>曲线过负荷一次整定电流值</t>
    </r>
    <r>
      <rPr>
        <sz val="12"/>
        <rFont val="Times New Roman"/>
        <charset val="134"/>
      </rPr>
      <t xml:space="preserve"> </t>
    </r>
    <r>
      <rPr>
        <i/>
        <sz val="12"/>
        <rFont val="Times New Roman"/>
        <charset val="134"/>
      </rPr>
      <t>I</t>
    </r>
    <r>
      <rPr>
        <i/>
        <vertAlign val="subscript"/>
        <sz val="12"/>
        <rFont val="Times New Roman"/>
        <charset val="134"/>
      </rPr>
      <t>set.COL.</t>
    </r>
    <r>
      <rPr>
        <vertAlign val="subscript"/>
        <sz val="12"/>
        <rFont val="Times New Roman"/>
        <charset val="134"/>
      </rPr>
      <t>p</t>
    </r>
  </si>
  <si>
    <r>
      <rPr>
        <sz val="12"/>
        <rFont val="仿宋_GB2312"/>
        <charset val="134"/>
      </rPr>
      <t>曲线过负荷二次整定电流值</t>
    </r>
    <r>
      <rPr>
        <sz val="12"/>
        <rFont val="Times New Roman"/>
        <charset val="134"/>
      </rPr>
      <t xml:space="preserve"> </t>
    </r>
    <r>
      <rPr>
        <i/>
        <sz val="12"/>
        <rFont val="Times New Roman"/>
        <charset val="134"/>
      </rPr>
      <t>I</t>
    </r>
    <r>
      <rPr>
        <i/>
        <vertAlign val="subscript"/>
        <sz val="12"/>
        <rFont val="Times New Roman"/>
        <charset val="134"/>
      </rPr>
      <t>set.COL.s</t>
    </r>
  </si>
  <si>
    <r>
      <rPr>
        <sz val="12"/>
        <rFont val="仿宋_GB2312"/>
        <charset val="134"/>
      </rPr>
      <t>曲线过负荷整定时间倍数</t>
    </r>
    <r>
      <rPr>
        <sz val="12"/>
        <rFont val="Times New Roman"/>
        <charset val="134"/>
      </rPr>
      <t xml:space="preserve"> </t>
    </r>
    <r>
      <rPr>
        <i/>
        <sz val="12"/>
        <rFont val="Times New Roman"/>
        <charset val="134"/>
      </rPr>
      <t>t</t>
    </r>
    <r>
      <rPr>
        <i/>
        <vertAlign val="subscript"/>
        <sz val="12"/>
        <rFont val="Times New Roman"/>
        <charset val="134"/>
      </rPr>
      <t>set.COL</t>
    </r>
  </si>
  <si>
    <r>
      <rPr>
        <sz val="12"/>
        <rFont val="Times New Roman"/>
        <charset val="134"/>
      </rPr>
      <t xml:space="preserve"> </t>
    </r>
    <r>
      <rPr>
        <sz val="12"/>
        <rFont val="仿宋_GB2312"/>
        <charset val="134"/>
      </rPr>
      <t>过电流保护</t>
    </r>
  </si>
  <si>
    <t>投入过电流保护功能？</t>
  </si>
  <si>
    <r>
      <rPr>
        <sz val="12"/>
        <rFont val="仿宋_GB2312"/>
        <charset val="134"/>
      </rPr>
      <t>过电流保护整定值</t>
    </r>
    <r>
      <rPr>
        <sz val="12"/>
        <rFont val="Times New Roman"/>
        <charset val="134"/>
      </rPr>
      <t xml:space="preserve"> </t>
    </r>
    <r>
      <rPr>
        <i/>
        <sz val="12"/>
        <rFont val="Times New Roman"/>
        <charset val="134"/>
      </rPr>
      <t>I</t>
    </r>
    <r>
      <rPr>
        <i/>
        <vertAlign val="subscript"/>
        <sz val="12"/>
        <rFont val="Times New Roman"/>
        <charset val="134"/>
      </rPr>
      <t>set.OC</t>
    </r>
  </si>
  <si>
    <r>
      <rPr>
        <sz val="12"/>
        <rFont val="仿宋_GB2312"/>
        <charset val="134"/>
      </rPr>
      <t>过电流保护一次整定电流值</t>
    </r>
    <r>
      <rPr>
        <sz val="12"/>
        <rFont val="Times New Roman"/>
        <charset val="134"/>
      </rPr>
      <t xml:space="preserve"> </t>
    </r>
    <r>
      <rPr>
        <i/>
        <sz val="12"/>
        <rFont val="Times New Roman"/>
        <charset val="134"/>
      </rPr>
      <t>I</t>
    </r>
    <r>
      <rPr>
        <i/>
        <vertAlign val="subscript"/>
        <sz val="12"/>
        <rFont val="Times New Roman"/>
        <charset val="134"/>
      </rPr>
      <t>set.OC.p</t>
    </r>
  </si>
  <si>
    <r>
      <rPr>
        <sz val="12"/>
        <rFont val="仿宋_GB2312"/>
        <charset val="134"/>
      </rPr>
      <t>过电流保护二次整定电流值</t>
    </r>
    <r>
      <rPr>
        <sz val="12"/>
        <rFont val="Times New Roman"/>
        <charset val="134"/>
      </rPr>
      <t xml:space="preserve"> </t>
    </r>
    <r>
      <rPr>
        <i/>
        <sz val="12"/>
        <rFont val="Times New Roman"/>
        <charset val="134"/>
      </rPr>
      <t>I</t>
    </r>
    <r>
      <rPr>
        <i/>
        <vertAlign val="subscript"/>
        <sz val="12"/>
        <rFont val="Times New Roman"/>
        <charset val="134"/>
      </rPr>
      <t>set.OC.s</t>
    </r>
  </si>
  <si>
    <r>
      <rPr>
        <sz val="12"/>
        <rFont val="仿宋_GB2312"/>
        <charset val="134"/>
      </rPr>
      <t>过电流保护延时</t>
    </r>
    <r>
      <rPr>
        <sz val="12"/>
        <rFont val="Times New Roman"/>
        <charset val="134"/>
      </rPr>
      <t xml:space="preserve"> </t>
    </r>
    <r>
      <rPr>
        <i/>
        <sz val="12"/>
        <rFont val="Times New Roman"/>
        <charset val="134"/>
      </rPr>
      <t>t</t>
    </r>
    <r>
      <rPr>
        <i/>
        <vertAlign val="subscript"/>
        <sz val="12"/>
        <rFont val="Times New Roman"/>
        <charset val="134"/>
      </rPr>
      <t>set.OC</t>
    </r>
  </si>
  <si>
    <t>短路保护</t>
  </si>
  <si>
    <t>投入短路保护功能？</t>
  </si>
  <si>
    <r>
      <rPr>
        <sz val="12"/>
        <rFont val="仿宋_GB2312"/>
        <charset val="134"/>
      </rPr>
      <t>短路保护系数</t>
    </r>
    <r>
      <rPr>
        <sz val="12"/>
        <rFont val="Times New Roman"/>
        <charset val="134"/>
      </rPr>
      <t xml:space="preserve"> </t>
    </r>
    <r>
      <rPr>
        <i/>
        <sz val="12"/>
        <rFont val="Times New Roman"/>
        <charset val="134"/>
      </rPr>
      <t>K</t>
    </r>
    <r>
      <rPr>
        <i/>
        <vertAlign val="subscript"/>
        <sz val="12"/>
        <rFont val="Times New Roman"/>
        <charset val="134"/>
      </rPr>
      <t>SC</t>
    </r>
  </si>
  <si>
    <r>
      <rPr>
        <sz val="12"/>
        <rFont val="仿宋_GB2312"/>
        <charset val="134"/>
      </rPr>
      <t>短路保护整定值</t>
    </r>
    <r>
      <rPr>
        <sz val="12"/>
        <rFont val="Times New Roman"/>
        <charset val="134"/>
      </rPr>
      <t xml:space="preserve"> </t>
    </r>
    <r>
      <rPr>
        <i/>
        <sz val="12"/>
        <rFont val="Times New Roman"/>
        <charset val="134"/>
      </rPr>
      <t>I</t>
    </r>
    <r>
      <rPr>
        <i/>
        <vertAlign val="subscript"/>
        <sz val="12"/>
        <rFont val="Times New Roman"/>
        <charset val="134"/>
      </rPr>
      <t>set.SC</t>
    </r>
  </si>
  <si>
    <r>
      <rPr>
        <sz val="12"/>
        <rFont val="仿宋_GB2312"/>
        <charset val="134"/>
      </rPr>
      <t>短路保护一次整定电流值</t>
    </r>
    <r>
      <rPr>
        <sz val="12"/>
        <rFont val="Times New Roman"/>
        <charset val="134"/>
      </rPr>
      <t xml:space="preserve"> </t>
    </r>
    <r>
      <rPr>
        <i/>
        <sz val="12"/>
        <rFont val="Times New Roman"/>
        <charset val="134"/>
      </rPr>
      <t>I</t>
    </r>
    <r>
      <rPr>
        <i/>
        <vertAlign val="subscript"/>
        <sz val="12"/>
        <rFont val="Times New Roman"/>
        <charset val="134"/>
      </rPr>
      <t>set.SC.p</t>
    </r>
  </si>
  <si>
    <r>
      <rPr>
        <sz val="12"/>
        <rFont val="仿宋_GB2312"/>
        <charset val="134"/>
      </rPr>
      <t>短路保护二次整定电流值</t>
    </r>
    <r>
      <rPr>
        <sz val="12"/>
        <rFont val="Times New Roman"/>
        <charset val="134"/>
      </rPr>
      <t xml:space="preserve"> </t>
    </r>
    <r>
      <rPr>
        <i/>
        <sz val="12"/>
        <rFont val="Times New Roman"/>
        <charset val="134"/>
      </rPr>
      <t>I</t>
    </r>
    <r>
      <rPr>
        <i/>
        <vertAlign val="subscript"/>
        <sz val="12"/>
        <rFont val="Times New Roman"/>
        <charset val="134"/>
      </rPr>
      <t>set.SC.s</t>
    </r>
  </si>
  <si>
    <r>
      <rPr>
        <sz val="12"/>
        <rFont val="仿宋_GB2312"/>
        <charset val="134"/>
      </rPr>
      <t>短路保护延时</t>
    </r>
    <r>
      <rPr>
        <sz val="12"/>
        <rFont val="Times New Roman"/>
        <charset val="134"/>
      </rPr>
      <t xml:space="preserve"> </t>
    </r>
    <r>
      <rPr>
        <i/>
        <sz val="12"/>
        <rFont val="Times New Roman"/>
        <charset val="134"/>
      </rPr>
      <t>t</t>
    </r>
    <r>
      <rPr>
        <i/>
        <vertAlign val="subscript"/>
        <sz val="12"/>
        <rFont val="Times New Roman"/>
        <charset val="134"/>
      </rPr>
      <t>set.SC</t>
    </r>
  </si>
  <si>
    <r>
      <rPr>
        <sz val="12"/>
        <rFont val="仿宋_GB2312"/>
        <charset val="134"/>
      </rPr>
      <t>短路保护灵敏系数</t>
    </r>
    <r>
      <rPr>
        <sz val="12"/>
        <rFont val="Times New Roman"/>
        <charset val="134"/>
      </rPr>
      <t xml:space="preserve"> </t>
    </r>
    <r>
      <rPr>
        <i/>
        <sz val="12"/>
        <rFont val="Times New Roman"/>
        <charset val="134"/>
      </rPr>
      <t>K</t>
    </r>
    <r>
      <rPr>
        <i/>
        <vertAlign val="subscript"/>
        <sz val="12"/>
        <rFont val="Times New Roman"/>
        <charset val="134"/>
      </rPr>
      <t>sen.SC</t>
    </r>
  </si>
  <si>
    <t>纵联差动保护</t>
  </si>
  <si>
    <t>投入纵联差动保护功能？</t>
  </si>
  <si>
    <r>
      <rPr>
        <sz val="12"/>
        <rFont val="仿宋_GB2312"/>
        <charset val="134"/>
      </rPr>
      <t>启动时纵联差动保护整定值</t>
    </r>
    <r>
      <rPr>
        <sz val="12"/>
        <rFont val="Times New Roman"/>
        <charset val="134"/>
      </rPr>
      <t xml:space="preserve"> </t>
    </r>
    <r>
      <rPr>
        <i/>
        <sz val="12"/>
        <rFont val="Times New Roman"/>
        <charset val="134"/>
      </rPr>
      <t>I</t>
    </r>
    <r>
      <rPr>
        <i/>
        <vertAlign val="subscript"/>
        <sz val="12"/>
        <rFont val="Times New Roman"/>
        <charset val="134"/>
      </rPr>
      <t>set.di.st</t>
    </r>
  </si>
  <si>
    <r>
      <rPr>
        <sz val="12"/>
        <rFont val="仿宋_GB2312"/>
        <charset val="134"/>
      </rPr>
      <t>启动时纵联差动保护一次整定电流值</t>
    </r>
    <r>
      <rPr>
        <sz val="12"/>
        <rFont val="Times New Roman"/>
        <charset val="134"/>
      </rPr>
      <t xml:space="preserve"> </t>
    </r>
    <r>
      <rPr>
        <i/>
        <sz val="12"/>
        <rFont val="Times New Roman"/>
        <charset val="134"/>
      </rPr>
      <t>I</t>
    </r>
    <r>
      <rPr>
        <i/>
        <vertAlign val="subscript"/>
        <sz val="12"/>
        <rFont val="Times New Roman"/>
        <charset val="134"/>
      </rPr>
      <t>set.di.st.p</t>
    </r>
  </si>
  <si>
    <r>
      <rPr>
        <sz val="12"/>
        <rFont val="仿宋_GB2312"/>
        <charset val="134"/>
      </rPr>
      <t>启动时纵联差动保护二次整定电流值</t>
    </r>
    <r>
      <rPr>
        <sz val="12"/>
        <rFont val="Times New Roman"/>
        <charset val="134"/>
      </rPr>
      <t xml:space="preserve"> </t>
    </r>
    <r>
      <rPr>
        <i/>
        <sz val="12"/>
        <rFont val="Times New Roman"/>
        <charset val="134"/>
      </rPr>
      <t>I</t>
    </r>
    <r>
      <rPr>
        <i/>
        <vertAlign val="subscript"/>
        <sz val="12"/>
        <rFont val="Times New Roman"/>
        <charset val="134"/>
      </rPr>
      <t>set.di.st.s</t>
    </r>
  </si>
  <si>
    <r>
      <rPr>
        <sz val="12"/>
        <rFont val="仿宋_GB2312"/>
        <charset val="134"/>
      </rPr>
      <t>启动时纵联差动保护延时</t>
    </r>
    <r>
      <rPr>
        <sz val="12"/>
        <rFont val="Times New Roman"/>
        <charset val="134"/>
      </rPr>
      <t xml:space="preserve"> </t>
    </r>
    <r>
      <rPr>
        <i/>
        <sz val="12"/>
        <rFont val="Times New Roman"/>
        <charset val="134"/>
      </rPr>
      <t>t</t>
    </r>
    <r>
      <rPr>
        <i/>
        <vertAlign val="subscript"/>
        <sz val="12"/>
        <rFont val="Times New Roman"/>
        <charset val="134"/>
      </rPr>
      <t>set.di.st</t>
    </r>
  </si>
  <si>
    <r>
      <rPr>
        <sz val="12"/>
        <rFont val="仿宋_GB2312"/>
        <charset val="134"/>
      </rPr>
      <t>运行时纵联差动保护整定值</t>
    </r>
    <r>
      <rPr>
        <sz val="12"/>
        <rFont val="Times New Roman"/>
        <charset val="134"/>
      </rPr>
      <t xml:space="preserve"> </t>
    </r>
    <r>
      <rPr>
        <i/>
        <sz val="12"/>
        <rFont val="Times New Roman"/>
        <charset val="134"/>
      </rPr>
      <t>I</t>
    </r>
    <r>
      <rPr>
        <i/>
        <vertAlign val="subscript"/>
        <sz val="12"/>
        <rFont val="Times New Roman"/>
        <charset val="134"/>
      </rPr>
      <t>set.di.run</t>
    </r>
  </si>
  <si>
    <r>
      <rPr>
        <sz val="12"/>
        <rFont val="仿宋_GB2312"/>
        <charset val="134"/>
      </rPr>
      <t>运行时纵联差动保护一次整定电流值</t>
    </r>
    <r>
      <rPr>
        <sz val="12"/>
        <rFont val="Times New Roman"/>
        <charset val="134"/>
      </rPr>
      <t xml:space="preserve"> </t>
    </r>
    <r>
      <rPr>
        <i/>
        <sz val="12"/>
        <rFont val="Times New Roman"/>
        <charset val="134"/>
      </rPr>
      <t>I</t>
    </r>
    <r>
      <rPr>
        <i/>
        <vertAlign val="subscript"/>
        <sz val="12"/>
        <rFont val="Times New Roman"/>
        <charset val="134"/>
      </rPr>
      <t>set.di.run.p</t>
    </r>
  </si>
  <si>
    <r>
      <rPr>
        <sz val="12"/>
        <rFont val="仿宋_GB2312"/>
        <charset val="134"/>
      </rPr>
      <t>运行时纵联差动保护二次整定电流值</t>
    </r>
    <r>
      <rPr>
        <sz val="12"/>
        <rFont val="Times New Roman"/>
        <charset val="134"/>
      </rPr>
      <t xml:space="preserve"> </t>
    </r>
    <r>
      <rPr>
        <i/>
        <sz val="12"/>
        <rFont val="Times New Roman"/>
        <charset val="134"/>
      </rPr>
      <t>I</t>
    </r>
    <r>
      <rPr>
        <i/>
        <vertAlign val="subscript"/>
        <sz val="12"/>
        <rFont val="Times New Roman"/>
        <charset val="134"/>
      </rPr>
      <t>set.di.run.s</t>
    </r>
  </si>
  <si>
    <r>
      <rPr>
        <sz val="12"/>
        <rFont val="仿宋_GB2312"/>
        <charset val="134"/>
      </rPr>
      <t>运行时纵联差动保护延时</t>
    </r>
    <r>
      <rPr>
        <sz val="12"/>
        <rFont val="Times New Roman"/>
        <charset val="134"/>
      </rPr>
      <t xml:space="preserve"> </t>
    </r>
    <r>
      <rPr>
        <i/>
        <sz val="12"/>
        <rFont val="Times New Roman"/>
        <charset val="134"/>
      </rPr>
      <t>t</t>
    </r>
    <r>
      <rPr>
        <i/>
        <vertAlign val="subscript"/>
        <sz val="12"/>
        <rFont val="Times New Roman"/>
        <charset val="134"/>
      </rPr>
      <t>set.di.run</t>
    </r>
  </si>
  <si>
    <t>磁平衡差动保护</t>
  </si>
  <si>
    <t>投入磁平衡差动保护功能？</t>
  </si>
  <si>
    <r>
      <rPr>
        <sz val="12"/>
        <rFont val="仿宋_GB2312"/>
        <charset val="134"/>
      </rPr>
      <t>磁平衡差动保护一次整定电流值</t>
    </r>
    <r>
      <rPr>
        <sz val="12"/>
        <rFont val="Times New Roman"/>
        <charset val="134"/>
      </rPr>
      <t xml:space="preserve"> </t>
    </r>
    <r>
      <rPr>
        <i/>
        <sz val="12"/>
        <rFont val="Times New Roman"/>
        <charset val="134"/>
      </rPr>
      <t>I</t>
    </r>
    <r>
      <rPr>
        <i/>
        <vertAlign val="subscript"/>
        <sz val="12"/>
        <rFont val="Times New Roman"/>
        <charset val="134"/>
      </rPr>
      <t>op.MB.p</t>
    </r>
  </si>
  <si>
    <r>
      <rPr>
        <sz val="12"/>
        <rFont val="仿宋_GB2312"/>
        <charset val="134"/>
      </rPr>
      <t>磁平衡差动保护整定值</t>
    </r>
    <r>
      <rPr>
        <sz val="12"/>
        <rFont val="Times New Roman"/>
        <charset val="134"/>
      </rPr>
      <t xml:space="preserve"> </t>
    </r>
    <r>
      <rPr>
        <i/>
        <sz val="12"/>
        <rFont val="Times New Roman"/>
        <charset val="134"/>
      </rPr>
      <t>I</t>
    </r>
    <r>
      <rPr>
        <i/>
        <vertAlign val="subscript"/>
        <sz val="12"/>
        <rFont val="Times New Roman"/>
        <charset val="134"/>
      </rPr>
      <t>set.MB</t>
    </r>
  </si>
  <si>
    <r>
      <rPr>
        <sz val="12"/>
        <rFont val="仿宋_GB2312"/>
        <charset val="134"/>
      </rPr>
      <t>磁平衡差动保护二次整定电流值</t>
    </r>
    <r>
      <rPr>
        <sz val="12"/>
        <rFont val="Times New Roman"/>
        <charset val="134"/>
      </rPr>
      <t xml:space="preserve"> </t>
    </r>
    <r>
      <rPr>
        <i/>
        <sz val="12"/>
        <rFont val="Times New Roman"/>
        <charset val="134"/>
      </rPr>
      <t>I</t>
    </r>
    <r>
      <rPr>
        <i/>
        <vertAlign val="subscript"/>
        <sz val="12"/>
        <rFont val="Times New Roman"/>
        <charset val="134"/>
      </rPr>
      <t>set.MB.s</t>
    </r>
  </si>
  <si>
    <r>
      <rPr>
        <sz val="12"/>
        <rFont val="仿宋_GB2312"/>
        <charset val="134"/>
      </rPr>
      <t>磁平衡差动保护延时</t>
    </r>
    <r>
      <rPr>
        <sz val="12"/>
        <rFont val="Times New Roman"/>
        <charset val="134"/>
      </rPr>
      <t xml:space="preserve"> </t>
    </r>
    <r>
      <rPr>
        <i/>
        <sz val="12"/>
        <rFont val="Times New Roman"/>
        <charset val="134"/>
      </rPr>
      <t>t</t>
    </r>
    <r>
      <rPr>
        <i/>
        <vertAlign val="subscript"/>
        <sz val="12"/>
        <rFont val="Times New Roman"/>
        <charset val="134"/>
      </rPr>
      <t>set.MB</t>
    </r>
  </si>
  <si>
    <r>
      <rPr>
        <sz val="12"/>
        <rFont val="仿宋_GB2312"/>
        <charset val="134"/>
      </rPr>
      <t>超时启动</t>
    </r>
    <r>
      <rPr>
        <sz val="12"/>
        <rFont val="Times New Roman"/>
        <charset val="134"/>
      </rPr>
      <t>/</t>
    </r>
    <r>
      <rPr>
        <sz val="12"/>
        <rFont val="仿宋_GB2312"/>
        <charset val="134"/>
      </rPr>
      <t>堵转保护</t>
    </r>
  </si>
  <si>
    <r>
      <rPr>
        <sz val="12"/>
        <rFont val="仿宋_GB2312"/>
        <charset val="134"/>
      </rPr>
      <t>投入超时启动</t>
    </r>
    <r>
      <rPr>
        <sz val="12"/>
        <rFont val="Times New Roman"/>
        <charset val="134"/>
      </rPr>
      <t>/</t>
    </r>
    <r>
      <rPr>
        <sz val="12"/>
        <rFont val="仿宋_GB2312"/>
        <charset val="134"/>
      </rPr>
      <t>堵转保护功能？</t>
    </r>
  </si>
  <si>
    <r>
      <rPr>
        <sz val="12"/>
        <rFont val="仿宋_GB2312"/>
        <charset val="134"/>
      </rPr>
      <t>超时启动</t>
    </r>
    <r>
      <rPr>
        <sz val="12"/>
        <rFont val="Times New Roman"/>
        <charset val="134"/>
      </rPr>
      <t>/</t>
    </r>
    <r>
      <rPr>
        <sz val="12"/>
        <rFont val="仿宋_GB2312"/>
        <charset val="134"/>
      </rPr>
      <t>堵转检测倍数</t>
    </r>
    <r>
      <rPr>
        <sz val="12"/>
        <rFont val="Times New Roman"/>
        <charset val="134"/>
      </rPr>
      <t xml:space="preserve"> </t>
    </r>
    <r>
      <rPr>
        <i/>
        <sz val="12"/>
        <rFont val="Times New Roman"/>
        <charset val="134"/>
      </rPr>
      <t>K</t>
    </r>
    <r>
      <rPr>
        <i/>
        <vertAlign val="subscript"/>
        <sz val="12"/>
        <rFont val="Times New Roman"/>
        <charset val="134"/>
      </rPr>
      <t>stall</t>
    </r>
  </si>
  <si>
    <r>
      <rPr>
        <sz val="12"/>
        <rFont val="仿宋_GB2312"/>
        <charset val="134"/>
      </rPr>
      <t>超时启动</t>
    </r>
    <r>
      <rPr>
        <sz val="12"/>
        <rFont val="Times New Roman"/>
        <charset val="134"/>
      </rPr>
      <t>/</t>
    </r>
    <r>
      <rPr>
        <sz val="12"/>
        <rFont val="仿宋_GB2312"/>
        <charset val="134"/>
      </rPr>
      <t>堵转保护整定值</t>
    </r>
    <r>
      <rPr>
        <sz val="12"/>
        <rFont val="Times New Roman"/>
        <charset val="134"/>
      </rPr>
      <t xml:space="preserve"> </t>
    </r>
    <r>
      <rPr>
        <i/>
        <sz val="12"/>
        <rFont val="Times New Roman"/>
        <charset val="134"/>
      </rPr>
      <t>I</t>
    </r>
    <r>
      <rPr>
        <i/>
        <vertAlign val="subscript"/>
        <sz val="12"/>
        <rFont val="Times New Roman"/>
        <charset val="134"/>
      </rPr>
      <t>set.stall</t>
    </r>
  </si>
  <si>
    <r>
      <rPr>
        <sz val="12"/>
        <rFont val="仿宋_GB2312"/>
        <charset val="134"/>
      </rPr>
      <t>超时启动</t>
    </r>
    <r>
      <rPr>
        <sz val="12"/>
        <rFont val="Times New Roman"/>
        <charset val="134"/>
      </rPr>
      <t>/</t>
    </r>
    <r>
      <rPr>
        <sz val="12"/>
        <rFont val="仿宋_GB2312"/>
        <charset val="134"/>
      </rPr>
      <t>堵转保护一次整定电流值</t>
    </r>
    <r>
      <rPr>
        <sz val="12"/>
        <rFont val="Times New Roman"/>
        <charset val="134"/>
      </rPr>
      <t xml:space="preserve"> </t>
    </r>
    <r>
      <rPr>
        <i/>
        <sz val="12"/>
        <rFont val="Times New Roman"/>
        <charset val="134"/>
      </rPr>
      <t>I</t>
    </r>
    <r>
      <rPr>
        <i/>
        <vertAlign val="subscript"/>
        <sz val="12"/>
        <rFont val="Times New Roman"/>
        <charset val="134"/>
      </rPr>
      <t>set.stall.p</t>
    </r>
  </si>
  <si>
    <r>
      <rPr>
        <sz val="12"/>
        <rFont val="仿宋_GB2312"/>
        <charset val="134"/>
      </rPr>
      <t>超时启动</t>
    </r>
    <r>
      <rPr>
        <sz val="12"/>
        <rFont val="Times New Roman"/>
        <charset val="134"/>
      </rPr>
      <t>/</t>
    </r>
    <r>
      <rPr>
        <sz val="12"/>
        <rFont val="仿宋_GB2312"/>
        <charset val="134"/>
      </rPr>
      <t>堵转保护二次整定电流值</t>
    </r>
    <r>
      <rPr>
        <sz val="12"/>
        <rFont val="Times New Roman"/>
        <charset val="134"/>
      </rPr>
      <t xml:space="preserve"> </t>
    </r>
    <r>
      <rPr>
        <i/>
        <sz val="12"/>
        <rFont val="Times New Roman"/>
        <charset val="134"/>
      </rPr>
      <t>I</t>
    </r>
    <r>
      <rPr>
        <i/>
        <vertAlign val="subscript"/>
        <sz val="12"/>
        <rFont val="Times New Roman"/>
        <charset val="134"/>
      </rPr>
      <t>set.stall.s</t>
    </r>
  </si>
  <si>
    <r>
      <rPr>
        <sz val="12"/>
        <rFont val="仿宋_GB2312"/>
        <charset val="134"/>
      </rPr>
      <t>超时启动</t>
    </r>
    <r>
      <rPr>
        <sz val="12"/>
        <rFont val="Times New Roman"/>
        <charset val="134"/>
      </rPr>
      <t>/</t>
    </r>
    <r>
      <rPr>
        <sz val="12"/>
        <rFont val="仿宋_GB2312"/>
        <charset val="134"/>
      </rPr>
      <t>堵转保护延时</t>
    </r>
    <r>
      <rPr>
        <sz val="12"/>
        <rFont val="Times New Roman"/>
        <charset val="134"/>
      </rPr>
      <t xml:space="preserve"> </t>
    </r>
    <r>
      <rPr>
        <i/>
        <sz val="12"/>
        <rFont val="Times New Roman"/>
        <charset val="134"/>
      </rPr>
      <t>t</t>
    </r>
    <r>
      <rPr>
        <i/>
        <vertAlign val="subscript"/>
        <sz val="12"/>
        <rFont val="Times New Roman"/>
        <charset val="134"/>
      </rPr>
      <t>set.stall</t>
    </r>
  </si>
  <si>
    <r>
      <rPr>
        <sz val="12"/>
        <rFont val="Times New Roman"/>
        <charset val="134"/>
      </rPr>
      <t xml:space="preserve"> </t>
    </r>
    <r>
      <rPr>
        <sz val="12"/>
        <rFont val="仿宋_GB2312"/>
        <charset val="134"/>
      </rPr>
      <t>接地故障保护</t>
    </r>
  </si>
  <si>
    <t>投入接地故障保护功能？</t>
  </si>
  <si>
    <r>
      <rPr>
        <sz val="12"/>
        <rFont val="仿宋_GB2312"/>
        <charset val="134"/>
      </rPr>
      <t>接地故障保护一次动作电流</t>
    </r>
    <r>
      <rPr>
        <sz val="12"/>
        <rFont val="Times New Roman"/>
        <charset val="134"/>
      </rPr>
      <t xml:space="preserve"> </t>
    </r>
    <r>
      <rPr>
        <i/>
        <sz val="12"/>
        <rFont val="Times New Roman"/>
        <charset val="134"/>
      </rPr>
      <t>I</t>
    </r>
    <r>
      <rPr>
        <i/>
        <vertAlign val="subscript"/>
        <sz val="12"/>
        <rFont val="Times New Roman"/>
        <charset val="134"/>
      </rPr>
      <t>op.E.p</t>
    </r>
  </si>
  <si>
    <r>
      <rPr>
        <sz val="12"/>
        <rFont val="仿宋_GB2312"/>
        <charset val="134"/>
      </rPr>
      <t>接地故障保护整定值</t>
    </r>
    <r>
      <rPr>
        <sz val="12"/>
        <rFont val="Times New Roman"/>
        <charset val="134"/>
      </rPr>
      <t xml:space="preserve"> </t>
    </r>
    <r>
      <rPr>
        <i/>
        <sz val="12"/>
        <rFont val="Times New Roman"/>
        <charset val="134"/>
      </rPr>
      <t>I</t>
    </r>
    <r>
      <rPr>
        <i/>
        <vertAlign val="subscript"/>
        <sz val="12"/>
        <rFont val="Times New Roman"/>
        <charset val="134"/>
      </rPr>
      <t>set.E</t>
    </r>
  </si>
  <si>
    <r>
      <rPr>
        <sz val="12"/>
        <rFont val="仿宋_GB2312"/>
        <charset val="134"/>
      </rPr>
      <t>接地故障保护延时</t>
    </r>
    <r>
      <rPr>
        <i/>
        <sz val="12"/>
        <rFont val="Times New Roman"/>
        <charset val="134"/>
      </rPr>
      <t xml:space="preserve"> t</t>
    </r>
    <r>
      <rPr>
        <i/>
        <vertAlign val="subscript"/>
        <sz val="12"/>
        <rFont val="Times New Roman"/>
        <charset val="134"/>
      </rPr>
      <t>set.E</t>
    </r>
  </si>
  <si>
    <r>
      <rPr>
        <sz val="12"/>
        <rFont val="Times New Roman"/>
        <charset val="134"/>
      </rPr>
      <t xml:space="preserve"> </t>
    </r>
    <r>
      <rPr>
        <sz val="12"/>
        <rFont val="仿宋_GB2312"/>
        <charset val="134"/>
      </rPr>
      <t>不平衡</t>
    </r>
    <r>
      <rPr>
        <sz val="12"/>
        <rFont val="Times New Roman"/>
        <charset val="134"/>
      </rPr>
      <t>/</t>
    </r>
    <r>
      <rPr>
        <sz val="12"/>
        <rFont val="仿宋_GB2312"/>
        <charset val="134"/>
      </rPr>
      <t>负序保护</t>
    </r>
  </si>
  <si>
    <r>
      <rPr>
        <sz val="12"/>
        <rFont val="仿宋_GB2312"/>
        <charset val="134"/>
      </rPr>
      <t>投入不平衡</t>
    </r>
    <r>
      <rPr>
        <sz val="12"/>
        <rFont val="Times New Roman"/>
        <charset val="134"/>
      </rPr>
      <t>/</t>
    </r>
    <r>
      <rPr>
        <sz val="12"/>
        <rFont val="仿宋_GB2312"/>
        <charset val="134"/>
      </rPr>
      <t>负序保护功能？</t>
    </r>
  </si>
  <si>
    <r>
      <rPr>
        <sz val="12"/>
        <rFont val="仿宋_GB2312"/>
        <charset val="134"/>
      </rPr>
      <t>不平衡</t>
    </r>
    <r>
      <rPr>
        <sz val="12"/>
        <rFont val="Times New Roman"/>
        <charset val="134"/>
      </rPr>
      <t>/</t>
    </r>
    <r>
      <rPr>
        <sz val="12"/>
        <rFont val="仿宋_GB2312"/>
        <charset val="134"/>
      </rPr>
      <t>负序保护系数</t>
    </r>
    <r>
      <rPr>
        <sz val="12"/>
        <rFont val="Times New Roman"/>
        <charset val="134"/>
      </rPr>
      <t xml:space="preserve"> </t>
    </r>
    <r>
      <rPr>
        <i/>
        <sz val="12"/>
        <rFont val="Times New Roman"/>
        <charset val="134"/>
      </rPr>
      <t>K</t>
    </r>
    <r>
      <rPr>
        <i/>
        <vertAlign val="subscript"/>
        <sz val="12"/>
        <rFont val="Times New Roman"/>
        <charset val="134"/>
      </rPr>
      <t>unb</t>
    </r>
  </si>
  <si>
    <r>
      <rPr>
        <sz val="12"/>
        <rFont val="仿宋_GB2312"/>
        <charset val="134"/>
      </rPr>
      <t>不平衡</t>
    </r>
    <r>
      <rPr>
        <sz val="12"/>
        <rFont val="Times New Roman"/>
        <charset val="134"/>
      </rPr>
      <t>/</t>
    </r>
    <r>
      <rPr>
        <sz val="12"/>
        <rFont val="仿宋_GB2312"/>
        <charset val="134"/>
      </rPr>
      <t>负序保护整定值</t>
    </r>
    <r>
      <rPr>
        <sz val="12"/>
        <rFont val="Times New Roman"/>
        <charset val="134"/>
      </rPr>
      <t xml:space="preserve"> </t>
    </r>
    <r>
      <rPr>
        <i/>
        <sz val="12"/>
        <rFont val="Times New Roman"/>
        <charset val="134"/>
      </rPr>
      <t>I</t>
    </r>
    <r>
      <rPr>
        <i/>
        <vertAlign val="subscript"/>
        <sz val="12"/>
        <rFont val="Times New Roman"/>
        <charset val="134"/>
      </rPr>
      <t>set.unb</t>
    </r>
  </si>
  <si>
    <r>
      <rPr>
        <sz val="12"/>
        <rFont val="仿宋_GB2312"/>
        <charset val="134"/>
      </rPr>
      <t>不平衡</t>
    </r>
    <r>
      <rPr>
        <sz val="12"/>
        <rFont val="Times New Roman"/>
        <charset val="134"/>
      </rPr>
      <t>/</t>
    </r>
    <r>
      <rPr>
        <sz val="12"/>
        <rFont val="仿宋_GB2312"/>
        <charset val="134"/>
      </rPr>
      <t>负序保护一次整定电流值</t>
    </r>
    <r>
      <rPr>
        <sz val="12"/>
        <rFont val="Times New Roman"/>
        <charset val="134"/>
      </rPr>
      <t xml:space="preserve"> </t>
    </r>
    <r>
      <rPr>
        <i/>
        <sz val="12"/>
        <rFont val="Times New Roman"/>
        <charset val="134"/>
      </rPr>
      <t>I</t>
    </r>
    <r>
      <rPr>
        <i/>
        <vertAlign val="subscript"/>
        <sz val="12"/>
        <rFont val="Times New Roman"/>
        <charset val="134"/>
      </rPr>
      <t>set.unb.p</t>
    </r>
  </si>
  <si>
    <r>
      <rPr>
        <sz val="12"/>
        <rFont val="仿宋_GB2312"/>
        <charset val="134"/>
      </rPr>
      <t>不平衡</t>
    </r>
    <r>
      <rPr>
        <sz val="12"/>
        <rFont val="Times New Roman"/>
        <charset val="134"/>
      </rPr>
      <t>/</t>
    </r>
    <r>
      <rPr>
        <sz val="12"/>
        <rFont val="仿宋_GB2312"/>
        <charset val="134"/>
      </rPr>
      <t>负序保护二次整定电流值</t>
    </r>
    <r>
      <rPr>
        <sz val="12"/>
        <rFont val="Times New Roman"/>
        <charset val="134"/>
      </rPr>
      <t xml:space="preserve"> </t>
    </r>
    <r>
      <rPr>
        <i/>
        <sz val="12"/>
        <rFont val="Times New Roman"/>
        <charset val="134"/>
      </rPr>
      <t>I</t>
    </r>
    <r>
      <rPr>
        <i/>
        <vertAlign val="subscript"/>
        <sz val="12"/>
        <rFont val="Times New Roman"/>
        <charset val="134"/>
      </rPr>
      <t>set.unb.s</t>
    </r>
  </si>
  <si>
    <r>
      <rPr>
        <sz val="12"/>
        <rFont val="仿宋_GB2312"/>
        <charset val="134"/>
      </rPr>
      <t>不平衡</t>
    </r>
    <r>
      <rPr>
        <sz val="12"/>
        <rFont val="Times New Roman"/>
        <charset val="134"/>
      </rPr>
      <t>/</t>
    </r>
    <r>
      <rPr>
        <sz val="12"/>
        <rFont val="仿宋_GB2312"/>
        <charset val="134"/>
      </rPr>
      <t>负序保护延时</t>
    </r>
    <r>
      <rPr>
        <sz val="12"/>
        <rFont val="Times New Roman"/>
        <charset val="134"/>
      </rPr>
      <t xml:space="preserve"> </t>
    </r>
    <r>
      <rPr>
        <i/>
        <sz val="12"/>
        <rFont val="Times New Roman"/>
        <charset val="134"/>
      </rPr>
      <t>t</t>
    </r>
    <r>
      <rPr>
        <i/>
        <vertAlign val="subscript"/>
        <sz val="12"/>
        <rFont val="Times New Roman"/>
        <charset val="134"/>
      </rPr>
      <t>set.unb</t>
    </r>
  </si>
  <si>
    <t>低电流保护</t>
  </si>
  <si>
    <t>投入低电流保护功能？</t>
  </si>
  <si>
    <r>
      <rPr>
        <sz val="12"/>
        <rFont val="仿宋_GB2312"/>
        <charset val="134"/>
      </rPr>
      <t>低电流保护系数</t>
    </r>
    <r>
      <rPr>
        <sz val="12"/>
        <rFont val="Times New Roman"/>
        <charset val="134"/>
      </rPr>
      <t xml:space="preserve"> </t>
    </r>
    <r>
      <rPr>
        <i/>
        <sz val="12"/>
        <rFont val="Times New Roman"/>
        <charset val="134"/>
      </rPr>
      <t>K</t>
    </r>
    <r>
      <rPr>
        <i/>
        <vertAlign val="subscript"/>
        <sz val="12"/>
        <rFont val="Times New Roman"/>
        <charset val="134"/>
      </rPr>
      <t>UC</t>
    </r>
  </si>
  <si>
    <r>
      <rPr>
        <sz val="12"/>
        <rFont val="仿宋_GB2312"/>
        <charset val="134"/>
      </rPr>
      <t>低电流保护整定值</t>
    </r>
    <r>
      <rPr>
        <sz val="12"/>
        <rFont val="Times New Roman"/>
        <charset val="134"/>
      </rPr>
      <t xml:space="preserve"> </t>
    </r>
    <r>
      <rPr>
        <i/>
        <sz val="12"/>
        <rFont val="Times New Roman"/>
        <charset val="134"/>
      </rPr>
      <t>I</t>
    </r>
    <r>
      <rPr>
        <i/>
        <vertAlign val="subscript"/>
        <sz val="12"/>
        <rFont val="Times New Roman"/>
        <charset val="134"/>
      </rPr>
      <t>set.UC</t>
    </r>
  </si>
  <si>
    <r>
      <rPr>
        <sz val="12"/>
        <rFont val="仿宋_GB2312"/>
        <charset val="134"/>
      </rPr>
      <t>低电流保护一次整定电流值</t>
    </r>
    <r>
      <rPr>
        <sz val="12"/>
        <rFont val="Times New Roman"/>
        <charset val="134"/>
      </rPr>
      <t xml:space="preserve"> </t>
    </r>
    <r>
      <rPr>
        <i/>
        <sz val="12"/>
        <rFont val="Times New Roman"/>
        <charset val="134"/>
      </rPr>
      <t>I</t>
    </r>
    <r>
      <rPr>
        <i/>
        <vertAlign val="subscript"/>
        <sz val="12"/>
        <rFont val="Times New Roman"/>
        <charset val="134"/>
      </rPr>
      <t>set.UC.p</t>
    </r>
  </si>
  <si>
    <r>
      <rPr>
        <sz val="12"/>
        <rFont val="仿宋_GB2312"/>
        <charset val="134"/>
      </rPr>
      <t>低电流保护二次整定电流值</t>
    </r>
    <r>
      <rPr>
        <sz val="12"/>
        <rFont val="Times New Roman"/>
        <charset val="134"/>
      </rPr>
      <t xml:space="preserve"> </t>
    </r>
    <r>
      <rPr>
        <i/>
        <sz val="12"/>
        <rFont val="Times New Roman"/>
        <charset val="134"/>
      </rPr>
      <t>I</t>
    </r>
    <r>
      <rPr>
        <i/>
        <vertAlign val="subscript"/>
        <sz val="12"/>
        <rFont val="Times New Roman"/>
        <charset val="134"/>
      </rPr>
      <t>set.UC.s</t>
    </r>
  </si>
  <si>
    <r>
      <rPr>
        <sz val="12"/>
        <rFont val="仿宋_GB2312"/>
        <charset val="134"/>
      </rPr>
      <t>低电流保护延时</t>
    </r>
    <r>
      <rPr>
        <sz val="12"/>
        <rFont val="Times New Roman"/>
        <charset val="134"/>
      </rPr>
      <t xml:space="preserve"> </t>
    </r>
    <r>
      <rPr>
        <i/>
        <sz val="12"/>
        <rFont val="Times New Roman"/>
        <charset val="134"/>
      </rPr>
      <t>t</t>
    </r>
    <r>
      <rPr>
        <i/>
        <vertAlign val="subscript"/>
        <sz val="12"/>
        <rFont val="Times New Roman"/>
        <charset val="134"/>
      </rPr>
      <t>set.UC</t>
    </r>
  </si>
  <si>
    <r>
      <rPr>
        <sz val="12"/>
        <rFont val="Times New Roman"/>
        <charset val="134"/>
      </rPr>
      <t xml:space="preserve"> </t>
    </r>
    <r>
      <rPr>
        <sz val="12"/>
        <rFont val="仿宋_GB2312"/>
        <charset val="134"/>
      </rPr>
      <t>低电压保护</t>
    </r>
  </si>
  <si>
    <t>投入低电压保护功能？</t>
  </si>
  <si>
    <r>
      <rPr>
        <sz val="12"/>
        <rFont val="仿宋_GB2312"/>
        <charset val="134"/>
      </rPr>
      <t>低电压保护系数</t>
    </r>
    <r>
      <rPr>
        <sz val="12"/>
        <rFont val="Times New Roman"/>
        <charset val="134"/>
      </rPr>
      <t xml:space="preserve"> </t>
    </r>
    <r>
      <rPr>
        <i/>
        <sz val="12"/>
        <rFont val="Times New Roman"/>
        <charset val="134"/>
      </rPr>
      <t>K</t>
    </r>
    <r>
      <rPr>
        <i/>
        <vertAlign val="subscript"/>
        <sz val="12"/>
        <rFont val="Times New Roman"/>
        <charset val="134"/>
      </rPr>
      <t>UV</t>
    </r>
  </si>
  <si>
    <r>
      <rPr>
        <sz val="12"/>
        <rFont val="仿宋_GB2312"/>
        <charset val="134"/>
      </rPr>
      <t>低电压保护整定值</t>
    </r>
    <r>
      <rPr>
        <sz val="12"/>
        <rFont val="Times New Roman"/>
        <charset val="134"/>
      </rPr>
      <t xml:space="preserve"> </t>
    </r>
    <r>
      <rPr>
        <i/>
        <sz val="12"/>
        <rFont val="Times New Roman"/>
        <charset val="134"/>
      </rPr>
      <t>U</t>
    </r>
    <r>
      <rPr>
        <i/>
        <vertAlign val="subscript"/>
        <sz val="12"/>
        <rFont val="Times New Roman"/>
        <charset val="134"/>
      </rPr>
      <t>set.UV</t>
    </r>
  </si>
  <si>
    <t>Un</t>
  </si>
  <si>
    <r>
      <rPr>
        <sz val="12"/>
        <rFont val="仿宋_GB2312"/>
        <charset val="134"/>
      </rPr>
      <t>低电压保护一次动作整定值</t>
    </r>
    <r>
      <rPr>
        <sz val="12"/>
        <rFont val="Times New Roman"/>
        <charset val="134"/>
      </rPr>
      <t xml:space="preserve"> </t>
    </r>
    <r>
      <rPr>
        <i/>
        <sz val="12"/>
        <rFont val="Times New Roman"/>
        <charset val="134"/>
      </rPr>
      <t>U</t>
    </r>
    <r>
      <rPr>
        <i/>
        <vertAlign val="subscript"/>
        <sz val="12"/>
        <rFont val="Times New Roman"/>
        <charset val="134"/>
      </rPr>
      <t>set.UV.p</t>
    </r>
  </si>
  <si>
    <r>
      <rPr>
        <sz val="12"/>
        <rFont val="仿宋_GB2312"/>
        <charset val="134"/>
      </rPr>
      <t>低电压保护二次动作整定值</t>
    </r>
    <r>
      <rPr>
        <sz val="12"/>
        <rFont val="Times New Roman"/>
        <charset val="134"/>
      </rPr>
      <t xml:space="preserve"> </t>
    </r>
    <r>
      <rPr>
        <i/>
        <sz val="12"/>
        <rFont val="Times New Roman"/>
        <charset val="134"/>
      </rPr>
      <t>U</t>
    </r>
    <r>
      <rPr>
        <i/>
        <vertAlign val="subscript"/>
        <sz val="12"/>
        <rFont val="Times New Roman"/>
        <charset val="134"/>
      </rPr>
      <t>set.UV.s</t>
    </r>
  </si>
  <si>
    <r>
      <rPr>
        <sz val="12"/>
        <rFont val="仿宋_GB2312"/>
        <charset val="134"/>
      </rPr>
      <t>低电压保护延时</t>
    </r>
    <r>
      <rPr>
        <sz val="12"/>
        <rFont val="Times New Roman"/>
        <charset val="134"/>
      </rPr>
      <t xml:space="preserve"> </t>
    </r>
    <r>
      <rPr>
        <i/>
        <sz val="12"/>
        <rFont val="Times New Roman"/>
        <charset val="134"/>
      </rPr>
      <t>t</t>
    </r>
    <r>
      <rPr>
        <i/>
        <vertAlign val="subscript"/>
        <sz val="12"/>
        <rFont val="Times New Roman"/>
        <charset val="134"/>
      </rPr>
      <t>set.UV</t>
    </r>
  </si>
  <si>
    <r>
      <rPr>
        <sz val="12"/>
        <rFont val="仿宋_GB2312"/>
        <charset val="134"/>
      </rPr>
      <t>启动次数</t>
    </r>
    <r>
      <rPr>
        <sz val="12"/>
        <rFont val="Times New Roman"/>
        <charset val="134"/>
      </rPr>
      <t>/</t>
    </r>
    <r>
      <rPr>
        <sz val="12"/>
        <rFont val="仿宋_GB2312"/>
        <charset val="134"/>
      </rPr>
      <t>最小时间间隔</t>
    </r>
  </si>
  <si>
    <t>投入启动次数限制功能？</t>
  </si>
  <si>
    <r>
      <rPr>
        <sz val="12"/>
        <rFont val="仿宋_GB2312"/>
        <charset val="134"/>
      </rPr>
      <t>冷启动次数</t>
    </r>
    <r>
      <rPr>
        <sz val="12"/>
        <rFont val="Times New Roman"/>
        <charset val="134"/>
      </rPr>
      <t xml:space="preserve"> </t>
    </r>
    <r>
      <rPr>
        <i/>
        <sz val="12"/>
        <rFont val="Times New Roman"/>
        <charset val="134"/>
      </rPr>
      <t>N</t>
    </r>
    <r>
      <rPr>
        <i/>
        <vertAlign val="subscript"/>
        <sz val="12"/>
        <rFont val="Times New Roman"/>
        <charset val="134"/>
      </rPr>
      <t>cool</t>
    </r>
  </si>
  <si>
    <t>次</t>
  </si>
  <si>
    <r>
      <rPr>
        <sz val="12"/>
        <rFont val="仿宋_GB2312"/>
        <charset val="134"/>
      </rPr>
      <t>热启动次数</t>
    </r>
    <r>
      <rPr>
        <sz val="12"/>
        <rFont val="Times New Roman"/>
        <charset val="134"/>
      </rPr>
      <t xml:space="preserve"> </t>
    </r>
    <r>
      <rPr>
        <i/>
        <sz val="12"/>
        <rFont val="Times New Roman"/>
        <charset val="134"/>
      </rPr>
      <t>N</t>
    </r>
    <r>
      <rPr>
        <i/>
        <vertAlign val="subscript"/>
        <sz val="12"/>
        <rFont val="Times New Roman"/>
        <charset val="134"/>
      </rPr>
      <t>hot</t>
    </r>
  </si>
  <si>
    <r>
      <rPr>
        <sz val="12"/>
        <rFont val="仿宋_GB2312"/>
        <charset val="134"/>
      </rPr>
      <t>参考时间</t>
    </r>
    <r>
      <rPr>
        <sz val="12"/>
        <rFont val="Times New Roman"/>
        <charset val="134"/>
      </rPr>
      <t xml:space="preserve"> </t>
    </r>
    <r>
      <rPr>
        <i/>
        <sz val="12"/>
        <rFont val="Times New Roman"/>
        <charset val="134"/>
      </rPr>
      <t>t</t>
    </r>
    <r>
      <rPr>
        <i/>
        <vertAlign val="subscript"/>
        <sz val="12"/>
        <rFont val="Times New Roman"/>
        <charset val="134"/>
      </rPr>
      <t>refer</t>
    </r>
  </si>
  <si>
    <r>
      <rPr>
        <sz val="12"/>
        <rFont val="仿宋_GB2312"/>
        <charset val="134"/>
      </rPr>
      <t>禁止启动时间</t>
    </r>
    <r>
      <rPr>
        <sz val="12"/>
        <rFont val="Times New Roman"/>
        <charset val="134"/>
      </rPr>
      <t xml:space="preserve"> </t>
    </r>
    <r>
      <rPr>
        <i/>
        <sz val="12"/>
        <rFont val="Times New Roman"/>
        <charset val="134"/>
      </rPr>
      <t>t</t>
    </r>
    <r>
      <rPr>
        <i/>
        <vertAlign val="subscript"/>
        <sz val="12"/>
        <rFont val="Times New Roman"/>
        <charset val="134"/>
      </rPr>
      <t>inter</t>
    </r>
  </si>
  <si>
    <t>投入启动间的最小时间间隔功能？</t>
  </si>
  <si>
    <r>
      <rPr>
        <sz val="12"/>
        <rFont val="仿宋_GB2312"/>
        <charset val="134"/>
      </rPr>
      <t>最小时间间隔</t>
    </r>
    <r>
      <rPr>
        <sz val="12"/>
        <rFont val="Times New Roman"/>
        <charset val="134"/>
      </rPr>
      <t xml:space="preserve"> </t>
    </r>
    <r>
      <rPr>
        <i/>
        <sz val="12"/>
        <rFont val="Times New Roman"/>
        <charset val="134"/>
      </rPr>
      <t>t</t>
    </r>
    <r>
      <rPr>
        <i/>
        <vertAlign val="subscript"/>
        <sz val="12"/>
        <rFont val="Times New Roman"/>
        <charset val="134"/>
      </rPr>
      <t>entre</t>
    </r>
  </si>
  <si>
    <t>微机电力电容器保护装置整定计算书</t>
  </si>
  <si>
    <t>跳闸</t>
  </si>
  <si>
    <t>信号</t>
  </si>
  <si>
    <t>电力电容器名称：</t>
  </si>
  <si>
    <r>
      <rPr>
        <sz val="12"/>
        <color indexed="48"/>
        <rFont val="Times New Roman"/>
        <charset val="134"/>
      </rPr>
      <t>1#</t>
    </r>
    <r>
      <rPr>
        <sz val="12"/>
        <color indexed="48"/>
        <rFont val="仿宋_GB2312"/>
        <charset val="134"/>
      </rPr>
      <t>电容器</t>
    </r>
  </si>
  <si>
    <t>电力电容器位号：</t>
  </si>
  <si>
    <t>FCC-C1</t>
  </si>
  <si>
    <t>桥差电流互感器一次侧额定电流</t>
  </si>
  <si>
    <t>桥差电流互感器二次侧额定电流</t>
  </si>
  <si>
    <r>
      <rPr>
        <sz val="12"/>
        <rFont val="仿宋_GB2312"/>
        <charset val="134"/>
      </rPr>
      <t>电力电容器额定电流</t>
    </r>
    <r>
      <rPr>
        <i/>
        <sz val="12"/>
        <rFont val="Times New Roman"/>
        <charset val="134"/>
      </rPr>
      <t xml:space="preserve"> I</t>
    </r>
    <r>
      <rPr>
        <i/>
        <vertAlign val="subscript"/>
        <sz val="12"/>
        <rFont val="Times New Roman"/>
        <charset val="134"/>
      </rPr>
      <t>rC</t>
    </r>
  </si>
  <si>
    <t>说明：蓝色字体内容应由计算人选择确认！</t>
  </si>
  <si>
    <r>
      <rPr>
        <sz val="12"/>
        <rFont val="仿宋_GB2312"/>
        <charset val="134"/>
      </rPr>
      <t>热时间常数</t>
    </r>
    <r>
      <rPr>
        <sz val="12"/>
        <rFont val="Times New Roman"/>
        <charset val="134"/>
      </rPr>
      <t xml:space="preserve"> </t>
    </r>
    <r>
      <rPr>
        <i/>
        <sz val="12"/>
        <rFont val="Times New Roman"/>
        <charset val="134"/>
      </rPr>
      <t>t</t>
    </r>
    <r>
      <rPr>
        <i/>
        <vertAlign val="subscript"/>
        <sz val="12"/>
        <rFont val="Times New Roman"/>
        <charset val="134"/>
      </rPr>
      <t>hot</t>
    </r>
  </si>
  <si>
    <t>热过负荷保护动作方式</t>
  </si>
  <si>
    <r>
      <rPr>
        <sz val="12"/>
        <color indexed="48"/>
        <rFont val="Times New Roman"/>
        <charset val="134"/>
      </rPr>
      <t>IEC</t>
    </r>
    <r>
      <rPr>
        <sz val="12"/>
        <color indexed="48"/>
        <rFont val="仿宋_GB2312"/>
        <charset val="134"/>
      </rPr>
      <t>极端反时限</t>
    </r>
  </si>
  <si>
    <r>
      <rPr>
        <sz val="12"/>
        <rFont val="仿宋_GB2312"/>
        <charset val="134"/>
      </rPr>
      <t>曲线过负荷允许运行时间</t>
    </r>
    <r>
      <rPr>
        <sz val="12"/>
        <rFont val="Times New Roman"/>
        <charset val="134"/>
      </rPr>
      <t xml:space="preserve"> </t>
    </r>
    <r>
      <rPr>
        <i/>
        <sz val="12"/>
        <rFont val="Times New Roman"/>
        <charset val="134"/>
      </rPr>
      <t>t</t>
    </r>
    <r>
      <rPr>
        <i/>
        <vertAlign val="subscript"/>
        <sz val="12"/>
        <rFont val="Times New Roman"/>
        <charset val="134"/>
      </rPr>
      <t>COL.run</t>
    </r>
  </si>
  <si>
    <r>
      <rPr>
        <sz val="12"/>
        <rFont val="仿宋_GB2312"/>
        <charset val="134"/>
      </rPr>
      <t>曲线过负荷整定时间倍数</t>
    </r>
    <r>
      <rPr>
        <sz val="12"/>
        <rFont val="Times New Roman"/>
        <charset val="134"/>
      </rPr>
      <t xml:space="preserve"> </t>
    </r>
    <r>
      <rPr>
        <i/>
        <sz val="12"/>
        <rFont val="Times New Roman"/>
        <charset val="134"/>
      </rPr>
      <t>t</t>
    </r>
    <r>
      <rPr>
        <i/>
        <vertAlign val="subscript"/>
        <sz val="12"/>
        <rFont val="Times New Roman"/>
        <charset val="134"/>
      </rPr>
      <t>set.COL.m</t>
    </r>
  </si>
  <si>
    <t>曲线过负荷保护动作方式</t>
  </si>
  <si>
    <r>
      <rPr>
        <sz val="12"/>
        <rFont val="仿宋_GB2312"/>
        <charset val="134"/>
      </rPr>
      <t>过电流保护系数</t>
    </r>
    <r>
      <rPr>
        <sz val="12"/>
        <rFont val="Times New Roman"/>
        <charset val="134"/>
      </rPr>
      <t xml:space="preserve"> </t>
    </r>
    <r>
      <rPr>
        <i/>
        <sz val="12"/>
        <rFont val="Times New Roman"/>
        <charset val="134"/>
      </rPr>
      <t>K</t>
    </r>
    <r>
      <rPr>
        <i/>
        <vertAlign val="subscript"/>
        <sz val="12"/>
        <rFont val="Times New Roman"/>
        <charset val="134"/>
      </rPr>
      <t>OC</t>
    </r>
  </si>
  <si>
    <t>过电流保护动作方式</t>
  </si>
  <si>
    <t>短路保护动作方式</t>
  </si>
  <si>
    <t>桥差电流保护</t>
  </si>
  <si>
    <t>投入桥差电流保护功能？</t>
  </si>
  <si>
    <r>
      <rPr>
        <sz val="12"/>
        <rFont val="仿宋_GB2312"/>
        <charset val="134"/>
      </rPr>
      <t>桥差电流保护一次动作电流</t>
    </r>
    <r>
      <rPr>
        <sz val="12"/>
        <rFont val="Times New Roman"/>
        <charset val="134"/>
      </rPr>
      <t xml:space="preserve"> </t>
    </r>
    <r>
      <rPr>
        <i/>
        <sz val="12"/>
        <rFont val="Times New Roman"/>
        <charset val="134"/>
      </rPr>
      <t>I</t>
    </r>
    <r>
      <rPr>
        <i/>
        <vertAlign val="subscript"/>
        <sz val="12"/>
        <rFont val="Times New Roman"/>
        <charset val="134"/>
      </rPr>
      <t>op.BD.p</t>
    </r>
  </si>
  <si>
    <r>
      <rPr>
        <sz val="12"/>
        <rFont val="仿宋_GB2312"/>
        <charset val="134"/>
      </rPr>
      <t>桥差电流保护整定值</t>
    </r>
    <r>
      <rPr>
        <sz val="12"/>
        <rFont val="Times New Roman"/>
        <charset val="134"/>
      </rPr>
      <t xml:space="preserve"> </t>
    </r>
    <r>
      <rPr>
        <i/>
        <sz val="12"/>
        <rFont val="Times New Roman"/>
        <charset val="134"/>
      </rPr>
      <t>I</t>
    </r>
    <r>
      <rPr>
        <i/>
        <vertAlign val="subscript"/>
        <sz val="12"/>
        <rFont val="Times New Roman"/>
        <charset val="134"/>
      </rPr>
      <t>set.BD</t>
    </r>
  </si>
  <si>
    <r>
      <rPr>
        <sz val="12"/>
        <rFont val="仿宋_GB2312"/>
        <charset val="134"/>
      </rPr>
      <t>桥差电流保护二次整定电流值</t>
    </r>
    <r>
      <rPr>
        <sz val="12"/>
        <rFont val="Times New Roman"/>
        <charset val="134"/>
      </rPr>
      <t xml:space="preserve"> </t>
    </r>
    <r>
      <rPr>
        <i/>
        <sz val="12"/>
        <rFont val="Times New Roman"/>
        <charset val="134"/>
      </rPr>
      <t>I</t>
    </r>
    <r>
      <rPr>
        <i/>
        <vertAlign val="subscript"/>
        <sz val="12"/>
        <rFont val="Times New Roman"/>
        <charset val="134"/>
      </rPr>
      <t>set.BD.s</t>
    </r>
  </si>
  <si>
    <r>
      <rPr>
        <sz val="12"/>
        <rFont val="仿宋_GB2312"/>
        <charset val="134"/>
      </rPr>
      <t>桥差电流保护延时</t>
    </r>
    <r>
      <rPr>
        <sz val="12"/>
        <rFont val="Times New Roman"/>
        <charset val="134"/>
      </rPr>
      <t xml:space="preserve"> </t>
    </r>
    <r>
      <rPr>
        <i/>
        <sz val="12"/>
        <rFont val="Times New Roman"/>
        <charset val="134"/>
      </rPr>
      <t>t</t>
    </r>
    <r>
      <rPr>
        <i/>
        <vertAlign val="subscript"/>
        <sz val="12"/>
        <rFont val="Times New Roman"/>
        <charset val="134"/>
      </rPr>
      <t>set.BD</t>
    </r>
  </si>
  <si>
    <t>桥差电流保护动作方式</t>
  </si>
  <si>
    <t>接地故障保护</t>
  </si>
  <si>
    <t>接地故障保护动作方式</t>
  </si>
  <si>
    <r>
      <rPr>
        <sz val="12"/>
        <rFont val="仿宋_GB2312"/>
        <charset val="134"/>
      </rPr>
      <t>不平衡</t>
    </r>
    <r>
      <rPr>
        <sz val="12"/>
        <rFont val="Times New Roman"/>
        <charset val="134"/>
      </rPr>
      <t>/</t>
    </r>
    <r>
      <rPr>
        <sz val="12"/>
        <rFont val="仿宋_GB2312"/>
        <charset val="134"/>
      </rPr>
      <t>负序电流保护</t>
    </r>
  </si>
  <si>
    <r>
      <rPr>
        <sz val="12"/>
        <rFont val="仿宋_GB2312"/>
        <charset val="134"/>
      </rPr>
      <t>投入不平衡</t>
    </r>
    <r>
      <rPr>
        <sz val="12"/>
        <rFont val="Times New Roman"/>
        <charset val="134"/>
      </rPr>
      <t>/</t>
    </r>
    <r>
      <rPr>
        <sz val="12"/>
        <rFont val="仿宋_GB2312"/>
        <charset val="134"/>
      </rPr>
      <t>负序电流保护功能？</t>
    </r>
  </si>
  <si>
    <r>
      <rPr>
        <sz val="12"/>
        <rFont val="仿宋_GB2312"/>
        <charset val="134"/>
      </rPr>
      <t>不平衡</t>
    </r>
    <r>
      <rPr>
        <sz val="12"/>
        <rFont val="Times New Roman"/>
        <charset val="134"/>
      </rPr>
      <t>/</t>
    </r>
    <r>
      <rPr>
        <sz val="12"/>
        <rFont val="仿宋_GB2312"/>
        <charset val="134"/>
      </rPr>
      <t>负序电流保护系数</t>
    </r>
    <r>
      <rPr>
        <sz val="12"/>
        <rFont val="Times New Roman"/>
        <charset val="134"/>
      </rPr>
      <t xml:space="preserve"> </t>
    </r>
    <r>
      <rPr>
        <i/>
        <sz val="12"/>
        <rFont val="Times New Roman"/>
        <charset val="134"/>
      </rPr>
      <t>K</t>
    </r>
    <r>
      <rPr>
        <i/>
        <vertAlign val="subscript"/>
        <sz val="12"/>
        <rFont val="Times New Roman"/>
        <charset val="134"/>
      </rPr>
      <t>unb.C</t>
    </r>
  </si>
  <si>
    <r>
      <rPr>
        <sz val="12"/>
        <rFont val="仿宋_GB2312"/>
        <charset val="134"/>
      </rPr>
      <t>不平衡</t>
    </r>
    <r>
      <rPr>
        <sz val="12"/>
        <rFont val="Times New Roman"/>
        <charset val="134"/>
      </rPr>
      <t>/</t>
    </r>
    <r>
      <rPr>
        <sz val="12"/>
        <rFont val="仿宋_GB2312"/>
        <charset val="134"/>
      </rPr>
      <t>负序电流保护整定值</t>
    </r>
    <r>
      <rPr>
        <sz val="12"/>
        <rFont val="Times New Roman"/>
        <charset val="134"/>
      </rPr>
      <t xml:space="preserve"> </t>
    </r>
    <r>
      <rPr>
        <i/>
        <sz val="12"/>
        <rFont val="Times New Roman"/>
        <charset val="134"/>
      </rPr>
      <t>I</t>
    </r>
    <r>
      <rPr>
        <i/>
        <vertAlign val="subscript"/>
        <sz val="12"/>
        <rFont val="Times New Roman"/>
        <charset val="134"/>
      </rPr>
      <t>set.unb</t>
    </r>
  </si>
  <si>
    <r>
      <rPr>
        <sz val="12"/>
        <rFont val="仿宋_GB2312"/>
        <charset val="134"/>
      </rPr>
      <t>不平衡</t>
    </r>
    <r>
      <rPr>
        <sz val="12"/>
        <rFont val="Times New Roman"/>
        <charset val="134"/>
      </rPr>
      <t>/</t>
    </r>
    <r>
      <rPr>
        <sz val="12"/>
        <rFont val="仿宋_GB2312"/>
        <charset val="134"/>
      </rPr>
      <t>负序电流保护一次整定电流值</t>
    </r>
    <r>
      <rPr>
        <sz val="12"/>
        <rFont val="Times New Roman"/>
        <charset val="134"/>
      </rPr>
      <t xml:space="preserve"> </t>
    </r>
    <r>
      <rPr>
        <i/>
        <sz val="12"/>
        <rFont val="Times New Roman"/>
        <charset val="134"/>
      </rPr>
      <t>I</t>
    </r>
    <r>
      <rPr>
        <i/>
        <vertAlign val="subscript"/>
        <sz val="12"/>
        <rFont val="Times New Roman"/>
        <charset val="134"/>
      </rPr>
      <t>set.unb.p</t>
    </r>
  </si>
  <si>
    <r>
      <rPr>
        <sz val="12"/>
        <rFont val="仿宋_GB2312"/>
        <charset val="134"/>
      </rPr>
      <t>不平衡</t>
    </r>
    <r>
      <rPr>
        <sz val="12"/>
        <rFont val="Times New Roman"/>
        <charset val="134"/>
      </rPr>
      <t>/</t>
    </r>
    <r>
      <rPr>
        <sz val="12"/>
        <rFont val="仿宋_GB2312"/>
        <charset val="134"/>
      </rPr>
      <t>负序电流保护二次整定电流值</t>
    </r>
    <r>
      <rPr>
        <sz val="12"/>
        <rFont val="Times New Roman"/>
        <charset val="134"/>
      </rPr>
      <t xml:space="preserve"> </t>
    </r>
    <r>
      <rPr>
        <i/>
        <sz val="12"/>
        <rFont val="Times New Roman"/>
        <charset val="134"/>
      </rPr>
      <t>I</t>
    </r>
    <r>
      <rPr>
        <i/>
        <vertAlign val="subscript"/>
        <sz val="12"/>
        <rFont val="Times New Roman"/>
        <charset val="134"/>
      </rPr>
      <t>set.unb.s</t>
    </r>
  </si>
  <si>
    <r>
      <rPr>
        <sz val="12"/>
        <rFont val="仿宋_GB2312"/>
        <charset val="134"/>
      </rPr>
      <t>不平衡</t>
    </r>
    <r>
      <rPr>
        <sz val="12"/>
        <rFont val="Times New Roman"/>
        <charset val="134"/>
      </rPr>
      <t>/</t>
    </r>
    <r>
      <rPr>
        <sz val="12"/>
        <rFont val="仿宋_GB2312"/>
        <charset val="134"/>
      </rPr>
      <t>负序电流保护延时</t>
    </r>
    <r>
      <rPr>
        <sz val="12"/>
        <rFont val="Times New Roman"/>
        <charset val="134"/>
      </rPr>
      <t xml:space="preserve"> </t>
    </r>
    <r>
      <rPr>
        <i/>
        <sz val="12"/>
        <rFont val="Times New Roman"/>
        <charset val="134"/>
      </rPr>
      <t>t</t>
    </r>
    <r>
      <rPr>
        <i/>
        <vertAlign val="subscript"/>
        <sz val="12"/>
        <rFont val="Times New Roman"/>
        <charset val="134"/>
      </rPr>
      <t>set.unb.C</t>
    </r>
  </si>
  <si>
    <r>
      <rPr>
        <sz val="12"/>
        <rFont val="仿宋_GB2312"/>
        <charset val="134"/>
      </rPr>
      <t>不平衡</t>
    </r>
    <r>
      <rPr>
        <sz val="12"/>
        <rFont val="Times New Roman"/>
        <charset val="134"/>
      </rPr>
      <t>/</t>
    </r>
    <r>
      <rPr>
        <sz val="12"/>
        <rFont val="仿宋_GB2312"/>
        <charset val="134"/>
      </rPr>
      <t>负序电流保护动作方式</t>
    </r>
  </si>
  <si>
    <t>低电压保护</t>
  </si>
  <si>
    <t>低电压保护动作方式</t>
  </si>
  <si>
    <t>过电压保护</t>
  </si>
  <si>
    <t>投入过电压保护功能？</t>
  </si>
  <si>
    <r>
      <rPr>
        <sz val="12"/>
        <rFont val="仿宋_GB2312"/>
        <charset val="134"/>
      </rPr>
      <t>过电压保护系数</t>
    </r>
    <r>
      <rPr>
        <sz val="12"/>
        <rFont val="Times New Roman"/>
        <charset val="134"/>
      </rPr>
      <t xml:space="preserve"> </t>
    </r>
    <r>
      <rPr>
        <i/>
        <sz val="12"/>
        <rFont val="Times New Roman"/>
        <charset val="134"/>
      </rPr>
      <t>K</t>
    </r>
    <r>
      <rPr>
        <i/>
        <vertAlign val="subscript"/>
        <sz val="12"/>
        <rFont val="Times New Roman"/>
        <charset val="134"/>
      </rPr>
      <t>OV</t>
    </r>
  </si>
  <si>
    <r>
      <rPr>
        <sz val="12"/>
        <rFont val="仿宋_GB2312"/>
        <charset val="134"/>
      </rPr>
      <t>过电压保护整定值</t>
    </r>
    <r>
      <rPr>
        <sz val="12"/>
        <rFont val="Times New Roman"/>
        <charset val="134"/>
      </rPr>
      <t xml:space="preserve"> </t>
    </r>
    <r>
      <rPr>
        <i/>
        <sz val="12"/>
        <rFont val="Times New Roman"/>
        <charset val="134"/>
      </rPr>
      <t>U</t>
    </r>
    <r>
      <rPr>
        <i/>
        <vertAlign val="subscript"/>
        <sz val="12"/>
        <rFont val="Times New Roman"/>
        <charset val="134"/>
      </rPr>
      <t>set.OV</t>
    </r>
  </si>
  <si>
    <r>
      <rPr>
        <sz val="12"/>
        <rFont val="仿宋_GB2312"/>
        <charset val="134"/>
      </rPr>
      <t>过电压保护一次动作整定值</t>
    </r>
    <r>
      <rPr>
        <sz val="12"/>
        <rFont val="Times New Roman"/>
        <charset val="134"/>
      </rPr>
      <t xml:space="preserve"> </t>
    </r>
    <r>
      <rPr>
        <i/>
        <sz val="12"/>
        <rFont val="Times New Roman"/>
        <charset val="134"/>
      </rPr>
      <t>U</t>
    </r>
    <r>
      <rPr>
        <i/>
        <vertAlign val="subscript"/>
        <sz val="12"/>
        <rFont val="Times New Roman"/>
        <charset val="134"/>
      </rPr>
      <t>set.OV.p</t>
    </r>
  </si>
  <si>
    <r>
      <rPr>
        <sz val="12"/>
        <rFont val="仿宋_GB2312"/>
        <charset val="134"/>
      </rPr>
      <t>过电压保护二次动作整定值</t>
    </r>
    <r>
      <rPr>
        <sz val="12"/>
        <rFont val="Times New Roman"/>
        <charset val="134"/>
      </rPr>
      <t xml:space="preserve"> </t>
    </r>
    <r>
      <rPr>
        <i/>
        <sz val="12"/>
        <rFont val="Times New Roman"/>
        <charset val="134"/>
      </rPr>
      <t>U</t>
    </r>
    <r>
      <rPr>
        <i/>
        <vertAlign val="subscript"/>
        <sz val="12"/>
        <rFont val="Times New Roman"/>
        <charset val="134"/>
      </rPr>
      <t>set.OV.s</t>
    </r>
  </si>
  <si>
    <r>
      <rPr>
        <sz val="12"/>
        <rFont val="仿宋_GB2312"/>
        <charset val="134"/>
      </rPr>
      <t>过电压保护延时</t>
    </r>
    <r>
      <rPr>
        <sz val="12"/>
        <rFont val="Times New Roman"/>
        <charset val="134"/>
      </rPr>
      <t xml:space="preserve"> </t>
    </r>
    <r>
      <rPr>
        <i/>
        <sz val="12"/>
        <rFont val="Times New Roman"/>
        <charset val="134"/>
      </rPr>
      <t>t</t>
    </r>
    <r>
      <rPr>
        <i/>
        <vertAlign val="subscript"/>
        <sz val="12"/>
        <rFont val="Times New Roman"/>
        <charset val="134"/>
      </rPr>
      <t>set.OV</t>
    </r>
  </si>
  <si>
    <t>过电压保护动作方式</t>
  </si>
  <si>
    <t>负序电压保护</t>
  </si>
  <si>
    <t>投入负序电压保护功能？</t>
  </si>
  <si>
    <r>
      <rPr>
        <sz val="12"/>
        <rFont val="仿宋_GB2312"/>
        <charset val="134"/>
      </rPr>
      <t>负序电压保护系数</t>
    </r>
    <r>
      <rPr>
        <sz val="12"/>
        <rFont val="Times New Roman"/>
        <charset val="134"/>
      </rPr>
      <t xml:space="preserve"> </t>
    </r>
    <r>
      <rPr>
        <i/>
        <sz val="12"/>
        <rFont val="Times New Roman"/>
        <charset val="134"/>
      </rPr>
      <t>K</t>
    </r>
    <r>
      <rPr>
        <i/>
        <vertAlign val="subscript"/>
        <sz val="12"/>
        <rFont val="Times New Roman"/>
        <charset val="134"/>
      </rPr>
      <t>unb.V</t>
    </r>
  </si>
  <si>
    <r>
      <rPr>
        <sz val="12"/>
        <rFont val="仿宋_GB2312"/>
        <charset val="134"/>
      </rPr>
      <t>负序电流保护整定值</t>
    </r>
    <r>
      <rPr>
        <sz val="12"/>
        <rFont val="Times New Roman"/>
        <charset val="134"/>
      </rPr>
      <t xml:space="preserve"> </t>
    </r>
    <r>
      <rPr>
        <i/>
        <sz val="12"/>
        <rFont val="Times New Roman"/>
        <charset val="134"/>
      </rPr>
      <t>U</t>
    </r>
    <r>
      <rPr>
        <i/>
        <vertAlign val="subscript"/>
        <sz val="12"/>
        <rFont val="Times New Roman"/>
        <charset val="134"/>
      </rPr>
      <t>set.unb</t>
    </r>
  </si>
  <si>
    <r>
      <rPr>
        <sz val="12"/>
        <rFont val="仿宋_GB2312"/>
        <charset val="134"/>
      </rPr>
      <t>负序电流保护一次整定电流值</t>
    </r>
    <r>
      <rPr>
        <sz val="12"/>
        <rFont val="Times New Roman"/>
        <charset val="134"/>
      </rPr>
      <t xml:space="preserve"> </t>
    </r>
    <r>
      <rPr>
        <i/>
        <sz val="12"/>
        <rFont val="Times New Roman"/>
        <charset val="134"/>
      </rPr>
      <t>U</t>
    </r>
    <r>
      <rPr>
        <i/>
        <vertAlign val="subscript"/>
        <sz val="12"/>
        <rFont val="Times New Roman"/>
        <charset val="134"/>
      </rPr>
      <t>set.unb.p</t>
    </r>
  </si>
  <si>
    <r>
      <rPr>
        <sz val="12"/>
        <rFont val="仿宋_GB2312"/>
        <charset val="134"/>
      </rPr>
      <t>负序电流保护二次整定电流值</t>
    </r>
    <r>
      <rPr>
        <sz val="12"/>
        <rFont val="Times New Roman"/>
        <charset val="134"/>
      </rPr>
      <t xml:space="preserve"> </t>
    </r>
    <r>
      <rPr>
        <i/>
        <sz val="12"/>
        <rFont val="Times New Roman"/>
        <charset val="134"/>
      </rPr>
      <t>U</t>
    </r>
    <r>
      <rPr>
        <i/>
        <vertAlign val="subscript"/>
        <sz val="12"/>
        <rFont val="Times New Roman"/>
        <charset val="134"/>
      </rPr>
      <t>set.unb.s</t>
    </r>
  </si>
  <si>
    <r>
      <rPr>
        <sz val="12"/>
        <rFont val="仿宋_GB2312"/>
        <charset val="134"/>
      </rPr>
      <t>负序电流保护延时</t>
    </r>
    <r>
      <rPr>
        <sz val="12"/>
        <rFont val="Times New Roman"/>
        <charset val="134"/>
      </rPr>
      <t xml:space="preserve"> </t>
    </r>
    <r>
      <rPr>
        <i/>
        <sz val="12"/>
        <rFont val="Times New Roman"/>
        <charset val="134"/>
      </rPr>
      <t>t</t>
    </r>
    <r>
      <rPr>
        <i/>
        <vertAlign val="subscript"/>
        <sz val="12"/>
        <rFont val="Times New Roman"/>
        <charset val="134"/>
      </rPr>
      <t>set.unb.V</t>
    </r>
  </si>
  <si>
    <t>负序电流保护动作方式</t>
  </si>
  <si>
    <t>开口三角电压保护</t>
  </si>
  <si>
    <t>投入开口三角电压保护功能？</t>
  </si>
  <si>
    <r>
      <rPr>
        <sz val="12"/>
        <rFont val="仿宋_GB2312"/>
        <charset val="134"/>
      </rPr>
      <t>开口三角电压保护系数</t>
    </r>
    <r>
      <rPr>
        <sz val="12"/>
        <rFont val="Times New Roman"/>
        <charset val="134"/>
      </rPr>
      <t xml:space="preserve"> </t>
    </r>
    <r>
      <rPr>
        <i/>
        <sz val="12"/>
        <rFont val="Times New Roman"/>
        <charset val="134"/>
      </rPr>
      <t>K</t>
    </r>
    <r>
      <rPr>
        <i/>
        <vertAlign val="subscript"/>
        <sz val="12"/>
        <rFont val="Times New Roman"/>
        <charset val="134"/>
      </rPr>
      <t>RV</t>
    </r>
  </si>
  <si>
    <r>
      <rPr>
        <sz val="12"/>
        <rFont val="仿宋_GB2312"/>
        <charset val="134"/>
      </rPr>
      <t>开口三角电压保护整定值</t>
    </r>
    <r>
      <rPr>
        <sz val="12"/>
        <rFont val="Times New Roman"/>
        <charset val="134"/>
      </rPr>
      <t xml:space="preserve"> </t>
    </r>
    <r>
      <rPr>
        <i/>
        <sz val="12"/>
        <rFont val="Times New Roman"/>
        <charset val="134"/>
      </rPr>
      <t>U</t>
    </r>
    <r>
      <rPr>
        <i/>
        <vertAlign val="subscript"/>
        <sz val="12"/>
        <rFont val="Times New Roman"/>
        <charset val="134"/>
      </rPr>
      <t>set.RV</t>
    </r>
  </si>
  <si>
    <r>
      <rPr>
        <sz val="12"/>
        <rFont val="仿宋_GB2312"/>
        <charset val="134"/>
      </rPr>
      <t>开口三角电压保护一次动作整定值</t>
    </r>
    <r>
      <rPr>
        <sz val="12"/>
        <rFont val="Times New Roman"/>
        <charset val="134"/>
      </rPr>
      <t xml:space="preserve"> </t>
    </r>
    <r>
      <rPr>
        <i/>
        <sz val="12"/>
        <rFont val="Times New Roman"/>
        <charset val="134"/>
      </rPr>
      <t>U</t>
    </r>
    <r>
      <rPr>
        <i/>
        <vertAlign val="subscript"/>
        <sz val="12"/>
        <rFont val="Times New Roman"/>
        <charset val="134"/>
      </rPr>
      <t>set.RV.p</t>
    </r>
  </si>
  <si>
    <r>
      <rPr>
        <sz val="12"/>
        <rFont val="仿宋_GB2312"/>
        <charset val="134"/>
      </rPr>
      <t>开口三角电压保护二次动作整定值</t>
    </r>
    <r>
      <rPr>
        <sz val="12"/>
        <rFont val="Times New Roman"/>
        <charset val="134"/>
      </rPr>
      <t xml:space="preserve"> </t>
    </r>
    <r>
      <rPr>
        <i/>
        <sz val="12"/>
        <rFont val="Times New Roman"/>
        <charset val="134"/>
      </rPr>
      <t>U</t>
    </r>
    <r>
      <rPr>
        <i/>
        <vertAlign val="subscript"/>
        <sz val="12"/>
        <rFont val="Times New Roman"/>
        <charset val="134"/>
      </rPr>
      <t>set.RV.s</t>
    </r>
  </si>
  <si>
    <r>
      <rPr>
        <sz val="12"/>
        <rFont val="仿宋_GB2312"/>
        <charset val="134"/>
      </rPr>
      <t>开口三角电压保护延时</t>
    </r>
    <r>
      <rPr>
        <sz val="12"/>
        <rFont val="Times New Roman"/>
        <charset val="134"/>
      </rPr>
      <t xml:space="preserve"> </t>
    </r>
    <r>
      <rPr>
        <i/>
        <sz val="12"/>
        <rFont val="Times New Roman"/>
        <charset val="134"/>
      </rPr>
      <t>t</t>
    </r>
    <r>
      <rPr>
        <i/>
        <vertAlign val="subscript"/>
        <sz val="12"/>
        <rFont val="Times New Roman"/>
        <charset val="134"/>
      </rPr>
      <t>set.RV</t>
    </r>
  </si>
  <si>
    <t>开口三角电压保护动作方式</t>
  </si>
  <si>
    <t>常用Y系列电机型号参数表</t>
  </si>
  <si>
    <t>功率    （kw）</t>
  </si>
  <si>
    <t>马力    （hp）</t>
  </si>
  <si>
    <t>额定电流（A）</t>
  </si>
  <si>
    <t>转速（r/min）</t>
  </si>
  <si>
    <t>效率  （%）</t>
  </si>
  <si>
    <t>功率因数（cosφ）</t>
  </si>
  <si>
    <t>重量（kg）</t>
  </si>
  <si>
    <t>输出
扭矩</t>
  </si>
  <si>
    <t>Y80M1-2</t>
  </si>
  <si>
    <t>Y80M2-2</t>
  </si>
  <si>
    <t>Y90S-2</t>
  </si>
  <si>
    <t>Y90L-2</t>
  </si>
  <si>
    <t>Y100L-2</t>
  </si>
  <si>
    <t>Y112M-2</t>
  </si>
  <si>
    <t>Y132S1-2</t>
  </si>
  <si>
    <t>Y132S2-2</t>
  </si>
  <si>
    <t>Y160M1-2</t>
  </si>
  <si>
    <t>Y160M2-2</t>
  </si>
  <si>
    <t>Y160L-2</t>
  </si>
  <si>
    <t>Y180M-2</t>
  </si>
  <si>
    <t>Y200L1-2</t>
  </si>
  <si>
    <t>Y200L2-2</t>
  </si>
  <si>
    <t>Y225M-2</t>
  </si>
  <si>
    <t>Y250M-2</t>
  </si>
  <si>
    <t>Y280S-2</t>
  </si>
  <si>
    <t>Y280M-2</t>
  </si>
  <si>
    <t>Y315S-2</t>
  </si>
  <si>
    <t>Y315M-2</t>
  </si>
  <si>
    <t>Y315L1-2</t>
  </si>
  <si>
    <t>Y315L2-2</t>
  </si>
  <si>
    <t>Y355M1-2</t>
  </si>
  <si>
    <t>Y355M2-2</t>
  </si>
  <si>
    <t>Y355L1-2</t>
  </si>
  <si>
    <t>Y355L2-2</t>
  </si>
  <si>
    <t>Y80M1-4</t>
  </si>
  <si>
    <t>Y80M2-4</t>
  </si>
  <si>
    <t>Y90S-4</t>
  </si>
  <si>
    <t>Y90L-4</t>
  </si>
  <si>
    <t>Y100L1-4</t>
  </si>
  <si>
    <t>Y100L2-4</t>
  </si>
  <si>
    <t>Y112M-4</t>
  </si>
  <si>
    <t>Y132S-4</t>
  </si>
  <si>
    <t>Y132M-4</t>
  </si>
  <si>
    <t>Y160M-4</t>
  </si>
  <si>
    <t>Y160L-4</t>
  </si>
  <si>
    <t>Y180M-4</t>
  </si>
  <si>
    <t>Y180L-4</t>
  </si>
  <si>
    <t>Y200L-4</t>
  </si>
  <si>
    <t>Y225S-4</t>
  </si>
  <si>
    <t>Y225M-4</t>
  </si>
  <si>
    <t>Y250M-4</t>
  </si>
  <si>
    <t>Y280S-4</t>
  </si>
  <si>
    <t>Y280M-4</t>
  </si>
  <si>
    <t xml:space="preserve">Y315S-4 </t>
  </si>
  <si>
    <t>Y315M-4</t>
  </si>
  <si>
    <t>Y315L1-4</t>
  </si>
  <si>
    <t>Y315L2-4</t>
  </si>
  <si>
    <t>Y355M1-4</t>
  </si>
  <si>
    <t>Y355M2-4</t>
  </si>
  <si>
    <t>Y355L1-4</t>
  </si>
  <si>
    <t>Y355L2-4</t>
  </si>
  <si>
    <t>Y90S-6</t>
  </si>
  <si>
    <t>Y90L-6</t>
  </si>
  <si>
    <t>Y100L-6</t>
  </si>
  <si>
    <t>Y112M-6</t>
  </si>
  <si>
    <t>Y132S-6</t>
  </si>
  <si>
    <t>Y132M1-6</t>
  </si>
  <si>
    <t>Y132M2-6</t>
  </si>
  <si>
    <t>Y160M-6</t>
  </si>
  <si>
    <t>Y160L-6</t>
  </si>
  <si>
    <t>Y180L-6</t>
  </si>
  <si>
    <t>Y200L1-6</t>
  </si>
  <si>
    <t>Y200L2-6</t>
  </si>
  <si>
    <t>Y225M-6</t>
  </si>
  <si>
    <t>Y250M-6</t>
  </si>
  <si>
    <t>Y280S-6</t>
  </si>
  <si>
    <t>Y280M-6</t>
  </si>
  <si>
    <t>Y315S-6</t>
  </si>
  <si>
    <t>Y315M-6</t>
  </si>
  <si>
    <t>Y315L1-6</t>
  </si>
  <si>
    <t>Y315L2-6</t>
  </si>
  <si>
    <t>Y355M1-6</t>
  </si>
  <si>
    <t>Y355M2-6</t>
  </si>
  <si>
    <t>Y355M3-6</t>
  </si>
  <si>
    <t>Y355L2-6</t>
  </si>
  <si>
    <t>Y355L1-6</t>
  </si>
  <si>
    <t>Y132S-8</t>
  </si>
  <si>
    <t>Y132M-8</t>
  </si>
  <si>
    <t>Y160M1-8</t>
  </si>
  <si>
    <t>Y160M2-8</t>
  </si>
  <si>
    <t>Y160L-8</t>
  </si>
  <si>
    <t>Y180L-8</t>
  </si>
  <si>
    <t>Y200L-8</t>
  </si>
  <si>
    <t>Y225S-8</t>
  </si>
  <si>
    <t>Y225M-8</t>
  </si>
  <si>
    <t>Y250M-8</t>
  </si>
  <si>
    <t>Y280S-8</t>
  </si>
  <si>
    <t>Y280M-8</t>
  </si>
  <si>
    <t>Y315S-8</t>
  </si>
  <si>
    <t>Y315M-8</t>
  </si>
  <si>
    <t>Y315L1-8</t>
  </si>
  <si>
    <t>Y315L2-8</t>
  </si>
  <si>
    <t>Y355M1-8</t>
  </si>
  <si>
    <t>Y355M2-8</t>
  </si>
  <si>
    <t>Y355L1-8</t>
  </si>
  <si>
    <t>Y355L2-8</t>
  </si>
  <si>
    <t>Y355M1-10</t>
  </si>
  <si>
    <t>Y355M2-10</t>
  </si>
  <si>
    <t>Y355L-10</t>
  </si>
  <si>
    <t>电机功率确定程序</t>
  </si>
  <si>
    <r>
      <rPr>
        <sz val="12"/>
        <rFont val="Times New Roman"/>
        <charset val="134"/>
      </rPr>
      <t>1</t>
    </r>
    <r>
      <rPr>
        <sz val="12"/>
        <rFont val="宋体"/>
        <charset val="134"/>
      </rPr>
      <t>、已知工作机的线速度</t>
    </r>
    <r>
      <rPr>
        <sz val="12"/>
        <rFont val="Times New Roman"/>
        <charset val="134"/>
      </rPr>
      <t>v</t>
    </r>
    <r>
      <rPr>
        <sz val="12"/>
        <rFont val="宋体"/>
        <charset val="134"/>
      </rPr>
      <t>及最大工作阻力</t>
    </r>
    <r>
      <rPr>
        <sz val="12"/>
        <rFont val="Times New Roman"/>
        <charset val="134"/>
      </rPr>
      <t>F,</t>
    </r>
    <r>
      <rPr>
        <sz val="12"/>
        <rFont val="宋体"/>
        <charset val="134"/>
      </rPr>
      <t>求工作机所需输入功率</t>
    </r>
    <r>
      <rPr>
        <sz val="12"/>
        <rFont val="Times New Roman"/>
        <charset val="134"/>
      </rPr>
      <t>Pw</t>
    </r>
  </si>
  <si>
    <t>工作机最大线速度Vw</t>
  </si>
  <si>
    <t>工作机有效工作阻力F</t>
  </si>
  <si>
    <t>工作机效率ηw</t>
  </si>
  <si>
    <r>
      <rPr>
        <sz val="12"/>
        <rFont val="宋体"/>
        <charset val="134"/>
      </rPr>
      <t>计算结果P</t>
    </r>
    <r>
      <rPr>
        <sz val="12"/>
        <rFont val="Times New Roman"/>
        <charset val="134"/>
      </rPr>
      <t>w(Kw)</t>
    </r>
  </si>
  <si>
    <t>2、已知工作机的阻力矩Mw及转速nw,求工作机所需输入功率Pw(淘宝店铺:枫启教育)</t>
  </si>
  <si>
    <t>工作机的阻力矩Mw</t>
  </si>
  <si>
    <t>工作机的转速nw</t>
  </si>
  <si>
    <t>3、求一定功率的电机在一定转速下所能产生的最大转矩</t>
  </si>
  <si>
    <t>电机额定功率Pd</t>
  </si>
  <si>
    <t>电机转速nd</t>
  </si>
  <si>
    <t>电机到减速器之间的传动效率ηd</t>
  </si>
  <si>
    <r>
      <rPr>
        <sz val="12"/>
        <rFont val="宋体"/>
        <charset val="134"/>
      </rPr>
      <t>计算结果</t>
    </r>
    <r>
      <rPr>
        <sz val="12"/>
        <rFont val="Times New Roman"/>
        <charset val="134"/>
      </rPr>
      <t>Md(N.M)</t>
    </r>
  </si>
  <si>
    <r>
      <rPr>
        <sz val="12"/>
        <rFont val="宋体"/>
        <charset val="134"/>
      </rPr>
      <t>计算结果</t>
    </r>
    <r>
      <rPr>
        <sz val="12"/>
        <rFont val="Times New Roman"/>
        <charset val="134"/>
      </rPr>
      <t>Md(Kgf.M)</t>
    </r>
  </si>
  <si>
    <t>参考手册：机械设计手册（第五版）第五卷 第17篇 20-98页</t>
  </si>
  <si>
    <t>功率计算公式</t>
  </si>
  <si>
    <t>输入参数区</t>
  </si>
  <si>
    <t>输出结果区</t>
  </si>
  <si>
    <t>输入的参数及代号(单位)</t>
  </si>
  <si>
    <t>输入参数值</t>
  </si>
  <si>
    <t>备注说明</t>
  </si>
  <si>
    <t>计算的参数代号(单位)</t>
  </si>
  <si>
    <r>
      <rPr>
        <sz val="11"/>
        <color theme="1"/>
        <rFont val="微软雅黑"/>
        <charset val="134"/>
      </rPr>
      <t>电动机转矩T</t>
    </r>
    <r>
      <rPr>
        <vertAlign val="subscript"/>
        <sz val="11"/>
        <color theme="1"/>
        <rFont val="微软雅黑"/>
        <charset val="134"/>
      </rPr>
      <t>D</t>
    </r>
    <r>
      <rPr>
        <sz val="11"/>
        <color theme="1"/>
        <rFont val="微软雅黑"/>
        <charset val="134"/>
      </rPr>
      <t>（N·m）</t>
    </r>
  </si>
  <si>
    <t>一般旋转运动的机械P(kW)</t>
  </si>
  <si>
    <r>
      <rPr>
        <sz val="11"/>
        <color theme="1"/>
        <rFont val="微软雅黑"/>
        <charset val="134"/>
      </rPr>
      <t>电动机转速n</t>
    </r>
    <r>
      <rPr>
        <vertAlign val="subscript"/>
        <sz val="11"/>
        <color theme="1"/>
        <rFont val="微软雅黑"/>
        <charset val="134"/>
      </rPr>
      <t>D</t>
    </r>
    <r>
      <rPr>
        <sz val="11"/>
        <color theme="1"/>
        <rFont val="微软雅黑"/>
        <charset val="134"/>
      </rPr>
      <t>（r/min）</t>
    </r>
  </si>
  <si>
    <r>
      <rPr>
        <sz val="11"/>
        <color theme="1"/>
        <rFont val="微软雅黑"/>
        <charset val="134"/>
      </rPr>
      <t>电动机角速度ω</t>
    </r>
    <r>
      <rPr>
        <vertAlign val="subscript"/>
        <sz val="11"/>
        <color theme="1"/>
        <rFont val="微软雅黑"/>
        <charset val="134"/>
      </rPr>
      <t>D</t>
    </r>
    <r>
      <rPr>
        <sz val="11"/>
        <color theme="1"/>
        <rFont val="微软雅黑"/>
        <charset val="134"/>
      </rPr>
      <t>（rad/s）</t>
    </r>
  </si>
  <si>
    <t>余量系数K</t>
  </si>
  <si>
    <t>离心式通风机P（kW）</t>
  </si>
  <si>
    <r>
      <rPr>
        <sz val="11"/>
        <color theme="1"/>
        <rFont val="微软雅黑"/>
        <charset val="134"/>
      </rPr>
      <t>空气耗量Q（m</t>
    </r>
    <r>
      <rPr>
        <vertAlign val="superscript"/>
        <sz val="11"/>
        <color theme="1"/>
        <rFont val="微软雅黑"/>
        <charset val="134"/>
      </rPr>
      <t>3</t>
    </r>
    <r>
      <rPr>
        <sz val="11"/>
        <color theme="1"/>
        <rFont val="微软雅黑"/>
        <charset val="134"/>
      </rPr>
      <t>/s）</t>
    </r>
  </si>
  <si>
    <t>空气压力H（Pa）</t>
  </si>
  <si>
    <t>风机效率η</t>
  </si>
  <si>
    <r>
      <rPr>
        <sz val="11"/>
        <color theme="1"/>
        <rFont val="微软雅黑"/>
        <charset val="134"/>
      </rPr>
      <t>传动效率η</t>
    </r>
    <r>
      <rPr>
        <vertAlign val="subscript"/>
        <sz val="11"/>
        <color theme="1"/>
        <rFont val="微软雅黑"/>
        <charset val="134"/>
      </rPr>
      <t>c</t>
    </r>
  </si>
  <si>
    <t>离心泵及活塞泵P（kW）</t>
  </si>
  <si>
    <r>
      <rPr>
        <sz val="11"/>
        <color theme="1"/>
        <rFont val="微软雅黑"/>
        <charset val="134"/>
      </rPr>
      <t>泵的出水量Q（m</t>
    </r>
    <r>
      <rPr>
        <vertAlign val="superscript"/>
        <sz val="11"/>
        <color theme="1"/>
        <rFont val="微软雅黑"/>
        <charset val="134"/>
      </rPr>
      <t>3</t>
    </r>
    <r>
      <rPr>
        <sz val="11"/>
        <color theme="1"/>
        <rFont val="微软雅黑"/>
        <charset val="134"/>
      </rPr>
      <t>/s）</t>
    </r>
  </si>
  <si>
    <t>水头（扬程）H（m）</t>
  </si>
  <si>
    <t>主管损失水头△H（m）</t>
  </si>
  <si>
    <t>泵的效率η</t>
  </si>
  <si>
    <r>
      <rPr>
        <sz val="11"/>
        <color theme="1"/>
        <rFont val="微软雅黑"/>
        <charset val="134"/>
      </rPr>
      <t>液体密度ρ（kg/m</t>
    </r>
    <r>
      <rPr>
        <vertAlign val="superscript"/>
        <sz val="11"/>
        <color theme="1"/>
        <rFont val="微软雅黑"/>
        <charset val="134"/>
      </rPr>
      <t>3</t>
    </r>
    <r>
      <rPr>
        <sz val="11"/>
        <color theme="1"/>
        <rFont val="微软雅黑"/>
        <charset val="134"/>
      </rPr>
      <t>）</t>
    </r>
  </si>
  <si>
    <r>
      <rPr>
        <sz val="11"/>
        <color theme="1"/>
        <rFont val="微软雅黑"/>
        <charset val="134"/>
      </rPr>
      <t>重力加速度g（m/s</t>
    </r>
    <r>
      <rPr>
        <vertAlign val="superscript"/>
        <sz val="11"/>
        <color theme="1"/>
        <rFont val="微软雅黑"/>
        <charset val="134"/>
      </rPr>
      <t>2</t>
    </r>
    <r>
      <rPr>
        <sz val="11"/>
        <color theme="1"/>
        <rFont val="微软雅黑"/>
        <charset val="134"/>
      </rPr>
      <t>）</t>
    </r>
  </si>
  <si>
    <r>
      <rPr>
        <sz val="11"/>
        <color theme="1"/>
        <rFont val="微软雅黑"/>
        <charset val="134"/>
      </rPr>
      <t>压缩机的生产率Q（m</t>
    </r>
    <r>
      <rPr>
        <vertAlign val="superscript"/>
        <sz val="11"/>
        <color theme="1"/>
        <rFont val="微软雅黑"/>
        <charset val="134"/>
      </rPr>
      <t>3</t>
    </r>
    <r>
      <rPr>
        <sz val="11"/>
        <color theme="1"/>
        <rFont val="微软雅黑"/>
        <charset val="134"/>
      </rPr>
      <t>/s）</t>
    </r>
  </si>
  <si>
    <t>离心式压缩机P（kW）</t>
  </si>
  <si>
    <r>
      <rPr>
        <sz val="11"/>
        <color theme="1"/>
        <rFont val="微软雅黑"/>
        <charset val="134"/>
      </rPr>
      <t>等温功A</t>
    </r>
    <r>
      <rPr>
        <vertAlign val="subscript"/>
        <sz val="11"/>
        <color theme="1"/>
        <rFont val="微软雅黑"/>
        <charset val="134"/>
      </rPr>
      <t>d</t>
    </r>
    <r>
      <rPr>
        <sz val="11"/>
        <color theme="1"/>
        <rFont val="微软雅黑"/>
        <charset val="134"/>
      </rPr>
      <t>（J）</t>
    </r>
  </si>
  <si>
    <r>
      <rPr>
        <sz val="11"/>
        <color theme="1"/>
        <rFont val="微软雅黑"/>
        <charset val="134"/>
      </rPr>
      <t>绝热功A</t>
    </r>
    <r>
      <rPr>
        <vertAlign val="subscript"/>
        <sz val="11"/>
        <color theme="1"/>
        <rFont val="微软雅黑"/>
        <charset val="134"/>
      </rPr>
      <t>r</t>
    </r>
    <r>
      <rPr>
        <sz val="11"/>
        <color theme="1"/>
        <rFont val="微软雅黑"/>
        <charset val="134"/>
      </rPr>
      <t>（J）</t>
    </r>
  </si>
  <si>
    <t>压缩机总效率η</t>
  </si>
  <si>
    <t>作用力F（N）</t>
  </si>
  <si>
    <t>直线运动机械P（kW）</t>
  </si>
  <si>
    <t>运动速度v（m/s）</t>
  </si>
  <si>
    <t>减速机公称功率(淘宝店铺:枫启教育)</t>
  </si>
  <si>
    <r>
      <rPr>
        <b/>
        <sz val="11"/>
        <rFont val="楷体_GB2312"/>
        <charset val="134"/>
      </rPr>
      <t>序号</t>
    </r>
  </si>
  <si>
    <r>
      <rPr>
        <b/>
        <sz val="11"/>
        <rFont val="楷体_GB2312"/>
        <charset val="134"/>
      </rPr>
      <t>代号</t>
    </r>
  </si>
  <si>
    <r>
      <rPr>
        <b/>
        <sz val="11"/>
        <rFont val="楷体_GB2312"/>
        <charset val="134"/>
      </rPr>
      <t>定义</t>
    </r>
  </si>
  <si>
    <r>
      <rPr>
        <b/>
        <sz val="11"/>
        <rFont val="楷体_GB2312"/>
        <charset val="134"/>
      </rPr>
      <t>公式</t>
    </r>
    <r>
      <rPr>
        <b/>
        <sz val="11"/>
        <rFont val="Arial"/>
        <charset val="134"/>
      </rPr>
      <t>/</t>
    </r>
    <r>
      <rPr>
        <b/>
        <sz val="11"/>
        <rFont val="楷体_GB2312"/>
        <charset val="134"/>
      </rPr>
      <t>出处</t>
    </r>
  </si>
  <si>
    <r>
      <rPr>
        <b/>
        <sz val="11"/>
        <rFont val="楷体_GB2312"/>
        <charset val="134"/>
      </rPr>
      <t>结果</t>
    </r>
  </si>
  <si>
    <r>
      <rPr>
        <b/>
        <sz val="11"/>
        <rFont val="楷体_GB2312"/>
        <charset val="134"/>
      </rPr>
      <t>单位</t>
    </r>
  </si>
  <si>
    <r>
      <rPr>
        <b/>
        <sz val="11"/>
        <rFont val="楷体_GB2312"/>
        <charset val="134"/>
      </rPr>
      <t>一</t>
    </r>
  </si>
  <si>
    <r>
      <rPr>
        <b/>
        <sz val="11"/>
        <rFont val="楷体_GB2312"/>
        <charset val="134"/>
      </rPr>
      <t>已知</t>
    </r>
  </si>
  <si>
    <t>1</t>
  </si>
  <si>
    <r>
      <rPr>
        <sz val="11"/>
        <color indexed="8"/>
        <rFont val="Arial"/>
        <charset val="134"/>
      </rPr>
      <t>K</t>
    </r>
    <r>
      <rPr>
        <vertAlign val="subscript"/>
        <sz val="11"/>
        <color indexed="8"/>
        <rFont val="Arial"/>
        <charset val="134"/>
      </rPr>
      <t>A</t>
    </r>
  </si>
  <si>
    <t>工况系数</t>
  </si>
  <si>
    <t>2</t>
  </si>
  <si>
    <r>
      <rPr>
        <sz val="11"/>
        <color indexed="8"/>
        <rFont val="Arial"/>
        <charset val="134"/>
      </rPr>
      <t>K</t>
    </r>
    <r>
      <rPr>
        <vertAlign val="subscript"/>
        <sz val="11"/>
        <color indexed="8"/>
        <rFont val="Arial"/>
        <charset val="134"/>
      </rPr>
      <t>S</t>
    </r>
  </si>
  <si>
    <t>3</t>
  </si>
  <si>
    <t>输入功率</t>
  </si>
  <si>
    <t>5</t>
  </si>
  <si>
    <t>输入转速</t>
  </si>
  <si>
    <r>
      <rPr>
        <sz val="11"/>
        <color indexed="8"/>
        <rFont val="Arial"/>
        <charset val="134"/>
      </rPr>
      <t>r</t>
    </r>
    <r>
      <rPr>
        <sz val="11"/>
        <color indexed="8"/>
        <rFont val="Arial"/>
        <charset val="134"/>
      </rPr>
      <t>/min</t>
    </r>
  </si>
  <si>
    <t>6</t>
  </si>
  <si>
    <t>输出转速</t>
  </si>
  <si>
    <r>
      <rPr>
        <b/>
        <sz val="11"/>
        <rFont val="楷体_GB2312"/>
        <charset val="134"/>
      </rPr>
      <t>二</t>
    </r>
  </si>
  <si>
    <r>
      <rPr>
        <b/>
        <sz val="11"/>
        <rFont val="楷体_GB2312"/>
        <charset val="134"/>
      </rPr>
      <t>计算</t>
    </r>
  </si>
  <si>
    <t>4</t>
  </si>
  <si>
    <r>
      <rPr>
        <sz val="11"/>
        <color indexed="8"/>
        <rFont val="Arial"/>
        <charset val="134"/>
      </rPr>
      <t>P</t>
    </r>
    <r>
      <rPr>
        <vertAlign val="subscript"/>
        <sz val="11"/>
        <color indexed="8"/>
        <rFont val="Arial"/>
        <charset val="134"/>
      </rPr>
      <t>2m</t>
    </r>
  </si>
  <si>
    <t>计算功率</t>
  </si>
  <si>
    <r>
      <rPr>
        <sz val="11"/>
        <color indexed="8"/>
        <rFont val="Arial"/>
        <charset val="134"/>
      </rPr>
      <t>P</t>
    </r>
    <r>
      <rPr>
        <vertAlign val="subscript"/>
        <sz val="11"/>
        <color indexed="8"/>
        <rFont val="Arial"/>
        <charset val="134"/>
      </rPr>
      <t>2m</t>
    </r>
    <r>
      <rPr>
        <sz val="11"/>
        <color indexed="8"/>
        <rFont val="Arial"/>
        <charset val="134"/>
      </rPr>
      <t>=P×K</t>
    </r>
    <r>
      <rPr>
        <vertAlign val="subscript"/>
        <sz val="11"/>
        <color indexed="8"/>
        <rFont val="Arial"/>
        <charset val="134"/>
      </rPr>
      <t>A</t>
    </r>
    <r>
      <rPr>
        <sz val="11"/>
        <color indexed="8"/>
        <rFont val="Arial"/>
        <charset val="134"/>
      </rPr>
      <t>×K</t>
    </r>
    <r>
      <rPr>
        <vertAlign val="subscript"/>
        <sz val="11"/>
        <color indexed="8"/>
        <rFont val="Arial"/>
        <charset val="134"/>
      </rPr>
      <t>S</t>
    </r>
  </si>
  <si>
    <t>7</t>
  </si>
  <si>
    <t>i=N/n</t>
  </si>
  <si>
    <t>8</t>
  </si>
  <si>
    <r>
      <rPr>
        <sz val="11"/>
        <color indexed="8"/>
        <rFont val="Arial"/>
        <charset val="134"/>
      </rPr>
      <t>P</t>
    </r>
    <r>
      <rPr>
        <vertAlign val="subscript"/>
        <sz val="11"/>
        <color indexed="8"/>
        <rFont val="Arial"/>
        <charset val="134"/>
      </rPr>
      <t>1</t>
    </r>
  </si>
  <si>
    <t>公称输入功率</t>
  </si>
  <si>
    <r>
      <rPr>
        <sz val="11"/>
        <color indexed="8"/>
        <rFont val="Arial"/>
        <charset val="134"/>
      </rPr>
      <t>P</t>
    </r>
    <r>
      <rPr>
        <vertAlign val="subscript"/>
        <sz val="11"/>
        <color indexed="8"/>
        <rFont val="Arial"/>
        <charset val="134"/>
      </rPr>
      <t>2m</t>
    </r>
    <r>
      <rPr>
        <sz val="11"/>
        <color indexed="8"/>
        <rFont val="宋体"/>
        <charset val="134"/>
      </rPr>
      <t>＜</t>
    </r>
    <r>
      <rPr>
        <sz val="11"/>
        <color indexed="8"/>
        <rFont val="Arial"/>
        <charset val="134"/>
      </rPr>
      <t>P</t>
    </r>
    <r>
      <rPr>
        <vertAlign val="subscript"/>
        <sz val="11"/>
        <color indexed="8"/>
        <rFont val="Arial"/>
        <charset val="134"/>
      </rPr>
      <t>1</t>
    </r>
  </si>
  <si>
    <t>三</t>
  </si>
  <si>
    <t>结论(验算)</t>
  </si>
  <si>
    <t>9</t>
  </si>
  <si>
    <r>
      <rPr>
        <sz val="11"/>
        <color indexed="8"/>
        <rFont val="楷体_GB2312"/>
        <charset val="134"/>
      </rPr>
      <t>查表得</t>
    </r>
    <r>
      <rPr>
        <sz val="11"/>
        <color indexed="8"/>
        <rFont val="Arial"/>
        <charset val="134"/>
      </rPr>
      <t>ZSY500</t>
    </r>
  </si>
  <si>
    <r>
      <rPr>
        <sz val="11"/>
        <color indexed="8"/>
        <rFont val="Arial"/>
        <charset val="134"/>
      </rPr>
      <t>N</t>
    </r>
    <r>
      <rPr>
        <sz val="11"/>
        <color indexed="8"/>
        <rFont val="Arial"/>
        <charset val="134"/>
      </rPr>
      <t>m</t>
    </r>
  </si>
  <si>
    <t>水平及垂直输送线电机功率计算公式</t>
  </si>
  <si>
    <t>一</t>
  </si>
  <si>
    <t>各种参数说明：</t>
  </si>
  <si>
    <t>k:每日运转时间及减速电机启动频率参数表</t>
  </si>
  <si>
    <t>W:搬运物料总重量含带及附件(kg)=</t>
  </si>
  <si>
    <t>减速机负荷等级</t>
  </si>
  <si>
    <t xml:space="preserve">每日使用时间  </t>
  </si>
  <si>
    <t>V：搬运速度M/min=</t>
  </si>
  <si>
    <t>≤0.5h</t>
  </si>
  <si>
    <t>(0.5-2)h</t>
  </si>
  <si>
    <t>(8-10)h</t>
  </si>
  <si>
    <t>(10-24)h</t>
  </si>
  <si>
    <t>u：与轨道之间的摩擦系数=</t>
  </si>
  <si>
    <t>均一负荷</t>
  </si>
  <si>
    <t>g1：驱动滚筒传动效率=</t>
  </si>
  <si>
    <t>中冲击</t>
  </si>
  <si>
    <t>g:减速电机传动效率=</t>
  </si>
  <si>
    <t>重冲击</t>
  </si>
  <si>
    <t>k:每日运转时间及减速电机启动频率=</t>
  </si>
  <si>
    <t>说明：</t>
  </si>
  <si>
    <t>D:驱动滚筒+皮带厚度×2（链板线的=大链轮分度圆直径加链条高度（滚轮中心到链条上表面+链板高度））/M</t>
  </si>
  <si>
    <t>均一负荷：每小时启动次数低于10次及无中途增加物料的情况</t>
  </si>
  <si>
    <t>中冲击：每分钟启动1-10次的及中途有增加物料的情况</t>
  </si>
  <si>
    <t>重冲击：每分钟启动次数大于1次的（超过10次无效）及有大冲击的情况</t>
  </si>
  <si>
    <t>N:驱动辊上的链轮/齿轮/同步带轮齿数或(皮带轮直径，单位为：M)</t>
  </si>
  <si>
    <t>u：与轨道之间的摩擦系数表(滚动摩擦）</t>
  </si>
  <si>
    <t>轨道材质</t>
  </si>
  <si>
    <t>高强度钢</t>
  </si>
  <si>
    <t>普通碳钢</t>
  </si>
  <si>
    <t>高分子</t>
  </si>
  <si>
    <t>PVC材质</t>
  </si>
  <si>
    <t>n:电机上的链轮/齿轮/同步带轮齿数或(皮带轮直径，单位为：M)</t>
  </si>
  <si>
    <t>减速电机上的电机转速/min</t>
  </si>
  <si>
    <t>二</t>
  </si>
  <si>
    <t>电机减速比：</t>
  </si>
  <si>
    <t>1比：</t>
  </si>
  <si>
    <t>g1：驱动滚筒传动效率表(淘宝店铺:枫启教育)</t>
  </si>
  <si>
    <t>水平需功率：</t>
  </si>
  <si>
    <t>千瓦</t>
  </si>
  <si>
    <t>传动形式</t>
  </si>
  <si>
    <t>齿轮</t>
  </si>
  <si>
    <t>链轮</t>
  </si>
  <si>
    <t>同步带轮</t>
  </si>
  <si>
    <t>皮带轮</t>
  </si>
  <si>
    <t>四</t>
  </si>
  <si>
    <t>垂直需功率：</t>
  </si>
  <si>
    <t xml:space="preserve">  (淘宝店铺:枫启教育)</t>
  </si>
  <si>
    <t>五</t>
  </si>
  <si>
    <t>爬坡需功率：</t>
  </si>
  <si>
    <t>T=G/1000M·{(W1+M)*L1·f1+W2·L2·f2+(W2+M)*L2·f3+1.1M(L1+L2)·f1}</t>
  </si>
  <si>
    <t>T: 作用于链条上的最大张力(KN)</t>
  </si>
  <si>
    <t>得出：</t>
  </si>
  <si>
    <t>L1: 传送部的长度(ｍ)</t>
  </si>
  <si>
    <t xml:space="preserve">L2: 滞留部的长度(ｍ) </t>
  </si>
  <si>
    <t>W1: 含传送部托盘的传送物重量(kg/ｍ)</t>
  </si>
  <si>
    <t>W2: 含滞留部托盘的传送物重量(kg/ｍ)</t>
  </si>
  <si>
    <t>M: 链条重量(kg/ｍ)</t>
  </si>
  <si>
    <t>f1: 有滞留时传送物与链条间的摩擦系数</t>
  </si>
  <si>
    <t>f2: 链条与滑轨的摩擦系数</t>
  </si>
  <si>
    <t>f3: 有滞留时链条与滑轨间的摩擦系数</t>
  </si>
  <si>
    <t>G: 重力加速度=9.80665(m/s2)</t>
  </si>
  <si>
    <t>KW:所需动力（KW）</t>
  </si>
  <si>
    <t>V:链条速度（m/min）</t>
  </si>
  <si>
    <t>n：传动效率（75%）</t>
  </si>
  <si>
    <t>F1：作用在单根链条的最大张力（KN）</t>
  </si>
  <si>
    <t xml:space="preserve">自流式输送机一般并列使用2条链条， 计算每条链条的张力。  </t>
  </si>
  <si>
    <t>链条的容许张力≥(TMK1MK2)/2  如果超过了链条的容许张力，</t>
  </si>
  <si>
    <t>请将链条变更为大一号规格， 或将机械长度进行分割后重新计算.</t>
  </si>
  <si>
    <t>Q=KB2VγC(淘宝店铺:枫启教育)</t>
  </si>
  <si>
    <t>数据</t>
  </si>
  <si>
    <r>
      <rPr>
        <sz val="12"/>
        <rFont val="Times New Roman"/>
        <charset val="134"/>
      </rPr>
      <t>Q</t>
    </r>
    <r>
      <rPr>
        <sz val="12"/>
        <rFont val="宋体"/>
        <charset val="134"/>
      </rPr>
      <t>：皮带运煤机出力</t>
    </r>
  </si>
  <si>
    <r>
      <rPr>
        <sz val="12"/>
        <rFont val="Times New Roman"/>
        <charset val="134"/>
      </rPr>
      <t>K</t>
    </r>
    <r>
      <rPr>
        <sz val="12"/>
        <rFont val="宋体"/>
        <charset val="134"/>
      </rPr>
      <t>：断面系数，</t>
    </r>
    <r>
      <rPr>
        <sz val="12"/>
        <rFont val="Times New Roman"/>
        <charset val="134"/>
      </rPr>
      <t>TD75</t>
    </r>
    <r>
      <rPr>
        <sz val="12"/>
        <rFont val="宋体"/>
        <charset val="134"/>
      </rPr>
      <t>型按</t>
    </r>
    <r>
      <rPr>
        <sz val="12"/>
        <rFont val="Times New Roman"/>
        <charset val="134"/>
      </rPr>
      <t>385</t>
    </r>
    <r>
      <rPr>
        <sz val="12"/>
        <rFont val="宋体"/>
        <charset val="134"/>
      </rPr>
      <t>计算</t>
    </r>
  </si>
  <si>
    <r>
      <rPr>
        <sz val="12"/>
        <rFont val="Times New Roman"/>
        <charset val="134"/>
      </rPr>
      <t>B</t>
    </r>
    <r>
      <rPr>
        <sz val="12"/>
        <rFont val="宋体"/>
        <charset val="134"/>
      </rPr>
      <t>：皮带宽度</t>
    </r>
  </si>
  <si>
    <r>
      <rPr>
        <sz val="12"/>
        <rFont val="Times New Roman"/>
        <charset val="134"/>
      </rPr>
      <t>V</t>
    </r>
    <r>
      <rPr>
        <sz val="12"/>
        <rFont val="宋体"/>
        <charset val="134"/>
      </rPr>
      <t>：皮带速度</t>
    </r>
  </si>
  <si>
    <t>γ：煤的堆积比重</t>
  </si>
  <si>
    <r>
      <rPr>
        <sz val="12"/>
        <rFont val="Times New Roman"/>
        <charset val="134"/>
      </rPr>
      <t>t/m</t>
    </r>
    <r>
      <rPr>
        <vertAlign val="superscript"/>
        <sz val="12"/>
        <rFont val="Times New Roman"/>
        <charset val="134"/>
      </rPr>
      <t>3</t>
    </r>
  </si>
  <si>
    <r>
      <rPr>
        <sz val="12"/>
        <rFont val="宋体"/>
        <charset val="134"/>
      </rPr>
      <t>一般取</t>
    </r>
    <r>
      <rPr>
        <sz val="12"/>
        <rFont val="Times New Roman"/>
        <charset val="134"/>
      </rPr>
      <t>0.85</t>
    </r>
  </si>
  <si>
    <r>
      <rPr>
        <sz val="12"/>
        <rFont val="Times New Roman"/>
        <charset val="134"/>
      </rPr>
      <t>C</t>
    </r>
    <r>
      <rPr>
        <sz val="12"/>
        <rFont val="宋体"/>
        <charset val="134"/>
      </rPr>
      <t>：倾斜运输出力降低系数</t>
    </r>
  </si>
  <si>
    <t>皮带倾角</t>
  </si>
  <si>
    <r>
      <rPr>
        <sz val="12"/>
        <rFont val="Times New Roman"/>
        <charset val="134"/>
      </rPr>
      <t>8</t>
    </r>
    <r>
      <rPr>
        <vertAlign val="superscript"/>
        <sz val="12"/>
        <rFont val="Times New Roman"/>
        <charset val="134"/>
      </rPr>
      <t>o</t>
    </r>
    <r>
      <rPr>
        <sz val="12"/>
        <rFont val="Times New Roman"/>
        <charset val="134"/>
      </rPr>
      <t>~15</t>
    </r>
    <r>
      <rPr>
        <vertAlign val="superscript"/>
        <sz val="12"/>
        <rFont val="Times New Roman"/>
        <charset val="134"/>
      </rPr>
      <t>o</t>
    </r>
  </si>
  <si>
    <r>
      <rPr>
        <sz val="12"/>
        <rFont val="Times New Roman"/>
        <charset val="134"/>
      </rPr>
      <t>16</t>
    </r>
    <r>
      <rPr>
        <vertAlign val="superscript"/>
        <sz val="12"/>
        <rFont val="Times New Roman"/>
        <charset val="134"/>
      </rPr>
      <t>o</t>
    </r>
    <r>
      <rPr>
        <sz val="12"/>
        <rFont val="Times New Roman"/>
        <charset val="134"/>
      </rPr>
      <t>~20</t>
    </r>
    <r>
      <rPr>
        <vertAlign val="superscript"/>
        <sz val="12"/>
        <rFont val="Times New Roman"/>
        <charset val="134"/>
      </rPr>
      <t>o</t>
    </r>
  </si>
  <si>
    <r>
      <rPr>
        <sz val="12"/>
        <rFont val="Times New Roman"/>
        <charset val="134"/>
      </rPr>
      <t>9</t>
    </r>
    <r>
      <rPr>
        <vertAlign val="superscript"/>
        <sz val="12"/>
        <rFont val="Times New Roman"/>
        <charset val="134"/>
      </rPr>
      <t>o</t>
    </r>
  </si>
  <si>
    <r>
      <rPr>
        <sz val="12"/>
        <rFont val="Times New Roman"/>
        <charset val="134"/>
      </rPr>
      <t>10o</t>
    </r>
  </si>
  <si>
    <t>0.95~0.9</t>
  </si>
  <si>
    <t>0.9~0.8</t>
  </si>
  <si>
    <t xml:space="preserve">异步电机转矩换算  </t>
  </si>
  <si>
    <t>电机功率P：KW</t>
  </si>
  <si>
    <t>电机转速n：rmin</t>
  </si>
  <si>
    <t>额定转矩T：Nm【T=9550P/n】</t>
  </si>
  <si>
    <t>自动计算区</t>
  </si>
  <si>
    <t>扭矩公式：T=9550P/n</t>
  </si>
  <si>
    <t xml:space="preserve">                        T是扭矩，单位N·m</t>
  </si>
  <si>
    <t xml:space="preserve">                        P是输出功率，单位KW</t>
  </si>
  <si>
    <t xml:space="preserve">           n是电机转速，单位r/min</t>
  </si>
  <si>
    <t>以下为参考文献</t>
  </si>
  <si>
    <t>变压器差动保护计算模型(淘宝店铺:枫启教育)</t>
  </si>
  <si>
    <t>变压器容量</t>
  </si>
  <si>
    <r>
      <rPr>
        <sz val="12"/>
        <rFont val="宋体"/>
        <charset val="134"/>
      </rPr>
      <t>MVA</t>
    </r>
    <r>
      <rPr>
        <sz val="12"/>
        <rFont val="宋体"/>
        <charset val="134"/>
      </rPr>
      <t xml:space="preserve">     Y/△-11</t>
    </r>
  </si>
  <si>
    <r>
      <rPr>
        <sz val="12"/>
        <rFont val="宋体"/>
        <charset val="134"/>
      </rPr>
      <t>一次侧电压(</t>
    </r>
    <r>
      <rPr>
        <sz val="12"/>
        <rFont val="宋体"/>
        <charset val="134"/>
      </rPr>
      <t>UAB)</t>
    </r>
  </si>
  <si>
    <t>kV</t>
  </si>
  <si>
    <r>
      <rPr>
        <sz val="12"/>
        <rFont val="宋体"/>
        <charset val="134"/>
      </rPr>
      <t>二次侧电压(</t>
    </r>
    <r>
      <rPr>
        <sz val="12"/>
        <rFont val="宋体"/>
        <charset val="134"/>
      </rPr>
      <t>Uab)</t>
    </r>
  </si>
  <si>
    <t>额定运行情况</t>
  </si>
  <si>
    <r>
      <rPr>
        <sz val="12"/>
        <rFont val="宋体"/>
        <charset val="134"/>
      </rPr>
      <t>一次侧电流值(IA</t>
    </r>
    <r>
      <rPr>
        <sz val="12"/>
        <rFont val="宋体"/>
        <charset val="134"/>
      </rPr>
      <t>)</t>
    </r>
  </si>
  <si>
    <t>备注：I'H,I'L均为变压器运行时的标幺值，且相差180度。</t>
  </si>
  <si>
    <r>
      <rPr>
        <sz val="12"/>
        <rFont val="宋体"/>
        <charset val="134"/>
      </rPr>
      <t>二次侧电流值(</t>
    </r>
    <r>
      <rPr>
        <sz val="12"/>
        <rFont val="宋体"/>
        <charset val="134"/>
      </rPr>
      <t>Ia)</t>
    </r>
  </si>
  <si>
    <t>一次侧CT变比</t>
  </si>
  <si>
    <t>二次侧CT变比</t>
  </si>
  <si>
    <r>
      <rPr>
        <sz val="12"/>
        <rFont val="宋体"/>
        <charset val="134"/>
      </rPr>
      <t>一次侧CT电流</t>
    </r>
    <r>
      <rPr>
        <sz val="12"/>
        <rFont val="宋体"/>
        <charset val="134"/>
      </rPr>
      <t>(IA')</t>
    </r>
  </si>
  <si>
    <r>
      <rPr>
        <sz val="12"/>
        <rFont val="宋体"/>
        <charset val="134"/>
      </rPr>
      <t>A</t>
    </r>
    <r>
      <rPr>
        <sz val="12"/>
        <rFont val="宋体"/>
        <charset val="134"/>
      </rPr>
      <t xml:space="preserve"> </t>
    </r>
    <r>
      <rPr>
        <sz val="12"/>
        <rFont val="宋体"/>
        <charset val="134"/>
      </rPr>
      <t>TAP1高压侧基准值</t>
    </r>
  </si>
  <si>
    <r>
      <rPr>
        <sz val="12"/>
        <rFont val="宋体"/>
        <charset val="134"/>
      </rPr>
      <t>二次侧CT电流</t>
    </r>
    <r>
      <rPr>
        <sz val="12"/>
        <rFont val="宋体"/>
        <charset val="134"/>
      </rPr>
      <t>(Ia')</t>
    </r>
  </si>
  <si>
    <r>
      <rPr>
        <sz val="12"/>
        <rFont val="宋体"/>
        <charset val="134"/>
      </rPr>
      <t>A</t>
    </r>
    <r>
      <rPr>
        <sz val="12"/>
        <rFont val="宋体"/>
        <charset val="134"/>
      </rPr>
      <t xml:space="preserve"> </t>
    </r>
    <r>
      <rPr>
        <sz val="12"/>
        <rFont val="宋体"/>
        <charset val="134"/>
      </rPr>
      <t>TAP2低压侧基准值</t>
    </r>
  </si>
  <si>
    <t>差动保护整定</t>
  </si>
  <si>
    <t>保护起动门槛值试验(淘宝店铺:枫启教育)</t>
  </si>
  <si>
    <t>比率制动启动值</t>
  </si>
  <si>
    <t>门槛值</t>
  </si>
  <si>
    <t>高压侧CT电流</t>
  </si>
  <si>
    <t>低压侧CT电流</t>
  </si>
  <si>
    <t>计算方法：</t>
  </si>
  <si>
    <r>
      <rPr>
        <sz val="10.5"/>
        <rFont val="宋体"/>
        <charset val="134"/>
      </rPr>
      <t>绕组1=比率制动差动保护启动值*H侧电流基准值</t>
    </r>
    <r>
      <rPr>
        <sz val="10.5"/>
        <rFont val="Times New Roman"/>
        <charset val="134"/>
      </rPr>
      <t>*</t>
    </r>
    <r>
      <rPr>
        <sz val="10.5"/>
        <rFont val="宋体"/>
        <charset val="134"/>
      </rPr>
      <t>1.732</t>
    </r>
  </si>
  <si>
    <t>绕组2=比率制动差动保护启动值*L侧电流基准值</t>
  </si>
  <si>
    <t>比率制动折线1百分比试验</t>
  </si>
  <si>
    <t xml:space="preserve">比率斜率 </t>
  </si>
  <si>
    <t>制动系数</t>
  </si>
  <si>
    <t>选取试验点 Ires</t>
  </si>
  <si>
    <t>制动电流</t>
  </si>
  <si>
    <t>Iop</t>
  </si>
  <si>
    <t>差动电流</t>
  </si>
  <si>
    <t>IH'</t>
  </si>
  <si>
    <t>IL'</t>
  </si>
  <si>
    <r>
      <rPr>
        <sz val="12"/>
        <rFont val="宋体"/>
        <charset val="134"/>
      </rPr>
      <t>高压侧CT电流</t>
    </r>
    <r>
      <rPr>
        <sz val="12"/>
        <rFont val="宋体"/>
        <charset val="134"/>
      </rPr>
      <t>(IA)</t>
    </r>
  </si>
  <si>
    <r>
      <rPr>
        <sz val="12"/>
        <rFont val="宋体"/>
        <charset val="134"/>
      </rPr>
      <t>低压侧CT电流</t>
    </r>
    <r>
      <rPr>
        <sz val="12"/>
        <rFont val="宋体"/>
        <charset val="134"/>
      </rPr>
      <t>(Ia)</t>
    </r>
  </si>
  <si>
    <r>
      <rPr>
        <sz val="12"/>
        <rFont val="宋体"/>
        <charset val="134"/>
      </rPr>
      <t>A</t>
    </r>
    <r>
      <rPr>
        <sz val="12"/>
        <rFont val="宋体"/>
        <charset val="134"/>
      </rPr>
      <t xml:space="preserve">  与IA反相</t>
    </r>
  </si>
  <si>
    <r>
      <rPr>
        <sz val="12"/>
        <rFont val="宋体"/>
        <charset val="134"/>
      </rPr>
      <t>补偿电流(</t>
    </r>
    <r>
      <rPr>
        <sz val="12"/>
        <rFont val="宋体"/>
        <charset val="134"/>
      </rPr>
      <t>Ic)</t>
    </r>
  </si>
  <si>
    <r>
      <rPr>
        <sz val="12"/>
        <rFont val="宋体"/>
        <charset val="134"/>
      </rPr>
      <t>A</t>
    </r>
    <r>
      <rPr>
        <sz val="12"/>
        <rFont val="宋体"/>
        <charset val="134"/>
      </rPr>
      <t xml:space="preserve">  与IA同相</t>
    </r>
  </si>
  <si>
    <t>差动电流：Ih-IL=0.4，制动电流：(Ih+IL)/2=1；Ih=1.2，IL=0.8</t>
  </si>
  <si>
    <r>
      <rPr>
        <sz val="10.5"/>
        <rFont val="宋体"/>
        <charset val="134"/>
      </rPr>
      <t>绕组1=制动元件动作电流启动值* H侧电流基准值</t>
    </r>
    <r>
      <rPr>
        <sz val="10.5"/>
        <rFont val="Times New Roman"/>
        <charset val="134"/>
      </rPr>
      <t>*</t>
    </r>
    <r>
      <rPr>
        <sz val="10.5"/>
        <rFont val="宋体"/>
        <charset val="134"/>
      </rPr>
      <t>1.732</t>
    </r>
  </si>
  <si>
    <t>绕组2=制动元件动作电流启动值* L侧电流基准值</t>
  </si>
  <si>
    <r>
      <rPr>
        <sz val="10.5"/>
        <rFont val="宋体"/>
        <charset val="134"/>
      </rPr>
      <t>补偿电流=绕组1制动元件动作电流启动值* L侧电流基准值</t>
    </r>
  </si>
  <si>
    <t>差动速断试验</t>
  </si>
  <si>
    <t>差动速断值</t>
  </si>
  <si>
    <t>Iop.max</t>
  </si>
  <si>
    <r>
      <rPr>
        <sz val="10.5"/>
        <rFont val="宋体"/>
        <charset val="134"/>
      </rPr>
      <t>绕组1=差动速断值*H侧电流基准值</t>
    </r>
    <r>
      <rPr>
        <sz val="10.5"/>
        <rFont val="Times New Roman"/>
        <charset val="134"/>
      </rPr>
      <t>*</t>
    </r>
    <r>
      <rPr>
        <sz val="10.5"/>
        <rFont val="宋体"/>
        <charset val="134"/>
      </rPr>
      <t>1.732</t>
    </r>
  </si>
  <si>
    <t>绕组2=差动速断值*L侧电流基准值</t>
  </si>
  <si>
    <r>
      <rPr>
        <b/>
        <u/>
        <sz val="20"/>
        <rFont val="宋体"/>
        <charset val="134"/>
      </rPr>
      <t>电</t>
    </r>
    <r>
      <rPr>
        <b/>
        <u/>
        <sz val="20"/>
        <rFont val="Times New Roman"/>
        <charset val="134"/>
      </rPr>
      <t xml:space="preserve"> </t>
    </r>
    <r>
      <rPr>
        <b/>
        <u/>
        <sz val="20"/>
        <rFont val="宋体"/>
        <charset val="134"/>
      </rPr>
      <t>力</t>
    </r>
    <r>
      <rPr>
        <b/>
        <u/>
        <sz val="20"/>
        <rFont val="Times New Roman"/>
        <charset val="134"/>
      </rPr>
      <t xml:space="preserve"> </t>
    </r>
    <r>
      <rPr>
        <b/>
        <u/>
        <sz val="20"/>
        <rFont val="宋体"/>
        <charset val="134"/>
      </rPr>
      <t>负</t>
    </r>
    <r>
      <rPr>
        <b/>
        <u/>
        <sz val="20"/>
        <rFont val="Times New Roman"/>
        <charset val="134"/>
      </rPr>
      <t xml:space="preserve"> </t>
    </r>
    <r>
      <rPr>
        <b/>
        <u/>
        <sz val="20"/>
        <rFont val="宋体"/>
        <charset val="134"/>
      </rPr>
      <t>荷</t>
    </r>
    <r>
      <rPr>
        <b/>
        <u/>
        <sz val="20"/>
        <rFont val="Times New Roman"/>
        <charset val="134"/>
      </rPr>
      <t xml:space="preserve"> </t>
    </r>
    <r>
      <rPr>
        <b/>
        <u/>
        <sz val="20"/>
        <rFont val="宋体"/>
        <charset val="134"/>
      </rPr>
      <t>计</t>
    </r>
    <r>
      <rPr>
        <b/>
        <u/>
        <sz val="20"/>
        <rFont val="Times New Roman"/>
        <charset val="134"/>
      </rPr>
      <t xml:space="preserve"> </t>
    </r>
    <r>
      <rPr>
        <b/>
        <u/>
        <sz val="20"/>
        <rFont val="宋体"/>
        <charset val="134"/>
      </rPr>
      <t>算</t>
    </r>
    <r>
      <rPr>
        <b/>
        <u/>
        <sz val="20"/>
        <rFont val="Times New Roman"/>
        <charset val="134"/>
      </rPr>
      <t xml:space="preserve"> </t>
    </r>
    <r>
      <rPr>
        <b/>
        <u/>
        <sz val="20"/>
        <rFont val="宋体"/>
        <charset val="134"/>
      </rPr>
      <t>书</t>
    </r>
  </si>
  <si>
    <t>工程名称：</t>
  </si>
  <si>
    <t>业务号码：</t>
  </si>
  <si>
    <t>设计：</t>
  </si>
  <si>
    <r>
      <rPr>
        <sz val="12"/>
        <rFont val="Times New Roman"/>
        <charset val="134"/>
      </rPr>
      <t xml:space="preserve"> </t>
    </r>
    <r>
      <rPr>
        <sz val="12"/>
        <rFont val="宋体"/>
        <charset val="134"/>
      </rPr>
      <t>校对：</t>
    </r>
  </si>
  <si>
    <t>审核：</t>
  </si>
  <si>
    <t>用电设备组名称</t>
  </si>
  <si>
    <t>回路编号</t>
  </si>
  <si>
    <r>
      <rPr>
        <sz val="12"/>
        <rFont val="宋体"/>
        <charset val="134"/>
      </rPr>
      <t>设备容量</t>
    </r>
    <r>
      <rPr>
        <sz val="12"/>
        <rFont val="Times New Roman"/>
        <charset val="134"/>
      </rPr>
      <t xml:space="preserve"> Pe (KW)</t>
    </r>
  </si>
  <si>
    <t>Kx</t>
  </si>
  <si>
    <r>
      <rPr>
        <sz val="12"/>
        <rFont val="Times New Roman"/>
        <charset val="134"/>
      </rPr>
      <t>cos</t>
    </r>
    <r>
      <rPr>
        <sz val="12"/>
        <rFont val="Symbol"/>
        <charset val="2"/>
      </rPr>
      <t>f</t>
    </r>
  </si>
  <si>
    <r>
      <rPr>
        <sz val="12"/>
        <rFont val="Times New Roman"/>
        <charset val="134"/>
      </rPr>
      <t>tg</t>
    </r>
    <r>
      <rPr>
        <sz val="12"/>
        <rFont val="Symbol"/>
        <charset val="2"/>
      </rPr>
      <t>f</t>
    </r>
  </si>
  <si>
    <r>
      <rPr>
        <sz val="12"/>
        <rFont val="宋体"/>
        <charset val="134"/>
      </rPr>
      <t>计</t>
    </r>
    <r>
      <rPr>
        <sz val="12"/>
        <rFont val="Times New Roman"/>
        <charset val="134"/>
      </rPr>
      <t xml:space="preserve">           </t>
    </r>
    <r>
      <rPr>
        <sz val="12"/>
        <rFont val="宋体"/>
        <charset val="134"/>
      </rPr>
      <t xml:space="preserve">算      </t>
    </r>
    <r>
      <rPr>
        <sz val="12"/>
        <rFont val="Times New Roman"/>
        <charset val="134"/>
      </rPr>
      <t xml:space="preserve"> </t>
    </r>
    <r>
      <rPr>
        <sz val="12"/>
        <rFont val="宋体"/>
        <charset val="134"/>
      </rPr>
      <t xml:space="preserve">负       </t>
    </r>
    <r>
      <rPr>
        <sz val="12"/>
        <rFont val="Times New Roman"/>
        <charset val="134"/>
      </rPr>
      <t xml:space="preserve"> </t>
    </r>
    <r>
      <rPr>
        <sz val="12"/>
        <rFont val="宋体"/>
        <charset val="134"/>
      </rPr>
      <t>荷</t>
    </r>
  </si>
  <si>
    <r>
      <rPr>
        <sz val="12"/>
        <rFont val="Times New Roman"/>
        <charset val="134"/>
      </rPr>
      <t>P</t>
    </r>
    <r>
      <rPr>
        <sz val="9"/>
        <rFont val="Times New Roman"/>
        <charset val="134"/>
      </rPr>
      <t>30</t>
    </r>
    <r>
      <rPr>
        <sz val="12"/>
        <rFont val="Times New Roman"/>
        <charset val="134"/>
      </rPr>
      <t>(KW)</t>
    </r>
  </si>
  <si>
    <r>
      <rPr>
        <sz val="9"/>
        <rFont val="Times New Roman"/>
        <charset val="134"/>
      </rPr>
      <t>Q</t>
    </r>
    <r>
      <rPr>
        <sz val="8"/>
        <rFont val="Times New Roman"/>
        <charset val="134"/>
      </rPr>
      <t>30</t>
    </r>
    <r>
      <rPr>
        <sz val="9"/>
        <rFont val="Times New Roman"/>
        <charset val="134"/>
      </rPr>
      <t>(KVAR)</t>
    </r>
  </si>
  <si>
    <r>
      <rPr>
        <sz val="9"/>
        <rFont val="Times New Roman"/>
        <charset val="134"/>
      </rPr>
      <t>S</t>
    </r>
    <r>
      <rPr>
        <sz val="8"/>
        <rFont val="Times New Roman"/>
        <charset val="134"/>
      </rPr>
      <t>30</t>
    </r>
    <r>
      <rPr>
        <sz val="9"/>
        <rFont val="Times New Roman"/>
        <charset val="134"/>
      </rPr>
      <t>(KVA)</t>
    </r>
  </si>
  <si>
    <r>
      <rPr>
        <sz val="12"/>
        <rFont val="Times New Roman"/>
        <charset val="134"/>
      </rPr>
      <t>I</t>
    </r>
    <r>
      <rPr>
        <sz val="9"/>
        <rFont val="Times New Roman"/>
        <charset val="134"/>
      </rPr>
      <t>30</t>
    </r>
    <r>
      <rPr>
        <sz val="12"/>
        <rFont val="Times New Roman"/>
        <charset val="134"/>
      </rPr>
      <t>(A)</t>
    </r>
  </si>
  <si>
    <t>800T</t>
  </si>
  <si>
    <t>1WL1</t>
  </si>
  <si>
    <t>照明和插座负荷</t>
  </si>
  <si>
    <t>1WL2</t>
  </si>
  <si>
    <t>1WL3</t>
  </si>
  <si>
    <t>1WL4</t>
  </si>
  <si>
    <t>1WL5</t>
  </si>
  <si>
    <t>1WL6</t>
  </si>
  <si>
    <t>裙房一层大厅</t>
  </si>
  <si>
    <t>1WL7</t>
  </si>
  <si>
    <t>地下层公共照明（主供）</t>
  </si>
  <si>
    <t>1WL8</t>
  </si>
  <si>
    <t>地上层公共照明（主供）</t>
  </si>
  <si>
    <t>1WL9</t>
  </si>
  <si>
    <t>1WL10</t>
  </si>
  <si>
    <t>同时系数K∑</t>
  </si>
  <si>
    <t>车间干线K∑＝0.9～1 ； 低压母线K∑＝0.8～0.9</t>
  </si>
  <si>
    <t>有功负荷系数a</t>
  </si>
  <si>
    <t>a≈0.7～0.8 （平均负荷与计算负荷之比值）</t>
  </si>
  <si>
    <t>无功负荷系数β</t>
  </si>
  <si>
    <t>β≈0.75～0.85 （平均负荷与计算负荷之比值）</t>
  </si>
  <si>
    <r>
      <rPr>
        <sz val="12"/>
        <rFont val="宋体"/>
        <charset val="134"/>
      </rPr>
      <t>总</t>
    </r>
    <r>
      <rPr>
        <sz val="12"/>
        <rFont val="Times New Roman"/>
        <charset val="134"/>
      </rPr>
      <t xml:space="preserve">    </t>
    </r>
    <r>
      <rPr>
        <sz val="12"/>
        <rFont val="宋体"/>
        <charset val="134"/>
      </rPr>
      <t xml:space="preserve">计 </t>
    </r>
    <r>
      <rPr>
        <sz val="12"/>
        <rFont val="Times New Roman"/>
        <charset val="134"/>
      </rPr>
      <t>(</t>
    </r>
    <r>
      <rPr>
        <sz val="12"/>
        <rFont val="宋体"/>
        <charset val="134"/>
      </rPr>
      <t>补偿前</t>
    </r>
    <r>
      <rPr>
        <sz val="12"/>
        <rFont val="Times New Roman"/>
        <charset val="134"/>
      </rPr>
      <t>)</t>
    </r>
  </si>
  <si>
    <r>
      <rPr>
        <sz val="12"/>
        <rFont val="宋体"/>
        <charset val="134"/>
      </rPr>
      <t>总</t>
    </r>
    <r>
      <rPr>
        <sz val="12"/>
        <rFont val="Times New Roman"/>
        <charset val="134"/>
      </rPr>
      <t xml:space="preserve">    </t>
    </r>
    <r>
      <rPr>
        <sz val="12"/>
        <rFont val="宋体"/>
        <charset val="134"/>
      </rPr>
      <t xml:space="preserve">计 </t>
    </r>
    <r>
      <rPr>
        <sz val="12"/>
        <rFont val="Times New Roman"/>
        <charset val="134"/>
      </rPr>
      <t>(</t>
    </r>
    <r>
      <rPr>
        <sz val="12"/>
        <rFont val="宋体"/>
        <charset val="134"/>
      </rPr>
      <t>补偿后</t>
    </r>
    <r>
      <rPr>
        <sz val="12"/>
        <rFont val="Times New Roman"/>
        <charset val="134"/>
      </rPr>
      <t>)</t>
    </r>
  </si>
  <si>
    <t>无功补偿容量(KVar)</t>
  </si>
  <si>
    <t>变压器选择(KVA)</t>
  </si>
  <si>
    <t>变压器负载率</t>
  </si>
  <si>
    <r>
      <rPr>
        <sz val="20"/>
        <rFont val="宋体"/>
        <charset val="134"/>
      </rPr>
      <t>小型机械类工厂中常用重要电力负荷的级别分类</t>
    </r>
    <r>
      <rPr>
        <sz val="12"/>
        <rFont val="宋体"/>
        <charset val="134"/>
      </rPr>
      <t xml:space="preserve"> </t>
    </r>
  </si>
  <si>
    <t xml:space="preserve">用电设备组的需要系数Kd及功率因数 </t>
  </si>
  <si>
    <t xml:space="preserve">建筑工地常用用电设备组的需要系数及功率因数 </t>
  </si>
  <si>
    <r>
      <rPr>
        <sz val="20"/>
        <rFont val="宋体"/>
        <charset val="134"/>
      </rPr>
      <t xml:space="preserve">        同时系数KΣ</t>
    </r>
    <r>
      <rPr>
        <sz val="12"/>
        <rFont val="宋体"/>
        <charset val="134"/>
      </rPr>
      <t xml:space="preserve"> </t>
    </r>
  </si>
  <si>
    <t>负荷的需要系数及功率因数</t>
  </si>
  <si>
    <t>10kv變壓器電流值計算表格</t>
  </si>
  <si>
    <t>電流值</t>
  </si>
  <si>
    <t>變壓器容量</t>
  </si>
  <si>
    <t>負荷</t>
  </si>
  <si>
    <t>U</t>
  </si>
  <si>
    <t xml:space="preserve">cosΦ
</t>
  </si>
  <si>
    <t>根號3</t>
  </si>
  <si>
    <t>P=根号3*UIcosΦ，可以计算出电流值了。一般变压器都不允许满容量供负荷，取80%，U取400V，cosΦ取0.8，于是得出315kVA变压器电流值I=315*1000*80%/400/0.8/1.732=454.7(A)，10kVA变压器电流值I=10*1000*80%/400/0.8/1.732=14.4(A)，由于二次侧电流不允许超过5A，所以315kVA按道理应该选500/5的电流互感器，实际工作中考虑到其负荷达不到80%，也可以选400/5的；10kVA变压器由于其电流值只有十几安，所以一般都采取直接式，实际工作不会安装互感器。</t>
  </si>
  <si>
    <t>电压互感器为1000:100</t>
  </si>
  <si>
    <t>等效电阻R=R1R2/(R1+R2)</t>
  </si>
  <si>
    <t xml:space="preserve">失压记时仪、电压补偿器管理办法
</t>
  </si>
  <si>
    <t xml:space="preserve">三相四线制电能表误接后的电能补退分析 </t>
  </si>
  <si>
    <t xml:space="preserve">各相功率表达式：P1=UuIucos(180o-φ);P2=UvIvcosφ;P3=UwIwcosφ
        当三相负荷平衡时，有Uu=Uv=Uw=U；Iu=Iv=Iww=I
        总功率P′=P1+P2+P3=-UIcosφ+UIcosφ+ UIcosφ= UIcosφ
        正确接线时，P=3UIcosφ
</t>
  </si>
  <si>
    <t xml:space="preserve">变压器容量计算表  </t>
  </si>
  <si>
    <r>
      <rPr>
        <sz val="10"/>
        <rFont val="Times New Roman"/>
        <charset val="134"/>
      </rPr>
      <t xml:space="preserve">                   </t>
    </r>
    <r>
      <rPr>
        <sz val="10"/>
        <rFont val="黑体"/>
        <charset val="134"/>
      </rPr>
      <t xml:space="preserve">名称
</t>
    </r>
    <r>
      <rPr>
        <sz val="10"/>
        <rFont val="Times New Roman"/>
        <charset val="134"/>
      </rPr>
      <t xml:space="preserve">   </t>
    </r>
    <r>
      <rPr>
        <sz val="10"/>
        <rFont val="黑体"/>
        <charset val="134"/>
      </rPr>
      <t>组别</t>
    </r>
    <r>
      <rPr>
        <sz val="10"/>
        <rFont val="Times New Roman"/>
        <charset val="134"/>
      </rPr>
      <t xml:space="preserve">          </t>
    </r>
  </si>
  <si>
    <t>额定
功率</t>
  </si>
  <si>
    <t>输入
容量</t>
  </si>
  <si>
    <t>需要
系数</t>
  </si>
  <si>
    <t>功率
因数</t>
  </si>
  <si>
    <t>功率因
数正切</t>
  </si>
  <si>
    <t>有功
功率</t>
  </si>
  <si>
    <t>无功
功率</t>
  </si>
  <si>
    <t>视在
功率</t>
  </si>
  <si>
    <t>低压
额定
电流</t>
  </si>
  <si>
    <r>
      <rPr>
        <sz val="10"/>
        <rFont val="Times New Roman"/>
        <charset val="134"/>
      </rPr>
      <t>10kV</t>
    </r>
    <r>
      <rPr>
        <sz val="10"/>
        <rFont val="黑体"/>
        <charset val="134"/>
      </rPr>
      <t xml:space="preserve">
额定
电流</t>
    </r>
  </si>
  <si>
    <r>
      <rPr>
        <sz val="10"/>
        <rFont val="黑体"/>
        <charset val="134"/>
      </rPr>
      <t xml:space="preserve">有功功率
同期系数
</t>
    </r>
    <r>
      <rPr>
        <sz val="10"/>
        <rFont val="Times New Roman"/>
        <charset val="134"/>
      </rPr>
      <t>(0.8~0.9)</t>
    </r>
  </si>
  <si>
    <r>
      <rPr>
        <sz val="10"/>
        <rFont val="黑体"/>
        <charset val="134"/>
      </rPr>
      <t xml:space="preserve">无功功率
同期系数
</t>
    </r>
    <r>
      <rPr>
        <sz val="10"/>
        <rFont val="Times New Roman"/>
        <charset val="134"/>
      </rPr>
      <t>(0.93~0.97)</t>
    </r>
  </si>
  <si>
    <t>无功
功率
补偿率</t>
  </si>
  <si>
    <t>用电设备</t>
  </si>
  <si>
    <t>Pe(kW)</t>
  </si>
  <si>
    <t>S(kV.A)</t>
  </si>
  <si>
    <t>cosφ</t>
  </si>
  <si>
    <t>tgφ</t>
  </si>
  <si>
    <t>Pjs(kW)</t>
  </si>
  <si>
    <t>Qjs(kvar)</t>
  </si>
  <si>
    <t>Sjs(kV.A)</t>
  </si>
  <si>
    <t>Ijs(A)</t>
  </si>
  <si>
    <t>Igs(A)</t>
  </si>
  <si>
    <t>Kp</t>
  </si>
  <si>
    <t>Kq</t>
  </si>
  <si>
    <t>△qc</t>
  </si>
  <si>
    <t>1#照明及电热</t>
  </si>
  <si>
    <t>2#照明及电热</t>
  </si>
  <si>
    <t>办公及商住楼</t>
  </si>
  <si>
    <t>自动扶梯</t>
  </si>
  <si>
    <t>厨房电力</t>
  </si>
  <si>
    <t>电梯</t>
  </si>
  <si>
    <t>防排烟风机</t>
  </si>
  <si>
    <t>卷帘门</t>
  </si>
  <si>
    <t>淘宝店铺:</t>
  </si>
  <si>
    <t>爱学习工作室</t>
  </si>
  <si>
    <t>合计</t>
  </si>
  <si>
    <t>同时系数</t>
  </si>
  <si>
    <t>电容补偿</t>
  </si>
  <si>
    <t>电容补偿后</t>
  </si>
  <si>
    <t>功率损耗</t>
  </si>
  <si>
    <t>总计</t>
  </si>
  <si>
    <r>
      <rPr>
        <sz val="12"/>
        <rFont val="Times New Roman"/>
        <charset val="134"/>
      </rPr>
      <t>30~16000kV.A</t>
    </r>
    <r>
      <rPr>
        <sz val="12"/>
        <rFont val="华文细黑"/>
        <charset val="134"/>
      </rPr>
      <t>容量变压器</t>
    </r>
  </si>
  <si>
    <t>变压器负荷率
0.75 ～0.85</t>
  </si>
  <si>
    <t>变压器应选容量为:</t>
  </si>
  <si>
    <t>kV.A</t>
  </si>
  <si>
    <t>无功补偿容量为:</t>
  </si>
  <si>
    <t>kvar</t>
  </si>
  <si>
    <r>
      <rPr>
        <sz val="12"/>
        <rFont val="Times New Roman"/>
        <charset val="134"/>
      </rPr>
      <t>cos</t>
    </r>
    <r>
      <rPr>
        <sz val="12"/>
        <rFont val="宋体"/>
        <charset val="134"/>
      </rPr>
      <t>φ</t>
    </r>
  </si>
  <si>
    <r>
      <rPr>
        <sz val="12"/>
        <rFont val="Times New Roman"/>
        <charset val="134"/>
      </rPr>
      <t>tg</t>
    </r>
    <r>
      <rPr>
        <sz val="12"/>
        <rFont val="宋体"/>
        <charset val="134"/>
      </rPr>
      <t>φ</t>
    </r>
  </si>
  <si>
    <t>单独传动的金属加工机床：</t>
  </si>
  <si>
    <t>小批生产的金属冷加工机床</t>
  </si>
  <si>
    <r>
      <rPr>
        <sz val="12"/>
        <rFont val="Times New Roman"/>
        <charset val="134"/>
      </rPr>
      <t>0.12</t>
    </r>
    <r>
      <rPr>
        <sz val="12"/>
        <rFont val="宋体"/>
        <charset val="134"/>
      </rPr>
      <t>～</t>
    </r>
    <r>
      <rPr>
        <sz val="12"/>
        <rFont val="Times New Roman"/>
        <charset val="134"/>
      </rPr>
      <t>0.16</t>
    </r>
  </si>
  <si>
    <t>大批生产的金属冷加工机床</t>
  </si>
  <si>
    <r>
      <rPr>
        <sz val="12"/>
        <rFont val="Times New Roman"/>
        <charset val="134"/>
      </rPr>
      <t>0.17</t>
    </r>
    <r>
      <rPr>
        <sz val="12"/>
        <rFont val="宋体"/>
        <charset val="134"/>
      </rPr>
      <t>～</t>
    </r>
    <r>
      <rPr>
        <sz val="12"/>
        <rFont val="Times New Roman"/>
        <charset val="134"/>
      </rPr>
      <t>0.2</t>
    </r>
  </si>
  <si>
    <t>小批生产的金属热加工机床</t>
  </si>
  <si>
    <r>
      <rPr>
        <sz val="12"/>
        <rFont val="Times New Roman"/>
        <charset val="134"/>
      </rPr>
      <t>0.2</t>
    </r>
    <r>
      <rPr>
        <sz val="12"/>
        <rFont val="宋体"/>
        <charset val="134"/>
      </rPr>
      <t>～</t>
    </r>
    <r>
      <rPr>
        <sz val="12"/>
        <rFont val="Times New Roman"/>
        <charset val="134"/>
      </rPr>
      <t>0.25</t>
    </r>
  </si>
  <si>
    <r>
      <rPr>
        <sz val="12"/>
        <rFont val="Times New Roman"/>
        <charset val="134"/>
      </rPr>
      <t>0.55</t>
    </r>
    <r>
      <rPr>
        <sz val="12"/>
        <rFont val="宋体"/>
        <charset val="134"/>
      </rPr>
      <t>～</t>
    </r>
    <r>
      <rPr>
        <sz val="12"/>
        <rFont val="Times New Roman"/>
        <charset val="134"/>
      </rPr>
      <t>0.6</t>
    </r>
  </si>
  <si>
    <r>
      <rPr>
        <sz val="12"/>
        <rFont val="Times New Roman"/>
        <charset val="134"/>
      </rPr>
      <t>1.51</t>
    </r>
    <r>
      <rPr>
        <sz val="12"/>
        <rFont val="宋体"/>
        <charset val="134"/>
      </rPr>
      <t>～</t>
    </r>
    <r>
      <rPr>
        <sz val="12"/>
        <rFont val="Times New Roman"/>
        <charset val="134"/>
      </rPr>
      <t>1.33</t>
    </r>
  </si>
  <si>
    <t>大批生产的金属热加工机床</t>
  </si>
  <si>
    <r>
      <rPr>
        <sz val="12"/>
        <rFont val="Times New Roman"/>
        <charset val="134"/>
      </rPr>
      <t>0.25</t>
    </r>
    <r>
      <rPr>
        <sz val="12"/>
        <rFont val="宋体"/>
        <charset val="134"/>
      </rPr>
      <t>～</t>
    </r>
    <r>
      <rPr>
        <sz val="12"/>
        <rFont val="Times New Roman"/>
        <charset val="134"/>
      </rPr>
      <t>0.3</t>
    </r>
  </si>
  <si>
    <t>锻锤、压床、剪床及其它锻工机械</t>
  </si>
  <si>
    <r>
      <rPr>
        <sz val="12"/>
        <rFont val="宋体"/>
        <charset val="134"/>
      </rPr>
      <t>木工机械</t>
    </r>
    <r>
      <rPr>
        <sz val="12"/>
        <rFont val="Times New Roman"/>
        <charset val="134"/>
      </rPr>
      <t>(</t>
    </r>
    <r>
      <rPr>
        <sz val="12"/>
        <rFont val="宋体"/>
        <charset val="134"/>
      </rPr>
      <t>木加工车间内</t>
    </r>
    <r>
      <rPr>
        <sz val="12"/>
        <rFont val="Times New Roman"/>
        <charset val="134"/>
      </rPr>
      <t>)</t>
    </r>
  </si>
  <si>
    <r>
      <rPr>
        <sz val="12"/>
        <rFont val="Times New Roman"/>
        <charset val="134"/>
      </rPr>
      <t>0.2</t>
    </r>
    <r>
      <rPr>
        <sz val="12"/>
        <rFont val="宋体"/>
        <charset val="134"/>
      </rPr>
      <t>～</t>
    </r>
    <r>
      <rPr>
        <sz val="12"/>
        <rFont val="Times New Roman"/>
        <charset val="134"/>
      </rPr>
      <t>0.3</t>
    </r>
  </si>
  <si>
    <r>
      <rPr>
        <sz val="12"/>
        <rFont val="Times New Roman"/>
        <charset val="134"/>
      </rPr>
      <t>0.5</t>
    </r>
    <r>
      <rPr>
        <sz val="12"/>
        <rFont val="宋体"/>
        <charset val="134"/>
      </rPr>
      <t>～</t>
    </r>
    <r>
      <rPr>
        <sz val="12"/>
        <rFont val="Times New Roman"/>
        <charset val="134"/>
      </rPr>
      <t>0.6</t>
    </r>
  </si>
  <si>
    <r>
      <rPr>
        <sz val="12"/>
        <rFont val="Times New Roman"/>
        <charset val="134"/>
      </rPr>
      <t>1.73</t>
    </r>
    <r>
      <rPr>
        <sz val="12"/>
        <rFont val="宋体"/>
        <charset val="134"/>
      </rPr>
      <t>～</t>
    </r>
    <r>
      <rPr>
        <sz val="12"/>
        <rFont val="Times New Roman"/>
        <charset val="134"/>
      </rPr>
      <t>1.33</t>
    </r>
  </si>
  <si>
    <t>液压机</t>
  </si>
  <si>
    <t>生产用通风机</t>
  </si>
  <si>
    <r>
      <rPr>
        <sz val="12"/>
        <rFont val="Times New Roman"/>
        <charset val="134"/>
      </rPr>
      <t>0.75</t>
    </r>
    <r>
      <rPr>
        <sz val="12"/>
        <rFont val="宋体"/>
        <charset val="134"/>
      </rPr>
      <t>～</t>
    </r>
    <r>
      <rPr>
        <sz val="12"/>
        <rFont val="Times New Roman"/>
        <charset val="134"/>
      </rPr>
      <t>0.85</t>
    </r>
  </si>
  <si>
    <r>
      <rPr>
        <sz val="12"/>
        <rFont val="Times New Roman"/>
        <charset val="134"/>
      </rPr>
      <t>0.8</t>
    </r>
    <r>
      <rPr>
        <sz val="12"/>
        <rFont val="宋体"/>
        <charset val="134"/>
      </rPr>
      <t>～</t>
    </r>
    <r>
      <rPr>
        <sz val="12"/>
        <rFont val="Times New Roman"/>
        <charset val="134"/>
      </rPr>
      <t>0.85</t>
    </r>
  </si>
  <si>
    <r>
      <rPr>
        <sz val="12"/>
        <rFont val="Times New Roman"/>
        <charset val="134"/>
      </rPr>
      <t>0.75</t>
    </r>
    <r>
      <rPr>
        <sz val="12"/>
        <rFont val="宋体"/>
        <charset val="134"/>
      </rPr>
      <t>～</t>
    </r>
    <r>
      <rPr>
        <sz val="12"/>
        <rFont val="Times New Roman"/>
        <charset val="134"/>
      </rPr>
      <t>0.62</t>
    </r>
  </si>
  <si>
    <t>卫生用通风机</t>
  </si>
  <si>
    <r>
      <rPr>
        <sz val="12"/>
        <rFont val="Times New Roman"/>
        <charset val="134"/>
      </rPr>
      <t>0.65</t>
    </r>
    <r>
      <rPr>
        <sz val="12"/>
        <rFont val="宋体"/>
        <charset val="134"/>
      </rPr>
      <t>～</t>
    </r>
    <r>
      <rPr>
        <sz val="12"/>
        <rFont val="Times New Roman"/>
        <charset val="134"/>
      </rPr>
      <t>0.7</t>
    </r>
  </si>
  <si>
    <t>泵、活塞型压缩机、电动发电机组</t>
  </si>
  <si>
    <t>球磨机、破碎机、筛选机、搅拌机等</t>
  </si>
  <si>
    <r>
      <rPr>
        <sz val="12"/>
        <rFont val="Times New Roman"/>
        <charset val="134"/>
      </rPr>
      <t>0.75</t>
    </r>
    <r>
      <rPr>
        <sz val="12"/>
        <rFont val="宋体"/>
        <charset val="134"/>
      </rPr>
      <t>～</t>
    </r>
    <r>
      <rPr>
        <sz val="12"/>
        <rFont val="Times New Roman"/>
        <charset val="134"/>
      </rPr>
      <t>0.86</t>
    </r>
  </si>
  <si>
    <t>电阻炉（带调压器或变压器）：</t>
  </si>
  <si>
    <t>非自动装料(淘宝店铺:爱学习工作室)</t>
  </si>
  <si>
    <r>
      <rPr>
        <sz val="12"/>
        <rFont val="Times New Roman"/>
        <charset val="134"/>
      </rPr>
      <t>0.6</t>
    </r>
    <r>
      <rPr>
        <sz val="12"/>
        <rFont val="宋体"/>
        <charset val="134"/>
      </rPr>
      <t>～</t>
    </r>
    <r>
      <rPr>
        <sz val="12"/>
        <rFont val="Times New Roman"/>
        <charset val="134"/>
      </rPr>
      <t>0.7</t>
    </r>
  </si>
  <si>
    <r>
      <rPr>
        <sz val="12"/>
        <rFont val="Times New Roman"/>
        <charset val="134"/>
      </rPr>
      <t>0.95</t>
    </r>
    <r>
      <rPr>
        <sz val="12"/>
        <rFont val="宋体"/>
        <charset val="134"/>
      </rPr>
      <t>～</t>
    </r>
    <r>
      <rPr>
        <sz val="12"/>
        <rFont val="Times New Roman"/>
        <charset val="134"/>
      </rPr>
      <t>0.98</t>
    </r>
  </si>
  <si>
    <r>
      <rPr>
        <sz val="12"/>
        <rFont val="Times New Roman"/>
        <charset val="134"/>
      </rPr>
      <t>0.33</t>
    </r>
    <r>
      <rPr>
        <sz val="12"/>
        <rFont val="宋体"/>
        <charset val="134"/>
      </rPr>
      <t>～</t>
    </r>
    <r>
      <rPr>
        <sz val="12"/>
        <rFont val="Times New Roman"/>
        <charset val="134"/>
      </rPr>
      <t>0.2</t>
    </r>
  </si>
  <si>
    <t>自动装料</t>
  </si>
  <si>
    <r>
      <rPr>
        <sz val="12"/>
        <rFont val="Times New Roman"/>
        <charset val="134"/>
      </rPr>
      <t>0.4</t>
    </r>
    <r>
      <rPr>
        <sz val="12"/>
        <rFont val="宋体"/>
        <charset val="134"/>
      </rPr>
      <t>～</t>
    </r>
    <r>
      <rPr>
        <sz val="12"/>
        <rFont val="Times New Roman"/>
        <charset val="134"/>
      </rPr>
      <t>0.6</t>
    </r>
  </si>
  <si>
    <t>干燥箱、加热器等</t>
  </si>
  <si>
    <r>
      <rPr>
        <sz val="12"/>
        <rFont val="Times New Roman"/>
        <charset val="134"/>
      </rPr>
      <t>0.7</t>
    </r>
    <r>
      <rPr>
        <sz val="12"/>
        <rFont val="宋体"/>
        <charset val="134"/>
      </rPr>
      <t>～</t>
    </r>
    <r>
      <rPr>
        <sz val="12"/>
        <rFont val="Times New Roman"/>
        <charset val="134"/>
      </rPr>
      <t>0.9</t>
    </r>
  </si>
  <si>
    <t>工频感应电炉（不带无功补偿装置）</t>
  </si>
  <si>
    <t>高频感应电炉（不带无功补偿装置）</t>
  </si>
  <si>
    <r>
      <rPr>
        <sz val="12"/>
        <rFont val="宋体"/>
        <charset val="134"/>
      </rPr>
      <t>焊接和加热用高频</t>
    </r>
    <r>
      <rPr>
        <sz val="12"/>
        <rFont val="宋体"/>
        <charset val="134"/>
      </rPr>
      <t>加热设备</t>
    </r>
  </si>
  <si>
    <r>
      <rPr>
        <sz val="12"/>
        <rFont val="Times New Roman"/>
        <charset val="134"/>
      </rPr>
      <t>0.5</t>
    </r>
    <r>
      <rPr>
        <sz val="12"/>
        <rFont val="宋体"/>
        <charset val="134"/>
      </rPr>
      <t>～</t>
    </r>
    <r>
      <rPr>
        <sz val="12"/>
        <rFont val="Times New Roman"/>
        <charset val="134"/>
      </rPr>
      <t>0.65</t>
    </r>
  </si>
  <si>
    <t>熔炼用高频加热设备</t>
  </si>
  <si>
    <t>表面淬火电炉(带无功补偿装置)：</t>
  </si>
  <si>
    <t>电动发电机</t>
  </si>
  <si>
    <t>真空管振荡器</t>
  </si>
  <si>
    <r>
      <rPr>
        <sz val="12"/>
        <rFont val="宋体"/>
        <charset val="134"/>
      </rPr>
      <t>中频电炉</t>
    </r>
    <r>
      <rPr>
        <sz val="12"/>
        <rFont val="Times New Roman"/>
        <charset val="134"/>
      </rPr>
      <t>(</t>
    </r>
    <r>
      <rPr>
        <sz val="12"/>
        <rFont val="宋体"/>
        <charset val="134"/>
      </rPr>
      <t>中频机组</t>
    </r>
    <r>
      <rPr>
        <sz val="12"/>
        <rFont val="Times New Roman"/>
        <charset val="134"/>
      </rPr>
      <t>)</t>
    </r>
  </si>
  <si>
    <r>
      <rPr>
        <sz val="12"/>
        <rFont val="Times New Roman"/>
        <charset val="134"/>
      </rPr>
      <t>0.65</t>
    </r>
    <r>
      <rPr>
        <sz val="12"/>
        <rFont val="宋体"/>
        <charset val="134"/>
      </rPr>
      <t>～</t>
    </r>
    <r>
      <rPr>
        <sz val="12"/>
        <rFont val="Times New Roman"/>
        <charset val="134"/>
      </rPr>
      <t>0.75</t>
    </r>
  </si>
  <si>
    <r>
      <rPr>
        <sz val="12"/>
        <rFont val="宋体"/>
        <charset val="134"/>
      </rPr>
      <t>氢气炉</t>
    </r>
    <r>
      <rPr>
        <sz val="12"/>
        <rFont val="Times New Roman"/>
        <charset val="134"/>
      </rPr>
      <t>(</t>
    </r>
    <r>
      <rPr>
        <sz val="12"/>
        <rFont val="宋体"/>
        <charset val="134"/>
      </rPr>
      <t>带调压器或变压器</t>
    </r>
    <r>
      <rPr>
        <sz val="12"/>
        <rFont val="Times New Roman"/>
        <charset val="134"/>
      </rPr>
      <t>)</t>
    </r>
  </si>
  <si>
    <r>
      <rPr>
        <sz val="12"/>
        <rFont val="Times New Roman"/>
        <charset val="134"/>
      </rPr>
      <t>0.4</t>
    </r>
    <r>
      <rPr>
        <sz val="12"/>
        <rFont val="宋体"/>
        <charset val="134"/>
      </rPr>
      <t>～</t>
    </r>
    <r>
      <rPr>
        <sz val="12"/>
        <rFont val="Times New Roman"/>
        <charset val="134"/>
      </rPr>
      <t>0.5</t>
    </r>
  </si>
  <si>
    <r>
      <rPr>
        <sz val="12"/>
        <rFont val="Times New Roman"/>
        <charset val="134"/>
      </rPr>
      <t>0.85</t>
    </r>
    <r>
      <rPr>
        <sz val="12"/>
        <rFont val="宋体"/>
        <charset val="134"/>
      </rPr>
      <t>～</t>
    </r>
    <r>
      <rPr>
        <sz val="12"/>
        <rFont val="Times New Roman"/>
        <charset val="134"/>
      </rPr>
      <t>0.9</t>
    </r>
  </si>
  <si>
    <r>
      <rPr>
        <sz val="12"/>
        <rFont val="Times New Roman"/>
        <charset val="134"/>
      </rPr>
      <t>0.62</t>
    </r>
    <r>
      <rPr>
        <sz val="12"/>
        <rFont val="宋体"/>
        <charset val="134"/>
      </rPr>
      <t>～</t>
    </r>
    <r>
      <rPr>
        <sz val="12"/>
        <rFont val="Times New Roman"/>
        <charset val="134"/>
      </rPr>
      <t>0.48</t>
    </r>
  </si>
  <si>
    <r>
      <rPr>
        <sz val="12"/>
        <rFont val="宋体"/>
        <charset val="134"/>
      </rPr>
      <t>真空炉</t>
    </r>
    <r>
      <rPr>
        <sz val="12"/>
        <rFont val="Times New Roman"/>
        <charset val="134"/>
      </rPr>
      <t>(</t>
    </r>
    <r>
      <rPr>
        <sz val="12"/>
        <rFont val="宋体"/>
        <charset val="134"/>
      </rPr>
      <t>带调压器或变压器</t>
    </r>
    <r>
      <rPr>
        <sz val="12"/>
        <rFont val="Times New Roman"/>
        <charset val="134"/>
      </rPr>
      <t>)</t>
    </r>
  </si>
  <si>
    <r>
      <rPr>
        <sz val="12"/>
        <rFont val="Times New Roman"/>
        <charset val="134"/>
      </rPr>
      <t>0.55</t>
    </r>
    <r>
      <rPr>
        <sz val="12"/>
        <rFont val="宋体"/>
        <charset val="134"/>
      </rPr>
      <t>～</t>
    </r>
    <r>
      <rPr>
        <sz val="12"/>
        <rFont val="Times New Roman"/>
        <charset val="134"/>
      </rPr>
      <t>0.65</t>
    </r>
  </si>
  <si>
    <t>电弧炼钢炉变压器</t>
  </si>
  <si>
    <t>电弧炼钢炉的辅助设备</t>
  </si>
  <si>
    <r>
      <rPr>
        <sz val="12"/>
        <rFont val="宋体"/>
        <charset val="134"/>
      </rPr>
      <t>点焊机</t>
    </r>
    <r>
      <rPr>
        <sz val="12"/>
        <rFont val="Times New Roman"/>
        <charset val="134"/>
      </rPr>
      <t>(</t>
    </r>
    <r>
      <rPr>
        <sz val="12"/>
        <rFont val="宋体"/>
        <charset val="134"/>
      </rPr>
      <t>非电子行业</t>
    </r>
    <r>
      <rPr>
        <sz val="12"/>
        <rFont val="Times New Roman"/>
        <charset val="134"/>
      </rPr>
      <t>)</t>
    </r>
    <r>
      <rPr>
        <sz val="12"/>
        <rFont val="宋体"/>
        <charset val="134"/>
      </rPr>
      <t>、缝焊机</t>
    </r>
  </si>
  <si>
    <t>电子行业点焊机</t>
  </si>
  <si>
    <t>对焊机(淘宝店铺:爱学习工作室)</t>
  </si>
  <si>
    <t>自动弧焊变压器</t>
  </si>
  <si>
    <t>单头手动弧焊变压器</t>
  </si>
  <si>
    <t>多头手动弧焊变压器</t>
  </si>
  <si>
    <t>单头直流弧焊机</t>
  </si>
  <si>
    <t>多头直流弧焊机</t>
  </si>
  <si>
    <r>
      <rPr>
        <sz val="12"/>
        <rFont val="宋体"/>
        <charset val="134"/>
      </rPr>
      <t>金属、机修、装配车间、锅炉房起重机</t>
    </r>
    <r>
      <rPr>
        <sz val="12"/>
        <rFont val="Times New Roman"/>
        <charset val="134"/>
      </rPr>
      <t>(</t>
    </r>
    <r>
      <rPr>
        <sz val="12"/>
        <rFont val="宋体"/>
        <charset val="134"/>
      </rPr>
      <t>ε</t>
    </r>
    <r>
      <rPr>
        <sz val="12"/>
        <rFont val="Times New Roman"/>
        <charset val="134"/>
      </rPr>
      <t>=25%)</t>
    </r>
  </si>
  <si>
    <r>
      <rPr>
        <sz val="12"/>
        <rFont val="Times New Roman"/>
        <charset val="134"/>
      </rPr>
      <t xml:space="preserve">0.1 </t>
    </r>
    <r>
      <rPr>
        <sz val="12"/>
        <rFont val="宋体"/>
        <charset val="134"/>
      </rPr>
      <t>～</t>
    </r>
    <r>
      <rPr>
        <sz val="12"/>
        <rFont val="Times New Roman"/>
        <charset val="134"/>
      </rPr>
      <t>0.15</t>
    </r>
  </si>
  <si>
    <r>
      <rPr>
        <sz val="12"/>
        <rFont val="宋体"/>
        <charset val="134"/>
      </rPr>
      <t>铸造车间用起重机</t>
    </r>
    <r>
      <rPr>
        <sz val="12"/>
        <rFont val="Times New Roman"/>
        <charset val="134"/>
      </rPr>
      <t>(</t>
    </r>
    <r>
      <rPr>
        <sz val="12"/>
        <rFont val="宋体"/>
        <charset val="134"/>
      </rPr>
      <t>ε</t>
    </r>
    <r>
      <rPr>
        <sz val="12"/>
        <rFont val="Times New Roman"/>
        <charset val="134"/>
      </rPr>
      <t>=25%)</t>
    </r>
  </si>
  <si>
    <r>
      <rPr>
        <sz val="12"/>
        <rFont val="Times New Roman"/>
        <charset val="134"/>
      </rPr>
      <t>0.15</t>
    </r>
    <r>
      <rPr>
        <sz val="12"/>
        <rFont val="宋体"/>
        <charset val="134"/>
      </rPr>
      <t>～</t>
    </r>
    <r>
      <rPr>
        <sz val="12"/>
        <rFont val="Times New Roman"/>
        <charset val="134"/>
      </rPr>
      <t>0.3</t>
    </r>
  </si>
  <si>
    <t>联锁的连续运输机械</t>
  </si>
  <si>
    <t>非联锁的连续运输机械</t>
  </si>
  <si>
    <t>一般工业用硅整流装置</t>
  </si>
  <si>
    <t>电镀用硅整流装置</t>
  </si>
  <si>
    <t>电解用硅整流装置</t>
  </si>
  <si>
    <t>红外线干燥设备</t>
  </si>
  <si>
    <t>电火花加工装置</t>
  </si>
  <si>
    <t>超声波装置</t>
  </si>
  <si>
    <r>
      <rPr>
        <sz val="12"/>
        <rFont val="Times New Roman"/>
        <charset val="134"/>
      </rPr>
      <t>X</t>
    </r>
    <r>
      <rPr>
        <sz val="12"/>
        <rFont val="宋体"/>
        <charset val="134"/>
      </rPr>
      <t>光设备</t>
    </r>
  </si>
  <si>
    <r>
      <rPr>
        <sz val="12"/>
        <rFont val="宋体"/>
        <charset val="134"/>
      </rPr>
      <t>电子计算机主机</t>
    </r>
    <r>
      <rPr>
        <sz val="12"/>
        <rFont val="Times New Roman"/>
        <charset val="134"/>
      </rPr>
      <t>(</t>
    </r>
    <r>
      <rPr>
        <sz val="12"/>
        <rFont val="宋体"/>
        <charset val="134"/>
      </rPr>
      <t>中频机组</t>
    </r>
    <r>
      <rPr>
        <sz val="12"/>
        <rFont val="Times New Roman"/>
        <charset val="134"/>
      </rPr>
      <t>)</t>
    </r>
  </si>
  <si>
    <t>电子计算机外部设备</t>
  </si>
  <si>
    <r>
      <rPr>
        <sz val="12"/>
        <rFont val="宋体"/>
        <charset val="134"/>
      </rPr>
      <t>试验设备</t>
    </r>
    <r>
      <rPr>
        <sz val="12"/>
        <rFont val="Times New Roman"/>
        <charset val="134"/>
      </rPr>
      <t>(</t>
    </r>
    <r>
      <rPr>
        <sz val="12"/>
        <rFont val="宋体"/>
        <charset val="134"/>
      </rPr>
      <t>仪表为主</t>
    </r>
    <r>
      <rPr>
        <sz val="12"/>
        <rFont val="Times New Roman"/>
        <charset val="134"/>
      </rPr>
      <t>)</t>
    </r>
  </si>
  <si>
    <t>0.15～0.2</t>
  </si>
  <si>
    <r>
      <rPr>
        <sz val="12"/>
        <rFont val="宋体"/>
        <charset val="134"/>
      </rPr>
      <t>试验设备</t>
    </r>
    <r>
      <rPr>
        <sz val="12"/>
        <rFont val="Times New Roman"/>
        <charset val="134"/>
      </rPr>
      <t>(</t>
    </r>
    <r>
      <rPr>
        <sz val="12"/>
        <rFont val="宋体"/>
        <charset val="134"/>
      </rPr>
      <t>电热为主</t>
    </r>
    <r>
      <rPr>
        <sz val="12"/>
        <rFont val="Times New Roman"/>
        <charset val="134"/>
      </rPr>
      <t>)</t>
    </r>
  </si>
  <si>
    <r>
      <rPr>
        <sz val="12"/>
        <rFont val="Times New Roman"/>
        <charset val="134"/>
      </rPr>
      <t>0.2</t>
    </r>
    <r>
      <rPr>
        <sz val="12"/>
        <rFont val="宋体"/>
        <charset val="134"/>
      </rPr>
      <t>～</t>
    </r>
    <r>
      <rPr>
        <sz val="12"/>
        <rFont val="Times New Roman"/>
        <charset val="134"/>
      </rPr>
      <t>0.4</t>
    </r>
  </si>
  <si>
    <t>磁粉探伤机</t>
  </si>
  <si>
    <t>铁屑加工机械</t>
  </si>
  <si>
    <t>木工机械一般木材加工</t>
  </si>
  <si>
    <t>筛砂机</t>
  </si>
  <si>
    <t>称量车</t>
  </si>
  <si>
    <t>阀门(淘宝店铺:爱学习工作室)</t>
  </si>
  <si>
    <t>静电除尘器</t>
  </si>
  <si>
    <t>硒整流器</t>
  </si>
  <si>
    <t>稳压器</t>
  </si>
  <si>
    <t>插头设备</t>
  </si>
  <si>
    <r>
      <rPr>
        <sz val="12"/>
        <rFont val="Times New Roman"/>
        <charset val="134"/>
      </rPr>
      <t>0.15</t>
    </r>
    <r>
      <rPr>
        <sz val="12"/>
        <rFont val="宋体"/>
        <charset val="134"/>
      </rPr>
      <t>～</t>
    </r>
    <r>
      <rPr>
        <sz val="12"/>
        <rFont val="Times New Roman"/>
        <charset val="134"/>
      </rPr>
      <t>0.25</t>
    </r>
  </si>
  <si>
    <t>排气台</t>
  </si>
  <si>
    <r>
      <rPr>
        <sz val="12"/>
        <rFont val="Times New Roman"/>
        <charset val="134"/>
      </rPr>
      <t>0.5</t>
    </r>
    <r>
      <rPr>
        <sz val="12"/>
        <rFont val="宋体"/>
        <charset val="134"/>
      </rPr>
      <t>～</t>
    </r>
    <r>
      <rPr>
        <sz val="12"/>
        <rFont val="Times New Roman"/>
        <charset val="134"/>
      </rPr>
      <t>0.7</t>
    </r>
  </si>
  <si>
    <t>老炼台</t>
  </si>
  <si>
    <t>陶瓷隧道窑</t>
  </si>
  <si>
    <r>
      <rPr>
        <sz val="12"/>
        <rFont val="Times New Roman"/>
        <charset val="134"/>
      </rPr>
      <t>0.8</t>
    </r>
    <r>
      <rPr>
        <sz val="12"/>
        <rFont val="宋体"/>
        <charset val="134"/>
      </rPr>
      <t>～</t>
    </r>
    <r>
      <rPr>
        <sz val="12"/>
        <rFont val="Times New Roman"/>
        <charset val="134"/>
      </rPr>
      <t>0.9</t>
    </r>
  </si>
  <si>
    <t>拉单晶炉</t>
  </si>
  <si>
    <r>
      <rPr>
        <sz val="12"/>
        <rFont val="Times New Roman"/>
        <charset val="134"/>
      </rPr>
      <t>0.7</t>
    </r>
    <r>
      <rPr>
        <sz val="12"/>
        <rFont val="宋体"/>
        <charset val="134"/>
      </rPr>
      <t>～</t>
    </r>
    <r>
      <rPr>
        <sz val="12"/>
        <rFont val="Times New Roman"/>
        <charset val="134"/>
      </rPr>
      <t>0.75</t>
    </r>
  </si>
  <si>
    <t>赋能腐蚀设备</t>
  </si>
  <si>
    <t>真空浸渍设备</t>
  </si>
  <si>
    <t>科研机构的实验室及实习工厂总的电力负荷</t>
  </si>
  <si>
    <r>
      <rPr>
        <sz val="12"/>
        <rFont val="Times New Roman"/>
        <charset val="134"/>
      </rPr>
      <t>0.1</t>
    </r>
    <r>
      <rPr>
        <sz val="12"/>
        <rFont val="宋体"/>
        <charset val="134"/>
      </rPr>
      <t>～</t>
    </r>
    <r>
      <rPr>
        <sz val="12"/>
        <rFont val="Times New Roman"/>
        <charset val="134"/>
      </rPr>
      <t>0.2</t>
    </r>
  </si>
  <si>
    <r>
      <rPr>
        <sz val="12"/>
        <rFont val="Times New Roman"/>
        <charset val="134"/>
      </rPr>
      <t>0.7</t>
    </r>
    <r>
      <rPr>
        <sz val="12"/>
        <rFont val="宋体"/>
        <charset val="134"/>
      </rPr>
      <t>～</t>
    </r>
    <r>
      <rPr>
        <sz val="12"/>
        <rFont val="Times New Roman"/>
        <charset val="134"/>
      </rPr>
      <t>0.8</t>
    </r>
  </si>
  <si>
    <r>
      <rPr>
        <sz val="12"/>
        <rFont val="Times New Roman"/>
        <charset val="134"/>
      </rPr>
      <t>1.02</t>
    </r>
    <r>
      <rPr>
        <sz val="12"/>
        <rFont val="宋体"/>
        <charset val="134"/>
      </rPr>
      <t>～</t>
    </r>
    <r>
      <rPr>
        <sz val="12"/>
        <rFont val="Times New Roman"/>
        <charset val="134"/>
      </rPr>
      <t>0.75</t>
    </r>
  </si>
  <si>
    <t>大专院校的实验室及实习工厂总的电力负荷</t>
  </si>
  <si>
    <t>一般医疗插座</t>
  </si>
  <si>
    <t>给水泵和排水泵</t>
  </si>
  <si>
    <t>循环水泵、油泵</t>
  </si>
  <si>
    <t>剪板机(淘宝店铺:爱学习工作室)</t>
  </si>
  <si>
    <t>振动机</t>
  </si>
  <si>
    <r>
      <rPr>
        <sz val="12"/>
        <rFont val="Times New Roman"/>
        <charset val="134"/>
      </rPr>
      <t>1.17</t>
    </r>
    <r>
      <rPr>
        <sz val="12"/>
        <rFont val="宋体"/>
        <charset val="134"/>
      </rPr>
      <t>～</t>
    </r>
    <r>
      <rPr>
        <sz val="12"/>
        <rFont val="Times New Roman"/>
        <charset val="134"/>
      </rPr>
      <t>1.02</t>
    </r>
  </si>
  <si>
    <t>卷扬机</t>
  </si>
  <si>
    <t>冷冻机</t>
  </si>
  <si>
    <t>窗式空调器</t>
  </si>
  <si>
    <t>洗衣房电力</t>
  </si>
  <si>
    <t>实验室电力</t>
  </si>
  <si>
    <t>医院电力</t>
  </si>
  <si>
    <t>洗衣机</t>
  </si>
  <si>
    <t>绞肉机、磨碎机</t>
  </si>
  <si>
    <t>建筑类别</t>
  </si>
  <si>
    <r>
      <rPr>
        <sz val="12"/>
        <rFont val="Times New Roman"/>
        <charset val="134"/>
      </rPr>
      <t xml:space="preserve">     </t>
    </r>
    <r>
      <rPr>
        <sz val="12"/>
        <rFont val="宋体"/>
        <charset val="134"/>
      </rPr>
      <t>生产厂房</t>
    </r>
    <r>
      <rPr>
        <sz val="12"/>
        <rFont val="Times New Roman"/>
        <charset val="134"/>
      </rPr>
      <t>(</t>
    </r>
    <r>
      <rPr>
        <sz val="12"/>
        <rFont val="宋体"/>
        <charset val="134"/>
      </rPr>
      <t>有天然采光</t>
    </r>
    <r>
      <rPr>
        <sz val="12"/>
        <rFont val="Times New Roman"/>
        <charset val="134"/>
      </rPr>
      <t>)</t>
    </r>
  </si>
  <si>
    <r>
      <rPr>
        <sz val="12"/>
        <rFont val="Times New Roman"/>
        <charset val="134"/>
      </rPr>
      <t xml:space="preserve">     </t>
    </r>
    <r>
      <rPr>
        <sz val="12"/>
        <rFont val="宋体"/>
        <charset val="134"/>
      </rPr>
      <t>宿舍区</t>
    </r>
  </si>
  <si>
    <r>
      <rPr>
        <sz val="12"/>
        <rFont val="Times New Roman"/>
        <charset val="134"/>
      </rPr>
      <t>0.6</t>
    </r>
    <r>
      <rPr>
        <sz val="12"/>
        <rFont val="宋体"/>
        <charset val="134"/>
      </rPr>
      <t>～</t>
    </r>
    <r>
      <rPr>
        <sz val="12"/>
        <rFont val="Times New Roman"/>
        <charset val="134"/>
      </rPr>
      <t>0.8</t>
    </r>
  </si>
  <si>
    <r>
      <rPr>
        <sz val="12"/>
        <rFont val="Times New Roman"/>
        <charset val="134"/>
      </rPr>
      <t xml:space="preserve">     </t>
    </r>
    <r>
      <rPr>
        <sz val="12"/>
        <rFont val="宋体"/>
        <charset val="134"/>
      </rPr>
      <t>生产厂房</t>
    </r>
    <r>
      <rPr>
        <sz val="12"/>
        <rFont val="Times New Roman"/>
        <charset val="134"/>
      </rPr>
      <t>(</t>
    </r>
    <r>
      <rPr>
        <sz val="12"/>
        <rFont val="宋体"/>
        <charset val="134"/>
      </rPr>
      <t>无天然采光</t>
    </r>
    <r>
      <rPr>
        <sz val="12"/>
        <rFont val="Times New Roman"/>
        <charset val="134"/>
      </rPr>
      <t>)</t>
    </r>
  </si>
  <si>
    <r>
      <rPr>
        <sz val="12"/>
        <rFont val="Times New Roman"/>
        <charset val="134"/>
      </rPr>
      <t>0.9</t>
    </r>
    <r>
      <rPr>
        <sz val="12"/>
        <rFont val="宋体"/>
        <charset val="134"/>
      </rPr>
      <t>～</t>
    </r>
    <r>
      <rPr>
        <sz val="12"/>
        <rFont val="Times New Roman"/>
        <charset val="134"/>
      </rPr>
      <t>1</t>
    </r>
  </si>
  <si>
    <r>
      <rPr>
        <sz val="12"/>
        <rFont val="Times New Roman"/>
        <charset val="134"/>
      </rPr>
      <t xml:space="preserve">     </t>
    </r>
    <r>
      <rPr>
        <sz val="12"/>
        <rFont val="宋体"/>
        <charset val="134"/>
      </rPr>
      <t>医院</t>
    </r>
  </si>
  <si>
    <r>
      <rPr>
        <sz val="12"/>
        <rFont val="Times New Roman"/>
        <charset val="134"/>
      </rPr>
      <t xml:space="preserve">     </t>
    </r>
    <r>
      <rPr>
        <sz val="12"/>
        <rFont val="宋体"/>
        <charset val="134"/>
      </rPr>
      <t>办公楼</t>
    </r>
  </si>
  <si>
    <r>
      <rPr>
        <sz val="12"/>
        <rFont val="Times New Roman"/>
        <charset val="134"/>
      </rPr>
      <t xml:space="preserve">     </t>
    </r>
    <r>
      <rPr>
        <sz val="12"/>
        <rFont val="宋体"/>
        <charset val="134"/>
      </rPr>
      <t>食堂</t>
    </r>
  </si>
  <si>
    <r>
      <rPr>
        <sz val="12"/>
        <rFont val="Times New Roman"/>
        <charset val="134"/>
      </rPr>
      <t>0.9</t>
    </r>
    <r>
      <rPr>
        <sz val="12"/>
        <rFont val="宋体"/>
        <charset val="134"/>
      </rPr>
      <t>～</t>
    </r>
    <r>
      <rPr>
        <sz val="12"/>
        <rFont val="Times New Roman"/>
        <charset val="134"/>
      </rPr>
      <t>0.95</t>
    </r>
  </si>
  <si>
    <r>
      <rPr>
        <sz val="12"/>
        <rFont val="Times New Roman"/>
        <charset val="134"/>
      </rPr>
      <t xml:space="preserve">     </t>
    </r>
    <r>
      <rPr>
        <sz val="12"/>
        <rFont val="宋体"/>
        <charset val="134"/>
      </rPr>
      <t>设计室</t>
    </r>
  </si>
  <si>
    <r>
      <rPr>
        <sz val="12"/>
        <rFont val="Times New Roman"/>
        <charset val="134"/>
      </rPr>
      <t xml:space="preserve">     </t>
    </r>
    <r>
      <rPr>
        <sz val="12"/>
        <rFont val="宋体"/>
        <charset val="134"/>
      </rPr>
      <t>商店</t>
    </r>
  </si>
  <si>
    <r>
      <rPr>
        <sz val="12"/>
        <rFont val="Times New Roman"/>
        <charset val="134"/>
      </rPr>
      <t xml:space="preserve">     </t>
    </r>
    <r>
      <rPr>
        <sz val="12"/>
        <rFont val="宋体"/>
        <charset val="134"/>
      </rPr>
      <t>科研楼</t>
    </r>
  </si>
  <si>
    <r>
      <rPr>
        <sz val="12"/>
        <rFont val="Times New Roman"/>
        <charset val="134"/>
      </rPr>
      <t xml:space="preserve">     </t>
    </r>
    <r>
      <rPr>
        <sz val="12"/>
        <rFont val="宋体"/>
        <charset val="134"/>
      </rPr>
      <t>学校</t>
    </r>
  </si>
  <si>
    <r>
      <rPr>
        <sz val="12"/>
        <rFont val="Times New Roman"/>
        <charset val="134"/>
      </rPr>
      <t xml:space="preserve">     </t>
    </r>
    <r>
      <rPr>
        <sz val="12"/>
        <rFont val="宋体"/>
        <charset val="134"/>
      </rPr>
      <t>仓库</t>
    </r>
  </si>
  <si>
    <r>
      <rPr>
        <sz val="12"/>
        <rFont val="Times New Roman"/>
        <charset val="134"/>
      </rPr>
      <t xml:space="preserve">     </t>
    </r>
    <r>
      <rPr>
        <sz val="12"/>
        <rFont val="宋体"/>
        <charset val="134"/>
      </rPr>
      <t>展览馆</t>
    </r>
  </si>
  <si>
    <r>
      <rPr>
        <sz val="12"/>
        <rFont val="Times New Roman"/>
        <charset val="134"/>
      </rPr>
      <t xml:space="preserve">     </t>
    </r>
    <r>
      <rPr>
        <sz val="12"/>
        <rFont val="宋体"/>
        <charset val="134"/>
      </rPr>
      <t>锅炉房</t>
    </r>
  </si>
  <si>
    <r>
      <rPr>
        <sz val="12"/>
        <rFont val="Times New Roman"/>
        <charset val="134"/>
      </rPr>
      <t xml:space="preserve">     </t>
    </r>
    <r>
      <rPr>
        <sz val="12"/>
        <rFont val="宋体"/>
        <charset val="134"/>
      </rPr>
      <t>旅馆</t>
    </r>
  </si>
  <si>
    <t>照明用电设备cosφ、tgφ表</t>
  </si>
  <si>
    <t>光源类别</t>
  </si>
  <si>
    <r>
      <rPr>
        <sz val="12"/>
        <rFont val="Times New Roman"/>
        <charset val="134"/>
      </rPr>
      <t xml:space="preserve">  </t>
    </r>
    <r>
      <rPr>
        <sz val="12"/>
        <rFont val="宋体"/>
        <charset val="134"/>
      </rPr>
      <t>白炽灯、卤钨灯</t>
    </r>
  </si>
  <si>
    <r>
      <rPr>
        <sz val="12"/>
        <rFont val="Times New Roman"/>
        <charset val="134"/>
      </rPr>
      <t xml:space="preserve">  </t>
    </r>
    <r>
      <rPr>
        <sz val="12"/>
        <rFont val="宋体"/>
        <charset val="134"/>
      </rPr>
      <t>高压钠灯</t>
    </r>
  </si>
  <si>
    <r>
      <rPr>
        <sz val="12"/>
        <rFont val="Times New Roman"/>
        <charset val="134"/>
      </rPr>
      <t xml:space="preserve">  </t>
    </r>
    <r>
      <rPr>
        <sz val="12"/>
        <rFont val="宋体"/>
        <charset val="134"/>
      </rPr>
      <t>荧光灯（无补偿）</t>
    </r>
  </si>
  <si>
    <r>
      <rPr>
        <sz val="12"/>
        <rFont val="Times New Roman"/>
        <charset val="134"/>
      </rPr>
      <t xml:space="preserve">  </t>
    </r>
    <r>
      <rPr>
        <sz val="12"/>
        <rFont val="宋体"/>
        <charset val="134"/>
      </rPr>
      <t>金属卤化物灯</t>
    </r>
  </si>
  <si>
    <r>
      <rPr>
        <sz val="12"/>
        <rFont val="Times New Roman"/>
        <charset val="134"/>
      </rPr>
      <t>0.4</t>
    </r>
    <r>
      <rPr>
        <sz val="12"/>
        <rFont val="宋体"/>
        <charset val="134"/>
      </rPr>
      <t>～</t>
    </r>
    <r>
      <rPr>
        <sz val="12"/>
        <rFont val="Times New Roman"/>
        <charset val="134"/>
      </rPr>
      <t>0.61</t>
    </r>
  </si>
  <si>
    <r>
      <rPr>
        <sz val="12"/>
        <rFont val="Times New Roman"/>
        <charset val="134"/>
      </rPr>
      <t>2.29</t>
    </r>
    <r>
      <rPr>
        <sz val="12"/>
        <rFont val="宋体"/>
        <charset val="134"/>
      </rPr>
      <t>～</t>
    </r>
    <r>
      <rPr>
        <sz val="12"/>
        <rFont val="Times New Roman"/>
        <charset val="134"/>
      </rPr>
      <t>1.29</t>
    </r>
  </si>
  <si>
    <r>
      <rPr>
        <sz val="12"/>
        <rFont val="Times New Roman"/>
        <charset val="134"/>
      </rPr>
      <t xml:space="preserve">  </t>
    </r>
    <r>
      <rPr>
        <sz val="12"/>
        <rFont val="宋体"/>
        <charset val="134"/>
      </rPr>
      <t>荧光灯（有补偿）</t>
    </r>
  </si>
  <si>
    <r>
      <rPr>
        <sz val="12"/>
        <rFont val="Times New Roman"/>
        <charset val="134"/>
      </rPr>
      <t xml:space="preserve">  </t>
    </r>
    <r>
      <rPr>
        <sz val="12"/>
        <rFont val="宋体"/>
        <charset val="134"/>
      </rPr>
      <t>镝灯</t>
    </r>
  </si>
  <si>
    <r>
      <rPr>
        <sz val="12"/>
        <rFont val="Times New Roman"/>
        <charset val="134"/>
      </rPr>
      <t xml:space="preserve">  </t>
    </r>
    <r>
      <rPr>
        <sz val="12"/>
        <rFont val="宋体"/>
        <charset val="134"/>
      </rPr>
      <t>高压水银灯</t>
    </r>
  </si>
  <si>
    <r>
      <rPr>
        <sz val="12"/>
        <rFont val="Times New Roman"/>
        <charset val="134"/>
      </rPr>
      <t>0.45</t>
    </r>
    <r>
      <rPr>
        <sz val="12"/>
        <rFont val="宋体"/>
        <charset val="134"/>
      </rPr>
      <t>～</t>
    </r>
    <r>
      <rPr>
        <sz val="12"/>
        <rFont val="Times New Roman"/>
        <charset val="134"/>
      </rPr>
      <t>0.65</t>
    </r>
  </si>
  <si>
    <r>
      <rPr>
        <sz val="12"/>
        <rFont val="Times New Roman"/>
        <charset val="134"/>
      </rPr>
      <t>1.98</t>
    </r>
    <r>
      <rPr>
        <sz val="12"/>
        <rFont val="宋体"/>
        <charset val="134"/>
      </rPr>
      <t>～</t>
    </r>
    <r>
      <rPr>
        <sz val="12"/>
        <rFont val="Times New Roman"/>
        <charset val="134"/>
      </rPr>
      <t>1.16</t>
    </r>
  </si>
  <si>
    <r>
      <rPr>
        <sz val="12"/>
        <rFont val="Times New Roman"/>
        <charset val="134"/>
      </rPr>
      <t xml:space="preserve">  </t>
    </r>
    <r>
      <rPr>
        <sz val="12"/>
        <rFont val="宋体"/>
        <charset val="134"/>
      </rPr>
      <t>氙灯</t>
    </r>
  </si>
  <si>
    <r>
      <rPr>
        <sz val="16"/>
        <rFont val="Times New Roman"/>
        <charset val="134"/>
      </rPr>
      <t>S9-M-10/0.4kV</t>
    </r>
    <r>
      <rPr>
        <sz val="16"/>
        <rFont val="宋体"/>
        <charset val="134"/>
      </rPr>
      <t>变压器损耗计算</t>
    </r>
  </si>
  <si>
    <r>
      <rPr>
        <sz val="12"/>
        <rFont val="Times New Roman"/>
        <charset val="134"/>
      </rPr>
      <t xml:space="preserve">Seb
</t>
    </r>
    <r>
      <rPr>
        <sz val="12"/>
        <rFont val="宋体"/>
        <charset val="134"/>
      </rPr>
      <t>变压器容量</t>
    </r>
  </si>
  <si>
    <r>
      <rPr>
        <sz val="12"/>
        <rFont val="Times New Roman"/>
        <charset val="134"/>
      </rPr>
      <t xml:space="preserve">Pk
</t>
    </r>
    <r>
      <rPr>
        <sz val="12"/>
        <rFont val="宋体"/>
        <charset val="134"/>
      </rPr>
      <t>空载有功损耗</t>
    </r>
  </si>
  <si>
    <r>
      <rPr>
        <sz val="12"/>
        <rFont val="Times New Roman"/>
        <charset val="134"/>
      </rPr>
      <t xml:space="preserve">Pd
</t>
    </r>
    <r>
      <rPr>
        <sz val="12"/>
        <rFont val="宋体"/>
        <charset val="134"/>
      </rPr>
      <t>短路有功损耗</t>
    </r>
  </si>
  <si>
    <r>
      <rPr>
        <sz val="12"/>
        <rFont val="Times New Roman"/>
        <charset val="134"/>
      </rPr>
      <t>Sjs</t>
    </r>
    <r>
      <rPr>
        <sz val="12"/>
        <rFont val="宋体"/>
        <charset val="134"/>
      </rPr>
      <t xml:space="preserve">
低压侧计算负荷</t>
    </r>
  </si>
  <si>
    <r>
      <rPr>
        <sz val="12"/>
        <rFont val="Times New Roman"/>
        <charset val="134"/>
      </rPr>
      <t>Qk</t>
    </r>
    <r>
      <rPr>
        <sz val="12"/>
        <rFont val="宋体"/>
        <charset val="134"/>
      </rPr>
      <t xml:space="preserve">
空载有功损耗</t>
    </r>
  </si>
  <si>
    <r>
      <rPr>
        <sz val="12"/>
        <rFont val="Times New Roman"/>
        <charset val="134"/>
      </rPr>
      <t>Qd</t>
    </r>
    <r>
      <rPr>
        <sz val="12"/>
        <rFont val="宋体"/>
        <charset val="134"/>
      </rPr>
      <t xml:space="preserve">
短路有功损耗</t>
    </r>
  </si>
  <si>
    <r>
      <rPr>
        <sz val="12"/>
        <rFont val="Times New Roman"/>
        <charset val="134"/>
      </rPr>
      <t>Ik</t>
    </r>
    <r>
      <rPr>
        <sz val="12"/>
        <rFont val="宋体"/>
        <charset val="134"/>
      </rPr>
      <t xml:space="preserve">
空载电流比</t>
    </r>
  </si>
  <si>
    <r>
      <rPr>
        <sz val="12"/>
        <rFont val="Times New Roman"/>
        <charset val="134"/>
      </rPr>
      <t>Ud%</t>
    </r>
    <r>
      <rPr>
        <sz val="12"/>
        <rFont val="宋体"/>
        <charset val="134"/>
      </rPr>
      <t xml:space="preserve">
阻抗电压比</t>
    </r>
  </si>
  <si>
    <r>
      <rPr>
        <sz val="12"/>
        <rFont val="宋体"/>
        <charset val="134"/>
      </rPr>
      <t>Δ</t>
    </r>
    <r>
      <rPr>
        <sz val="12"/>
        <rFont val="Times New Roman"/>
        <charset val="134"/>
      </rPr>
      <t>Pb</t>
    </r>
    <r>
      <rPr>
        <sz val="12"/>
        <rFont val="宋体"/>
        <charset val="134"/>
      </rPr>
      <t xml:space="preserve">
有功损耗</t>
    </r>
  </si>
  <si>
    <r>
      <rPr>
        <sz val="12"/>
        <rFont val="宋体"/>
        <charset val="134"/>
      </rPr>
      <t>Δ</t>
    </r>
    <r>
      <rPr>
        <sz val="12"/>
        <rFont val="Times New Roman"/>
        <charset val="134"/>
      </rPr>
      <t>Qb</t>
    </r>
    <r>
      <rPr>
        <sz val="12"/>
        <rFont val="宋体"/>
        <charset val="134"/>
      </rPr>
      <t xml:space="preserve">
无功损耗</t>
    </r>
  </si>
  <si>
    <t>已知设计数据</t>
  </si>
  <si>
    <t>中间计算结果</t>
  </si>
  <si>
    <t>SZ-M-10/0.4kV变压器损耗计算(淘宝店铺:枫启教育)</t>
  </si>
  <si>
    <t>SG10-10/0.4kV变压器损耗计算(淘宝店铺:枫启教育)</t>
  </si>
  <si>
    <t>变压器低压侧母线出三相短路电流估算</t>
  </si>
  <si>
    <r>
      <rPr>
        <sz val="12"/>
        <rFont val="宋体"/>
        <charset val="134"/>
      </rPr>
      <t>变压器额定容量</t>
    </r>
    <r>
      <rPr>
        <sz val="12"/>
        <rFont val="Times New Roman"/>
        <charset val="134"/>
      </rPr>
      <t>Se</t>
    </r>
    <r>
      <rPr>
        <sz val="12"/>
        <rFont val="宋体"/>
        <charset val="134"/>
      </rPr>
      <t>（kVA）</t>
    </r>
  </si>
  <si>
    <t>变压器低压的额定电压 Ue（kV）</t>
  </si>
  <si>
    <r>
      <rPr>
        <sz val="12"/>
        <rFont val="宋体"/>
        <charset val="134"/>
      </rPr>
      <t>变压器的阻抗电压百分数</t>
    </r>
    <r>
      <rPr>
        <sz val="12"/>
        <rFont val="Times New Roman"/>
        <charset val="134"/>
      </rPr>
      <t xml:space="preserve"> Uk</t>
    </r>
    <r>
      <rPr>
        <sz val="12"/>
        <rFont val="宋体"/>
        <charset val="134"/>
      </rPr>
      <t>（％）</t>
    </r>
  </si>
  <si>
    <r>
      <rPr>
        <sz val="12"/>
        <rFont val="宋体"/>
        <charset val="134"/>
      </rPr>
      <t>变压器低压的额定电流</t>
    </r>
    <r>
      <rPr>
        <sz val="12"/>
        <rFont val="Times New Roman"/>
        <charset val="134"/>
      </rPr>
      <t xml:space="preserve"> Ie</t>
    </r>
    <r>
      <rPr>
        <sz val="12"/>
        <rFont val="宋体"/>
        <charset val="134"/>
      </rPr>
      <t>（A）</t>
    </r>
  </si>
  <si>
    <t>变压器低压侧母线出三相短路电流估算值 Id（kA）</t>
  </si>
  <si>
    <t>摘自《现代建筑 电气技术设计文集》</t>
  </si>
  <si>
    <t>Id=Ie/Uk%  Ie=Se/（1.732xUe）</t>
  </si>
  <si>
    <t>Id=100xSe/(1.732xUexUk)</t>
  </si>
  <si>
    <t>其中：</t>
  </si>
  <si>
    <t>Se---变压器额定容量 kVA</t>
  </si>
  <si>
    <t>Ie---变压器低压的额定电流 A</t>
  </si>
  <si>
    <t>Ue---变压器低压的额定电压 V</t>
  </si>
  <si>
    <t>Uk---变压器的阻抗电压百分数</t>
  </si>
  <si>
    <t>Id---变压器低压侧母线出三相短路电流 A</t>
  </si>
  <si>
    <t>淘宝店铺爱学习工作室</t>
  </si>
  <si>
    <t>Uk含义可以理解为：</t>
  </si>
  <si>
    <t>1.当变压器的低压侧为额定电流时发生短路，
  高压侧电压为额定电压的百分数</t>
  </si>
  <si>
    <t xml:space="preserve">2.10/0.4lkV变压器低压侧三相短路电流为其
   额定电流的1/Uk%倍，即：Id=Ie/Uk% </t>
  </si>
  <si>
    <t>3.110/10kV变压器10kV侧短路容量为其
  额定容量的1/Uk%倍，即：Sd=Se/Uk%</t>
  </si>
  <si>
    <t>(淘宝店铺:枫启机械教育)</t>
  </si>
  <si>
    <t>假定条件：</t>
  </si>
  <si>
    <t>1.10kV侧线缆阻抗忽略不计，短路容量无穷大，
  这样短路电流大小仅取决于前级变压器容量的大小。</t>
  </si>
  <si>
    <t>2.0.4kV侧的变压器保护主断路器和低压母线上的阻抗也
  不加考虑，使低压母线三相短路电流也仅取决于10/0.4kV
  变压器容量的大小。</t>
  </si>
  <si>
    <t>3.不考虑低压侧电动机和补偿电容器等的反馈电流对短路
  电流的正面影响。</t>
  </si>
  <si>
    <r>
      <rPr>
        <sz val="16"/>
        <rFont val="宋体"/>
        <charset val="134"/>
      </rPr>
      <t>电动机启动时母线电压计算</t>
    </r>
    <r>
      <rPr>
        <sz val="16"/>
        <rFont val="Times New Roman"/>
        <charset val="134"/>
      </rPr>
      <t xml:space="preserve"> </t>
    </r>
    <r>
      <rPr>
        <sz val="16"/>
        <rFont val="宋体"/>
        <charset val="134"/>
      </rPr>
      <t>⊿</t>
    </r>
    <r>
      <rPr>
        <sz val="16"/>
        <rFont val="Times New Roman"/>
        <charset val="134"/>
      </rPr>
      <t>Uqm</t>
    </r>
  </si>
  <si>
    <t>⊿Uqm＝100（KiqSed+Sjh）/Sdm</t>
  </si>
  <si>
    <r>
      <rPr>
        <sz val="10"/>
        <rFont val="宋体"/>
        <charset val="134"/>
      </rPr>
      <t>无功功率补偿率</t>
    </r>
    <r>
      <rPr>
        <sz val="10"/>
        <rFont val="Times New Roman"/>
        <charset val="134"/>
      </rPr>
      <t>qc</t>
    </r>
    <r>
      <rPr>
        <sz val="10"/>
        <rFont val="宋体"/>
        <charset val="134"/>
      </rPr>
      <t>表</t>
    </r>
  </si>
  <si>
    <r>
      <rPr>
        <sz val="12"/>
        <rFont val="宋体"/>
        <charset val="134"/>
      </rPr>
      <t>补偿前</t>
    </r>
    <r>
      <rPr>
        <sz val="12"/>
        <rFont val="Times New Roman"/>
        <charset val="134"/>
      </rPr>
      <t>cos</t>
    </r>
    <r>
      <rPr>
        <sz val="8"/>
        <rFont val="宋体"/>
        <charset val="134"/>
      </rPr>
      <t>φ</t>
    </r>
    <r>
      <rPr>
        <sz val="8"/>
        <rFont val="Times New Roman"/>
        <charset val="134"/>
      </rPr>
      <t>1</t>
    </r>
  </si>
  <si>
    <r>
      <rPr>
        <sz val="12"/>
        <rFont val="宋体"/>
        <charset val="134"/>
      </rPr>
      <t>补偿后</t>
    </r>
    <r>
      <rPr>
        <sz val="12"/>
        <rFont val="Times New Roman"/>
        <charset val="134"/>
      </rPr>
      <t>cos</t>
    </r>
    <r>
      <rPr>
        <sz val="8"/>
        <rFont val="宋体"/>
        <charset val="134"/>
      </rPr>
      <t>φ</t>
    </r>
    <r>
      <rPr>
        <sz val="8"/>
        <rFont val="Times New Roman"/>
        <charset val="134"/>
      </rPr>
      <t>2</t>
    </r>
  </si>
  <si>
    <t xml:space="preserve">利用系数法平均照度计算表 </t>
  </si>
  <si>
    <r>
      <rPr>
        <b/>
        <sz val="12"/>
        <rFont val="宋体"/>
        <charset val="134"/>
      </rPr>
      <t>序号</t>
    </r>
    <r>
      <rPr>
        <b/>
        <sz val="12"/>
        <rFont val="Times New Roman"/>
        <charset val="134"/>
      </rPr>
      <t xml:space="preserve">   </t>
    </r>
  </si>
  <si>
    <t>房间名称</t>
  </si>
  <si>
    <t>照度标准</t>
  </si>
  <si>
    <t>灯具光源类型</t>
  </si>
  <si>
    <r>
      <rPr>
        <b/>
        <sz val="12"/>
        <rFont val="宋体"/>
        <charset val="134"/>
      </rPr>
      <t>光通量（</t>
    </r>
    <r>
      <rPr>
        <b/>
        <sz val="12"/>
        <rFont val="Times New Roman"/>
        <charset val="134"/>
      </rPr>
      <t>kW</t>
    </r>
    <r>
      <rPr>
        <b/>
        <sz val="12"/>
        <rFont val="宋体"/>
        <charset val="134"/>
      </rPr>
      <t>）</t>
    </r>
  </si>
  <si>
    <t>房间尺寸</t>
  </si>
  <si>
    <t>维护系数</t>
  </si>
  <si>
    <r>
      <rPr>
        <b/>
        <sz val="12"/>
        <rFont val="宋体"/>
        <charset val="134"/>
      </rPr>
      <t>灯数</t>
    </r>
    <r>
      <rPr>
        <b/>
        <sz val="12"/>
        <rFont val="Times New Roman"/>
        <charset val="134"/>
      </rPr>
      <t>n</t>
    </r>
  </si>
  <si>
    <t>利用系数</t>
  </si>
  <si>
    <t>水平照度</t>
  </si>
  <si>
    <t>长度（米）</t>
  </si>
  <si>
    <t>宽度（米）</t>
  </si>
  <si>
    <r>
      <rPr>
        <b/>
        <sz val="12"/>
        <rFont val="宋体"/>
        <charset val="134"/>
      </rPr>
      <t>单管日光灯</t>
    </r>
    <r>
      <rPr>
        <b/>
        <sz val="12"/>
        <rFont val="Times New Roman"/>
        <charset val="134"/>
      </rPr>
      <t>1</t>
    </r>
    <r>
      <rPr>
        <b/>
        <sz val="12"/>
        <rFont val="宋体"/>
        <charset val="134"/>
      </rPr>
      <t>x36</t>
    </r>
    <r>
      <rPr>
        <b/>
        <sz val="12"/>
        <rFont val="Times New Roman"/>
        <charset val="134"/>
      </rPr>
      <t>W</t>
    </r>
  </si>
  <si>
    <r>
      <rPr>
        <b/>
        <sz val="12"/>
        <rFont val="宋体"/>
        <charset val="134"/>
      </rPr>
      <t>节能日光灯</t>
    </r>
    <r>
      <rPr>
        <b/>
        <sz val="12"/>
        <rFont val="Times New Roman"/>
        <charset val="134"/>
      </rPr>
      <t>1</t>
    </r>
    <r>
      <rPr>
        <b/>
        <sz val="12"/>
        <rFont val="宋体"/>
        <charset val="134"/>
      </rPr>
      <t>x13</t>
    </r>
    <r>
      <rPr>
        <b/>
        <sz val="12"/>
        <rFont val="Times New Roman"/>
        <charset val="134"/>
      </rPr>
      <t>W</t>
    </r>
  </si>
  <si>
    <r>
      <rPr>
        <b/>
        <sz val="12"/>
        <rFont val="宋体"/>
        <charset val="134"/>
      </rPr>
      <t>节能日光灯</t>
    </r>
    <r>
      <rPr>
        <b/>
        <sz val="12"/>
        <rFont val="Times New Roman"/>
        <charset val="134"/>
      </rPr>
      <t>1</t>
    </r>
    <r>
      <rPr>
        <b/>
        <sz val="12"/>
        <rFont val="宋体"/>
        <charset val="134"/>
      </rPr>
      <t>x8</t>
    </r>
    <r>
      <rPr>
        <b/>
        <sz val="12"/>
        <rFont val="Times New Roman"/>
        <charset val="134"/>
      </rPr>
      <t>W</t>
    </r>
  </si>
  <si>
    <r>
      <rPr>
        <b/>
        <sz val="12"/>
        <rFont val="宋体"/>
        <charset val="134"/>
      </rPr>
      <t>单管日光灯</t>
    </r>
    <r>
      <rPr>
        <b/>
        <sz val="12"/>
        <rFont val="Times New Roman"/>
        <charset val="134"/>
      </rPr>
      <t>1</t>
    </r>
    <r>
      <rPr>
        <b/>
        <sz val="12"/>
        <rFont val="宋体"/>
        <charset val="134"/>
      </rPr>
      <t>x30</t>
    </r>
    <r>
      <rPr>
        <b/>
        <sz val="12"/>
        <rFont val="Times New Roman"/>
        <charset val="134"/>
      </rPr>
      <t>W</t>
    </r>
  </si>
  <si>
    <r>
      <rPr>
        <b/>
        <sz val="12"/>
        <rFont val="宋体"/>
        <charset val="134"/>
      </rPr>
      <t>双管日光灯2x20</t>
    </r>
    <r>
      <rPr>
        <b/>
        <sz val="12"/>
        <rFont val="Times New Roman"/>
        <charset val="134"/>
      </rPr>
      <t>W</t>
    </r>
  </si>
  <si>
    <r>
      <rPr>
        <b/>
        <sz val="12"/>
        <rFont val="宋体"/>
        <charset val="134"/>
      </rPr>
      <t>金属卤素灯</t>
    </r>
    <r>
      <rPr>
        <b/>
        <sz val="12"/>
        <rFont val="Times New Roman"/>
        <charset val="134"/>
      </rPr>
      <t>1</t>
    </r>
    <r>
      <rPr>
        <b/>
        <sz val="12"/>
        <rFont val="宋体"/>
        <charset val="134"/>
      </rPr>
      <t>xZJD10</t>
    </r>
    <r>
      <rPr>
        <b/>
        <sz val="12"/>
        <rFont val="Times New Roman"/>
        <charset val="134"/>
      </rPr>
      <t>0W</t>
    </r>
  </si>
  <si>
    <r>
      <rPr>
        <b/>
        <sz val="12"/>
        <rFont val="宋体"/>
        <charset val="134"/>
      </rPr>
      <t>金属卤素灯</t>
    </r>
    <r>
      <rPr>
        <b/>
        <sz val="12"/>
        <rFont val="Times New Roman"/>
        <charset val="134"/>
      </rPr>
      <t>1</t>
    </r>
    <r>
      <rPr>
        <b/>
        <sz val="12"/>
        <rFont val="宋体"/>
        <charset val="134"/>
      </rPr>
      <t>xZJD15</t>
    </r>
    <r>
      <rPr>
        <b/>
        <sz val="12"/>
        <rFont val="Times New Roman"/>
        <charset val="134"/>
      </rPr>
      <t>0W</t>
    </r>
  </si>
  <si>
    <r>
      <rPr>
        <b/>
        <sz val="12"/>
        <rFont val="宋体"/>
        <charset val="134"/>
      </rPr>
      <t>金属卤素灯</t>
    </r>
    <r>
      <rPr>
        <b/>
        <sz val="12"/>
        <rFont val="Times New Roman"/>
        <charset val="134"/>
      </rPr>
      <t>1</t>
    </r>
    <r>
      <rPr>
        <b/>
        <sz val="12"/>
        <rFont val="宋体"/>
        <charset val="134"/>
      </rPr>
      <t>xZJD175</t>
    </r>
    <r>
      <rPr>
        <b/>
        <sz val="12"/>
        <rFont val="Times New Roman"/>
        <charset val="134"/>
      </rPr>
      <t>W</t>
    </r>
  </si>
  <si>
    <r>
      <rPr>
        <b/>
        <sz val="12"/>
        <rFont val="宋体"/>
        <charset val="134"/>
      </rPr>
      <t>金属卤素灯</t>
    </r>
    <r>
      <rPr>
        <b/>
        <sz val="12"/>
        <rFont val="Times New Roman"/>
        <charset val="134"/>
      </rPr>
      <t>1</t>
    </r>
    <r>
      <rPr>
        <b/>
        <sz val="12"/>
        <rFont val="宋体"/>
        <charset val="134"/>
      </rPr>
      <t>xZJD25</t>
    </r>
    <r>
      <rPr>
        <b/>
        <sz val="12"/>
        <rFont val="Times New Roman"/>
        <charset val="134"/>
      </rPr>
      <t>0W</t>
    </r>
  </si>
  <si>
    <r>
      <rPr>
        <b/>
        <sz val="12"/>
        <rFont val="宋体"/>
        <charset val="134"/>
      </rPr>
      <t>金属卤素灯</t>
    </r>
    <r>
      <rPr>
        <b/>
        <sz val="12"/>
        <rFont val="Times New Roman"/>
        <charset val="134"/>
      </rPr>
      <t>1</t>
    </r>
    <r>
      <rPr>
        <b/>
        <sz val="12"/>
        <rFont val="宋体"/>
        <charset val="134"/>
      </rPr>
      <t>xZJD40</t>
    </r>
    <r>
      <rPr>
        <b/>
        <sz val="12"/>
        <rFont val="Times New Roman"/>
        <charset val="134"/>
      </rPr>
      <t>0W</t>
    </r>
  </si>
  <si>
    <r>
      <rPr>
        <b/>
        <sz val="12"/>
        <rFont val="宋体"/>
        <charset val="134"/>
      </rPr>
      <t>金属卤素灯</t>
    </r>
    <r>
      <rPr>
        <b/>
        <sz val="12"/>
        <rFont val="Times New Roman"/>
        <charset val="134"/>
      </rPr>
      <t>1</t>
    </r>
    <r>
      <rPr>
        <b/>
        <sz val="12"/>
        <rFont val="宋体"/>
        <charset val="134"/>
      </rPr>
      <t>xZJD100</t>
    </r>
    <r>
      <rPr>
        <b/>
        <sz val="12"/>
        <rFont val="Times New Roman"/>
        <charset val="134"/>
      </rPr>
      <t>0W</t>
    </r>
  </si>
  <si>
    <r>
      <rPr>
        <b/>
        <sz val="12"/>
        <rFont val="宋体"/>
        <charset val="134"/>
      </rPr>
      <t>白炽灯</t>
    </r>
    <r>
      <rPr>
        <b/>
        <sz val="12"/>
        <rFont val="Times New Roman"/>
        <charset val="134"/>
      </rPr>
      <t>1</t>
    </r>
    <r>
      <rPr>
        <b/>
        <sz val="12"/>
        <rFont val="宋体"/>
        <charset val="134"/>
      </rPr>
      <t>x60</t>
    </r>
    <r>
      <rPr>
        <b/>
        <sz val="12"/>
        <rFont val="Times New Roman"/>
        <charset val="134"/>
      </rPr>
      <t>W</t>
    </r>
  </si>
  <si>
    <r>
      <rPr>
        <b/>
        <sz val="12"/>
        <rFont val="宋体"/>
        <charset val="134"/>
      </rPr>
      <t>白炽灯</t>
    </r>
    <r>
      <rPr>
        <b/>
        <sz val="12"/>
        <rFont val="Times New Roman"/>
        <charset val="134"/>
      </rPr>
      <t>1</t>
    </r>
    <r>
      <rPr>
        <b/>
        <sz val="12"/>
        <rFont val="宋体"/>
        <charset val="134"/>
      </rPr>
      <t>x40</t>
    </r>
    <r>
      <rPr>
        <b/>
        <sz val="12"/>
        <rFont val="Times New Roman"/>
        <charset val="134"/>
      </rPr>
      <t>W</t>
    </r>
  </si>
  <si>
    <r>
      <rPr>
        <b/>
        <sz val="12"/>
        <rFont val="宋体"/>
        <charset val="134"/>
      </rPr>
      <t>白炽灯</t>
    </r>
    <r>
      <rPr>
        <b/>
        <sz val="12"/>
        <rFont val="Times New Roman"/>
        <charset val="134"/>
      </rPr>
      <t>1</t>
    </r>
    <r>
      <rPr>
        <b/>
        <sz val="12"/>
        <rFont val="宋体"/>
        <charset val="134"/>
      </rPr>
      <t>x100</t>
    </r>
    <r>
      <rPr>
        <b/>
        <sz val="12"/>
        <rFont val="Times New Roman"/>
        <charset val="134"/>
      </rPr>
      <t>W</t>
    </r>
  </si>
  <si>
    <r>
      <rPr>
        <b/>
        <sz val="12"/>
        <rFont val="宋体"/>
        <charset val="134"/>
      </rPr>
      <t>高压汞灯</t>
    </r>
    <r>
      <rPr>
        <b/>
        <sz val="12"/>
        <rFont val="Times New Roman"/>
        <charset val="134"/>
      </rPr>
      <t>1</t>
    </r>
    <r>
      <rPr>
        <b/>
        <sz val="12"/>
        <rFont val="宋体"/>
        <charset val="134"/>
      </rPr>
      <t>xGGY8</t>
    </r>
    <r>
      <rPr>
        <b/>
        <sz val="12"/>
        <rFont val="Times New Roman"/>
        <charset val="134"/>
      </rPr>
      <t>0W</t>
    </r>
  </si>
  <si>
    <r>
      <rPr>
        <b/>
        <sz val="12"/>
        <rFont val="宋体"/>
        <charset val="134"/>
      </rPr>
      <t>高压汞灯</t>
    </r>
    <r>
      <rPr>
        <b/>
        <sz val="12"/>
        <rFont val="Times New Roman"/>
        <charset val="134"/>
      </rPr>
      <t>1</t>
    </r>
    <r>
      <rPr>
        <b/>
        <sz val="12"/>
        <rFont val="宋体"/>
        <charset val="134"/>
      </rPr>
      <t>xGGY125</t>
    </r>
    <r>
      <rPr>
        <b/>
        <sz val="12"/>
        <rFont val="Times New Roman"/>
        <charset val="134"/>
      </rPr>
      <t>W</t>
    </r>
  </si>
  <si>
    <r>
      <rPr>
        <b/>
        <sz val="12"/>
        <rFont val="宋体"/>
        <charset val="134"/>
      </rPr>
      <t>高压汞灯</t>
    </r>
    <r>
      <rPr>
        <b/>
        <sz val="12"/>
        <rFont val="Times New Roman"/>
        <charset val="134"/>
      </rPr>
      <t>1</t>
    </r>
    <r>
      <rPr>
        <b/>
        <sz val="12"/>
        <rFont val="宋体"/>
        <charset val="134"/>
      </rPr>
      <t>xGGY175</t>
    </r>
    <r>
      <rPr>
        <b/>
        <sz val="12"/>
        <rFont val="Times New Roman"/>
        <charset val="134"/>
      </rPr>
      <t>W</t>
    </r>
  </si>
  <si>
    <r>
      <rPr>
        <b/>
        <sz val="12"/>
        <rFont val="宋体"/>
        <charset val="134"/>
      </rPr>
      <t>高压汞灯</t>
    </r>
    <r>
      <rPr>
        <b/>
        <sz val="12"/>
        <rFont val="Times New Roman"/>
        <charset val="134"/>
      </rPr>
      <t>1</t>
    </r>
    <r>
      <rPr>
        <b/>
        <sz val="12"/>
        <rFont val="宋体"/>
        <charset val="134"/>
      </rPr>
      <t>xGGY25</t>
    </r>
    <r>
      <rPr>
        <b/>
        <sz val="12"/>
        <rFont val="Times New Roman"/>
        <charset val="134"/>
      </rPr>
      <t>0W</t>
    </r>
  </si>
  <si>
    <r>
      <rPr>
        <b/>
        <sz val="12"/>
        <rFont val="宋体"/>
        <charset val="134"/>
      </rPr>
      <t>高压汞灯</t>
    </r>
    <r>
      <rPr>
        <b/>
        <sz val="12"/>
        <rFont val="Times New Roman"/>
        <charset val="134"/>
      </rPr>
      <t>1</t>
    </r>
    <r>
      <rPr>
        <b/>
        <sz val="12"/>
        <rFont val="宋体"/>
        <charset val="134"/>
      </rPr>
      <t>xGGY40</t>
    </r>
    <r>
      <rPr>
        <b/>
        <sz val="12"/>
        <rFont val="Times New Roman"/>
        <charset val="134"/>
      </rPr>
      <t>0W</t>
    </r>
  </si>
  <si>
    <r>
      <rPr>
        <b/>
        <sz val="12"/>
        <rFont val="宋体"/>
        <charset val="134"/>
      </rPr>
      <t>高压汞灯</t>
    </r>
    <r>
      <rPr>
        <b/>
        <sz val="12"/>
        <rFont val="Times New Roman"/>
        <charset val="134"/>
      </rPr>
      <t>1</t>
    </r>
    <r>
      <rPr>
        <b/>
        <sz val="12"/>
        <rFont val="宋体"/>
        <charset val="134"/>
      </rPr>
      <t>xGGY100</t>
    </r>
    <r>
      <rPr>
        <b/>
        <sz val="12"/>
        <rFont val="Times New Roman"/>
        <charset val="134"/>
      </rPr>
      <t>0W</t>
    </r>
  </si>
  <si>
    <r>
      <rPr>
        <b/>
        <sz val="12"/>
        <rFont val="宋体"/>
        <charset val="134"/>
      </rPr>
      <t>高压钠灯</t>
    </r>
    <r>
      <rPr>
        <b/>
        <sz val="12"/>
        <rFont val="Times New Roman"/>
        <charset val="134"/>
      </rPr>
      <t>1</t>
    </r>
    <r>
      <rPr>
        <b/>
        <sz val="12"/>
        <rFont val="宋体"/>
        <charset val="134"/>
      </rPr>
      <t>xNG7</t>
    </r>
    <r>
      <rPr>
        <b/>
        <sz val="12"/>
        <rFont val="Times New Roman"/>
        <charset val="134"/>
      </rPr>
      <t>0W</t>
    </r>
  </si>
  <si>
    <r>
      <rPr>
        <b/>
        <sz val="12"/>
        <rFont val="宋体"/>
        <charset val="134"/>
      </rPr>
      <t>高压钠灯</t>
    </r>
    <r>
      <rPr>
        <b/>
        <sz val="12"/>
        <rFont val="Times New Roman"/>
        <charset val="134"/>
      </rPr>
      <t>1</t>
    </r>
    <r>
      <rPr>
        <b/>
        <sz val="12"/>
        <rFont val="宋体"/>
        <charset val="134"/>
      </rPr>
      <t>xNG10</t>
    </r>
    <r>
      <rPr>
        <b/>
        <sz val="12"/>
        <rFont val="Times New Roman"/>
        <charset val="134"/>
      </rPr>
      <t>0W</t>
    </r>
  </si>
  <si>
    <r>
      <rPr>
        <b/>
        <sz val="12"/>
        <rFont val="宋体"/>
        <charset val="134"/>
      </rPr>
      <t>高压钠灯</t>
    </r>
    <r>
      <rPr>
        <b/>
        <sz val="12"/>
        <rFont val="Times New Roman"/>
        <charset val="134"/>
      </rPr>
      <t>1</t>
    </r>
    <r>
      <rPr>
        <b/>
        <sz val="12"/>
        <rFont val="宋体"/>
        <charset val="134"/>
      </rPr>
      <t>xNG15</t>
    </r>
    <r>
      <rPr>
        <b/>
        <sz val="12"/>
        <rFont val="Times New Roman"/>
        <charset val="134"/>
      </rPr>
      <t>0W</t>
    </r>
  </si>
  <si>
    <r>
      <rPr>
        <b/>
        <sz val="12"/>
        <rFont val="宋体"/>
        <charset val="134"/>
      </rPr>
      <t>高压钠灯</t>
    </r>
    <r>
      <rPr>
        <b/>
        <sz val="12"/>
        <rFont val="Times New Roman"/>
        <charset val="134"/>
      </rPr>
      <t>1</t>
    </r>
    <r>
      <rPr>
        <b/>
        <sz val="12"/>
        <rFont val="宋体"/>
        <charset val="134"/>
      </rPr>
      <t>xNG25</t>
    </r>
    <r>
      <rPr>
        <b/>
        <sz val="12"/>
        <rFont val="Times New Roman"/>
        <charset val="134"/>
      </rPr>
      <t>0W</t>
    </r>
  </si>
  <si>
    <r>
      <rPr>
        <b/>
        <sz val="12"/>
        <rFont val="宋体"/>
        <charset val="134"/>
      </rPr>
      <t>高压钠灯</t>
    </r>
    <r>
      <rPr>
        <b/>
        <sz val="12"/>
        <rFont val="Times New Roman"/>
        <charset val="134"/>
      </rPr>
      <t>1</t>
    </r>
    <r>
      <rPr>
        <b/>
        <sz val="12"/>
        <rFont val="宋体"/>
        <charset val="134"/>
      </rPr>
      <t>xNG40</t>
    </r>
    <r>
      <rPr>
        <b/>
        <sz val="12"/>
        <rFont val="Times New Roman"/>
        <charset val="134"/>
      </rPr>
      <t>0W</t>
    </r>
  </si>
  <si>
    <r>
      <rPr>
        <b/>
        <sz val="12"/>
        <rFont val="宋体"/>
        <charset val="134"/>
      </rPr>
      <t>高压钠灯</t>
    </r>
    <r>
      <rPr>
        <b/>
        <sz val="12"/>
        <rFont val="Times New Roman"/>
        <charset val="134"/>
      </rPr>
      <t>1</t>
    </r>
    <r>
      <rPr>
        <b/>
        <sz val="12"/>
        <rFont val="宋体"/>
        <charset val="134"/>
      </rPr>
      <t>xNG100</t>
    </r>
    <r>
      <rPr>
        <b/>
        <sz val="12"/>
        <rFont val="Times New Roman"/>
        <charset val="134"/>
      </rPr>
      <t>0W</t>
    </r>
  </si>
  <si>
    <r>
      <rPr>
        <b/>
        <sz val="12"/>
        <rFont val="宋体"/>
        <charset val="134"/>
      </rPr>
      <t>高压钠灯</t>
    </r>
    <r>
      <rPr>
        <b/>
        <sz val="12"/>
        <rFont val="Times New Roman"/>
        <charset val="134"/>
      </rPr>
      <t>1</t>
    </r>
    <r>
      <rPr>
        <b/>
        <sz val="12"/>
        <rFont val="宋体"/>
        <charset val="134"/>
      </rPr>
      <t>xNGG25</t>
    </r>
    <r>
      <rPr>
        <b/>
        <sz val="12"/>
        <rFont val="Times New Roman"/>
        <charset val="134"/>
      </rPr>
      <t>0W</t>
    </r>
  </si>
  <si>
    <r>
      <rPr>
        <b/>
        <sz val="12"/>
        <rFont val="宋体"/>
        <charset val="134"/>
      </rPr>
      <t>高压钠灯</t>
    </r>
    <r>
      <rPr>
        <b/>
        <sz val="12"/>
        <rFont val="Times New Roman"/>
        <charset val="134"/>
      </rPr>
      <t>1</t>
    </r>
    <r>
      <rPr>
        <b/>
        <sz val="12"/>
        <rFont val="宋体"/>
        <charset val="134"/>
      </rPr>
      <t>xNGG40</t>
    </r>
    <r>
      <rPr>
        <b/>
        <sz val="12"/>
        <rFont val="Times New Roman"/>
        <charset val="134"/>
      </rPr>
      <t>0W</t>
    </r>
  </si>
  <si>
    <r>
      <rPr>
        <b/>
        <sz val="12"/>
        <rFont val="宋体"/>
        <charset val="134"/>
      </rPr>
      <t>混光灯</t>
    </r>
  </si>
  <si>
    <t>1、三相电机额定电流计算公式（直接输入）</t>
  </si>
  <si>
    <t>功率KW</t>
  </si>
  <si>
    <t>功率因数cos</t>
  </si>
  <si>
    <t>电流A
（中国380V电压）</t>
  </si>
  <si>
    <t>电流A
（德国400V电压）</t>
  </si>
  <si>
    <t>颜色表达含义</t>
  </si>
  <si>
    <t>输入</t>
  </si>
  <si>
    <t>给定参数</t>
  </si>
  <si>
    <t>输出</t>
  </si>
  <si>
    <t xml:space="preserve"> (淘宝店铺:枫启教育)</t>
  </si>
  <si>
    <t xml:space="preserve">2、电力系统负荷计算 </t>
  </si>
  <si>
    <t>负荷类型</t>
  </si>
  <si>
    <t>Pe（KW）</t>
  </si>
  <si>
    <t>Ue（V）</t>
  </si>
  <si>
    <t>Cosφ</t>
  </si>
  <si>
    <t>Pjs（KW）</t>
  </si>
  <si>
    <t>Ijs（A)</t>
  </si>
  <si>
    <t>释义</t>
  </si>
  <si>
    <t>设备容量，一般是将所有
设备铭牌容量相加而求得。</t>
  </si>
  <si>
    <t>需用系数，是用电设备在最大负荷时需要的有功功率（Pjs计算负荷）与设备容量Pe之比。这个数值可根据负荷性质，查表求得，并根据经验对其进行修正。</t>
  </si>
  <si>
    <t>计算负荷，是指通过负荷的统计计算求出的，用来按发热条件来选择供电系统中各元件（包括设备和线路等）的负荷值，用电单位到供电部门申报的用电功率就是指此计算功率。
Pjs＝Pe×Kx</t>
  </si>
  <si>
    <t>计算电流，其值为：Ijs＝Pjs/(1.732×Ue×Cosφ)</t>
  </si>
  <si>
    <t xml:space="preserve">用电设备的额定功率Pe是指这个设备的输出功率，它与输入容量之间有一个效率n1；用电设备不一定满载工作，存在一个负荷系数Ks；用电设备组的全部设备并不同时运行，存在同时运行系数Kt；向用电设备供电的线路有损耗，存在线路效率n2。所以用电设备的有功功率需要量为 P30=Pe*Ks*Kt/(n1*n2)=Pe*Kx
我们令需用系数  Kx＝Ks*Kt/(n1*n2）
    需用系数的值总小于1，它不仅与设备的负荷率、效率、台数、工作情况及线路损耗有关，而且与维护管理水平等因素也有关系。
</t>
  </si>
  <si>
    <t>2、电力系统负荷计算 (淘宝店铺:枫启教育)</t>
  </si>
  <si>
    <t>动力</t>
  </si>
  <si>
    <t>三相</t>
  </si>
  <si>
    <t>平均功率因数</t>
  </si>
  <si>
    <t>（KW）</t>
  </si>
  <si>
    <t>（A)</t>
  </si>
  <si>
    <t>3、变压器容量选型计算公式（直接输入）</t>
  </si>
  <si>
    <t>电机
总功率</t>
  </si>
  <si>
    <t>总系数</t>
  </si>
  <si>
    <t>视在功率
（计算）</t>
  </si>
  <si>
    <t>有功功率
（计算）</t>
  </si>
  <si>
    <t>无功功率（计算）</t>
  </si>
  <si>
    <t>选用的
变压器</t>
  </si>
  <si>
    <t>负荷率</t>
  </si>
  <si>
    <t>Qjs</t>
  </si>
  <si>
    <t>Cos</t>
  </si>
  <si>
    <t>Sjs/S</t>
  </si>
  <si>
    <t>4、电力系统负荷计算(将以上表2、表3整合)</t>
  </si>
  <si>
    <t>总功率
Pe（KW）</t>
  </si>
  <si>
    <t>需用系数Kx</t>
  </si>
  <si>
    <t>功率因数Cosφ</t>
  </si>
  <si>
    <t>额定电压Ue（V）</t>
  </si>
  <si>
    <t>设备相数</t>
  </si>
  <si>
    <t>视在功率
S (KVA)</t>
  </si>
  <si>
    <t>计算有功功率
Pjs（KW）</t>
  </si>
  <si>
    <t>计算无功功率
Qjs（KVar）</t>
  </si>
  <si>
    <t>计算有功电流
Ijs（A)</t>
  </si>
  <si>
    <t>选用的
变压器
S (KVA)</t>
  </si>
  <si>
    <t>负荷率
Sjs/S</t>
  </si>
  <si>
    <t>视在功率:S=</t>
  </si>
  <si>
    <t>5、变压器容量与其电流计算公式（直接输入） (淘宝店铺:枫启教育)</t>
  </si>
  <si>
    <t>容量KVA</t>
  </si>
  <si>
    <t>高压电压KV</t>
  </si>
  <si>
    <t>高压电流A</t>
  </si>
  <si>
    <t>低压电压KV</t>
  </si>
  <si>
    <t>低压电流A</t>
  </si>
  <si>
    <t>6、铝排计算公式（直接输入）</t>
  </si>
  <si>
    <t>截面(mm)</t>
  </si>
  <si>
    <t>长度(米）</t>
  </si>
  <si>
    <r>
      <rPr>
        <sz val="12"/>
        <rFont val="宋体"/>
        <charset val="134"/>
      </rPr>
      <t>密度(Kg/m</t>
    </r>
    <r>
      <rPr>
        <vertAlign val="superscript"/>
        <sz val="12"/>
        <rFont val="宋体"/>
        <charset val="134"/>
      </rPr>
      <t>3</t>
    </r>
    <r>
      <rPr>
        <sz val="12"/>
        <rFont val="宋体"/>
        <charset val="134"/>
      </rPr>
      <t>)</t>
    </r>
  </si>
  <si>
    <t>重量
(公斤)</t>
  </si>
  <si>
    <t>单价
(元/公斤)</t>
  </si>
  <si>
    <t>合计
(元)</t>
  </si>
  <si>
    <t>7、铜排计算公式（直接输入） (淘宝店铺:枫启教育)</t>
  </si>
  <si>
    <t>8、铜线截面计算公式（直接输入）</t>
  </si>
  <si>
    <t>直径(mm)</t>
  </si>
  <si>
    <t>根数</t>
  </si>
  <si>
    <t>计算截面</t>
  </si>
  <si>
    <t>标称截面</t>
  </si>
  <si>
    <t>截面率%</t>
  </si>
  <si>
    <t>9、铜线重量计算公式（直接输入） (淘宝店铺:枫启教育)</t>
  </si>
  <si>
    <t>截面(mm2)</t>
  </si>
  <si>
    <t>计算截面(mm2)</t>
  </si>
  <si>
    <t>长度(m)</t>
  </si>
  <si>
    <t>体积(m3)</t>
  </si>
  <si>
    <t>4.电力系统负荷计算</t>
  </si>
  <si>
    <t>回路编号(淘宝店铺:枫启教育)</t>
  </si>
  <si>
    <t>设备相数(淘宝店铺:枫启教育)</t>
  </si>
  <si>
    <t>电缆型号、实际电流、载流量、电压降、启动电压降综合计算表</t>
  </si>
  <si>
    <t>序
号</t>
  </si>
  <si>
    <t>电
缆
编
号</t>
  </si>
  <si>
    <t>电
缆
型
号</t>
  </si>
  <si>
    <r>
      <rPr>
        <sz val="10"/>
        <rFont val="宋体"/>
        <charset val="134"/>
      </rPr>
      <t>电
缆
截
面
积
mm</t>
    </r>
    <r>
      <rPr>
        <vertAlign val="superscript"/>
        <sz val="10"/>
        <rFont val="宋体"/>
        <charset val="134"/>
      </rPr>
      <t>3</t>
    </r>
  </si>
  <si>
    <t>电
缆
长
度
m</t>
  </si>
  <si>
    <t>最
大
电
机
功
率
kw</t>
  </si>
  <si>
    <t xml:space="preserve">负
荷
容
量
之
和
kw </t>
  </si>
  <si>
    <t>需
用
系
数</t>
  </si>
  <si>
    <t>电
网
额
定
电
压
V</t>
  </si>
  <si>
    <t>功
率
因
数
cosφ</t>
  </si>
  <si>
    <t>电
缆
载
流
量
A</t>
  </si>
  <si>
    <t xml:space="preserve">
电缆最大长时工作电流公式
（单位A）</t>
  </si>
  <si>
    <r>
      <rPr>
        <sz val="10"/>
        <rFont val="宋体"/>
        <charset val="134"/>
      </rPr>
      <t>电缆
电导率
m/Ω·mm</t>
    </r>
    <r>
      <rPr>
        <vertAlign val="superscript"/>
        <sz val="10"/>
        <rFont val="宋体"/>
        <charset val="134"/>
      </rPr>
      <t>2</t>
    </r>
  </si>
  <si>
    <t>电
动
机
效
率</t>
  </si>
  <si>
    <t>干线电缆
电压降公式
（单位V）</t>
  </si>
  <si>
    <t>支线电缆
电压降公式
（单位V）</t>
  </si>
  <si>
    <t xml:space="preserve">
启动
时功
率因
数
</t>
  </si>
  <si>
    <t>电机
额定
启动
电流
A</t>
  </si>
  <si>
    <t>电机
实践
启动
电流
A</t>
  </si>
  <si>
    <t xml:space="preserve">
干线电缆启动时
电压损失公式（单位V）</t>
  </si>
  <si>
    <t xml:space="preserve">
支线电缆启动时
电压损失公式（单位V）</t>
  </si>
  <si>
    <t>Pmax</t>
  </si>
  <si>
    <t>∑Pe</t>
  </si>
  <si>
    <t>kx</t>
  </si>
  <si>
    <t>电缆实际工作电流</t>
  </si>
  <si>
    <t>干线电缆电压降</t>
  </si>
  <si>
    <t>支线电缆电压降</t>
  </si>
  <si>
    <t>额定</t>
  </si>
  <si>
    <t>MCPTJ-3×120</t>
  </si>
  <si>
    <t>MYP-3×70</t>
  </si>
  <si>
    <t>MYP3×35</t>
  </si>
  <si>
    <t>MCPTJ-3×70</t>
  </si>
  <si>
    <t>MYP3×16</t>
  </si>
  <si>
    <t>MCPTJ-3×50</t>
  </si>
  <si>
    <t>各线路编号</t>
  </si>
  <si>
    <t>各线路组成
（变压器编号、
电缆编号）</t>
  </si>
  <si>
    <t>电网
额定
电压
V</t>
  </si>
  <si>
    <t>变压器二次
额定
电压
V</t>
  </si>
  <si>
    <t xml:space="preserve">正常运行时线路电压损失
V </t>
  </si>
  <si>
    <t>正常运行时
线路允许
电压损失
V</t>
  </si>
  <si>
    <t xml:space="preserve">
是否
满足
下列
条件</t>
  </si>
  <si>
    <t>启动时线路电压损失
V</t>
  </si>
  <si>
    <t>启动电动机
时实际
最小启动
电压
V</t>
  </si>
  <si>
    <t>满足电动机
最小启动转矩的最小电压
V</t>
  </si>
  <si>
    <t>电动机启动时启动器最低吸持电压
V</t>
  </si>
  <si>
    <t>启动电动机
所需要的
最小启动电压
V</t>
  </si>
  <si>
    <t xml:space="preserve">   
  是否
同时满足
三个条件</t>
  </si>
  <si>
    <r>
      <rPr>
        <sz val="12"/>
        <rFont val="宋体"/>
        <charset val="134"/>
      </rPr>
      <t>U</t>
    </r>
    <r>
      <rPr>
        <sz val="8"/>
        <rFont val="宋体"/>
        <charset val="134"/>
      </rPr>
      <t>e</t>
    </r>
  </si>
  <si>
    <r>
      <rPr>
        <sz val="12"/>
        <rFont val="宋体"/>
        <charset val="134"/>
      </rPr>
      <t>U</t>
    </r>
    <r>
      <rPr>
        <sz val="8"/>
        <rFont val="宋体"/>
        <charset val="134"/>
      </rPr>
      <t>2Be</t>
    </r>
  </si>
  <si>
    <t>ΔU</t>
  </si>
  <si>
    <r>
      <rPr>
        <sz val="12"/>
        <rFont val="宋体"/>
        <charset val="134"/>
      </rPr>
      <t>ΔU</t>
    </r>
    <r>
      <rPr>
        <sz val="10"/>
        <rFont val="宋体"/>
        <charset val="134"/>
      </rPr>
      <t>q</t>
    </r>
  </si>
  <si>
    <t>Ⅰ</t>
  </si>
  <si>
    <r>
      <rPr>
        <sz val="10"/>
        <rFont val="宋体"/>
        <charset val="134"/>
      </rPr>
      <t>B</t>
    </r>
    <r>
      <rPr>
        <sz val="8"/>
        <rFont val="宋体"/>
        <charset val="134"/>
      </rPr>
      <t>1</t>
    </r>
    <r>
      <rPr>
        <sz val="10"/>
        <rFont val="宋体"/>
        <charset val="134"/>
      </rPr>
      <t>、4、15</t>
    </r>
  </si>
  <si>
    <t>是</t>
  </si>
  <si>
    <t>Ⅲ</t>
  </si>
  <si>
    <r>
      <rPr>
        <sz val="10"/>
        <rFont val="宋体"/>
        <charset val="134"/>
      </rPr>
      <t>B</t>
    </r>
    <r>
      <rPr>
        <sz val="8"/>
        <rFont val="宋体"/>
        <charset val="134"/>
      </rPr>
      <t>2</t>
    </r>
    <r>
      <rPr>
        <sz val="10"/>
        <rFont val="宋体"/>
        <charset val="134"/>
      </rPr>
      <t>、6、19</t>
    </r>
  </si>
  <si>
    <t>Ⅳ</t>
  </si>
  <si>
    <r>
      <rPr>
        <sz val="10"/>
        <rFont val="宋体"/>
        <charset val="134"/>
      </rPr>
      <t>B</t>
    </r>
    <r>
      <rPr>
        <sz val="8"/>
        <rFont val="宋体"/>
        <charset val="134"/>
      </rPr>
      <t>3</t>
    </r>
    <r>
      <rPr>
        <sz val="10"/>
        <rFont val="宋体"/>
        <charset val="134"/>
      </rPr>
      <t>、7、27</t>
    </r>
  </si>
  <si>
    <t>短路点编号</t>
  </si>
  <si>
    <t>短路点
前端
变压器
感抗
相对值</t>
  </si>
  <si>
    <t xml:space="preserve">短路点前端
各电缆编号                   </t>
  </si>
  <si>
    <t>前端
电缆
长度（m）</t>
  </si>
  <si>
    <r>
      <rPr>
        <sz val="10"/>
        <rFont val="宋体"/>
        <charset val="134"/>
      </rPr>
      <t>前端电缆相对70mm</t>
    </r>
    <r>
      <rPr>
        <vertAlign val="superscript"/>
        <sz val="10"/>
        <rFont val="宋体"/>
        <charset val="134"/>
      </rPr>
      <t xml:space="preserve">2
</t>
    </r>
    <r>
      <rPr>
        <sz val="10"/>
        <rFont val="宋体"/>
        <charset val="134"/>
      </rPr>
      <t>电缆相对电阻的等效长度（m）</t>
    </r>
  </si>
  <si>
    <r>
      <rPr>
        <sz val="10"/>
        <rFont val="宋体"/>
        <charset val="134"/>
      </rPr>
      <t>电缆等效截面积
mm</t>
    </r>
    <r>
      <rPr>
        <vertAlign val="superscript"/>
        <sz val="10"/>
        <rFont val="宋体"/>
        <charset val="134"/>
      </rPr>
      <t>2</t>
    </r>
  </si>
  <si>
    <t>基准
容量
MVA</t>
  </si>
  <si>
    <t>基准
电压
Kv</t>
  </si>
  <si>
    <t>单位
电缆
电抗值
Ω/km</t>
  </si>
  <si>
    <t xml:space="preserve">
短路点前端
各电缆电阻
相对值之和
</t>
  </si>
  <si>
    <t xml:space="preserve">
短路点前端
变压器及
电缆电抗
相对值之和</t>
  </si>
  <si>
    <t xml:space="preserve">
短路点前端
线路阻抗值</t>
  </si>
  <si>
    <t xml:space="preserve">
短路点最小
两相短路电流</t>
  </si>
  <si>
    <t>L′</t>
  </si>
  <si>
    <r>
      <rPr>
        <sz val="10"/>
        <rFont val="宋体"/>
        <charset val="134"/>
      </rPr>
      <t>S</t>
    </r>
    <r>
      <rPr>
        <vertAlign val="subscript"/>
        <sz val="10"/>
        <rFont val="宋体"/>
        <charset val="134"/>
      </rPr>
      <t>j</t>
    </r>
  </si>
  <si>
    <r>
      <rPr>
        <sz val="10"/>
        <rFont val="宋体"/>
        <charset val="134"/>
      </rPr>
      <t>U</t>
    </r>
    <r>
      <rPr>
        <vertAlign val="subscript"/>
        <sz val="10"/>
        <rFont val="宋体"/>
        <charset val="134"/>
      </rPr>
      <t>j</t>
    </r>
  </si>
  <si>
    <r>
      <rPr>
        <sz val="10"/>
        <rFont val="宋体"/>
        <charset val="134"/>
      </rPr>
      <t>X</t>
    </r>
    <r>
      <rPr>
        <vertAlign val="subscript"/>
        <sz val="10"/>
        <rFont val="宋体"/>
        <charset val="134"/>
      </rPr>
      <t>0</t>
    </r>
  </si>
  <si>
    <r>
      <rPr>
        <sz val="12"/>
        <rFont val="宋体"/>
        <charset val="134"/>
      </rPr>
      <t>∑R</t>
    </r>
    <r>
      <rPr>
        <vertAlign val="superscript"/>
        <sz val="12"/>
        <rFont val="宋体"/>
        <charset val="134"/>
      </rPr>
      <t>*</t>
    </r>
  </si>
  <si>
    <r>
      <rPr>
        <sz val="12"/>
        <rFont val="宋体"/>
        <charset val="134"/>
      </rPr>
      <t>∑X</t>
    </r>
    <r>
      <rPr>
        <vertAlign val="superscript"/>
        <sz val="12"/>
        <rFont val="宋体"/>
        <charset val="134"/>
      </rPr>
      <t>*</t>
    </r>
  </si>
  <si>
    <r>
      <rPr>
        <sz val="12"/>
        <rFont val="宋体"/>
        <charset val="134"/>
      </rPr>
      <t>Z</t>
    </r>
    <r>
      <rPr>
        <vertAlign val="superscript"/>
        <sz val="12"/>
        <rFont val="宋体"/>
        <charset val="134"/>
      </rPr>
      <t>*</t>
    </r>
  </si>
  <si>
    <r>
      <rPr>
        <sz val="12"/>
        <rFont val="宋体"/>
        <charset val="134"/>
      </rPr>
      <t>I</t>
    </r>
    <r>
      <rPr>
        <vertAlign val="subscript"/>
        <sz val="12"/>
        <rFont val="宋体"/>
        <charset val="134"/>
      </rPr>
      <t>d</t>
    </r>
    <r>
      <rPr>
        <vertAlign val="superscript"/>
        <sz val="12"/>
        <rFont val="宋体"/>
        <charset val="134"/>
      </rPr>
      <t>(2)</t>
    </r>
  </si>
  <si>
    <r>
      <rPr>
        <sz val="10"/>
        <rFont val="宋体"/>
        <charset val="134"/>
      </rPr>
      <t>d</t>
    </r>
    <r>
      <rPr>
        <sz val="8"/>
        <rFont val="宋体"/>
        <charset val="134"/>
      </rPr>
      <t>1</t>
    </r>
  </si>
  <si>
    <r>
      <rPr>
        <sz val="10"/>
        <rFont val="宋体"/>
        <charset val="134"/>
      </rPr>
      <t>d</t>
    </r>
    <r>
      <rPr>
        <sz val="8"/>
        <rFont val="宋体"/>
        <charset val="134"/>
      </rPr>
      <t>2</t>
    </r>
  </si>
  <si>
    <t>4、11</t>
  </si>
  <si>
    <r>
      <rPr>
        <sz val="10"/>
        <rFont val="宋体"/>
        <charset val="134"/>
      </rPr>
      <t>d</t>
    </r>
    <r>
      <rPr>
        <sz val="8"/>
        <rFont val="宋体"/>
        <charset val="134"/>
      </rPr>
      <t>3</t>
    </r>
  </si>
  <si>
    <t>4、12</t>
  </si>
  <si>
    <r>
      <rPr>
        <sz val="10"/>
        <rFont val="宋体"/>
        <charset val="134"/>
      </rPr>
      <t>d</t>
    </r>
    <r>
      <rPr>
        <sz val="8"/>
        <rFont val="宋体"/>
        <charset val="134"/>
      </rPr>
      <t>4</t>
    </r>
  </si>
  <si>
    <t>4、13</t>
  </si>
  <si>
    <r>
      <rPr>
        <sz val="10"/>
        <rFont val="宋体"/>
        <charset val="134"/>
      </rPr>
      <t>d</t>
    </r>
    <r>
      <rPr>
        <sz val="8"/>
        <rFont val="宋体"/>
        <charset val="134"/>
      </rPr>
      <t>5</t>
    </r>
  </si>
  <si>
    <t>4、14</t>
  </si>
  <si>
    <r>
      <rPr>
        <sz val="10"/>
        <rFont val="宋体"/>
        <charset val="134"/>
      </rPr>
      <t>d</t>
    </r>
    <r>
      <rPr>
        <sz val="8"/>
        <rFont val="宋体"/>
        <charset val="134"/>
      </rPr>
      <t>6</t>
    </r>
  </si>
  <si>
    <r>
      <rPr>
        <sz val="10"/>
        <rFont val="宋体"/>
        <charset val="134"/>
      </rPr>
      <t>d</t>
    </r>
    <r>
      <rPr>
        <sz val="8"/>
        <rFont val="宋体"/>
        <charset val="134"/>
      </rPr>
      <t>7</t>
    </r>
  </si>
  <si>
    <t>5、10、15</t>
  </si>
  <si>
    <r>
      <rPr>
        <sz val="10"/>
        <rFont val="宋体"/>
        <charset val="134"/>
      </rPr>
      <t>d</t>
    </r>
    <r>
      <rPr>
        <sz val="8"/>
        <rFont val="宋体"/>
        <charset val="134"/>
      </rPr>
      <t>8</t>
    </r>
  </si>
  <si>
    <t>5、9、16</t>
  </si>
  <si>
    <r>
      <rPr>
        <sz val="10"/>
        <rFont val="宋体"/>
        <charset val="134"/>
      </rPr>
      <t>d</t>
    </r>
    <r>
      <rPr>
        <sz val="8"/>
        <rFont val="宋体"/>
        <charset val="134"/>
      </rPr>
      <t>9</t>
    </r>
  </si>
  <si>
    <r>
      <rPr>
        <sz val="10"/>
        <rFont val="宋体"/>
        <charset val="134"/>
      </rPr>
      <t>d</t>
    </r>
    <r>
      <rPr>
        <sz val="8"/>
        <rFont val="宋体"/>
        <charset val="134"/>
      </rPr>
      <t>10</t>
    </r>
  </si>
  <si>
    <t>6、17</t>
  </si>
  <si>
    <r>
      <rPr>
        <sz val="10"/>
        <rFont val="宋体"/>
        <charset val="134"/>
      </rPr>
      <t>d</t>
    </r>
    <r>
      <rPr>
        <sz val="8"/>
        <rFont val="宋体"/>
        <charset val="134"/>
      </rPr>
      <t>11</t>
    </r>
  </si>
  <si>
    <t>6、18</t>
  </si>
  <si>
    <r>
      <rPr>
        <sz val="10"/>
        <rFont val="宋体"/>
        <charset val="134"/>
      </rPr>
      <t>d</t>
    </r>
    <r>
      <rPr>
        <sz val="8"/>
        <rFont val="宋体"/>
        <charset val="134"/>
      </rPr>
      <t>12</t>
    </r>
  </si>
  <si>
    <t>6、19</t>
  </si>
  <si>
    <r>
      <rPr>
        <sz val="10"/>
        <rFont val="宋体"/>
        <charset val="134"/>
      </rPr>
      <t>d</t>
    </r>
    <r>
      <rPr>
        <sz val="8"/>
        <rFont val="宋体"/>
        <charset val="134"/>
      </rPr>
      <t>13</t>
    </r>
  </si>
  <si>
    <t>6、20</t>
  </si>
  <si>
    <r>
      <rPr>
        <sz val="10"/>
        <rFont val="宋体"/>
        <charset val="134"/>
      </rPr>
      <t>d</t>
    </r>
    <r>
      <rPr>
        <sz val="8"/>
        <rFont val="宋体"/>
        <charset val="134"/>
      </rPr>
      <t>14</t>
    </r>
  </si>
  <si>
    <t>6、21</t>
  </si>
  <si>
    <r>
      <rPr>
        <sz val="10"/>
        <rFont val="宋体"/>
        <charset val="134"/>
      </rPr>
      <t>d</t>
    </r>
    <r>
      <rPr>
        <sz val="8"/>
        <rFont val="宋体"/>
        <charset val="134"/>
      </rPr>
      <t>15</t>
    </r>
  </si>
  <si>
    <r>
      <rPr>
        <sz val="10"/>
        <rFont val="宋体"/>
        <charset val="134"/>
      </rPr>
      <t>d</t>
    </r>
    <r>
      <rPr>
        <sz val="8"/>
        <rFont val="宋体"/>
        <charset val="134"/>
      </rPr>
      <t>16</t>
    </r>
  </si>
  <si>
    <t>7、22</t>
  </si>
  <si>
    <r>
      <rPr>
        <sz val="10"/>
        <rFont val="宋体"/>
        <charset val="134"/>
      </rPr>
      <t>d</t>
    </r>
    <r>
      <rPr>
        <sz val="8"/>
        <rFont val="宋体"/>
        <charset val="134"/>
      </rPr>
      <t>17</t>
    </r>
  </si>
  <si>
    <t>7、23</t>
  </si>
  <si>
    <r>
      <rPr>
        <sz val="10"/>
        <rFont val="宋体"/>
        <charset val="134"/>
      </rPr>
      <t>d</t>
    </r>
    <r>
      <rPr>
        <sz val="8"/>
        <rFont val="宋体"/>
        <charset val="134"/>
      </rPr>
      <t>18</t>
    </r>
  </si>
  <si>
    <t>7、24</t>
  </si>
  <si>
    <r>
      <rPr>
        <sz val="10"/>
        <rFont val="宋体"/>
        <charset val="134"/>
      </rPr>
      <t>d</t>
    </r>
    <r>
      <rPr>
        <sz val="8"/>
        <rFont val="宋体"/>
        <charset val="134"/>
      </rPr>
      <t>19</t>
    </r>
  </si>
  <si>
    <t>7、25</t>
  </si>
  <si>
    <r>
      <rPr>
        <sz val="10"/>
        <rFont val="宋体"/>
        <charset val="134"/>
      </rPr>
      <t>d</t>
    </r>
    <r>
      <rPr>
        <sz val="8"/>
        <rFont val="宋体"/>
        <charset val="134"/>
      </rPr>
      <t>20</t>
    </r>
  </si>
  <si>
    <r>
      <rPr>
        <sz val="10"/>
        <rFont val="宋体"/>
        <charset val="134"/>
      </rPr>
      <t>d</t>
    </r>
    <r>
      <rPr>
        <sz val="8"/>
        <rFont val="宋体"/>
        <charset val="134"/>
      </rPr>
      <t>21</t>
    </r>
  </si>
  <si>
    <t>8、26</t>
  </si>
  <si>
    <r>
      <rPr>
        <sz val="10"/>
        <rFont val="宋体"/>
        <charset val="134"/>
      </rPr>
      <t>d</t>
    </r>
    <r>
      <rPr>
        <sz val="8"/>
        <rFont val="宋体"/>
        <charset val="134"/>
      </rPr>
      <t>22</t>
    </r>
  </si>
  <si>
    <t>8、27</t>
  </si>
  <si>
    <r>
      <rPr>
        <sz val="10"/>
        <rFont val="宋体"/>
        <charset val="134"/>
      </rPr>
      <t>d</t>
    </r>
    <r>
      <rPr>
        <sz val="8"/>
        <rFont val="宋体"/>
        <charset val="134"/>
      </rPr>
      <t>23</t>
    </r>
  </si>
  <si>
    <t>8、28</t>
  </si>
  <si>
    <r>
      <rPr>
        <sz val="10"/>
        <rFont val="宋体"/>
        <charset val="134"/>
      </rPr>
      <t>d</t>
    </r>
    <r>
      <rPr>
        <sz val="8"/>
        <rFont val="宋体"/>
        <charset val="134"/>
      </rPr>
      <t>24</t>
    </r>
  </si>
  <si>
    <t>8、29</t>
  </si>
  <si>
    <r>
      <rPr>
        <sz val="10"/>
        <rFont val="宋体"/>
        <charset val="134"/>
      </rPr>
      <t>d</t>
    </r>
    <r>
      <rPr>
        <sz val="8"/>
        <rFont val="宋体"/>
        <charset val="134"/>
      </rPr>
      <t>25</t>
    </r>
  </si>
  <si>
    <t>8、30</t>
  </si>
  <si>
    <r>
      <rPr>
        <sz val="10"/>
        <rFont val="宋体"/>
        <charset val="134"/>
      </rPr>
      <t>d</t>
    </r>
    <r>
      <rPr>
        <sz val="8"/>
        <rFont val="宋体"/>
        <charset val="134"/>
      </rPr>
      <t>26</t>
    </r>
  </si>
  <si>
    <t>8、31</t>
  </si>
  <si>
    <r>
      <rPr>
        <sz val="10"/>
        <rFont val="宋体"/>
        <charset val="134"/>
      </rPr>
      <t>d</t>
    </r>
    <r>
      <rPr>
        <sz val="8"/>
        <rFont val="宋体"/>
        <charset val="134"/>
      </rPr>
      <t>27</t>
    </r>
  </si>
  <si>
    <t>8、32</t>
  </si>
  <si>
    <r>
      <rPr>
        <sz val="10"/>
        <rFont val="宋体"/>
        <charset val="134"/>
      </rPr>
      <t>d</t>
    </r>
    <r>
      <rPr>
        <sz val="8"/>
        <rFont val="宋体"/>
        <charset val="134"/>
      </rPr>
      <t>28</t>
    </r>
  </si>
  <si>
    <t>8、33</t>
  </si>
  <si>
    <t>开
关
编
号</t>
  </si>
  <si>
    <t>开关名称</t>
  </si>
  <si>
    <t xml:space="preserve">开关型号             </t>
  </si>
  <si>
    <t>开关
额定
电压
V</t>
  </si>
  <si>
    <t>开关
额定
电流
A</t>
  </si>
  <si>
    <t>电机额定功率
KW</t>
  </si>
  <si>
    <t>电机额定电流A</t>
  </si>
  <si>
    <t>最大
电机
额定
功率
KW</t>
  </si>
  <si>
    <t>最大
电机
额定
电流
A</t>
  </si>
  <si>
    <t>最大
电机
启动
电流
A</t>
  </si>
  <si>
    <t>其它电机额定功率之和
KW</t>
  </si>
  <si>
    <t>其它电机
额定电流
之和
A</t>
  </si>
  <si>
    <t>馈电继电保护
整定计数值
A</t>
  </si>
  <si>
    <t>整定值取值
A</t>
  </si>
  <si>
    <t>最小两相短路电流
A</t>
  </si>
  <si>
    <t xml:space="preserve">
灵敏度</t>
  </si>
  <si>
    <t>合格
或
不合格</t>
  </si>
  <si>
    <t>启动器控制
电机（组）
整定值
A</t>
  </si>
  <si>
    <t>Pe</t>
  </si>
  <si>
    <t>Ie或∑Ie</t>
  </si>
  <si>
    <t>Imax</t>
  </si>
  <si>
    <t>Iqe</t>
  </si>
  <si>
    <t>∑Ie</t>
  </si>
  <si>
    <t>GK1</t>
  </si>
  <si>
    <t>高防开关</t>
  </si>
  <si>
    <t>KBGZ41-100/10Y</t>
  </si>
  <si>
    <t>合格</t>
  </si>
  <si>
    <r>
      <rPr>
        <sz val="12"/>
        <rFont val="宋体"/>
        <charset val="134"/>
      </rPr>
      <t>GK2</t>
    </r>
  </si>
  <si>
    <t>KBG-210/10Y</t>
  </si>
  <si>
    <r>
      <rPr>
        <sz val="12"/>
        <rFont val="宋体"/>
        <charset val="134"/>
      </rPr>
      <t>GK3</t>
    </r>
  </si>
  <si>
    <t>KBG-400/10Y</t>
  </si>
  <si>
    <t>K1</t>
  </si>
  <si>
    <t>馈电开关</t>
  </si>
  <si>
    <t>BXB-630/1140Y</t>
  </si>
  <si>
    <r>
      <rPr>
        <sz val="12"/>
        <rFont val="宋体"/>
        <charset val="134"/>
      </rPr>
      <t>K2</t>
    </r>
  </si>
  <si>
    <t>BXB-1200/1140Y</t>
  </si>
  <si>
    <r>
      <rPr>
        <sz val="12"/>
        <rFont val="宋体"/>
        <charset val="134"/>
      </rPr>
      <t>K3</t>
    </r>
  </si>
  <si>
    <r>
      <rPr>
        <sz val="12"/>
        <rFont val="宋体"/>
        <charset val="134"/>
      </rPr>
      <t>BXB-800/3300Y</t>
    </r>
  </si>
  <si>
    <t>KBZ-400</t>
  </si>
  <si>
    <t>组合开关</t>
  </si>
  <si>
    <t>QJZ9215-1140-6K</t>
  </si>
  <si>
    <t>电磁启动器</t>
  </si>
  <si>
    <t>QBZ-120N</t>
  </si>
  <si>
    <t>QJZ9215-3300-6K</t>
  </si>
  <si>
    <t>QJZ9215-3300-9K</t>
  </si>
  <si>
    <t>一级保护</t>
  </si>
  <si>
    <t>二级保护</t>
  </si>
  <si>
    <t>三级保护</t>
  </si>
  <si>
    <t>线路末端两相短路电流值（A）</t>
  </si>
  <si>
    <t>灵敏度</t>
  </si>
  <si>
    <t>灵敏度
是否
合格</t>
  </si>
  <si>
    <t>电磁元件脱扣器</t>
  </si>
  <si>
    <t>熔 体</t>
  </si>
  <si>
    <t>JDB</t>
  </si>
  <si>
    <t>熔体</t>
  </si>
  <si>
    <t>开关编号</t>
  </si>
  <si>
    <t xml:space="preserve">开  关 
型  号 </t>
  </si>
  <si>
    <t>负荷 容量(KW)</t>
  </si>
  <si>
    <t>工作
电流
(A)</t>
  </si>
  <si>
    <t>整 定 电 流 值  (A)</t>
  </si>
  <si>
    <t>线路末端两相短路电流值(A)</t>
  </si>
  <si>
    <t>灵
敏
度</t>
  </si>
  <si>
    <t>是否
合格</t>
  </si>
  <si>
    <t>热
元件</t>
  </si>
  <si>
    <t>功率 kW</t>
  </si>
  <si>
    <t>线电压 U</t>
  </si>
  <si>
    <t>电流 A</t>
  </si>
  <si>
    <t>计算外径</t>
  </si>
  <si>
    <t>装盘系数</t>
  </si>
  <si>
    <r>
      <rPr>
        <sz val="12"/>
        <rFont val="宋体"/>
        <charset val="134"/>
      </rPr>
      <t>U</t>
    </r>
    <r>
      <rPr>
        <vertAlign val="subscript"/>
        <sz val="12"/>
        <rFont val="宋体"/>
        <charset val="134"/>
      </rPr>
      <t>0</t>
    </r>
    <r>
      <rPr>
        <sz val="12"/>
        <rFont val="宋体"/>
        <charset val="134"/>
      </rPr>
      <t>/U</t>
    </r>
  </si>
  <si>
    <r>
      <rPr>
        <sz val="12"/>
        <rFont val="宋体"/>
        <charset val="134"/>
      </rPr>
      <t>U</t>
    </r>
    <r>
      <rPr>
        <vertAlign val="subscript"/>
        <sz val="12"/>
        <rFont val="宋体"/>
        <charset val="134"/>
      </rPr>
      <t>0</t>
    </r>
  </si>
  <si>
    <t>为相电压</t>
  </si>
  <si>
    <t>为线电压</t>
  </si>
  <si>
    <t>铜铝芯载流量换算</t>
  </si>
  <si>
    <r>
      <rPr>
        <sz val="12"/>
        <rFont val="宋体"/>
        <charset val="134"/>
      </rPr>
      <t>I</t>
    </r>
    <r>
      <rPr>
        <vertAlign val="subscript"/>
        <sz val="12"/>
        <rFont val="宋体"/>
        <charset val="134"/>
      </rPr>
      <t>1</t>
    </r>
  </si>
  <si>
    <t>电流</t>
  </si>
  <si>
    <r>
      <rPr>
        <sz val="12"/>
        <rFont val="宋体"/>
        <charset val="134"/>
      </rPr>
      <t>I</t>
    </r>
    <r>
      <rPr>
        <vertAlign val="subscript"/>
        <sz val="12"/>
        <rFont val="宋体"/>
        <charset val="134"/>
      </rPr>
      <t>2</t>
    </r>
  </si>
  <si>
    <r>
      <rPr>
        <sz val="12"/>
        <rFont val="Arial"/>
        <charset val="134"/>
      </rPr>
      <t>ρ</t>
    </r>
    <r>
      <rPr>
        <vertAlign val="subscript"/>
        <sz val="12"/>
        <rFont val="Arial"/>
        <charset val="134"/>
      </rPr>
      <t>1</t>
    </r>
  </si>
  <si>
    <t>电阻率</t>
  </si>
  <si>
    <r>
      <rPr>
        <sz val="12"/>
        <rFont val="Arial"/>
        <charset val="134"/>
      </rPr>
      <t>ρ</t>
    </r>
    <r>
      <rPr>
        <vertAlign val="subscript"/>
        <sz val="12"/>
        <rFont val="Arial"/>
        <charset val="134"/>
      </rPr>
      <t>2</t>
    </r>
  </si>
  <si>
    <t>选型时应适当留有余量，另电缆越长本身消耗越大，电压降越大，电流余量应越大。</t>
  </si>
  <si>
    <t>ケーブル＆ラック重量 (動力棟メイン)</t>
  </si>
  <si>
    <t>重量計算</t>
  </si>
  <si>
    <t>１． 電気室 ～ 動力棟内部</t>
  </si>
  <si>
    <r>
      <rPr>
        <sz val="10"/>
        <rFont val="ＭＳ Ｐゴシック"/>
        <charset val="128"/>
      </rPr>
      <t>(淘宝店</t>
    </r>
    <r>
      <rPr>
        <sz val="10"/>
        <rFont val="MingLiU"/>
        <charset val="136"/>
      </rPr>
      <t>铺</t>
    </r>
    <r>
      <rPr>
        <sz val="10"/>
        <rFont val="ＭＳ Ｐゴシック"/>
        <charset val="128"/>
      </rPr>
      <t>:</t>
    </r>
    <r>
      <rPr>
        <sz val="10"/>
        <rFont val="MingLiU"/>
        <charset val="136"/>
      </rPr>
      <t>爱</t>
    </r>
    <r>
      <rPr>
        <sz val="10"/>
        <rFont val="ＭＳ Ｐゴシック"/>
        <charset val="128"/>
      </rPr>
      <t>学</t>
    </r>
    <r>
      <rPr>
        <sz val="10"/>
        <rFont val="MingLiU"/>
        <charset val="136"/>
      </rPr>
      <t>习</t>
    </r>
    <r>
      <rPr>
        <sz val="10"/>
        <rFont val="ＭＳ Ｐゴシック"/>
        <charset val="128"/>
      </rPr>
      <t>工作室)</t>
    </r>
  </si>
  <si>
    <t>仕様</t>
  </si>
  <si>
    <t>重量(kg/m)</t>
  </si>
  <si>
    <t>条(段)数</t>
  </si>
  <si>
    <t>総重量(ｋｇ/m)</t>
  </si>
  <si>
    <t>合計</t>
  </si>
  <si>
    <t>低圧</t>
  </si>
  <si>
    <t>CR</t>
  </si>
  <si>
    <t>W1000 x H100</t>
  </si>
  <si>
    <t>XLPE/PVC</t>
  </si>
  <si>
    <t>(4c-240)+E120</t>
  </si>
  <si>
    <t>(4c-185)+E95</t>
  </si>
  <si>
    <t>(4c-150)+E95</t>
  </si>
  <si>
    <t>(4c-120)+E70</t>
  </si>
  <si>
    <t>(4c-100以下)+E</t>
  </si>
  <si>
    <t>※1) 将来用(想定)も含む。将来用ケーブルについては、MSBの予備ブレーカーにて想定。</t>
  </si>
  <si>
    <t>※2) 7c-185sq( 150sq) については、4c-185sq( 150sq)x2 にて計算いたしました。</t>
  </si>
  <si>
    <t xml:space="preserve">    ： 吊りﾎﾟｲﾝﾄ (ｲﾝｻｰﾄ)</t>
  </si>
  <si>
    <t>W ： ｹｰﾌﾞﾙﾗｯｸ幅</t>
  </si>
  <si>
    <t>=1000</t>
  </si>
  <si>
    <t>L  ： 吊りﾋﾟｯﾁ</t>
  </si>
  <si>
    <r>
      <rPr>
        <sz val="10"/>
        <rFont val="ＭＳ Ｐゴシック"/>
        <charset val="128"/>
      </rPr>
      <t xml:space="preserve">選定ｲﾝｻｰﾄ ： </t>
    </r>
    <r>
      <rPr>
        <b/>
        <sz val="10"/>
        <color indexed="12"/>
        <rFont val="ＭＳ Ｐゴシック"/>
        <charset val="128"/>
      </rPr>
      <t>300kg</t>
    </r>
    <r>
      <rPr>
        <sz val="10"/>
        <rFont val="ＭＳ Ｐゴシック"/>
        <charset val="128"/>
      </rPr>
      <t>/個</t>
    </r>
  </si>
  <si>
    <t>÷ 2  ＝</t>
  </si>
  <si>
    <t>300kg x 0.9 ÷</t>
  </si>
  <si>
    <t>∴ ｲﾝｻｰﾄﾋﾟｯﾁL=1000mmとする</t>
  </si>
  <si>
    <t>２． 動力棟 ～ 工場棟 (動力棟内部負荷 送電後)</t>
  </si>
  <si>
    <t>∴ ｲﾝｻｰﾄﾋﾟｯﾁL=1200mmとする</t>
  </si>
  <si>
    <t>电力变压器过电流保护整定值、电流速断保护整定值计算</t>
  </si>
  <si>
    <t>变压器型号:SCB10-</t>
  </si>
  <si>
    <t>10(1±2.5）/0.4kV  Dyn11</t>
  </si>
  <si>
    <r>
      <rPr>
        <sz val="12"/>
        <color theme="1"/>
        <rFont val="宋体"/>
        <charset val="134"/>
        <scheme val="minor"/>
      </rPr>
      <t>变压器额定容量（</t>
    </r>
    <r>
      <rPr>
        <i/>
        <sz val="12"/>
        <color theme="1"/>
        <rFont val="宋体"/>
        <charset val="134"/>
        <scheme val="minor"/>
      </rPr>
      <t>kVA</t>
    </r>
    <r>
      <rPr>
        <sz val="12"/>
        <color theme="1"/>
        <rFont val="宋体"/>
        <charset val="134"/>
        <scheme val="minor"/>
      </rPr>
      <t>）</t>
    </r>
  </si>
  <si>
    <r>
      <rPr>
        <sz val="12"/>
        <color theme="1"/>
        <rFont val="宋体"/>
        <charset val="134"/>
        <scheme val="minor"/>
      </rPr>
      <t>变压器的短路电压（阻抗电压）</t>
    </r>
    <r>
      <rPr>
        <i/>
        <sz val="12"/>
        <color theme="1"/>
        <rFont val="宋体"/>
        <charset val="134"/>
        <scheme val="minor"/>
      </rPr>
      <t>uk%</t>
    </r>
  </si>
  <si>
    <t>高压电流互感器</t>
  </si>
  <si>
    <r>
      <rPr>
        <sz val="12"/>
        <color theme="1"/>
        <rFont val="宋体"/>
        <charset val="134"/>
        <scheme val="minor"/>
      </rPr>
      <t>高压侧电压（</t>
    </r>
    <r>
      <rPr>
        <i/>
        <sz val="12"/>
        <color theme="1"/>
        <rFont val="宋体"/>
        <charset val="134"/>
        <scheme val="minor"/>
      </rPr>
      <t>kV</t>
    </r>
    <r>
      <rPr>
        <sz val="12"/>
        <color theme="1"/>
        <rFont val="宋体"/>
        <charset val="134"/>
        <scheme val="minor"/>
      </rPr>
      <t>）</t>
    </r>
  </si>
  <si>
    <r>
      <rPr>
        <sz val="12"/>
        <color theme="1"/>
        <rFont val="宋体"/>
        <charset val="134"/>
        <scheme val="minor"/>
      </rPr>
      <t>低压侧电压（</t>
    </r>
    <r>
      <rPr>
        <i/>
        <sz val="12"/>
        <color theme="1"/>
        <rFont val="宋体"/>
        <charset val="134"/>
        <scheme val="minor"/>
      </rPr>
      <t>kV</t>
    </r>
    <r>
      <rPr>
        <sz val="12"/>
        <color theme="1"/>
        <rFont val="宋体"/>
        <charset val="134"/>
        <scheme val="minor"/>
      </rPr>
      <t>）</t>
    </r>
  </si>
  <si>
    <r>
      <rPr>
        <sz val="12"/>
        <color theme="1"/>
        <rFont val="宋体"/>
        <charset val="134"/>
        <scheme val="minor"/>
      </rPr>
      <t>高压侧电流（</t>
    </r>
    <r>
      <rPr>
        <i/>
        <sz val="12"/>
        <color theme="1"/>
        <rFont val="宋体"/>
        <charset val="134"/>
        <scheme val="minor"/>
      </rPr>
      <t>A</t>
    </r>
    <r>
      <rPr>
        <sz val="12"/>
        <color theme="1"/>
        <rFont val="宋体"/>
        <charset val="134"/>
        <scheme val="minor"/>
      </rPr>
      <t>）</t>
    </r>
  </si>
  <si>
    <r>
      <rPr>
        <sz val="12"/>
        <color theme="1"/>
        <rFont val="宋体"/>
        <charset val="134"/>
        <scheme val="minor"/>
      </rPr>
      <t>低压侧电流（</t>
    </r>
    <r>
      <rPr>
        <i/>
        <sz val="12"/>
        <color theme="1"/>
        <rFont val="宋体"/>
        <charset val="134"/>
        <scheme val="minor"/>
      </rPr>
      <t>A</t>
    </r>
    <r>
      <rPr>
        <sz val="12"/>
        <color theme="1"/>
        <rFont val="宋体"/>
        <charset val="134"/>
        <scheme val="minor"/>
      </rPr>
      <t>）</t>
    </r>
  </si>
  <si>
    <r>
      <rPr>
        <sz val="12"/>
        <color theme="1"/>
        <rFont val="宋体"/>
        <charset val="134"/>
        <scheme val="minor"/>
      </rPr>
      <t>低压侧三相短路电流（</t>
    </r>
    <r>
      <rPr>
        <i/>
        <sz val="12"/>
        <color theme="1"/>
        <rFont val="宋体"/>
        <charset val="134"/>
        <scheme val="minor"/>
      </rPr>
      <t>kA</t>
    </r>
    <r>
      <rPr>
        <sz val="12"/>
        <color theme="1"/>
        <rFont val="宋体"/>
        <charset val="134"/>
        <scheme val="minor"/>
      </rPr>
      <t>）</t>
    </r>
  </si>
  <si>
    <r>
      <rPr>
        <sz val="12"/>
        <color theme="1"/>
        <rFont val="宋体"/>
        <charset val="134"/>
        <scheme val="minor"/>
      </rPr>
      <t>变压器低压侧三相短路时流过高压侧的超瞬态电流的折算值（</t>
    </r>
    <r>
      <rPr>
        <i/>
        <sz val="12"/>
        <color theme="1"/>
        <rFont val="宋体"/>
        <charset val="134"/>
        <scheme val="minor"/>
      </rPr>
      <t>A</t>
    </r>
    <r>
      <rPr>
        <sz val="12"/>
        <color theme="1"/>
        <rFont val="宋体"/>
        <charset val="134"/>
        <scheme val="minor"/>
      </rPr>
      <t>）</t>
    </r>
  </si>
  <si>
    <t>微机保护参数值</t>
  </si>
  <si>
    <r>
      <rPr>
        <sz val="12"/>
        <color theme="1"/>
        <rFont val="宋体"/>
        <charset val="134"/>
        <scheme val="minor"/>
      </rPr>
      <t>可靠系数(</t>
    </r>
    <r>
      <rPr>
        <i/>
        <sz val="12"/>
        <color theme="1"/>
        <rFont val="宋体"/>
        <charset val="134"/>
        <scheme val="minor"/>
      </rPr>
      <t>K</t>
    </r>
    <r>
      <rPr>
        <i/>
        <vertAlign val="subscript"/>
        <sz val="12"/>
        <color theme="1"/>
        <rFont val="宋体"/>
        <charset val="134"/>
        <scheme val="minor"/>
      </rPr>
      <t>rel</t>
    </r>
    <r>
      <rPr>
        <sz val="12"/>
        <color theme="1"/>
        <rFont val="宋体"/>
        <charset val="134"/>
        <scheme val="minor"/>
      </rPr>
      <t>)</t>
    </r>
  </si>
  <si>
    <t>根据微机保护参数值填写</t>
  </si>
  <si>
    <r>
      <rPr>
        <sz val="12"/>
        <color theme="1"/>
        <rFont val="宋体"/>
        <charset val="134"/>
        <scheme val="minor"/>
      </rPr>
      <t>接线系数(</t>
    </r>
    <r>
      <rPr>
        <i/>
        <sz val="12"/>
        <color theme="1"/>
        <rFont val="宋体"/>
        <charset val="134"/>
        <scheme val="minor"/>
      </rPr>
      <t>K</t>
    </r>
    <r>
      <rPr>
        <vertAlign val="subscript"/>
        <sz val="12"/>
        <color theme="1"/>
        <rFont val="宋体"/>
        <charset val="134"/>
        <scheme val="minor"/>
      </rPr>
      <t>jx</t>
    </r>
    <r>
      <rPr>
        <sz val="12"/>
        <color theme="1"/>
        <rFont val="宋体"/>
        <charset val="134"/>
        <scheme val="minor"/>
      </rPr>
      <t>)</t>
    </r>
  </si>
  <si>
    <r>
      <rPr>
        <sz val="12"/>
        <color theme="1"/>
        <rFont val="宋体"/>
        <charset val="134"/>
        <scheme val="minor"/>
      </rPr>
      <t>继电器返回系数(</t>
    </r>
    <r>
      <rPr>
        <i/>
        <sz val="12"/>
        <color theme="1"/>
        <rFont val="宋体"/>
        <charset val="134"/>
        <scheme val="minor"/>
      </rPr>
      <t>K</t>
    </r>
    <r>
      <rPr>
        <i/>
        <vertAlign val="subscript"/>
        <sz val="12"/>
        <color theme="1"/>
        <rFont val="宋体"/>
        <charset val="134"/>
        <scheme val="minor"/>
      </rPr>
      <t>r</t>
    </r>
    <r>
      <rPr>
        <sz val="12"/>
        <color theme="1"/>
        <rFont val="宋体"/>
        <charset val="134"/>
        <scheme val="minor"/>
      </rPr>
      <t>)</t>
    </r>
  </si>
  <si>
    <r>
      <rPr>
        <sz val="12"/>
        <color theme="1"/>
        <rFont val="宋体"/>
        <charset val="134"/>
        <scheme val="minor"/>
      </rPr>
      <t>过负荷保护系数(</t>
    </r>
    <r>
      <rPr>
        <i/>
        <sz val="12"/>
        <color theme="1"/>
        <rFont val="宋体"/>
        <charset val="134"/>
        <scheme val="minor"/>
      </rPr>
      <t>K</t>
    </r>
    <r>
      <rPr>
        <i/>
        <vertAlign val="subscript"/>
        <sz val="12"/>
        <color theme="1"/>
        <rFont val="宋体"/>
        <charset val="134"/>
        <scheme val="minor"/>
      </rPr>
      <t>gh</t>
    </r>
    <r>
      <rPr>
        <sz val="12"/>
        <color theme="1"/>
        <rFont val="宋体"/>
        <charset val="134"/>
        <scheme val="minor"/>
      </rPr>
      <t>)</t>
    </r>
  </si>
  <si>
    <t>过电流保护整定值</t>
  </si>
  <si>
    <r>
      <rPr>
        <sz val="12"/>
        <color theme="1"/>
        <rFont val="宋体"/>
        <charset val="134"/>
        <scheme val="minor"/>
      </rPr>
      <t>过电流保护动作电流整定值（二次电流）</t>
    </r>
    <r>
      <rPr>
        <i/>
        <sz val="12"/>
        <color theme="1"/>
        <rFont val="宋体"/>
        <charset val="134"/>
        <scheme val="minor"/>
      </rPr>
      <t>A</t>
    </r>
  </si>
  <si>
    <t>可适当偏小取值为</t>
  </si>
  <si>
    <t>－</t>
  </si>
  <si>
    <r>
      <rPr>
        <sz val="12"/>
        <color theme="1"/>
        <rFont val="宋体"/>
        <charset val="134"/>
        <scheme val="minor"/>
      </rPr>
      <t>验算保护装置的灵敏系数(</t>
    </r>
    <r>
      <rPr>
        <i/>
        <sz val="12"/>
        <color theme="1"/>
        <rFont val="宋体"/>
        <charset val="134"/>
        <scheme val="minor"/>
      </rPr>
      <t>K</t>
    </r>
    <r>
      <rPr>
        <i/>
        <vertAlign val="subscript"/>
        <sz val="12"/>
        <color theme="1"/>
        <rFont val="宋体"/>
        <charset val="134"/>
        <scheme val="minor"/>
      </rPr>
      <t>sen</t>
    </r>
    <r>
      <rPr>
        <sz val="12"/>
        <color theme="1"/>
        <rFont val="宋体"/>
        <charset val="134"/>
        <scheme val="minor"/>
      </rPr>
      <t>)</t>
    </r>
  </si>
  <si>
    <r>
      <rPr>
        <sz val="12"/>
        <color theme="1"/>
        <rFont val="宋体"/>
        <charset val="134"/>
        <scheme val="minor"/>
      </rPr>
      <t>保护装置一次动作电流（</t>
    </r>
    <r>
      <rPr>
        <i/>
        <sz val="12"/>
        <color theme="1"/>
        <rFont val="宋体"/>
        <charset val="134"/>
        <scheme val="minor"/>
      </rPr>
      <t>A</t>
    </r>
    <r>
      <rPr>
        <sz val="12"/>
        <color theme="1"/>
        <rFont val="宋体"/>
        <charset val="134"/>
        <scheme val="minor"/>
      </rPr>
      <t>）</t>
    </r>
  </si>
  <si>
    <r>
      <rPr>
        <sz val="12"/>
        <rFont val="宋体"/>
        <charset val="134"/>
        <scheme val="minor"/>
      </rPr>
      <t>＞1.5，经验算</t>
    </r>
    <r>
      <rPr>
        <i/>
        <sz val="12"/>
        <rFont val="宋体"/>
        <charset val="134"/>
        <scheme val="minor"/>
      </rPr>
      <t>K</t>
    </r>
    <r>
      <rPr>
        <i/>
        <vertAlign val="subscript"/>
        <sz val="12"/>
        <rFont val="宋体"/>
        <charset val="134"/>
        <scheme val="minor"/>
      </rPr>
      <t>sen</t>
    </r>
    <r>
      <rPr>
        <sz val="12"/>
        <rFont val="宋体"/>
        <charset val="134"/>
        <scheme val="minor"/>
      </rPr>
      <t>满足要求</t>
    </r>
  </si>
  <si>
    <r>
      <rPr>
        <sz val="12"/>
        <color theme="1"/>
        <rFont val="宋体"/>
        <charset val="134"/>
        <scheme val="minor"/>
      </rPr>
      <t>变压器组别为Dyn11，对远离发电机端短路为(</t>
    </r>
    <r>
      <rPr>
        <i/>
        <sz val="12"/>
        <color theme="1"/>
        <rFont val="宋体"/>
        <charset val="134"/>
        <scheme val="minor"/>
      </rPr>
      <t>A</t>
    </r>
    <r>
      <rPr>
        <sz val="12"/>
        <color theme="1"/>
        <rFont val="宋体"/>
        <charset val="134"/>
        <scheme val="minor"/>
      </rPr>
      <t>)</t>
    </r>
  </si>
  <si>
    <t>验算灵敏系数(淘宝店铺:枫启教育)</t>
  </si>
  <si>
    <t>保护装置的动作时限</t>
  </si>
  <si>
    <t>t=0.5-0.7s</t>
  </si>
  <si>
    <t>应与下一级保护动作时限相配合</t>
  </si>
  <si>
    <t>电流速断保护整定值</t>
  </si>
  <si>
    <r>
      <rPr>
        <sz val="12"/>
        <color theme="1"/>
        <rFont val="宋体"/>
        <charset val="134"/>
        <scheme val="minor"/>
      </rPr>
      <t>电流速断保护动作电流整定值（二次电流）</t>
    </r>
    <r>
      <rPr>
        <i/>
        <sz val="12"/>
        <color theme="1"/>
        <rFont val="宋体"/>
        <charset val="134"/>
        <scheme val="minor"/>
      </rPr>
      <t>A</t>
    </r>
  </si>
  <si>
    <t>因上一级主变系统参数不能确定，故无法验算灵敏系数是否满足要求。</t>
  </si>
  <si>
    <t>上一级主变系统参数</t>
  </si>
  <si>
    <t>验算灵敏系数</t>
  </si>
  <si>
    <t>保护装置的动作时限(淘宝店铺:枫启教育)</t>
  </si>
  <si>
    <t>t=0s</t>
  </si>
  <si>
    <t>取无动作时限</t>
  </si>
  <si>
    <r>
      <rPr>
        <b/>
        <sz val="12"/>
        <rFont val="宋体"/>
        <charset val="134"/>
      </rPr>
      <t>10KV</t>
    </r>
    <r>
      <rPr>
        <b/>
        <sz val="12"/>
        <rFont val="宋体"/>
        <charset val="134"/>
      </rPr>
      <t>/0.4KV</t>
    </r>
    <r>
      <rPr>
        <b/>
        <sz val="12"/>
        <rFont val="宋体"/>
        <charset val="134"/>
      </rPr>
      <t>配电变压器一、二次侧额定电流计算表</t>
    </r>
  </si>
  <si>
    <t xml:space="preserve">1． 变压器一次额定电流[I1e]和二次额定电流[I2e]： 
计算公式:S=√3UI 
40．5KV：I1e=0.017S 
12KV： I1e=0.06S 
7．2KV： I1e=0.1S 
当二次为0.4KV时：I2e=1.5S 
式中S为变压器容量（KVA），U为额定电压（KV），I为额定电流（A） 
2．三相电动机的额定电流（A）： 
计算公式:P=√3UICOS∮ 
考虑电机功率因数和效率的综合因数：Ie=0.76P/Ue 
12KV: I=0.076P 
7.2KV; I=0.126P 
3.6KV; I=0.25P 
0.4KV; I=2P 
式中P为电动机功率（KW），Ue为额定电压（KV），I为额定电流（A） 
3． 单相（220V）电动机的额定电流（A）： 
计算公式:P=UICOS∮ 
考虑电机功率因数和效率的综合因数 
Ie=5.7P 
式中P为电动机功率（KW），Ue为额定电压（KV），I为额定电流（A） 
4． 电容器额定电流（A）： 
电容器采用星接法Iq=Q/U√3 
式中Q为电容器容量（Kvar），U为额定电压（KV），I为额定电流（A） 
如果电容器采用三角接法：Iq=Q/U 
5． 熔断器熔体额定电流(A): 
PT保护[RN2,XRNP型]：I=0.5A或1A 
变压器保护[RN1,XRNT型]：I=(1.5-2.5)变压器一次额定电流[查标准值后按最接近值选] (淘宝店铺:爱学习工作室)
一般系数按2倍选取 
电容器保护[BRN型或德国西霸电容器专用熔断器]： 
I=（1.43-1.55）电容器额定电流[查标准值后按最接近值选] 
电动机保护：最好按产品样本直接选取。 
6． 电流互感器一次额定电流： 
1．5倍的负载计算电流[按最接近的标准值选]
</t>
  </si>
  <si>
    <t>变压器容量（KVA）</t>
  </si>
  <si>
    <t>一次侧电流（A）</t>
  </si>
  <si>
    <t>二次侧电流（A）</t>
  </si>
  <si>
    <t>输入：</t>
  </si>
  <si>
    <t xml:space="preserve">说明：计算变压器额定电流只需在白色单元格内输入变压器容量即可； </t>
  </si>
  <si>
    <t>特别注意：红色单元格内数据自动生成不得修改否则出错。</t>
  </si>
  <si>
    <t>三相电动机(0.4KV)额定电流计算表</t>
  </si>
  <si>
    <t>说明：计算额定电流只需在白色单元格内输入设备容量即可.(淘宝店铺:爱学习工作室)</t>
  </si>
  <si>
    <t>单相电动机(220V)额定电流计算表</t>
  </si>
  <si>
    <r>
      <rPr>
        <sz val="12"/>
        <rFont val="宋体"/>
        <charset val="134"/>
      </rPr>
      <t>说明：计算额定电流只需在白色单元格内输入设备容量即可.</t>
    </r>
    <r>
      <rPr>
        <sz val="12"/>
        <rFont val="宋体"/>
        <charset val="134"/>
      </rPr>
      <t>(</t>
    </r>
    <r>
      <rPr>
        <sz val="12"/>
        <rFont val="宋体"/>
        <charset val="134"/>
      </rPr>
      <t>淘宝店铺</t>
    </r>
    <r>
      <rPr>
        <sz val="12"/>
        <rFont val="宋体"/>
        <charset val="134"/>
      </rPr>
      <t>:</t>
    </r>
    <r>
      <rPr>
        <sz val="12"/>
        <rFont val="宋体"/>
        <charset val="134"/>
      </rPr>
      <t>爱学习工作室</t>
    </r>
    <r>
      <rPr>
        <sz val="12"/>
        <rFont val="宋体"/>
        <charset val="134"/>
      </rPr>
      <t>)</t>
    </r>
  </si>
  <si>
    <t>ID</t>
  </si>
  <si>
    <t>编码</t>
  </si>
  <si>
    <t>名称</t>
  </si>
  <si>
    <t>工程量</t>
  </si>
  <si>
    <t>特项</t>
  </si>
  <si>
    <t>人工费</t>
  </si>
  <si>
    <t>YD1-1</t>
  </si>
  <si>
    <t>三相电力变压器安装 容量(KVA以下)、250</t>
  </si>
  <si>
    <t>安装</t>
  </si>
  <si>
    <t>193.41</t>
  </si>
  <si>
    <t>YD1-10</t>
  </si>
  <si>
    <t>三相电力变压器安装 容量(KVA以下)、500</t>
  </si>
  <si>
    <t>234.55</t>
  </si>
  <si>
    <t>YD1-11</t>
  </si>
  <si>
    <t>三相电力变压器安装 容量(KVA以下)、1000</t>
  </si>
  <si>
    <t>307.25</t>
  </si>
  <si>
    <t>YD1-12</t>
  </si>
  <si>
    <t>三相电力变压器安装 容量(KVA以下)、2000</t>
  </si>
  <si>
    <t>366.66</t>
  </si>
  <si>
    <t>YD1-13</t>
  </si>
  <si>
    <t>三相电力变压器安装 容量(KVA以下)、4000</t>
  </si>
  <si>
    <t>660.70</t>
  </si>
  <si>
    <t>YD1-14</t>
  </si>
  <si>
    <t>三相电力变压器安装 容量(KVA以下)、8000</t>
  </si>
  <si>
    <t>968.90</t>
  </si>
  <si>
    <t>YD1-15</t>
  </si>
  <si>
    <t>三相电力变压器安装 容量(KVA以下)、10000</t>
  </si>
  <si>
    <t>1159.22</t>
  </si>
  <si>
    <t>YD1-16</t>
  </si>
  <si>
    <t>550.64</t>
  </si>
  <si>
    <t>YD1-17</t>
  </si>
  <si>
    <t>1088.05</t>
  </si>
  <si>
    <t>YD1-18</t>
  </si>
  <si>
    <t>1882.63</t>
  </si>
  <si>
    <t>YD1-19</t>
  </si>
  <si>
    <t>三相电力变压器安装 容量(KVA以下)、16000</t>
  </si>
  <si>
    <t>2327.58</t>
  </si>
  <si>
    <t>YD1-2</t>
  </si>
  <si>
    <t>248.62</t>
  </si>
  <si>
    <t>YD1-20</t>
  </si>
  <si>
    <t>三相电力变压器安装 容量(KVA以下)、40000</t>
  </si>
  <si>
    <t>3433.67</t>
  </si>
  <si>
    <t>YD1-21</t>
  </si>
  <si>
    <t>2446.14</t>
  </si>
  <si>
    <t>YD1-22</t>
  </si>
  <si>
    <t>三相电力变压器安装 容量(KVA以下)、25000</t>
  </si>
  <si>
    <t>3018.10</t>
  </si>
  <si>
    <t>YD1-23</t>
  </si>
  <si>
    <t>三相电力变压器安装 容量(KVA以下)、63000</t>
  </si>
  <si>
    <t>3728.97</t>
  </si>
  <si>
    <t>YD1-24</t>
  </si>
  <si>
    <t>三相电力变压器安装 容量(KVA以下)、120000</t>
  </si>
  <si>
    <t>4967.05</t>
  </si>
  <si>
    <t>YD1-25</t>
  </si>
  <si>
    <t>2611.33</t>
  </si>
  <si>
    <t>YD1-26</t>
  </si>
  <si>
    <t>3254.96</t>
  </si>
  <si>
    <t>YD1-27</t>
  </si>
  <si>
    <t>4011.84</t>
  </si>
  <si>
    <t>YD1-28</t>
  </si>
  <si>
    <t>5374.24</t>
  </si>
  <si>
    <t>YD1-29</t>
  </si>
  <si>
    <t>三相电力变压器安装 容量(KVA以下)、20000</t>
  </si>
  <si>
    <t>3704.80</t>
  </si>
  <si>
    <t>YD1-3</t>
  </si>
  <si>
    <t>425.71</t>
  </si>
  <si>
    <t>YD1-30</t>
  </si>
  <si>
    <t>4287.57</t>
  </si>
  <si>
    <t>YD1-31</t>
  </si>
  <si>
    <t>4693.46</t>
  </si>
  <si>
    <t>YD1-32</t>
  </si>
  <si>
    <t>5671.53</t>
  </si>
  <si>
    <t>YD1-33</t>
  </si>
  <si>
    <t>三相电力变压器安装 容量(KVA以下)、180000</t>
  </si>
  <si>
    <t>6910.28</t>
  </si>
  <si>
    <t>YD1-34</t>
  </si>
  <si>
    <t>三相电力变压器安装 容量(KVA以下)、260000</t>
  </si>
  <si>
    <t>7691.06</t>
  </si>
  <si>
    <t>YD1-35</t>
  </si>
  <si>
    <t>三相电力变压器安装 容量(KVA以下)、360000</t>
  </si>
  <si>
    <t>8428.01</t>
  </si>
  <si>
    <t>YD1-36</t>
  </si>
  <si>
    <t>三相电力变压器安装 容量(KVA以下)、425000</t>
  </si>
  <si>
    <t>9528.60</t>
  </si>
  <si>
    <t>YD1-37</t>
  </si>
  <si>
    <t>三相电力变压器安装 容量(KVA以下)、690000</t>
  </si>
  <si>
    <t>10780.12</t>
  </si>
  <si>
    <t>YD1-38</t>
  </si>
  <si>
    <t>4266.26</t>
  </si>
  <si>
    <t>YD1-39</t>
  </si>
  <si>
    <t>4916.48</t>
  </si>
  <si>
    <t>YD1-4</t>
  </si>
  <si>
    <t>551.40</t>
  </si>
  <si>
    <t>YD1-40</t>
  </si>
  <si>
    <t>5392.34</t>
  </si>
  <si>
    <t>YD1-41</t>
  </si>
  <si>
    <t>7103.40</t>
  </si>
  <si>
    <t>YD1-42</t>
  </si>
  <si>
    <t>三相电力变压器安装 容量(KVA以下)、150000</t>
  </si>
  <si>
    <t>7818.45</t>
  </si>
  <si>
    <t>YD1-43</t>
  </si>
  <si>
    <t>三相电力变压器安装 容量(KVA以下)、240000</t>
  </si>
  <si>
    <t>8663.00</t>
  </si>
  <si>
    <t>YD1-44</t>
  </si>
  <si>
    <t>9334.12</t>
  </si>
  <si>
    <t>YD1-45</t>
  </si>
  <si>
    <t>10643.07</t>
  </si>
  <si>
    <t>YD1-46</t>
  </si>
  <si>
    <t>12040.62</t>
  </si>
  <si>
    <t>YD1-47</t>
  </si>
  <si>
    <t>三相电力变压器安装 容量(KVA以下)、90000</t>
  </si>
  <si>
    <t>7585.28</t>
  </si>
  <si>
    <t>YD1-48</t>
  </si>
  <si>
    <t>9011.88</t>
  </si>
  <si>
    <t>YD1-49</t>
  </si>
  <si>
    <t>9984.93</t>
  </si>
  <si>
    <t>YD1-5</t>
  </si>
  <si>
    <t>993.45</t>
  </si>
  <si>
    <t>YD1-50</t>
  </si>
  <si>
    <t>13262.38</t>
  </si>
  <si>
    <t>YD1-51</t>
  </si>
  <si>
    <t>11183.47</t>
  </si>
  <si>
    <t>YD1-52</t>
  </si>
  <si>
    <t>14874.01</t>
  </si>
  <si>
    <t>YD1-53</t>
  </si>
  <si>
    <t>三相电力变压器安装 容量(KVA以下)、750000</t>
  </si>
  <si>
    <t>19799.18</t>
  </si>
  <si>
    <t>YD1-6</t>
  </si>
  <si>
    <t>1457.00</t>
  </si>
  <si>
    <t>YD1-7</t>
  </si>
  <si>
    <t>2157.20</t>
  </si>
  <si>
    <t>YD1-8</t>
  </si>
  <si>
    <t>2810.03</t>
  </si>
  <si>
    <t>YD1-9</t>
  </si>
  <si>
    <t>154.77</t>
  </si>
  <si>
    <t>YD1-54</t>
  </si>
  <si>
    <t>单相变压器安装 双卷容量(KVA以下)、40000</t>
  </si>
  <si>
    <t>3777.52</t>
  </si>
  <si>
    <t>YD1-55</t>
  </si>
  <si>
    <t>单相变压器安装 双卷容量(KVA以下)、60000</t>
  </si>
  <si>
    <t>4214.74</t>
  </si>
  <si>
    <t>YD1-56</t>
  </si>
  <si>
    <t>单相变压器安装 双卷容量(KVA以下)、90000</t>
  </si>
  <si>
    <t>4583.86</t>
  </si>
  <si>
    <t>YD1-57</t>
  </si>
  <si>
    <t>单相变压器安装 双卷容量(KVA以下)、120000</t>
  </si>
  <si>
    <t>5163.90</t>
  </si>
  <si>
    <t>YD1-58</t>
  </si>
  <si>
    <t>单相变压器安装 双卷容量(KVA以下)、250000</t>
  </si>
  <si>
    <t>6196.87</t>
  </si>
  <si>
    <t>YD1-59</t>
  </si>
  <si>
    <t>单相变压器安装 三卷容量(KVA以下)、40000</t>
  </si>
  <si>
    <t>3996.49</t>
  </si>
  <si>
    <t>YD1-60</t>
  </si>
  <si>
    <t>单相变压器安装 三卷容量(KVA以下)、60000</t>
  </si>
  <si>
    <t>4475.00</t>
  </si>
  <si>
    <t>YD1-61</t>
  </si>
  <si>
    <t>单相变压器安装 三卷容量(KVA以下)、90000</t>
  </si>
  <si>
    <t>4922.48</t>
  </si>
  <si>
    <t>YD1-62</t>
  </si>
  <si>
    <t>单相变压器安装 330KV容量(KVA以下)、40000</t>
  </si>
  <si>
    <t>5091.70</t>
  </si>
  <si>
    <t>YD1-63</t>
  </si>
  <si>
    <t>单相变压器安装 330KV容量(KVA以下)、120000</t>
  </si>
  <si>
    <t>7735.98</t>
  </si>
  <si>
    <t>YD1-64</t>
  </si>
  <si>
    <t>单相变压器安装 330KV容量(KVA以下)、250000</t>
  </si>
  <si>
    <t>9283.24</t>
  </si>
  <si>
    <t>YD1-65</t>
  </si>
  <si>
    <t>单相变压器安装 500KV容量(KVA以下)、167000</t>
  </si>
  <si>
    <t>9195.69</t>
  </si>
  <si>
    <t>YD1-66</t>
  </si>
  <si>
    <t>单相变压器安装 500KV容量(KVA以下)、250000</t>
  </si>
  <si>
    <t>10520.94</t>
  </si>
  <si>
    <t>YD1-67</t>
  </si>
  <si>
    <t>消弧线圈子安装 10KV容量(KVA以下)、300</t>
  </si>
  <si>
    <t>229.11</t>
  </si>
  <si>
    <t>YD1-68</t>
  </si>
  <si>
    <t>消弧线圈子安装 10KV容量(KVA以下)、1200</t>
  </si>
  <si>
    <t>500.66</t>
  </si>
  <si>
    <t>YD1-69</t>
  </si>
  <si>
    <t>消弧线圈子安装 35KV容量(KVA以下)、550</t>
  </si>
  <si>
    <t>341.86</t>
  </si>
  <si>
    <t>YD1-70</t>
  </si>
  <si>
    <t>消弧线圈子安装 35KV容量(KVA以下)、2200</t>
  </si>
  <si>
    <t>537.60</t>
  </si>
  <si>
    <t>YD1-71</t>
  </si>
  <si>
    <t>消弧线圈子安装 60KV容量(KVA以下)、1900</t>
  </si>
  <si>
    <t>758.92</t>
  </si>
  <si>
    <t>YD1-72</t>
  </si>
  <si>
    <t>消弧线圈子安装 60KV容量(KVA以下)、3800</t>
  </si>
  <si>
    <t>875.26</t>
  </si>
  <si>
    <t>YD1-73</t>
  </si>
  <si>
    <t>消弧线圈子安装 110KV容量、4500</t>
  </si>
  <si>
    <t>1608.47</t>
  </si>
  <si>
    <t>YD1-74</t>
  </si>
  <si>
    <t>消弧线圈子安装 220KV容量、8000</t>
  </si>
  <si>
    <t>1949.12</t>
  </si>
  <si>
    <t>YD1-100</t>
  </si>
  <si>
    <t>变压器干燥 三卷容量(KVA以下)、40000</t>
  </si>
  <si>
    <t>3586.30</t>
  </si>
  <si>
    <t>YD1-101</t>
  </si>
  <si>
    <t>变压器干燥 三卷容量(KVA以下)、63000</t>
  </si>
  <si>
    <t>3910.81</t>
  </si>
  <si>
    <t>YD1-102</t>
  </si>
  <si>
    <t>变压器干燥 三卷容量(KVA以下)、120000</t>
  </si>
  <si>
    <t>4893.38</t>
  </si>
  <si>
    <t>YD1-75</t>
  </si>
  <si>
    <t>变压器干燥 容量(KVA以下)、250</t>
  </si>
  <si>
    <t>215.88</t>
  </si>
  <si>
    <t>YD1-76</t>
  </si>
  <si>
    <t>变压器干燥 容量(KVA以下)、500</t>
  </si>
  <si>
    <t>286.84</t>
  </si>
  <si>
    <t>YD1-77</t>
  </si>
  <si>
    <t>变压器干燥 容量(KVA以下)、1000</t>
  </si>
  <si>
    <t>412.46</t>
  </si>
  <si>
    <t>YD1-78</t>
  </si>
  <si>
    <t>变压器干燥 容量(KVA以下)、4000</t>
  </si>
  <si>
    <t>936.64</t>
  </si>
  <si>
    <t>YD1-79</t>
  </si>
  <si>
    <t>变压器干燥 容量(KVA以下)、8000</t>
  </si>
  <si>
    <t>1144.71</t>
  </si>
  <si>
    <t>YD1-80</t>
  </si>
  <si>
    <t>变压器干燥 容量(KVA以下)、20000</t>
  </si>
  <si>
    <t>1475.88</t>
  </si>
  <si>
    <t>YD1-81</t>
  </si>
  <si>
    <t>变压器干燥 容量(KVA以下)、40000</t>
  </si>
  <si>
    <t>1778.70</t>
  </si>
  <si>
    <t>YD1-82</t>
  </si>
  <si>
    <t>变压器干燥 容量(KVA以下)、2000</t>
  </si>
  <si>
    <t>803.21</t>
  </si>
  <si>
    <t>YD1-83</t>
  </si>
  <si>
    <t>1258.24</t>
  </si>
  <si>
    <t>YD1-84</t>
  </si>
  <si>
    <t>1589.59</t>
  </si>
  <si>
    <t>YD1-85</t>
  </si>
  <si>
    <t>变压器干燥 容量(KVA以下)、16000</t>
  </si>
  <si>
    <t>2214.09</t>
  </si>
  <si>
    <t>YD1-86</t>
  </si>
  <si>
    <t>3144.90</t>
  </si>
  <si>
    <t>YD1-87</t>
  </si>
  <si>
    <t>变压器干燥 双卷容量(KVA以下)、10000</t>
  </si>
  <si>
    <t>2289.61</t>
  </si>
  <si>
    <t>YD1-88</t>
  </si>
  <si>
    <t>变压器干燥 双卷容量(KVA以下)、25000</t>
  </si>
  <si>
    <t>2706.19</t>
  </si>
  <si>
    <t>YD1-89</t>
  </si>
  <si>
    <t>变压器干燥 双卷容量(KVA以下)、63000</t>
  </si>
  <si>
    <t>3376.40</t>
  </si>
  <si>
    <t>YD1-90</t>
  </si>
  <si>
    <t>变压器干燥 双卷容量(KVA以下)、120000</t>
  </si>
  <si>
    <t>3950.42</t>
  </si>
  <si>
    <t>YD1-91</t>
  </si>
  <si>
    <t>变压器干燥 三卷容量(KVA以下)、10000</t>
  </si>
  <si>
    <t>2431.63</t>
  </si>
  <si>
    <t>YD1-92</t>
  </si>
  <si>
    <t>变压器干燥 三卷容量(KVA以下)、25000</t>
  </si>
  <si>
    <t>3036.83</t>
  </si>
  <si>
    <t>YD1-93</t>
  </si>
  <si>
    <t>3576.15</t>
  </si>
  <si>
    <t>YD1-94</t>
  </si>
  <si>
    <t>4162.68</t>
  </si>
  <si>
    <t>YD1-95</t>
  </si>
  <si>
    <t>变压器干燥 双卷容量(KVA以下)、20000</t>
  </si>
  <si>
    <t>3122.26</t>
  </si>
  <si>
    <t>YD1-96</t>
  </si>
  <si>
    <t>变压器干燥 双卷容量(KVA以下)、40000</t>
  </si>
  <si>
    <t>3453.24</t>
  </si>
  <si>
    <t>YD1-97</t>
  </si>
  <si>
    <t>3765.34</t>
  </si>
  <si>
    <t>YD1-98</t>
  </si>
  <si>
    <t>4711.73</t>
  </si>
  <si>
    <t>YD1-99</t>
  </si>
  <si>
    <t>变压器干燥 三卷容量(KVA以下)、20000</t>
  </si>
  <si>
    <t>3242.55</t>
  </si>
  <si>
    <t>YD1-103</t>
  </si>
  <si>
    <t>变压器油过滤 220KV设备以下</t>
  </si>
  <si>
    <t>70.98</t>
  </si>
  <si>
    <t>YD1-104</t>
  </si>
  <si>
    <t>变压器油过滤 330KV-500KV设备</t>
  </si>
  <si>
    <t>126.42</t>
  </si>
  <si>
    <t>YD2-1</t>
  </si>
  <si>
    <t>断路器安装 电压(KV以下)、10</t>
  </si>
  <si>
    <t>78.50</t>
  </si>
  <si>
    <t>YD2-10</t>
  </si>
  <si>
    <t>户外少油断路器、110</t>
  </si>
  <si>
    <t>699.57</t>
  </si>
  <si>
    <t>YD2-11</t>
  </si>
  <si>
    <t>户外少油断路器、220</t>
  </si>
  <si>
    <t>1624.37</t>
  </si>
  <si>
    <t>YD2-12</t>
  </si>
  <si>
    <t>户外少油断路器、330</t>
  </si>
  <si>
    <t>2254.50</t>
  </si>
  <si>
    <t>YD2-13</t>
  </si>
  <si>
    <t>断路器安装 电压(KV)、35</t>
  </si>
  <si>
    <t>444.84</t>
  </si>
  <si>
    <t>YD2-14</t>
  </si>
  <si>
    <t>断路器安装 电压(KV)、110</t>
  </si>
  <si>
    <t>780.09</t>
  </si>
  <si>
    <t>YD2-15</t>
  </si>
  <si>
    <t>断路器安装 电压(KV)、220</t>
  </si>
  <si>
    <t>1173.06</t>
  </si>
  <si>
    <t>YD2-16</t>
  </si>
  <si>
    <t>断路器安装 电压(KV)、330</t>
  </si>
  <si>
    <t>2031.12</t>
  </si>
  <si>
    <t>YD2-17</t>
  </si>
  <si>
    <t>断路器安装 电压(KV)、500</t>
  </si>
  <si>
    <t>2774.52</t>
  </si>
  <si>
    <t>YD2-18</t>
  </si>
  <si>
    <t>断路器安装 电    压、110KV</t>
  </si>
  <si>
    <t>间隔</t>
  </si>
  <si>
    <t>3065.58</t>
  </si>
  <si>
    <t>YD2-19</t>
  </si>
  <si>
    <t>断路器安装 电    压、220KV</t>
  </si>
  <si>
    <t>3858.33</t>
  </si>
  <si>
    <t>YD2-2</t>
  </si>
  <si>
    <t>断路器安装 电压(KV以下)、35</t>
  </si>
  <si>
    <t>210.90</t>
  </si>
  <si>
    <t>YD2-20</t>
  </si>
  <si>
    <t>断路器安装 电    压、330KV</t>
  </si>
  <si>
    <t>4627.35</t>
  </si>
  <si>
    <t>YD2-21</t>
  </si>
  <si>
    <t>断路器安装 电    压、500KV</t>
  </si>
  <si>
    <t>5315.94</t>
  </si>
  <si>
    <t>YD2-3</t>
  </si>
  <si>
    <t>断路器安装 户内(电流A以下)、1000</t>
  </si>
  <si>
    <t>136.50</t>
  </si>
  <si>
    <t>YD2-4</t>
  </si>
  <si>
    <t>断路器安装 户内(电流A以下)、3000</t>
  </si>
  <si>
    <t>293.12</t>
  </si>
  <si>
    <t>YD2-5</t>
  </si>
  <si>
    <t>断路器安装 户内(电流A以下)、6000</t>
  </si>
  <si>
    <t>708.37</t>
  </si>
  <si>
    <t>YD2-6</t>
  </si>
  <si>
    <t>断路器安装 户内(电流A以下)、8000</t>
  </si>
  <si>
    <t>717.38</t>
  </si>
  <si>
    <t>YD2-7</t>
  </si>
  <si>
    <t>断路器安装 户内(电流A以下)、12000</t>
  </si>
  <si>
    <t>1014.47</t>
  </si>
  <si>
    <t>YD2-8</t>
  </si>
  <si>
    <t>断路器安装 户内(电流A以下)、延长轴配制增加</t>
  </si>
  <si>
    <t>22.05</t>
  </si>
  <si>
    <t>YD2-9</t>
  </si>
  <si>
    <t>户外少油断路器、35</t>
  </si>
  <si>
    <t>266.68</t>
  </si>
  <si>
    <t>YD2-22</t>
  </si>
  <si>
    <t>隔离开关安装 10-20KV 电流(A)以下、600</t>
  </si>
  <si>
    <t>组</t>
  </si>
  <si>
    <t>57.88</t>
  </si>
  <si>
    <t>YD2-23</t>
  </si>
  <si>
    <t>隔离开关安装 10-20KV 电流(A)以下、2000</t>
  </si>
  <si>
    <t>71.46</t>
  </si>
  <si>
    <t>YD2-24</t>
  </si>
  <si>
    <t>隔离开关安装 10-20KV 电流(A)以下、4000</t>
  </si>
  <si>
    <t>189.27</t>
  </si>
  <si>
    <t>YD2-25</t>
  </si>
  <si>
    <t>隔离开关安装 10-20KV 电流(A)以下、8000</t>
  </si>
  <si>
    <t>236.42</t>
  </si>
  <si>
    <t>YD2-26</t>
  </si>
  <si>
    <t>隔离开关安装 10-20KV 电流(A)以下、15000</t>
  </si>
  <si>
    <t>317.60</t>
  </si>
  <si>
    <t>YD2-27</t>
  </si>
  <si>
    <t>隔离开关安装 35KV  电流(A)以下、600</t>
  </si>
  <si>
    <t>97.02</t>
  </si>
  <si>
    <t>YD2-28</t>
  </si>
  <si>
    <t>隔离开关安装 35KV  电流(A)以下、2000</t>
  </si>
  <si>
    <t>121.84</t>
  </si>
  <si>
    <t>YD2-29</t>
  </si>
  <si>
    <t>隔离开关安装 35KV  电流(A)以下、二段式增加</t>
  </si>
  <si>
    <t>34.02</t>
  </si>
  <si>
    <t>YD2-30</t>
  </si>
  <si>
    <t>隔离开关安装 35KV、单相(台)</t>
  </si>
  <si>
    <t>105.57</t>
  </si>
  <si>
    <t>YD2-31</t>
  </si>
  <si>
    <t>隔离开关安装 35KV、三相</t>
  </si>
  <si>
    <t>170.06</t>
  </si>
  <si>
    <t>YD2-32</t>
  </si>
  <si>
    <t>隔离开关安装 35KV、三相带接地</t>
  </si>
  <si>
    <t>198.28</t>
  </si>
  <si>
    <t>YD2-33</t>
  </si>
  <si>
    <t>隔离开关安装 110KV、单相(台)</t>
  </si>
  <si>
    <t>113.80</t>
  </si>
  <si>
    <t>YD2-34</t>
  </si>
  <si>
    <t>隔离开关安装 110KV、三相</t>
  </si>
  <si>
    <t>209.77</t>
  </si>
  <si>
    <t>YD2-35</t>
  </si>
  <si>
    <t>隔离开关安装 110KV、三相带接地</t>
  </si>
  <si>
    <t>242.05</t>
  </si>
  <si>
    <t>YD2-36</t>
  </si>
  <si>
    <t>隔离开关安装 110KV、三相带双地</t>
  </si>
  <si>
    <t>261.72</t>
  </si>
  <si>
    <t>YD2-37</t>
  </si>
  <si>
    <t>隔离开关安装 110KV、高度超过6m</t>
  </si>
  <si>
    <t>283.00</t>
  </si>
  <si>
    <t>YD2-38</t>
  </si>
  <si>
    <t>隔离开关安装 220KV、单相(台)</t>
  </si>
  <si>
    <t>255.19</t>
  </si>
  <si>
    <t>YD2-39</t>
  </si>
  <si>
    <t>隔离开关安装 220KV、三相</t>
  </si>
  <si>
    <t>634.28</t>
  </si>
  <si>
    <t>YD2-40</t>
  </si>
  <si>
    <t>隔离开关安装 220KV、三相带接地</t>
  </si>
  <si>
    <t>697.62</t>
  </si>
  <si>
    <t>YD2-41</t>
  </si>
  <si>
    <t>隔离开关安装 220KV、三相带双接地</t>
  </si>
  <si>
    <t>762.07</t>
  </si>
  <si>
    <t>YD2-42</t>
  </si>
  <si>
    <t>隔离开关安装 220KV、安装高度超过6m</t>
  </si>
  <si>
    <t>797.20</t>
  </si>
  <si>
    <t>YD2-43</t>
  </si>
  <si>
    <t>147.90</t>
  </si>
  <si>
    <t>YD2-44</t>
  </si>
  <si>
    <t>199.35</t>
  </si>
  <si>
    <t>YD2-45</t>
  </si>
  <si>
    <t>213.00</t>
  </si>
  <si>
    <t>YD2-46</t>
  </si>
  <si>
    <t>254.52</t>
  </si>
  <si>
    <t>YD2-47</t>
  </si>
  <si>
    <t>隔离开关安装 110KV、三相带双接地</t>
  </si>
  <si>
    <t>269.91</t>
  </si>
  <si>
    <t>YD2-48</t>
  </si>
  <si>
    <t>隔离开关安装 110KV、安装高度超过6m</t>
  </si>
  <si>
    <t>293.79</t>
  </si>
  <si>
    <t>YD2-49</t>
  </si>
  <si>
    <t>477.16</t>
  </si>
  <si>
    <t>YD2-50</t>
  </si>
  <si>
    <t>573.99</t>
  </si>
  <si>
    <t>YD2-51</t>
  </si>
  <si>
    <t>624.02</t>
  </si>
  <si>
    <t>YD2-52</t>
  </si>
  <si>
    <t>689.28</t>
  </si>
  <si>
    <t>YD2-53</t>
  </si>
  <si>
    <t>隔离开关安装 330KV、三相</t>
  </si>
  <si>
    <t>934.35</t>
  </si>
  <si>
    <t>YD2-54</t>
  </si>
  <si>
    <t>隔离开关安装 330KV、三相带接地</t>
  </si>
  <si>
    <t>1018.98</t>
  </si>
  <si>
    <t>YD2-55</t>
  </si>
  <si>
    <t>隔离开关安装 330KV、三相带双接地</t>
  </si>
  <si>
    <t>1102.00</t>
  </si>
  <si>
    <t>YD2-56</t>
  </si>
  <si>
    <t>隔离开关安装 330KV、安装高度过6m</t>
  </si>
  <si>
    <t>1295.97</t>
  </si>
  <si>
    <t>YD2-57</t>
  </si>
  <si>
    <t>隔离开关安装 500KV、三相</t>
  </si>
  <si>
    <t>1367.37</t>
  </si>
  <si>
    <t>YD2-58</t>
  </si>
  <si>
    <t>隔离开关安装 500KV、三相带接地</t>
  </si>
  <si>
    <t>1480.33</t>
  </si>
  <si>
    <t>YD2-59</t>
  </si>
  <si>
    <t>隔离开关安装 500KV、三相带双接地</t>
  </si>
  <si>
    <t>1564.73</t>
  </si>
  <si>
    <t>YD2-60</t>
  </si>
  <si>
    <t>隔离开关安装 500KV、安装高度过6m</t>
  </si>
  <si>
    <t>1763.87</t>
  </si>
  <si>
    <t>YD2-61</t>
  </si>
  <si>
    <t>641.47</t>
  </si>
  <si>
    <t>YD2-62</t>
  </si>
  <si>
    <t>690.06</t>
  </si>
  <si>
    <t>YD2-63</t>
  </si>
  <si>
    <t>1250.74</t>
  </si>
  <si>
    <t>YD2-64</t>
  </si>
  <si>
    <t>1316.95</t>
  </si>
  <si>
    <t>YD2-65</t>
  </si>
  <si>
    <t>1651.99</t>
  </si>
  <si>
    <t>YD2-66</t>
  </si>
  <si>
    <t>1800.50</t>
  </si>
  <si>
    <t>YD2-67</t>
  </si>
  <si>
    <t>电流互感器与隔离开关组合、三相</t>
  </si>
  <si>
    <t>1304.37</t>
  </si>
  <si>
    <t>YD2-68</t>
  </si>
  <si>
    <t>电流互感器与隔离开关组合、三相带接地</t>
  </si>
  <si>
    <t>1692.87</t>
  </si>
  <si>
    <t>YD2-69</t>
  </si>
  <si>
    <t>隔离开关与隔离开关组合、三相带接地</t>
  </si>
  <si>
    <t>2125.09</t>
  </si>
  <si>
    <t>YD2-70</t>
  </si>
  <si>
    <t>隔离开关与隔离开关组合、三相带双接地</t>
  </si>
  <si>
    <t>2295.45</t>
  </si>
  <si>
    <t>YD2-71</t>
  </si>
  <si>
    <t>隔离开关安装 电压(KV)、330</t>
  </si>
  <si>
    <t>366.72</t>
  </si>
  <si>
    <t>YD2-72</t>
  </si>
  <si>
    <t>隔离开关安装 电压(KV)、500</t>
  </si>
  <si>
    <t>489.17</t>
  </si>
  <si>
    <t>YD2-73</t>
  </si>
  <si>
    <t>电压互感器安装 油浸式(KV)、6-20</t>
  </si>
  <si>
    <t>17.35</t>
  </si>
  <si>
    <t>YD2-74</t>
  </si>
  <si>
    <t>电压互感器安装 油浸式(KV)、35</t>
  </si>
  <si>
    <t>24.91</t>
  </si>
  <si>
    <t>YD2-75</t>
  </si>
  <si>
    <t>电压互感器安装 油浸式(KV)、110</t>
  </si>
  <si>
    <t>43.76</t>
  </si>
  <si>
    <t>YD2-76</t>
  </si>
  <si>
    <t>电压互感器安装 油浸式(KV)、220</t>
  </si>
  <si>
    <t>72.95</t>
  </si>
  <si>
    <t>YD2-77</t>
  </si>
  <si>
    <t>电压互感器安装 电容式(KV)、110</t>
  </si>
  <si>
    <t>96.73</t>
  </si>
  <si>
    <t>YD2-78</t>
  </si>
  <si>
    <t>电压互感器安装 电容式(KV)、220</t>
  </si>
  <si>
    <t>152.61</t>
  </si>
  <si>
    <t>YD2-79</t>
  </si>
  <si>
    <t>电压互感器安装 电容式(KV)、330</t>
  </si>
  <si>
    <t>184.93</t>
  </si>
  <si>
    <t>YD2-80</t>
  </si>
  <si>
    <t>电压互感器安装 电容式(KV)、500</t>
  </si>
  <si>
    <t>221.09</t>
  </si>
  <si>
    <t>YD2-81</t>
  </si>
  <si>
    <t>电流互感器安装 电流(A以下)、1000</t>
  </si>
  <si>
    <t>12.39</t>
  </si>
  <si>
    <t>YD2-82</t>
  </si>
  <si>
    <t>电流互感器安装 电流(A以下)、2000</t>
  </si>
  <si>
    <t>17.22</t>
  </si>
  <si>
    <t>YD2-83</t>
  </si>
  <si>
    <t>电流互感器安装 电流(A以下)、4000</t>
  </si>
  <si>
    <t>23.90</t>
  </si>
  <si>
    <t>YD2-84</t>
  </si>
  <si>
    <t>电流互感器安装 电流(A以下)、8000</t>
  </si>
  <si>
    <t>36.48</t>
  </si>
  <si>
    <t>YD2-85</t>
  </si>
  <si>
    <t>电流互感器安装 电流(A以下)、15000</t>
  </si>
  <si>
    <t>45.95</t>
  </si>
  <si>
    <t>YD2-86</t>
  </si>
  <si>
    <t>电流互感器安装 电压(KV以下)、35</t>
  </si>
  <si>
    <t>22.76</t>
  </si>
  <si>
    <t>YD2-87</t>
  </si>
  <si>
    <t>电流互感器安装 电压(KV以下)、110</t>
  </si>
  <si>
    <t>68.90</t>
  </si>
  <si>
    <t>YD2-88</t>
  </si>
  <si>
    <t>电流互感器安装 电压(KV以下)、220</t>
  </si>
  <si>
    <t>81.33</t>
  </si>
  <si>
    <t>YD2-89</t>
  </si>
  <si>
    <t>电流互感器安装 电压(KV以下)、330</t>
  </si>
  <si>
    <t>139.08</t>
  </si>
  <si>
    <t>YD2-90</t>
  </si>
  <si>
    <t>电流互感器安装 电压(KV以下)、500</t>
  </si>
  <si>
    <t>168.63</t>
  </si>
  <si>
    <t>YD2-100</t>
  </si>
  <si>
    <t>避雷器安装 氧化锌式(KV)、110</t>
  </si>
  <si>
    <t>组/三相</t>
  </si>
  <si>
    <t>105.65</t>
  </si>
  <si>
    <t>YD2-101</t>
  </si>
  <si>
    <t>避雷器安装 氧化锌式(KV)、220</t>
  </si>
  <si>
    <t>254.79</t>
  </si>
  <si>
    <t>YD2-102</t>
  </si>
  <si>
    <t>避雷器安装 氧化锌式(KV)、330</t>
  </si>
  <si>
    <t>320.17</t>
  </si>
  <si>
    <t>YD2-103</t>
  </si>
  <si>
    <t>避雷器安装 氧化锌式(KV)、500</t>
  </si>
  <si>
    <t>407.88</t>
  </si>
  <si>
    <t>YD2-91</t>
  </si>
  <si>
    <t>避雷器安装 普通阀式(KV)、35</t>
  </si>
  <si>
    <t>58.51</t>
  </si>
  <si>
    <t>YD2-92</t>
  </si>
  <si>
    <t>避雷器安装 普通阀式(KV)、110</t>
  </si>
  <si>
    <t>YD2-93</t>
  </si>
  <si>
    <t>避雷器安装 普通阀式(KV)、220</t>
  </si>
  <si>
    <t>524.94</t>
  </si>
  <si>
    <t>YD2-94</t>
  </si>
  <si>
    <t>避雷器安装 磁吹式(KV)、35</t>
  </si>
  <si>
    <t>40.53</t>
  </si>
  <si>
    <t>YD2-95</t>
  </si>
  <si>
    <t>避雷器安装 磁吹式(KV)、110</t>
  </si>
  <si>
    <t>104.33</t>
  </si>
  <si>
    <t>YD2-96</t>
  </si>
  <si>
    <t>避雷器安装 磁吹式(KV)、220</t>
  </si>
  <si>
    <t>251.03</t>
  </si>
  <si>
    <t>YD2-97</t>
  </si>
  <si>
    <t>避雷器安装 磁吹式(KV)、330</t>
  </si>
  <si>
    <t>315.67</t>
  </si>
  <si>
    <t>YD2-98</t>
  </si>
  <si>
    <t>避雷器安装 磁吹式(KV)、500</t>
  </si>
  <si>
    <t>402.11</t>
  </si>
  <si>
    <t>YD2-99</t>
  </si>
  <si>
    <t>避雷器安装 氧化锌式(KV)、35</t>
  </si>
  <si>
    <t>41.01</t>
  </si>
  <si>
    <t>YD2-104</t>
  </si>
  <si>
    <t>移相电容器(Kg以下)、50</t>
  </si>
  <si>
    <t>6.26</t>
  </si>
  <si>
    <t>YD2-105</t>
  </si>
  <si>
    <t>移相电容器(Kg以下)、80</t>
  </si>
  <si>
    <t>7.29</t>
  </si>
  <si>
    <t>YD2-106</t>
  </si>
  <si>
    <t>耦合电容器(KV)、35</t>
  </si>
  <si>
    <t>25.20</t>
  </si>
  <si>
    <t>YD2-107</t>
  </si>
  <si>
    <t>耦合电容器(KV)、110</t>
  </si>
  <si>
    <t>42.44</t>
  </si>
  <si>
    <t>YD2-108</t>
  </si>
  <si>
    <t>耦合电容器(KV)、220</t>
  </si>
  <si>
    <t>97.86</t>
  </si>
  <si>
    <t>YD2-109</t>
  </si>
  <si>
    <t>耦合电容器(KV)、330</t>
  </si>
  <si>
    <t>136.52</t>
  </si>
  <si>
    <t>YD2-110</t>
  </si>
  <si>
    <t>耦合电容器(KV)、500</t>
  </si>
  <si>
    <t>153.28</t>
  </si>
  <si>
    <t>YD2-111</t>
  </si>
  <si>
    <t>结合滤波器、(套)</t>
  </si>
  <si>
    <t>套</t>
  </si>
  <si>
    <t>13.73</t>
  </si>
  <si>
    <t>YD2-112</t>
  </si>
  <si>
    <t>熔断器、电抗器安装 户内(KV)、10</t>
  </si>
  <si>
    <t>23.48</t>
  </si>
  <si>
    <t>YD2-113</t>
  </si>
  <si>
    <t>熔断器、电抗器安装 户内(KV)、35</t>
  </si>
  <si>
    <t>20.29</t>
  </si>
  <si>
    <t>YD2-114</t>
  </si>
  <si>
    <t>熔断器、电抗器安装 户外(KV)、35</t>
  </si>
  <si>
    <t>46.68</t>
  </si>
  <si>
    <t>YD2-115</t>
  </si>
  <si>
    <t>熔断器、电抗器安装 户外(KV)、RW2-35</t>
  </si>
  <si>
    <t>63.17</t>
  </si>
  <si>
    <t>YD2-116</t>
  </si>
  <si>
    <t>熔断器、电抗器安装 重量(kg以下)、1500</t>
  </si>
  <si>
    <t>346.50</t>
  </si>
  <si>
    <t>YD2-117</t>
  </si>
  <si>
    <t>熔断器、电抗器安装 重量(kg以下)、3000</t>
  </si>
  <si>
    <t>441.40</t>
  </si>
  <si>
    <t>YD2-118</t>
  </si>
  <si>
    <t>熔断器、电抗器安装 重量(kg以下)、4500</t>
  </si>
  <si>
    <t>504.00</t>
  </si>
  <si>
    <t>YD2-119</t>
  </si>
  <si>
    <t>熔断器、电抗器安装 重量(kg以下)、7500</t>
  </si>
  <si>
    <t>588.53</t>
  </si>
  <si>
    <t>YD2-120</t>
  </si>
  <si>
    <t>阻波器安装 悬挂式(KV)、35</t>
  </si>
  <si>
    <t>39.48</t>
  </si>
  <si>
    <t>YD2-121</t>
  </si>
  <si>
    <t>阻波器安装 悬挂式(KV)、110</t>
  </si>
  <si>
    <t>55.21</t>
  </si>
  <si>
    <t>YD2-122</t>
  </si>
  <si>
    <t>阻波器安装 悬挂式(KV)、220</t>
  </si>
  <si>
    <t>83.33</t>
  </si>
  <si>
    <t>YD2-123</t>
  </si>
  <si>
    <t>阻波器安装 悬挂式(KV)、330</t>
  </si>
  <si>
    <t>112.90</t>
  </si>
  <si>
    <t>YD2-124</t>
  </si>
  <si>
    <t>阻波器安装 悬挂式(KV)、500</t>
  </si>
  <si>
    <t>117.60</t>
  </si>
  <si>
    <t>YD2-125</t>
  </si>
  <si>
    <t>阻波器安装 支撑绝缘台上(KV)、110</t>
  </si>
  <si>
    <t>7.35</t>
  </si>
  <si>
    <t>YD2-126</t>
  </si>
  <si>
    <t>阻波器安装 支撑绝缘台上(KV)、220</t>
  </si>
  <si>
    <t>10.90</t>
  </si>
  <si>
    <t>YD2-127</t>
  </si>
  <si>
    <t>阻波器安装 支撑绝缘台上(KV)、330</t>
  </si>
  <si>
    <t>21.04</t>
  </si>
  <si>
    <t>YD2-128</t>
  </si>
  <si>
    <t>阻波器安装 支撑绝缘台上(KV)、500</t>
  </si>
  <si>
    <t>25.12</t>
  </si>
  <si>
    <t>YD2-129</t>
  </si>
  <si>
    <t>集合式并联电容器安装 重量(t)、5</t>
  </si>
  <si>
    <t>142.80</t>
  </si>
  <si>
    <t>YD2-130</t>
  </si>
  <si>
    <t>集合式并联电容器安装 重量(t)、10</t>
  </si>
  <si>
    <t>178.50</t>
  </si>
  <si>
    <t>YD2-131</t>
  </si>
  <si>
    <t>集合式并联电容器安装 重量(t以下)、2</t>
  </si>
  <si>
    <t>67.22</t>
  </si>
  <si>
    <t>YD2-132</t>
  </si>
  <si>
    <t>集合式并联电容器安装 重量(t以下)、5</t>
  </si>
  <si>
    <t>88.01</t>
  </si>
  <si>
    <t>YD2-133</t>
  </si>
  <si>
    <t>集合式并联电容器安装 重量(t以下)、10</t>
  </si>
  <si>
    <t>106.30</t>
  </si>
  <si>
    <t>YD2-134</t>
  </si>
  <si>
    <t>10KV配电柜、附油断路器柜</t>
  </si>
  <si>
    <t>174.85</t>
  </si>
  <si>
    <t>YD2-135</t>
  </si>
  <si>
    <t>10KV配电柜、附真空断路器柜</t>
  </si>
  <si>
    <t>115.86</t>
  </si>
  <si>
    <t>YD2-136</t>
  </si>
  <si>
    <t>10KV配电柜、附SF6断路器柜</t>
  </si>
  <si>
    <t>179.45</t>
  </si>
  <si>
    <t>YD2-137</t>
  </si>
  <si>
    <t>10KV配电柜、电压互感器避雷器柜</t>
  </si>
  <si>
    <t>138.43</t>
  </si>
  <si>
    <t>YD2-138</t>
  </si>
  <si>
    <t>10KV配电柜、电容器柜</t>
  </si>
  <si>
    <t>88.20</t>
  </si>
  <si>
    <t>YD2-139</t>
  </si>
  <si>
    <t>10KV配电柜、其它电气柜</t>
  </si>
  <si>
    <t>83.90</t>
  </si>
  <si>
    <t>YD2-140</t>
  </si>
  <si>
    <t>10KV配电柜、成套母线桥(组)</t>
  </si>
  <si>
    <t>136.71</t>
  </si>
  <si>
    <t>YD2-141</t>
  </si>
  <si>
    <t>35KV成套配柜安装、附油断路器柜</t>
  </si>
  <si>
    <t>321.38</t>
  </si>
  <si>
    <t>YD2-142</t>
  </si>
  <si>
    <t>35KV成套配柜安装、附真空断路器柜</t>
  </si>
  <si>
    <t>219.95</t>
  </si>
  <si>
    <t>YD2-143</t>
  </si>
  <si>
    <t>35KV成套配柜安装、附SF6断路器柜</t>
  </si>
  <si>
    <t>264.94</t>
  </si>
  <si>
    <t>YD2-144</t>
  </si>
  <si>
    <t>35KV成套配柜安装、电压互感器及避雷器柜</t>
  </si>
  <si>
    <t>273.50</t>
  </si>
  <si>
    <t>YD2-145</t>
  </si>
  <si>
    <t>35KV成套配柜安装、电容器柜</t>
  </si>
  <si>
    <t>182.64</t>
  </si>
  <si>
    <t>YD2-146</t>
  </si>
  <si>
    <t>35KV成套配柜安装、其它电气柜</t>
  </si>
  <si>
    <t>153.76</t>
  </si>
  <si>
    <t>YD3-1</t>
  </si>
  <si>
    <t>悬垂绝缘子串安装 定额电压(KV以下)、35</t>
  </si>
  <si>
    <t>串</t>
  </si>
  <si>
    <t>3.78</t>
  </si>
  <si>
    <t>YD3-10</t>
  </si>
  <si>
    <t>悬垂绝缘子串安装 定额电压(KV以下)、500</t>
  </si>
  <si>
    <t>18.69</t>
  </si>
  <si>
    <t>YD3-2</t>
  </si>
  <si>
    <t>悬垂绝缘子串安装 定额电压(KV以下)、110</t>
  </si>
  <si>
    <t>5.25</t>
  </si>
  <si>
    <t>YD3-3</t>
  </si>
  <si>
    <t>悬垂绝缘子串安装 定额电压(KV以下)、220</t>
  </si>
  <si>
    <t>8.19</t>
  </si>
  <si>
    <t>YD3-4</t>
  </si>
  <si>
    <t>悬垂绝缘子串安装 定额电压(KV以下)、330</t>
  </si>
  <si>
    <t>9.66</t>
  </si>
  <si>
    <t>YD3-5</t>
  </si>
  <si>
    <t>12.60</t>
  </si>
  <si>
    <t>YD3-6</t>
  </si>
  <si>
    <t>5.88</t>
  </si>
  <si>
    <t>YD3-7</t>
  </si>
  <si>
    <t>7.98</t>
  </si>
  <si>
    <t>YD3-8</t>
  </si>
  <si>
    <t>11.76</t>
  </si>
  <si>
    <t>YD3-9</t>
  </si>
  <si>
    <t>15.33</t>
  </si>
  <si>
    <t>YD3-11</t>
  </si>
  <si>
    <t>户内支持绝缘子安装 电压10KV、2孔</t>
  </si>
  <si>
    <t>100个</t>
  </si>
  <si>
    <t>.01</t>
  </si>
  <si>
    <t>4.35</t>
  </si>
  <si>
    <t>YD3-12</t>
  </si>
  <si>
    <t>户内支持绝缘子安装 电压10KV、4孔</t>
  </si>
  <si>
    <t>5.59</t>
  </si>
  <si>
    <t>YD3-13</t>
  </si>
  <si>
    <t>户内支持绝缘子安装 电压35KV、2孔</t>
  </si>
  <si>
    <t>5.21</t>
  </si>
  <si>
    <t>YD3-14</t>
  </si>
  <si>
    <t>户内支持绝缘子安装 电压35KV、4孔</t>
  </si>
  <si>
    <t>6.68</t>
  </si>
  <si>
    <t>YD3-15</t>
  </si>
  <si>
    <t>户外支持绝缘子安装 额定电压(KV以下)、35</t>
  </si>
  <si>
    <t>柱</t>
  </si>
  <si>
    <t>2.94</t>
  </si>
  <si>
    <t>YD3-16</t>
  </si>
  <si>
    <t>户外支持绝缘子安装 额定电压(KV以下)、110</t>
  </si>
  <si>
    <t>6.51</t>
  </si>
  <si>
    <t>YD3-17</t>
  </si>
  <si>
    <t>户外支持绝缘子安装 额定电压(KV以下)、220</t>
  </si>
  <si>
    <t>10.50</t>
  </si>
  <si>
    <t>YD3-18</t>
  </si>
  <si>
    <t>户外支持绝缘子安装 额定电压(KV以下)、330</t>
  </si>
  <si>
    <t>30.45</t>
  </si>
  <si>
    <t>YD3-19</t>
  </si>
  <si>
    <t>户外支持绝缘子安装 额定电压(KV以下)、500</t>
  </si>
  <si>
    <t>43.68</t>
  </si>
  <si>
    <t>YD3-20</t>
  </si>
  <si>
    <t>穿墙套管安装 电压(KV以下)、10</t>
  </si>
  <si>
    <t>6.09</t>
  </si>
  <si>
    <t>YD3-21</t>
  </si>
  <si>
    <t>穿墙套管安装 电压(KV以下)、35</t>
  </si>
  <si>
    <t>37.38</t>
  </si>
  <si>
    <t>YD3-22</t>
  </si>
  <si>
    <t>穿墙套管安装 110KV、水平装设</t>
  </si>
  <si>
    <t>62.58</t>
  </si>
  <si>
    <t>YD3-23</t>
  </si>
  <si>
    <t>穿墙套管安装 110KV、垂直装设</t>
  </si>
  <si>
    <t>YD3-24</t>
  </si>
  <si>
    <t>穿墙套管安装 220KV、水平装设</t>
  </si>
  <si>
    <t>YD3-25</t>
  </si>
  <si>
    <t>穿墙套管安装 220KV、垂直装设</t>
  </si>
  <si>
    <t>83.58</t>
  </si>
  <si>
    <t>YD3-26</t>
  </si>
  <si>
    <t>穿墙套管安装 330KV、水平装设</t>
  </si>
  <si>
    <t>199.50</t>
  </si>
  <si>
    <t>YD3-27</t>
  </si>
  <si>
    <t>穿墙套管安装 330KV、垂直装设</t>
  </si>
  <si>
    <t>108.57</t>
  </si>
  <si>
    <t>YD3-28</t>
  </si>
  <si>
    <t>穿墙套管安装 500KV、水平装设</t>
  </si>
  <si>
    <t>234.38</t>
  </si>
  <si>
    <t>YD3-29</t>
  </si>
  <si>
    <t>穿墙套管安装 500KV、垂直装设</t>
  </si>
  <si>
    <t>128.10</t>
  </si>
  <si>
    <t>YD3-30</t>
  </si>
  <si>
    <t>软母线安装 35KV(截面mm2以下)、240</t>
  </si>
  <si>
    <t>跨/三相</t>
  </si>
  <si>
    <t>99.75</t>
  </si>
  <si>
    <t>YD3-31</t>
  </si>
  <si>
    <t>软母线安装 35KV(截面mm2以下)、400</t>
  </si>
  <si>
    <t>112.77</t>
  </si>
  <si>
    <t>YD3-32</t>
  </si>
  <si>
    <t>软母线安装 35KV(截面mm2以下)、600</t>
  </si>
  <si>
    <t>140.70</t>
  </si>
  <si>
    <t>YD3-33</t>
  </si>
  <si>
    <t>软母线安装 35KV(截面mm2以下)、2x1400</t>
  </si>
  <si>
    <t>317.29</t>
  </si>
  <si>
    <t>YD3-34</t>
  </si>
  <si>
    <t>软母线安装 110KV(截面mm2以下)、240</t>
  </si>
  <si>
    <t>112.98</t>
  </si>
  <si>
    <t>YD3-35</t>
  </si>
  <si>
    <t>软母线安装 110KV(截面mm2以下)、400</t>
  </si>
  <si>
    <t>127.89</t>
  </si>
  <si>
    <t>YD3-36</t>
  </si>
  <si>
    <t>软母线安装 110KV(截面mm2以下)、600</t>
  </si>
  <si>
    <t>YD3-37</t>
  </si>
  <si>
    <t>软母线安装 110KV(截面mm2以下)、2x1400</t>
  </si>
  <si>
    <t>431.53</t>
  </si>
  <si>
    <t>YD3-38</t>
  </si>
  <si>
    <t>软母线安装 220KV(截面mm2以下)、400</t>
  </si>
  <si>
    <t>173.25</t>
  </si>
  <si>
    <t>YD3-39</t>
  </si>
  <si>
    <t>软母线安装 220KV(截面mm2以下)、600</t>
  </si>
  <si>
    <t>185.64</t>
  </si>
  <si>
    <t>YD3-40</t>
  </si>
  <si>
    <t>软母线安装 220KV(截面mm2以下)、1000</t>
  </si>
  <si>
    <t>240.24</t>
  </si>
  <si>
    <t>YD3-41</t>
  </si>
  <si>
    <t>软母线安装 220KV(截面mm2以下)、2x1400</t>
  </si>
  <si>
    <t>517.88</t>
  </si>
  <si>
    <t>YD3-42</t>
  </si>
  <si>
    <t>软母线安装 330KV(截面mm2以下)、2x1400</t>
  </si>
  <si>
    <t>586.55</t>
  </si>
  <si>
    <t>YD3-43</t>
  </si>
  <si>
    <t>软母线安装 330KV(截面mm2以下)、扩径空心600</t>
  </si>
  <si>
    <t>283.92</t>
  </si>
  <si>
    <t>YD3-44</t>
  </si>
  <si>
    <t>软母线安装 500KV(mm2以下)、2x1400</t>
  </si>
  <si>
    <t>722.40</t>
  </si>
  <si>
    <t>YD3-45</t>
  </si>
  <si>
    <t>引下线、跳线及设备安装 35-220KV(截面mm2以下)、240</t>
  </si>
  <si>
    <t>33.62</t>
  </si>
  <si>
    <t>YD3-46</t>
  </si>
  <si>
    <t>引下线、跳线及设备安装 35-220KV(截面mm2以下)、600</t>
  </si>
  <si>
    <t>38.96</t>
  </si>
  <si>
    <t>YD3-47</t>
  </si>
  <si>
    <t>引下线、跳线及设备安装 35-220KV(截面mm2以下)、800</t>
  </si>
  <si>
    <t>54.96</t>
  </si>
  <si>
    <t>YD3-48</t>
  </si>
  <si>
    <t>引下线、跳线及设备安装 35-220KV(截面mm2以下)、1000</t>
  </si>
  <si>
    <t>78.79</t>
  </si>
  <si>
    <t>YD3-49</t>
  </si>
  <si>
    <t>引下线、跳线及设备安装 35-220KV(截面mm2以下)、2x1400</t>
  </si>
  <si>
    <t>141.29</t>
  </si>
  <si>
    <t>YD3-50</t>
  </si>
  <si>
    <t>引下线、跳线及设备安装 330-500KV(截面mm2以下)、800</t>
  </si>
  <si>
    <t>92.74</t>
  </si>
  <si>
    <t>YD3-51</t>
  </si>
  <si>
    <t>引下线、跳线及设备安装 330-500KV(截面mm2以下)、1000</t>
  </si>
  <si>
    <t>129.02</t>
  </si>
  <si>
    <t>YD3-52</t>
  </si>
  <si>
    <t>引下线、跳线及设备安装 330-500KV(截面mm2以下)、2x1400</t>
  </si>
  <si>
    <t>301.35</t>
  </si>
  <si>
    <t>YD3-53</t>
  </si>
  <si>
    <t>(淘宝店铺:枫启教育)铜过渡板、块</t>
  </si>
  <si>
    <t>块</t>
  </si>
  <si>
    <t>16.80</t>
  </si>
  <si>
    <t>YD3-54</t>
  </si>
  <si>
    <t>母线(根)、14</t>
  </si>
  <si>
    <t>1010.71</t>
  </si>
  <si>
    <t>YD3-55</t>
  </si>
  <si>
    <t>母线(根)、18</t>
  </si>
  <si>
    <t>1192.17</t>
  </si>
  <si>
    <t>YD3-56</t>
  </si>
  <si>
    <t>母线(根)、26</t>
  </si>
  <si>
    <t>1485.37</t>
  </si>
  <si>
    <t>YD3-57</t>
  </si>
  <si>
    <t>带形铝母线安装 (截面mm2以下)、360</t>
  </si>
  <si>
    <t>4.67</t>
  </si>
  <si>
    <t>YD3-58</t>
  </si>
  <si>
    <t>带形铝母线安装 (截面mm2以下)、800</t>
  </si>
  <si>
    <t>6.63</t>
  </si>
  <si>
    <t>YD3-59</t>
  </si>
  <si>
    <t>带形铝母线安装 (截面mm2以下)、1000</t>
  </si>
  <si>
    <t>7.87</t>
  </si>
  <si>
    <t>YD3-60</t>
  </si>
  <si>
    <t>带形铝母线安装 (截面mm2以下)、1200</t>
  </si>
  <si>
    <t>8.63</t>
  </si>
  <si>
    <t>YD3-61</t>
  </si>
  <si>
    <t>带形铝母线安装 每相二片(截面mm2以下)、1000</t>
  </si>
  <si>
    <t>14.62</t>
  </si>
  <si>
    <t>YD3-62</t>
  </si>
  <si>
    <t>带形铝母线安装 每相二片(截面mm2以下)、1200</t>
  </si>
  <si>
    <t>16.71</t>
  </si>
  <si>
    <t>YD3-63</t>
  </si>
  <si>
    <t>带形铝母线安装 每相三片(截面mm2以下)、1000</t>
  </si>
  <si>
    <t>21.96</t>
  </si>
  <si>
    <t>YD3-64</t>
  </si>
  <si>
    <t>带形铝母线安装 每相三片(截面mm2以下)、1200</t>
  </si>
  <si>
    <t>24.47</t>
  </si>
  <si>
    <t>YD3-65</t>
  </si>
  <si>
    <t>带形铝母线安装 每相四片(截面mm2以下)、1000</t>
  </si>
  <si>
    <t>29.55</t>
  </si>
  <si>
    <t>YD3-66</t>
  </si>
  <si>
    <t>带形铝母线安装 每相四片(截面mm2以下)、1200</t>
  </si>
  <si>
    <t>31.82</t>
  </si>
  <si>
    <t>YD3-67</t>
  </si>
  <si>
    <t>母线伸缩节头安装 每相(片)、1</t>
  </si>
  <si>
    <t>13.23</t>
  </si>
  <si>
    <t>YD3-68</t>
  </si>
  <si>
    <t>母线伸缩节头安装 每相(片)、2</t>
  </si>
  <si>
    <t>15.96</t>
  </si>
  <si>
    <t>YD3-69</t>
  </si>
  <si>
    <t>母线伸缩节头安装 每相(片)、3</t>
  </si>
  <si>
    <t>YD3-70</t>
  </si>
  <si>
    <t>母线伸缩节头安装 每相(片)、4</t>
  </si>
  <si>
    <t>21.84</t>
  </si>
  <si>
    <t>YD3-71</t>
  </si>
  <si>
    <t>母线伸缩节头安装 每相(片)、铜编织带</t>
  </si>
  <si>
    <t>YD3-72</t>
  </si>
  <si>
    <t>槽型母线安装 2(100x45x5)以下</t>
  </si>
  <si>
    <t>10.21</t>
  </si>
  <si>
    <t>YD3-73</t>
  </si>
  <si>
    <t>槽型母线安装 2(150x65x7)以下</t>
  </si>
  <si>
    <t>12.10</t>
  </si>
  <si>
    <t>YD3-74</t>
  </si>
  <si>
    <t>槽型母线安装 2(200x90x12)以下</t>
  </si>
  <si>
    <t>14.94</t>
  </si>
  <si>
    <t>YD3-75</t>
  </si>
  <si>
    <t>槽型母线安装 2(250x115x12.5)以下</t>
  </si>
  <si>
    <t>18.92</t>
  </si>
  <si>
    <t>YD3-76</t>
  </si>
  <si>
    <t>台(组)</t>
  </si>
  <si>
    <t>290.51</t>
  </si>
  <si>
    <t>YD3-77</t>
  </si>
  <si>
    <t>381.21</t>
  </si>
  <si>
    <t>YD3-78</t>
  </si>
  <si>
    <t>506.16</t>
  </si>
  <si>
    <t>YD3-79</t>
  </si>
  <si>
    <t>556.29</t>
  </si>
  <si>
    <t>YD3-80</t>
  </si>
  <si>
    <t>管型母线安装 铝管(直径mm以下)、80</t>
  </si>
  <si>
    <t>2.84</t>
  </si>
  <si>
    <t>YD3-81</t>
  </si>
  <si>
    <t>管型母线安装 铝管(直径mm以下)、114</t>
  </si>
  <si>
    <t>3.74</t>
  </si>
  <si>
    <t>YD3-82</t>
  </si>
  <si>
    <t>管型母线安装 铝管(直径mm以下)、168</t>
  </si>
  <si>
    <t>5.97</t>
  </si>
  <si>
    <t>YD3-83</t>
  </si>
  <si>
    <t>管型母线安装 铝管(直径mm以下)、200</t>
  </si>
  <si>
    <t>8.54</t>
  </si>
  <si>
    <t>YD3-84</t>
  </si>
  <si>
    <t>管型母线安装 钢管(直径mm以下)、80</t>
  </si>
  <si>
    <t>3.53</t>
  </si>
  <si>
    <t>YD3-85</t>
  </si>
  <si>
    <t>管型母线安装 钢管(直径mm以下)、100</t>
  </si>
  <si>
    <t>4.86</t>
  </si>
  <si>
    <t>YD3-86</t>
  </si>
  <si>
    <t>管型母线安装 220KV以下 铝管(直径mm以下)、Φ150</t>
  </si>
  <si>
    <t>跨</t>
  </si>
  <si>
    <t>608.96</t>
  </si>
  <si>
    <t>YD3-87</t>
  </si>
  <si>
    <t>管型母线安装 220KV以下 铝管(直径mm以下)、Φ170</t>
  </si>
  <si>
    <t>732.88</t>
  </si>
  <si>
    <t>YD3-88</t>
  </si>
  <si>
    <t>管型母线安装 500KV以下  铝管(直径mm以下)、Φ150</t>
  </si>
  <si>
    <t>913.52</t>
  </si>
  <si>
    <t>YD3-89</t>
  </si>
  <si>
    <t>管型母线安装 500KV以下  铝管(直径mm以下)、Φ170</t>
  </si>
  <si>
    <t>1099.37</t>
  </si>
  <si>
    <t>YD3-90</t>
  </si>
  <si>
    <t>管型母线安装 500KV以下  铝管(直径mm以下)、Φ250</t>
  </si>
  <si>
    <t>1704.49</t>
  </si>
  <si>
    <t>YD3-91</t>
  </si>
  <si>
    <t>53.15</t>
  </si>
  <si>
    <t>YD3-92</t>
  </si>
  <si>
    <t>78.52</t>
  </si>
  <si>
    <t>YD3-93</t>
  </si>
  <si>
    <t>106.16</t>
  </si>
  <si>
    <t>YD3-94</t>
  </si>
  <si>
    <t>65.60</t>
  </si>
  <si>
    <t>YD3-95</t>
  </si>
  <si>
    <t>80.35</t>
  </si>
  <si>
    <t>YD3-96</t>
  </si>
  <si>
    <t>分相封闭母线安装 主母线(外壳/母线)、900x7/400x12</t>
  </si>
  <si>
    <t>114.66</t>
  </si>
  <si>
    <t>YD3-97</t>
  </si>
  <si>
    <t>分相封闭母线安装 主母线(外壳/母线)、1050x8/500x12</t>
  </si>
  <si>
    <t>126.00</t>
  </si>
  <si>
    <t>YD3-98</t>
  </si>
  <si>
    <t>分相封闭母线安装 主母线(外壳/母线)、1450x10/900x16</t>
  </si>
  <si>
    <t>200.97</t>
  </si>
  <si>
    <t>YD3-99</t>
  </si>
  <si>
    <t>分相封闭母线安装 分支母线(外壳/母线)、650x5/150x10</t>
  </si>
  <si>
    <t>80.22</t>
  </si>
  <si>
    <t>YD3-100</t>
  </si>
  <si>
    <t>10KV共箱母线安装 外壳(宽x高)/铝母线(mm以内)、1200x650/3x4(12</t>
  </si>
  <si>
    <t>81.69</t>
  </si>
  <si>
    <t>YD3-101</t>
  </si>
  <si>
    <t>10KV共箱母线安装 外壳(宽x高)/铝母线(mm以内)、1100x600/3x3(12</t>
  </si>
  <si>
    <t>75.39</t>
  </si>
  <si>
    <t>YD3-102</t>
  </si>
  <si>
    <t>10KV共箱母线安装 外壳(宽x高)/铝母线(mm以内)、1000x550/3x2(12</t>
  </si>
  <si>
    <t>70.04</t>
  </si>
  <si>
    <t>YD3-103</t>
  </si>
  <si>
    <t>10KV共箱母线安装 外壳(宽x高)/铝母线(mm以内)、900x500/3(120x1</t>
  </si>
  <si>
    <t>65.69</t>
  </si>
  <si>
    <t>YD3-104</t>
  </si>
  <si>
    <t>10KV共箱母线安装 外壳(宽x高)/铜母线(mm以内)、1200x650/3x3(10</t>
  </si>
  <si>
    <t>91.35</t>
  </si>
  <si>
    <t>YD3-105</t>
  </si>
  <si>
    <t>10KV共箱母线安装 外壳(宽x高)/铜母线(mm以内)、1100x600/3x2(10</t>
  </si>
  <si>
    <t>81.80</t>
  </si>
  <si>
    <t>YD3-106</t>
  </si>
  <si>
    <t>10KV共箱母线安装 外壳(宽x高)/铜母线(mm以内)、1000x550/3(100x</t>
  </si>
  <si>
    <t>71.51</t>
  </si>
  <si>
    <t>YD3-107</t>
  </si>
  <si>
    <t>10KV共箱母线安装 外壳(宽x高)/铜母线(mm以内)、900x500/3(100x8</t>
  </si>
  <si>
    <t>68.77</t>
  </si>
  <si>
    <t>YD3-108</t>
  </si>
  <si>
    <t>电缆母线安装 箱式通道、740x415</t>
  </si>
  <si>
    <t>100m</t>
  </si>
  <si>
    <t>59.43</t>
  </si>
  <si>
    <t>YD3-109</t>
  </si>
  <si>
    <t>铜芯 500(mm2以下)、电缆母线敷设</t>
  </si>
  <si>
    <t>5.20</t>
  </si>
  <si>
    <t>YD3-110</t>
  </si>
  <si>
    <t>铜芯 500(mm2以下)、T型头制安(个)</t>
  </si>
  <si>
    <t>90.93</t>
  </si>
  <si>
    <t>YD3-111</t>
  </si>
  <si>
    <t>铜芯 500(mm2以下)、终端头制安(个)</t>
  </si>
  <si>
    <t>57.75</t>
  </si>
  <si>
    <t>YD3-112</t>
  </si>
  <si>
    <t>铜芯 500(mm2以下)、中间头制安(个)</t>
  </si>
  <si>
    <t>69.30</t>
  </si>
  <si>
    <t>YD3-113</t>
  </si>
  <si>
    <t>发电机出线箱安装 发电机容量(MW)、300</t>
  </si>
  <si>
    <t>798.00</t>
  </si>
  <si>
    <t>YD3-114</t>
  </si>
  <si>
    <t>发电机出线箱安装 发电机容量(MW)、600</t>
  </si>
  <si>
    <t>1806.00</t>
  </si>
  <si>
    <t>YD3-115</t>
  </si>
  <si>
    <t>低压封闭式插接母线槽安装 电流(A以下)、400</t>
  </si>
  <si>
    <t>5.19</t>
  </si>
  <si>
    <t>YD3-116</t>
  </si>
  <si>
    <t>低压封闭式插接母线槽安装 电流(A以下)、800</t>
  </si>
  <si>
    <t>8.23</t>
  </si>
  <si>
    <t>YD3-117</t>
  </si>
  <si>
    <t>低压封闭式插接母线槽安装 电流(A以下)、1250</t>
  </si>
  <si>
    <t>YD3-118</t>
  </si>
  <si>
    <t>低压封闭式插接母线槽安装 电流(A以下)、2000</t>
  </si>
  <si>
    <t>15.75</t>
  </si>
  <si>
    <t>YD3-119</t>
  </si>
  <si>
    <t>低压封闭式插接母线槽安装 电流(A以下)、4000</t>
  </si>
  <si>
    <t>25.75</t>
  </si>
  <si>
    <t>YD3-120</t>
  </si>
  <si>
    <t>低压封闭式插接母线槽安装 电流(A以下)、100</t>
  </si>
  <si>
    <t>17.64</t>
  </si>
  <si>
    <t>YD3-121</t>
  </si>
  <si>
    <t>低压封闭式插接母线槽安装 电流(A以下)、300</t>
  </si>
  <si>
    <t>26.88</t>
  </si>
  <si>
    <t>YD3-122</t>
  </si>
  <si>
    <t>低压封闭式插接母线槽安装 电流(A以下)、600</t>
  </si>
  <si>
    <t>30.24</t>
  </si>
  <si>
    <t>YD3-123</t>
  </si>
  <si>
    <t>低压封闭式插接母线槽安装 电流(A以下)、1000</t>
  </si>
  <si>
    <t>37.80</t>
  </si>
  <si>
    <t>YD4-1</t>
  </si>
  <si>
    <t>PK型、控制屏</t>
  </si>
  <si>
    <t>110.86</t>
  </si>
  <si>
    <t>YD4-10</t>
  </si>
  <si>
    <t>(淘宝店铺:枫启教育)继电保护屏</t>
  </si>
  <si>
    <t>134.46</t>
  </si>
  <si>
    <t>YD4-11</t>
  </si>
  <si>
    <t>远动装置屏</t>
  </si>
  <si>
    <t>344.30</t>
  </si>
  <si>
    <t>YD4-12</t>
  </si>
  <si>
    <t>保护检查及打印机屏</t>
  </si>
  <si>
    <t>134.36</t>
  </si>
  <si>
    <t>YD4-13</t>
  </si>
  <si>
    <t>故障录波装置屏</t>
  </si>
  <si>
    <t>YD4-14</t>
  </si>
  <si>
    <t>电度表屏</t>
  </si>
  <si>
    <t>134.40</t>
  </si>
  <si>
    <t>YD4-2</t>
  </si>
  <si>
    <t>马赛克、控制屏</t>
  </si>
  <si>
    <t>148.95</t>
  </si>
  <si>
    <t>YD4-3</t>
  </si>
  <si>
    <t>弱电控制、返回屏</t>
  </si>
  <si>
    <t>113.17</t>
  </si>
  <si>
    <t>YD4-4</t>
  </si>
  <si>
    <t>同期小屏</t>
  </si>
  <si>
    <t>46.33</t>
  </si>
  <si>
    <t>YD4-5</t>
  </si>
  <si>
    <t>控制台(m以内)、1</t>
  </si>
  <si>
    <t>135.66</t>
  </si>
  <si>
    <t>YD4-6</t>
  </si>
  <si>
    <t>控制台(m以内)、2</t>
  </si>
  <si>
    <t>217.39</t>
  </si>
  <si>
    <t>YD4-7</t>
  </si>
  <si>
    <t>控制台(m以内)、2-4</t>
  </si>
  <si>
    <t>388.92</t>
  </si>
  <si>
    <t>YD4-8</t>
  </si>
  <si>
    <t>模拟屏、(m2)</t>
  </si>
  <si>
    <t>m2</t>
  </si>
  <si>
    <t>85.26</t>
  </si>
  <si>
    <t>YD4-9</t>
  </si>
  <si>
    <t>电源屏</t>
  </si>
  <si>
    <t>105.00</t>
  </si>
  <si>
    <t>YD4-15</t>
  </si>
  <si>
    <t>励磁屏</t>
  </si>
  <si>
    <t>121.95</t>
  </si>
  <si>
    <t>YD4-16</t>
  </si>
  <si>
    <t>灭磁屏</t>
  </si>
  <si>
    <t>151.26</t>
  </si>
  <si>
    <t>YD4-17</t>
  </si>
  <si>
    <t>直流充电馈电屏</t>
  </si>
  <si>
    <t>113.40</t>
  </si>
  <si>
    <t>YD4-18</t>
  </si>
  <si>
    <t>镉镍电池屏</t>
  </si>
  <si>
    <t>142.38</t>
  </si>
  <si>
    <t>YD4-19</t>
  </si>
  <si>
    <t>可控硅整流屏</t>
  </si>
  <si>
    <t>180.64</t>
  </si>
  <si>
    <t>YD4-20</t>
  </si>
  <si>
    <t>交直流切换屏</t>
  </si>
  <si>
    <t>YD4-21</t>
  </si>
  <si>
    <t>端子箱、户外式</t>
  </si>
  <si>
    <t>26.63</t>
  </si>
  <si>
    <t>YD4-22</t>
  </si>
  <si>
    <t>端子箱、户内式</t>
  </si>
  <si>
    <t>9.56</t>
  </si>
  <si>
    <t>YD4-23</t>
  </si>
  <si>
    <t>屏  边</t>
  </si>
  <si>
    <t>1.11</t>
  </si>
  <si>
    <t>YD4-24</t>
  </si>
  <si>
    <t>表计及继电器</t>
  </si>
  <si>
    <t>9.45</t>
  </si>
  <si>
    <t>YD4-25</t>
  </si>
  <si>
    <t>组合继电器</t>
  </si>
  <si>
    <t>YD4-26</t>
  </si>
  <si>
    <t>电磁锁(电脑编码锁)</t>
  </si>
  <si>
    <t>YD4-27</t>
  </si>
  <si>
    <t>屏上其他附件</t>
  </si>
  <si>
    <t>8.61</t>
  </si>
  <si>
    <t>YD4-28</t>
  </si>
  <si>
    <t>辅助电压互感器及自整角机</t>
  </si>
  <si>
    <t>11.07</t>
  </si>
  <si>
    <t>YD4-29</t>
  </si>
  <si>
    <t>小母线(每100m)</t>
  </si>
  <si>
    <t>0.10</t>
  </si>
  <si>
    <t>YD4-30</t>
  </si>
  <si>
    <t>二次回路配线(每100m)</t>
  </si>
  <si>
    <t>1.05</t>
  </si>
  <si>
    <t>YD4-31</t>
  </si>
  <si>
    <t>石棉水泥板</t>
  </si>
  <si>
    <t>29.69</t>
  </si>
  <si>
    <t>YD4-32</t>
  </si>
  <si>
    <t>塑 料 板</t>
  </si>
  <si>
    <t>6.59</t>
  </si>
  <si>
    <t>YD4-33</t>
  </si>
  <si>
    <t>环氧树脂板或电木板</t>
  </si>
  <si>
    <t>77.07</t>
  </si>
  <si>
    <t>YD4-34</t>
  </si>
  <si>
    <t>钢   板</t>
  </si>
  <si>
    <t>36.54</t>
  </si>
  <si>
    <t>YD4-35</t>
  </si>
  <si>
    <t>成套开关柜</t>
  </si>
  <si>
    <t>134.42</t>
  </si>
  <si>
    <t>YD4-36</t>
  </si>
  <si>
    <t>动力盘</t>
  </si>
  <si>
    <t>76.65</t>
  </si>
  <si>
    <t>YD4-37</t>
  </si>
  <si>
    <t>动力箱</t>
  </si>
  <si>
    <t>70.35</t>
  </si>
  <si>
    <t>YD4-38</t>
  </si>
  <si>
    <t>(淘宝店铺:枫启教育)照明箱</t>
  </si>
  <si>
    <t>65.94</t>
  </si>
  <si>
    <t>YD4-39</t>
  </si>
  <si>
    <t>熔断器(个)</t>
  </si>
  <si>
    <t>14.49</t>
  </si>
  <si>
    <t>YD4-40</t>
  </si>
  <si>
    <t>空气开关(个)</t>
  </si>
  <si>
    <t>53.55</t>
  </si>
  <si>
    <t>YD4-41</t>
  </si>
  <si>
    <t>铁壳开关(个)</t>
  </si>
  <si>
    <t>YD4-42</t>
  </si>
  <si>
    <t>胶盖闸刀开关</t>
  </si>
  <si>
    <t>1.58</t>
  </si>
  <si>
    <t>YD4-43</t>
  </si>
  <si>
    <t>刀型开关</t>
  </si>
  <si>
    <t>29.00</t>
  </si>
  <si>
    <t>YD4-44</t>
  </si>
  <si>
    <t>6.64</t>
  </si>
  <si>
    <t>YD4-45</t>
  </si>
  <si>
    <t>万能转换开关</t>
  </si>
  <si>
    <t>16.38</t>
  </si>
  <si>
    <t>YD4-46</t>
  </si>
  <si>
    <t>限位开关</t>
  </si>
  <si>
    <t>YD4-47</t>
  </si>
  <si>
    <t>控制器</t>
  </si>
  <si>
    <t>23.06</t>
  </si>
  <si>
    <t>YD4-48</t>
  </si>
  <si>
    <t>起动器、磁力</t>
  </si>
  <si>
    <t>41.16</t>
  </si>
  <si>
    <t>YD4-49</t>
  </si>
  <si>
    <t>起动器、自耦减压</t>
  </si>
  <si>
    <t>49.56</t>
  </si>
  <si>
    <t>YD4-50</t>
  </si>
  <si>
    <t>低压电器、电阻器(箱)</t>
  </si>
  <si>
    <t>YD4-51</t>
  </si>
  <si>
    <t>低压电器、变阻器</t>
  </si>
  <si>
    <t>57.54</t>
  </si>
  <si>
    <t>YD4-52</t>
  </si>
  <si>
    <t>低压电器、按  钮</t>
  </si>
  <si>
    <t>7.14</t>
  </si>
  <si>
    <t>YD4-53</t>
  </si>
  <si>
    <t>低压电器、电磁制动器</t>
  </si>
  <si>
    <t>YD4-54</t>
  </si>
  <si>
    <t>低压电器、漏电保护器</t>
  </si>
  <si>
    <t>11.55</t>
  </si>
  <si>
    <t>YD4-55</t>
  </si>
  <si>
    <t>低压电器、其它小电器</t>
  </si>
  <si>
    <t>6.30</t>
  </si>
  <si>
    <t>YD4-56</t>
  </si>
  <si>
    <t>一般铁构件、制作</t>
  </si>
  <si>
    <t>1251.33</t>
  </si>
  <si>
    <t>YD4-57</t>
  </si>
  <si>
    <t>一般铁构件、安装</t>
  </si>
  <si>
    <t>830.34</t>
  </si>
  <si>
    <t>YD4-58</t>
  </si>
  <si>
    <t>轻型铁构件、制作</t>
  </si>
  <si>
    <t>2652.30</t>
  </si>
  <si>
    <t>YD4-59</t>
  </si>
  <si>
    <t>轻型铁构件、安装</t>
  </si>
  <si>
    <t>1592.22</t>
  </si>
  <si>
    <t>YD4-60</t>
  </si>
  <si>
    <t>屏(柜)基础槽(角)钢、制作安装(m)</t>
  </si>
  <si>
    <t>4.41</t>
  </si>
  <si>
    <t>YD4-61</t>
  </si>
  <si>
    <t>网门(保护网)制作安装</t>
  </si>
  <si>
    <t>38.98</t>
  </si>
  <si>
    <t>YD4-62</t>
  </si>
  <si>
    <t>设备二次喷漆</t>
  </si>
  <si>
    <t>13.46</t>
  </si>
  <si>
    <t>YD5-1</t>
  </si>
  <si>
    <t>蓄电池支架安装 单 层、单  排</t>
  </si>
  <si>
    <t>10.61</t>
  </si>
  <si>
    <t>YD5-2</t>
  </si>
  <si>
    <t>蓄电池支架安装 单 层、双  排</t>
  </si>
  <si>
    <t>20.94</t>
  </si>
  <si>
    <t>YD5-3</t>
  </si>
  <si>
    <t>蓄电池支架安装 双 层、单  排</t>
  </si>
  <si>
    <t>29.61</t>
  </si>
  <si>
    <t>YD5-4</t>
  </si>
  <si>
    <t>蓄电池支架安装 双 层、双  排</t>
  </si>
  <si>
    <t>60.06</t>
  </si>
  <si>
    <t>YD5-10</t>
  </si>
  <si>
    <t>免维护铅酸蓄电池安装 12V/570AH</t>
  </si>
  <si>
    <t>组件</t>
  </si>
  <si>
    <t>17.77</t>
  </si>
  <si>
    <t>YD5-11</t>
  </si>
  <si>
    <t>免维护铅酸蓄电池安装 6V/820AH</t>
  </si>
  <si>
    <t>16.17</t>
  </si>
  <si>
    <t>YD5-12</t>
  </si>
  <si>
    <t>免维护铅酸蓄电池安装 6V/980AH</t>
  </si>
  <si>
    <t>YD5-13</t>
  </si>
  <si>
    <t>免维护铅酸蓄电池安装 6V/1070AH</t>
  </si>
  <si>
    <t>18.06</t>
  </si>
  <si>
    <t>YD5-5</t>
  </si>
  <si>
    <t>免维护铅酸蓄电池安装 12V/100AH</t>
  </si>
  <si>
    <t>12.08</t>
  </si>
  <si>
    <t>YD5-6</t>
  </si>
  <si>
    <t>免维护铅酸蓄电池安装 12V/200AH</t>
  </si>
  <si>
    <t>12.89</t>
  </si>
  <si>
    <t>YD5-7</t>
  </si>
  <si>
    <t>免维护铅酸蓄电池安装 12V/290AH</t>
  </si>
  <si>
    <t>15.12</t>
  </si>
  <si>
    <t>YD5-8</t>
  </si>
  <si>
    <t>免维护铅酸蓄电池安装 6V/390AH</t>
  </si>
  <si>
    <t>YD5-9</t>
  </si>
  <si>
    <t>免维护铅酸蓄电池安装 12V/500AH</t>
  </si>
  <si>
    <t>15.18</t>
  </si>
  <si>
    <t>YD5-14</t>
  </si>
  <si>
    <t>蓄电池容量 (Ah以下)、40</t>
  </si>
  <si>
    <t>0.92</t>
  </si>
  <si>
    <t>YD5-15</t>
  </si>
  <si>
    <t>蓄电池容量 (Ah以下)、80</t>
  </si>
  <si>
    <t>1.30</t>
  </si>
  <si>
    <t>YD5-16</t>
  </si>
  <si>
    <t>蓄电池容量 (Ah以下)、100</t>
  </si>
  <si>
    <t>2.10</t>
  </si>
  <si>
    <t>YD5-17</t>
  </si>
  <si>
    <t>蓄电池容量 (Ah以下)、150</t>
  </si>
  <si>
    <t>3.15</t>
  </si>
  <si>
    <t>YD5-18</t>
  </si>
  <si>
    <t>蓄电池容量 (Ah以下)、250</t>
  </si>
  <si>
    <t>4.83</t>
  </si>
  <si>
    <t>YD5-19</t>
  </si>
  <si>
    <t>蓄电池容量 (Ah以下)、300</t>
  </si>
  <si>
    <t>5.67</t>
  </si>
  <si>
    <t>YD5-20</t>
  </si>
  <si>
    <t>蓄电池容量 (Ah以下)、500</t>
  </si>
  <si>
    <t>YD5-21</t>
  </si>
  <si>
    <t>密闭式铅酸蓄电池安装 容量(AH以下)、300</t>
  </si>
  <si>
    <t>只</t>
  </si>
  <si>
    <t>4.03</t>
  </si>
  <si>
    <t>YD5-22</t>
  </si>
  <si>
    <t>密闭式铅酸蓄电池安装 容量(AH以下)、400</t>
  </si>
  <si>
    <t>4.68</t>
  </si>
  <si>
    <t>YD5-23</t>
  </si>
  <si>
    <t>密闭式铅酸蓄电池安装 容量(AH以下)、600</t>
  </si>
  <si>
    <t>6.93</t>
  </si>
  <si>
    <t>YD5-24</t>
  </si>
  <si>
    <t>密闭式铅酸蓄电池安装 容量(AH以下)、800</t>
  </si>
  <si>
    <t>YD5-25</t>
  </si>
  <si>
    <t>密闭式铅酸蓄电池安装 容量(AH以下)、1000</t>
  </si>
  <si>
    <t>YD5-26</t>
  </si>
  <si>
    <t>密闭式铅酸蓄电池安装 容量(AH以下)、1200</t>
  </si>
  <si>
    <t>13.02</t>
  </si>
  <si>
    <t>YD5-27</t>
  </si>
  <si>
    <t>密闭式铅酸蓄电池安装 容量(AH以下)、1400</t>
  </si>
  <si>
    <t>12.43</t>
  </si>
  <si>
    <t>YD5-28</t>
  </si>
  <si>
    <t>密闭式铅酸蓄电池安装 容量(AH以下)、1600</t>
  </si>
  <si>
    <t>14.60</t>
  </si>
  <si>
    <t>YD5-29</t>
  </si>
  <si>
    <t>密闭式铅酸蓄电池安装 容量(AH以下)、1800</t>
  </si>
  <si>
    <t>18.48</t>
  </si>
  <si>
    <t>YD5-30</t>
  </si>
  <si>
    <t>密闭式铅酸蓄电池安装 容量(AH以下)、2000</t>
  </si>
  <si>
    <t>20.16</t>
  </si>
  <si>
    <t>YD5-31</t>
  </si>
  <si>
    <t>密闭式铅酸蓄电池安装 容量(AH以下)、2500</t>
  </si>
  <si>
    <t>22.68</t>
  </si>
  <si>
    <t>YD5-32</t>
  </si>
  <si>
    <t>密闭式铅酸蓄电池安装 容量(AH以下)、3000</t>
  </si>
  <si>
    <t>YD5-33</t>
  </si>
  <si>
    <t>蓄电池组充放电 220V以下(容量AH以下)、50</t>
  </si>
  <si>
    <t>1280.60</t>
  </si>
  <si>
    <t>YD5-34</t>
  </si>
  <si>
    <t>蓄电池组充放电 220V以下(容量AH以下)、100</t>
  </si>
  <si>
    <t>1309.08</t>
  </si>
  <si>
    <t>YD5-35</t>
  </si>
  <si>
    <t>蓄电池组充放电 220V以下(容量AH以下)、200</t>
  </si>
  <si>
    <t>1470.00</t>
  </si>
  <si>
    <t>YD5-36</t>
  </si>
  <si>
    <t>蓄电池组充放电 220V以下(容量AH以下)、300</t>
  </si>
  <si>
    <t>YD5-37</t>
  </si>
  <si>
    <t>蓄电池组充放电 220V以下(容量AH以下)、400</t>
  </si>
  <si>
    <t>YD5-38</t>
  </si>
  <si>
    <t>蓄电池组充放电 220V以下(容量AH以下)、600</t>
  </si>
  <si>
    <t>YD5-39</t>
  </si>
  <si>
    <t>蓄电池组充放电 220V以下(容量AH以下)、800</t>
  </si>
  <si>
    <t>YD5-40</t>
  </si>
  <si>
    <t>蓄电池组充放电 220V以下(容量AH以下)、1000</t>
  </si>
  <si>
    <t>YD5-41</t>
  </si>
  <si>
    <t>蓄电池组充放电 220V以下(容量AH以下)、1200</t>
  </si>
  <si>
    <t>YD5-42</t>
  </si>
  <si>
    <t>蓄电池组充放电 220V以下(容量AH以下)、1400</t>
  </si>
  <si>
    <t>YD5-43</t>
  </si>
  <si>
    <t>蓄电池组充放电 220V以下(容量AH以下)、1600</t>
  </si>
  <si>
    <t>YD5-44</t>
  </si>
  <si>
    <t>蓄电池组充放电 220V以下(容量AH以下)、1800</t>
  </si>
  <si>
    <t>YD5-45</t>
  </si>
  <si>
    <t>蓄电池组充放电 220V以下(容量AH以下)、2000</t>
  </si>
  <si>
    <t>YD5-46</t>
  </si>
  <si>
    <t>蓄电池组充放电 220V以下(容量AH以下)、2500</t>
  </si>
  <si>
    <t>YD5-47</t>
  </si>
  <si>
    <t>蓄电池组充放电 220V以下(容量AH以下)、3000</t>
  </si>
  <si>
    <t>YD6-1</t>
  </si>
  <si>
    <t>发电机及调相机检查接线 容量(MW以内)、50</t>
  </si>
  <si>
    <t>2219.76</t>
  </si>
  <si>
    <t>YD6-2</t>
  </si>
  <si>
    <t>发电机及调相机检查接线 容量(MW以内)、125</t>
  </si>
  <si>
    <t>2671.89</t>
  </si>
  <si>
    <t>YD6-3</t>
  </si>
  <si>
    <t>发电机及调相机检查接线 容量(MW以内)、300</t>
  </si>
  <si>
    <t>3335.96</t>
  </si>
  <si>
    <t>YD6-4</t>
  </si>
  <si>
    <t>2588.92</t>
  </si>
  <si>
    <t>YD6-5</t>
  </si>
  <si>
    <t>发电机及调相机检查接线 容量(MW以内)、100</t>
  </si>
  <si>
    <t>3008.75</t>
  </si>
  <si>
    <t>YD6-6</t>
  </si>
  <si>
    <t>发电机及调相机检查接线 容量(MW以内)、200</t>
  </si>
  <si>
    <t>3770.76</t>
  </si>
  <si>
    <t>YD6-7</t>
  </si>
  <si>
    <t>4888.91</t>
  </si>
  <si>
    <t>YD6-8</t>
  </si>
  <si>
    <t>发电机及调相机检查接线 容量(MW以内)、600</t>
  </si>
  <si>
    <t>6903.48</t>
  </si>
  <si>
    <t>YD6-10</t>
  </si>
  <si>
    <t>直流发电机检查接线 容量(KW以内)、75</t>
  </si>
  <si>
    <t>297.99</t>
  </si>
  <si>
    <t>YD6-11</t>
  </si>
  <si>
    <t>直流发电机检查接线 容量(KW以内)、190</t>
  </si>
  <si>
    <t>404.33</t>
  </si>
  <si>
    <t>YD6-12</t>
  </si>
  <si>
    <t>直流发电机检查接线 容量(KW以内)、240</t>
  </si>
  <si>
    <t>464.21</t>
  </si>
  <si>
    <t>YD6-13</t>
  </si>
  <si>
    <t>直流发电机检查接线 容量(KW以内)、470</t>
  </si>
  <si>
    <t>633.70</t>
  </si>
  <si>
    <t>YD6-14</t>
  </si>
  <si>
    <t>直流发电机检查接线 容量(KW以内)、630</t>
  </si>
  <si>
    <t>955.61</t>
  </si>
  <si>
    <t>YD6-15</t>
  </si>
  <si>
    <t>直流发电机检查接线 容量(KW以内)、720</t>
  </si>
  <si>
    <t>1112.81</t>
  </si>
  <si>
    <t>YD6-9</t>
  </si>
  <si>
    <t>直流发电机检查接线 容量(KW以内)、13</t>
  </si>
  <si>
    <t>215.04</t>
  </si>
  <si>
    <t>YD6-46</t>
  </si>
  <si>
    <t>发电机励磁电阻器安装 容量(MW以内)、50</t>
  </si>
  <si>
    <t>118.86</t>
  </si>
  <si>
    <t>YD6-47</t>
  </si>
  <si>
    <t>发电机励磁电阻器安装 容量(MW以内)、125</t>
  </si>
  <si>
    <t>130.87</t>
  </si>
  <si>
    <t>YD6-48</t>
  </si>
  <si>
    <t>发电机励磁电阻器安装 容量(MW以内)、200</t>
  </si>
  <si>
    <t>166.26</t>
  </si>
  <si>
    <t>YD6-49</t>
  </si>
  <si>
    <t>发电机励磁电阻器安装 容量(MW以内)、300</t>
  </si>
  <si>
    <t>189.13</t>
  </si>
  <si>
    <t>YD6-50</t>
  </si>
  <si>
    <t>发电机励磁电阻器安装 容量(MW以内)、600</t>
  </si>
  <si>
    <t>245.32</t>
  </si>
  <si>
    <t>YD7-1</t>
  </si>
  <si>
    <t>桥式起重机电气安装 起重量(t以内)、20</t>
  </si>
  <si>
    <t>1554.17</t>
  </si>
  <si>
    <t>YD7-2</t>
  </si>
  <si>
    <t>桥式起重机电气安装 起重量(t以内)、50</t>
  </si>
  <si>
    <t>2160.48</t>
  </si>
  <si>
    <t>YD7-3</t>
  </si>
  <si>
    <t>桥式起重机电气安装 起重量(t以内)、75</t>
  </si>
  <si>
    <t>2573.55</t>
  </si>
  <si>
    <t>YD7-4</t>
  </si>
  <si>
    <t>桥式起重机电气安装 起重量(t以内)、100</t>
  </si>
  <si>
    <t>3019.97</t>
  </si>
  <si>
    <t>YD7-10</t>
  </si>
  <si>
    <t>单轨式起重机电气安装 起重量(5t以内)、操纵室控制</t>
  </si>
  <si>
    <t>577.77</t>
  </si>
  <si>
    <t>YD7-11</t>
  </si>
  <si>
    <t>单轨式起重机电气安装 起重量(10t以内)、地面控制</t>
  </si>
  <si>
    <t>474.16</t>
  </si>
  <si>
    <t>YD7-12</t>
  </si>
  <si>
    <t>单轨式起重机电气安装 起重量(10t以内)、操纵室控制</t>
  </si>
  <si>
    <t>630.67</t>
  </si>
  <si>
    <t>YD7-9</t>
  </si>
  <si>
    <t>单轨式起重机电气安装 起重量(5t以内)、地面控制</t>
  </si>
  <si>
    <t>377.56</t>
  </si>
  <si>
    <t>YD7-13</t>
  </si>
  <si>
    <t>电动葫芦电气安装 起重量(t)、2</t>
  </si>
  <si>
    <t>157.71</t>
  </si>
  <si>
    <t>YD7-14</t>
  </si>
  <si>
    <t>电动葫芦电气安装 起重量(t)、5</t>
  </si>
  <si>
    <t>189.00</t>
  </si>
  <si>
    <t>YD7-15</t>
  </si>
  <si>
    <t>电动葫芦电气安装 起重量(t)、10</t>
  </si>
  <si>
    <t>336.00</t>
  </si>
  <si>
    <t>YD7-16</t>
  </si>
  <si>
    <t>斗轮堆取料机电气安装 取料(t/h)／堆料(t/h)、630/1000</t>
  </si>
  <si>
    <t>6501.37</t>
  </si>
  <si>
    <t>YD7-17</t>
  </si>
  <si>
    <t>斗轮堆取料机电气安装 取料(t/h)／堆料(t/h)、1000/1250</t>
  </si>
  <si>
    <t>8800.37</t>
  </si>
  <si>
    <t>YD7-18</t>
  </si>
  <si>
    <t>斗轮堆取料机电气安装 取料(t/h)／堆料(t/h)、2000/3150</t>
  </si>
  <si>
    <t>10002.85</t>
  </si>
  <si>
    <t>YD7-19</t>
  </si>
  <si>
    <t>电站专用电梯电气安装 配合锅炉容量(t/h)、425</t>
  </si>
  <si>
    <t>部</t>
  </si>
  <si>
    <t>2408.28</t>
  </si>
  <si>
    <t>YD7-20</t>
  </si>
  <si>
    <t>电站专用电梯电气安装 配合锅炉容量(t/h)、670</t>
  </si>
  <si>
    <t>2718.89</t>
  </si>
  <si>
    <t>YD7-21</t>
  </si>
  <si>
    <t>电站专用电梯电气安装 配合锅炉容量(t/h)、1025</t>
  </si>
  <si>
    <t>2838.09</t>
  </si>
  <si>
    <t>YD7-22</t>
  </si>
  <si>
    <t>电站专用电梯电气安装 配合锅炉容量(t/h)、2000</t>
  </si>
  <si>
    <t>3088.28</t>
  </si>
  <si>
    <t>YD7-23</t>
  </si>
  <si>
    <t>滑触线安装 等边角钢、∠40x40x4</t>
  </si>
  <si>
    <t>3.04</t>
  </si>
  <si>
    <t>YD7-24</t>
  </si>
  <si>
    <t>滑触线安装 等边角钢、∠50x50x5</t>
  </si>
  <si>
    <t>3.65</t>
  </si>
  <si>
    <t>YD7-25</t>
  </si>
  <si>
    <t>滑触线安装 等边角钢、∠63x63x6</t>
  </si>
  <si>
    <t>3.91</t>
  </si>
  <si>
    <t>YD7-26</t>
  </si>
  <si>
    <t>滑触线安装 等边角钢、∠75x75x8</t>
  </si>
  <si>
    <t>4.28</t>
  </si>
  <si>
    <t>YD7-27</t>
  </si>
  <si>
    <t>滑触线安装 扁钢、40x4</t>
  </si>
  <si>
    <t>1.35</t>
  </si>
  <si>
    <t>YD7-28</t>
  </si>
  <si>
    <t>滑触线安装 扁钢、50x5</t>
  </si>
  <si>
    <t>1.62</t>
  </si>
  <si>
    <t>YD7-29</t>
  </si>
  <si>
    <t>滑触线安装 扁钢、60x6</t>
  </si>
  <si>
    <t>1.84</t>
  </si>
  <si>
    <t>YD7-30</t>
  </si>
  <si>
    <t>滑触线安装 槽钢、[65x40</t>
  </si>
  <si>
    <t>7.30</t>
  </si>
  <si>
    <t>YD7-31</t>
  </si>
  <si>
    <t>滑触线安装 槽钢、[80x43</t>
  </si>
  <si>
    <t>7.97</t>
  </si>
  <si>
    <t>YD7-32</t>
  </si>
  <si>
    <t>滑触线安装 槽钢、[100x48</t>
  </si>
  <si>
    <t>8.65</t>
  </si>
  <si>
    <t>YD7-33</t>
  </si>
  <si>
    <t>滑触线安装 槽钢、[120x53</t>
  </si>
  <si>
    <t>9.09</t>
  </si>
  <si>
    <t>YD7-34</t>
  </si>
  <si>
    <t>(淘宝店铺:枫启教育)安全滑触线</t>
  </si>
  <si>
    <t>YD7-35</t>
  </si>
  <si>
    <t>移动软电缆安装 沿钢索每根(长度m以内)、10</t>
  </si>
  <si>
    <t>根</t>
  </si>
  <si>
    <t>20.27</t>
  </si>
  <si>
    <t>YD7-36</t>
  </si>
  <si>
    <t>移动软电缆安装 沿钢索每根(长度m以内)、20</t>
  </si>
  <si>
    <t>28.52</t>
  </si>
  <si>
    <t>YD7-37</t>
  </si>
  <si>
    <t>移动软电缆安装 沿钢索每根(长度m以内)、30</t>
  </si>
  <si>
    <t>36.06</t>
  </si>
  <si>
    <t>YD7-38</t>
  </si>
  <si>
    <t>移动软电缆安装 沿轨道每100m(截面平方毫以内)、16</t>
  </si>
  <si>
    <t>47.06</t>
  </si>
  <si>
    <t>YD7-39</t>
  </si>
  <si>
    <t>移动软电缆安装 沿轨道每100m(截面平方毫以内)、35</t>
  </si>
  <si>
    <t>78.33</t>
  </si>
  <si>
    <t>YD7-40</t>
  </si>
  <si>
    <t>移动软电缆安装 沿轨道每100m(截面平方毫以内)、70</t>
  </si>
  <si>
    <t>90.51</t>
  </si>
  <si>
    <t>YD7-41</t>
  </si>
  <si>
    <t>移动软电缆安装 沿轨道每100m(截面平方毫以内)、120</t>
  </si>
  <si>
    <t>106.89</t>
  </si>
  <si>
    <t>YD7-42</t>
  </si>
  <si>
    <t>滑触线支架安装 3横架式、螺栓固定</t>
  </si>
  <si>
    <t>付</t>
  </si>
  <si>
    <t>5.83</t>
  </si>
  <si>
    <t>YD7-43</t>
  </si>
  <si>
    <t>滑触线支架安装 3横架式、焊接固定</t>
  </si>
  <si>
    <t>5.54</t>
  </si>
  <si>
    <t>YD7-44</t>
  </si>
  <si>
    <t>滑触线支架安装 6横架式、螺栓固定</t>
  </si>
  <si>
    <t>7.82</t>
  </si>
  <si>
    <t>YD7-45</t>
  </si>
  <si>
    <t>滑触线支架安装 6横架式、焊接固定</t>
  </si>
  <si>
    <t>7.28</t>
  </si>
  <si>
    <t>YD7-46</t>
  </si>
  <si>
    <t>指示灯安装、(套)</t>
  </si>
  <si>
    <t>YD8-1</t>
  </si>
  <si>
    <t>人工开挖路面 混凝土路面厚度(mm以内)、150</t>
  </si>
  <si>
    <t>14.53</t>
  </si>
  <si>
    <t>YD8-2</t>
  </si>
  <si>
    <t>人工开挖路面 混凝土路面厚度(mm以内)、250</t>
  </si>
  <si>
    <t>32.74</t>
  </si>
  <si>
    <t>YD8-3</t>
  </si>
  <si>
    <t>人工开挖路面 沥清路面厚度(mm以内)、150</t>
  </si>
  <si>
    <t>5.84</t>
  </si>
  <si>
    <t>YD8-4</t>
  </si>
  <si>
    <t>人工开挖路面 沥清路面厚度(mm以内)、250</t>
  </si>
  <si>
    <t>10.06</t>
  </si>
  <si>
    <t>YD8-5</t>
  </si>
  <si>
    <t>人工开挖路面 砂石路面厚度(mm以内)、150</t>
  </si>
  <si>
    <t>3.36</t>
  </si>
  <si>
    <t>YD8-6</t>
  </si>
  <si>
    <t>人工开挖路面 砂石路面厚度(mm以内)、250</t>
  </si>
  <si>
    <t>YD8-10</t>
  </si>
  <si>
    <t>揭盖盖板(长度mm)、500</t>
  </si>
  <si>
    <t>1.28</t>
  </si>
  <si>
    <t>YD8-11</t>
  </si>
  <si>
    <t>揭盖盖板(长度mm)、1000</t>
  </si>
  <si>
    <t>3.13</t>
  </si>
  <si>
    <t>YD8-12</t>
  </si>
  <si>
    <t>揭盖盖板(长度mm)、1500</t>
  </si>
  <si>
    <t>YD8-7</t>
  </si>
  <si>
    <t>挖填土(m3)、普通土</t>
  </si>
  <si>
    <t>m3</t>
  </si>
  <si>
    <t>8.78</t>
  </si>
  <si>
    <t>YD8-8</t>
  </si>
  <si>
    <t>挖填土(m3)、坚土</t>
  </si>
  <si>
    <t>14.57</t>
  </si>
  <si>
    <t>YD8-9</t>
  </si>
  <si>
    <t>挖填土(m3)、岩石</t>
  </si>
  <si>
    <t>42.95</t>
  </si>
  <si>
    <t>YD8-13</t>
  </si>
  <si>
    <t>铺沙,盖砖、1-2根电缆</t>
  </si>
  <si>
    <t>1.31</t>
  </si>
  <si>
    <t>YD8-14</t>
  </si>
  <si>
    <t>铺沙,盖砖、每增一根电缆</t>
  </si>
  <si>
    <t>0.35</t>
  </si>
  <si>
    <t>YD8-15</t>
  </si>
  <si>
    <t>铺沙,盖保护板、1-2根电缆</t>
  </si>
  <si>
    <t>YD8-16</t>
  </si>
  <si>
    <t>铺沙,盖保护板、每增一根电缆</t>
  </si>
  <si>
    <t>YD8-17</t>
  </si>
  <si>
    <t>铝合金桥架、托盘(断面:宽x高)、300x100</t>
  </si>
  <si>
    <t>6.11</t>
  </si>
  <si>
    <t>YD8-18</t>
  </si>
  <si>
    <t>铝合金桥架、托盘(断面:宽x高)、600x150</t>
  </si>
  <si>
    <t>7.91</t>
  </si>
  <si>
    <t>YD8-19</t>
  </si>
  <si>
    <t>铝合金桥架、托盘(断面:宽x高)、1000x150</t>
  </si>
  <si>
    <t>8.10</t>
  </si>
  <si>
    <t>YD8-20</t>
  </si>
  <si>
    <t>钢制梯架、槽盒(t)、桥架</t>
  </si>
  <si>
    <t>1067.05</t>
  </si>
  <si>
    <t>YD8-21</t>
  </si>
  <si>
    <t>钢制梯架、槽盒(t)、托盘、槽盒</t>
  </si>
  <si>
    <t>1567.65</t>
  </si>
  <si>
    <t>YD8-22</t>
  </si>
  <si>
    <t>电缆保护管敷设 管径(mm以下)、Φ32</t>
  </si>
  <si>
    <t>10.71</t>
  </si>
  <si>
    <t>YD8-23</t>
  </si>
  <si>
    <t>电缆保护管敷设 管径(mm以下)、Φ50</t>
  </si>
  <si>
    <t>13.80</t>
  </si>
  <si>
    <t>YD8-24</t>
  </si>
  <si>
    <t>电缆保护管敷设 管径(mm以下)、Φ80</t>
  </si>
  <si>
    <t>17.37</t>
  </si>
  <si>
    <t>YD8-25</t>
  </si>
  <si>
    <t>电缆保护管敷设 管径(mm以下)、Φ100</t>
  </si>
  <si>
    <t>20.66</t>
  </si>
  <si>
    <t>YD8-26</t>
  </si>
  <si>
    <t>电缆保护管敷设 钢管(管径mm以内)、Φ32</t>
  </si>
  <si>
    <t>2.47</t>
  </si>
  <si>
    <t>YD8-27</t>
  </si>
  <si>
    <t>电缆保护管敷设 钢管(管径mm以内)、Φ50</t>
  </si>
  <si>
    <t>3.68</t>
  </si>
  <si>
    <t>YD8-28</t>
  </si>
  <si>
    <t>电缆保护管敷设 钢管(管径mm以内)、Φ80</t>
  </si>
  <si>
    <t>5.68</t>
  </si>
  <si>
    <t>YD8-29</t>
  </si>
  <si>
    <t>电缆保护管敷设 钢管(管径mm以内)、Φ100</t>
  </si>
  <si>
    <t>8.33</t>
  </si>
  <si>
    <t>YD8-30</t>
  </si>
  <si>
    <t>电缆保护管敷设 钢管(管径mm以内)、Φ125</t>
  </si>
  <si>
    <t>11.08</t>
  </si>
  <si>
    <t>YD8-31</t>
  </si>
  <si>
    <t>电缆保护管敷设 钢管(管径mm以内)、Φ150</t>
  </si>
  <si>
    <t>11.96</t>
  </si>
  <si>
    <t>YD8-32</t>
  </si>
  <si>
    <t>电缆保护管敷设 管径(mm以下)、Φ20</t>
  </si>
  <si>
    <t>1.41</t>
  </si>
  <si>
    <t>YD8-33</t>
  </si>
  <si>
    <t>1.46</t>
  </si>
  <si>
    <t>YD8-34</t>
  </si>
  <si>
    <t>1.56</t>
  </si>
  <si>
    <t>YD8-35</t>
  </si>
  <si>
    <t>电缆保护管敷设 管径(mm以下)、80</t>
  </si>
  <si>
    <t>2.38</t>
  </si>
  <si>
    <t>YD8-36</t>
  </si>
  <si>
    <t>电缆保护管敷设 管径(mm以下)、100</t>
  </si>
  <si>
    <t>2.93</t>
  </si>
  <si>
    <t>YD8-37</t>
  </si>
  <si>
    <t>电缆保护管敷设 管径(mm以下)、150</t>
  </si>
  <si>
    <t>3.38</t>
  </si>
  <si>
    <t>YD8-38</t>
  </si>
  <si>
    <t>电缆保护管敷设 管径(mm以下)、250</t>
  </si>
  <si>
    <t>4.30</t>
  </si>
  <si>
    <t>YD8-39</t>
  </si>
  <si>
    <t>电缆保护管敷设 顶管(Φ150埋深5m以内)、10m以下</t>
  </si>
  <si>
    <t>378.00</t>
  </si>
  <si>
    <t>YD8-40</t>
  </si>
  <si>
    <t>电缆保护管敷设 顶管(Φ150埋深5m以内)、15m以下</t>
  </si>
  <si>
    <t>525.00</t>
  </si>
  <si>
    <t>YD8-41</t>
  </si>
  <si>
    <t>电缆保护管敷设 顶管(Φ150埋深5m以内)、20m以下</t>
  </si>
  <si>
    <t>651.00</t>
  </si>
  <si>
    <t>YD8-42</t>
  </si>
  <si>
    <t>电缆保护管敷设 顶管(Φ150埋深5m以内)、每增加5m</t>
  </si>
  <si>
    <t>210.00</t>
  </si>
  <si>
    <t>YD8-43</t>
  </si>
  <si>
    <t>电缆敷设 截面(mm2以内)、10</t>
  </si>
  <si>
    <t>1.20</t>
  </si>
  <si>
    <t>YD8-44</t>
  </si>
  <si>
    <t>电缆敷设 截面(mm2以内)、35</t>
  </si>
  <si>
    <t>1.33</t>
  </si>
  <si>
    <t>YD8-45</t>
  </si>
  <si>
    <t>电缆敷设 截面(mm2以内)、120</t>
  </si>
  <si>
    <t>2.19</t>
  </si>
  <si>
    <t>YD8-46</t>
  </si>
  <si>
    <t>电缆敷设 截面(mm2以内)、240</t>
  </si>
  <si>
    <t>2.90</t>
  </si>
  <si>
    <t>YD8-47</t>
  </si>
  <si>
    <t>电缆敷设 单芯(截面mm2以内)、400</t>
  </si>
  <si>
    <t>YD8-48</t>
  </si>
  <si>
    <t>电缆敷设 单芯(截面mm2以内)、630</t>
  </si>
  <si>
    <t>3.76</t>
  </si>
  <si>
    <t>YD8-49</t>
  </si>
  <si>
    <t>户内电缆终端头制作安装 1KV以下(截面mm2以下)、10</t>
  </si>
  <si>
    <t>YD8-50</t>
  </si>
  <si>
    <t>户内电缆终端头制作安装 1KV以下(截面mm2以下)、35</t>
  </si>
  <si>
    <t>23.73</t>
  </si>
  <si>
    <t>YD8-51</t>
  </si>
  <si>
    <t>户内电缆终端头制作安装 1KV以下(截面mm2以下)、120</t>
  </si>
  <si>
    <t>28.22</t>
  </si>
  <si>
    <t>YD8-52</t>
  </si>
  <si>
    <t>户内电缆终端头制作安装 1KV以下(截面mm2以下)、240</t>
  </si>
  <si>
    <t>33.85</t>
  </si>
  <si>
    <t>YD8-53</t>
  </si>
  <si>
    <t>户内电缆终端头制作安装 10KV以下(截面mm2以下)、35</t>
  </si>
  <si>
    <t>31.00</t>
  </si>
  <si>
    <t>YD8-54</t>
  </si>
  <si>
    <t>户内电缆终端头制作安装 10KV以下(截面mm2以下)、120</t>
  </si>
  <si>
    <t>36.79</t>
  </si>
  <si>
    <t>YD8-55</t>
  </si>
  <si>
    <t>户内电缆终端头制作安装 10KV以下(截面mm2以下)、240</t>
  </si>
  <si>
    <t>42.34</t>
  </si>
  <si>
    <t>YD8-56</t>
  </si>
  <si>
    <t>YD8-57</t>
  </si>
  <si>
    <t>13.86</t>
  </si>
  <si>
    <t>YD8-58</t>
  </si>
  <si>
    <t>14.91</t>
  </si>
  <si>
    <t>YD8-59</t>
  </si>
  <si>
    <t>21.17</t>
  </si>
  <si>
    <t>YD8-60</t>
  </si>
  <si>
    <t>户内电缆终端头制作安装 1KV以下(截面mm2以下)、单芯400</t>
  </si>
  <si>
    <t>18.04</t>
  </si>
  <si>
    <t>YD8-61</t>
  </si>
  <si>
    <t>户内电缆终端头制作安装 1KV以下(截面mm2以下)、单芯630</t>
  </si>
  <si>
    <t>24.99</t>
  </si>
  <si>
    <t>YD8-62</t>
  </si>
  <si>
    <t>23.44</t>
  </si>
  <si>
    <t>YD8-63</t>
  </si>
  <si>
    <t>32.00</t>
  </si>
  <si>
    <t>YD8-64</t>
  </si>
  <si>
    <t>42.00</t>
  </si>
  <si>
    <t>YD8-65</t>
  </si>
  <si>
    <t>户内电缆终端头制作安装 10KV以下(截面mm2以下)、单芯400</t>
  </si>
  <si>
    <t>27.72</t>
  </si>
  <si>
    <t>YD8-66</t>
  </si>
  <si>
    <t>户内电缆终端头制作安装 10KV以下(截面mm2以下)、单芯630</t>
  </si>
  <si>
    <t>35.70</t>
  </si>
  <si>
    <t>YD8-67</t>
  </si>
  <si>
    <t>YD8-68</t>
  </si>
  <si>
    <t>户内电缆终端头制作安装 1KV以下(截面mm2以下)、50</t>
  </si>
  <si>
    <t>YD8-69</t>
  </si>
  <si>
    <t>33.18</t>
  </si>
  <si>
    <t>YD8-70</t>
  </si>
  <si>
    <t>43.47</t>
  </si>
  <si>
    <t>YD8-71</t>
  </si>
  <si>
    <t>户内电缆终端头制作安装 10KV以下(截面mm2以下)、50</t>
  </si>
  <si>
    <t>YD8-72</t>
  </si>
  <si>
    <t>44.94</t>
  </si>
  <si>
    <t>YD8-73</t>
  </si>
  <si>
    <t>52.71</t>
  </si>
  <si>
    <t>YD8-74</t>
  </si>
  <si>
    <t>户外电力电缆终端头制作安装 10KV以下(截面mm2以下)、35</t>
  </si>
  <si>
    <t>60.48</t>
  </si>
  <si>
    <t>YD8-75</t>
  </si>
  <si>
    <t>户外电力电缆终端头制作安装 10KV以下(截面mm2以下)、120</t>
  </si>
  <si>
    <t>75.60</t>
  </si>
  <si>
    <t>YD8-76</t>
  </si>
  <si>
    <t>户外电力电缆终端头制作安装 10KV以下(截面mm2以下)、240</t>
  </si>
  <si>
    <t>YD8-77</t>
  </si>
  <si>
    <t>户外电力电缆终端头制作安装 1KV以下(截面mm2以下)、10</t>
  </si>
  <si>
    <t>39.90</t>
  </si>
  <si>
    <t>YD8-78</t>
  </si>
  <si>
    <t>户外电力电缆终端头制作安装 1KV以下(截面mm2以下)、35</t>
  </si>
  <si>
    <t>47.04</t>
  </si>
  <si>
    <t>YD8-79</t>
  </si>
  <si>
    <t>户外电力电缆终端头制作安装 1KV以下(截面mm2以下)、120</t>
  </si>
  <si>
    <t>YD8-80</t>
  </si>
  <si>
    <t>户外电力电缆终端头制作安装 1KV以下(截面mm2以下)、240</t>
  </si>
  <si>
    <t>84.42</t>
  </si>
  <si>
    <t>YD8-81</t>
  </si>
  <si>
    <t>户外电力电缆终端头制作安装 1KV以下(截面mm2以下)、单芯400</t>
  </si>
  <si>
    <t>55.44</t>
  </si>
  <si>
    <t>YD8-82</t>
  </si>
  <si>
    <t>户外电力电缆终端头制作安装 1KV以下(截面mm2以下)、单芯630</t>
  </si>
  <si>
    <t>71.82</t>
  </si>
  <si>
    <t>YD8-83</t>
  </si>
  <si>
    <t>YD8-84</t>
  </si>
  <si>
    <t>83.16</t>
  </si>
  <si>
    <t>YD8-85</t>
  </si>
  <si>
    <t>102.06</t>
  </si>
  <si>
    <t>YD8-86</t>
  </si>
  <si>
    <t>户外电力电缆终端头制作安装 10KV以下(截面mm2以下)、单芯400</t>
  </si>
  <si>
    <t>66.57</t>
  </si>
  <si>
    <t>YD8-87</t>
  </si>
  <si>
    <t>户外电力电缆终端头制作安装 10KV以下(截面mm2以下)、单芯630</t>
  </si>
  <si>
    <t>86.73</t>
  </si>
  <si>
    <t>YD8-88</t>
  </si>
  <si>
    <t>户外电力电缆终端头制作安装 10KV以下(截面mm2以下)、50</t>
  </si>
  <si>
    <t>61.95</t>
  </si>
  <si>
    <t>YD8-89</t>
  </si>
  <si>
    <t>94.92</t>
  </si>
  <si>
    <t>YD8-90</t>
  </si>
  <si>
    <t>110.04</t>
  </si>
  <si>
    <t>YD8-91</t>
  </si>
  <si>
    <t>电力电缆中间头制作安装 10KV以下(截面mm2以下)、35</t>
  </si>
  <si>
    <t>YD8-92</t>
  </si>
  <si>
    <t>电力电缆中间头制作安装 10KV以下(截面mm2以下)、120</t>
  </si>
  <si>
    <t>65.10</t>
  </si>
  <si>
    <t>YD8-93</t>
  </si>
  <si>
    <t>电力电缆中间头制作安装 10KV以下(截面mm2以下)、240</t>
  </si>
  <si>
    <t>82.95</t>
  </si>
  <si>
    <t>YD8-94</t>
  </si>
  <si>
    <t>电力电缆中间头制作安装 1KV以下(截面mm2以下)、50</t>
  </si>
  <si>
    <t>YD8-95</t>
  </si>
  <si>
    <t>电力电缆中间头制作安装 1KV以下(截面mm2以下)、120</t>
  </si>
  <si>
    <t>59.22</t>
  </si>
  <si>
    <t>YD8-96</t>
  </si>
  <si>
    <t>电力电缆中间头制作安装 1KV以下(截面mm2以下)、240</t>
  </si>
  <si>
    <t>76.44</t>
  </si>
  <si>
    <t>YD8-97</t>
  </si>
  <si>
    <t>电力电缆中间头制作安装 10KV以下(截面mm2以下)、50</t>
  </si>
  <si>
    <t>48.30</t>
  </si>
  <si>
    <t>YD8-98</t>
  </si>
  <si>
    <t>74.97</t>
  </si>
  <si>
    <t>YD8-99</t>
  </si>
  <si>
    <t>95.34</t>
  </si>
  <si>
    <t>YD8-100</t>
  </si>
  <si>
    <t>控制电缆头制作安装 芯数(以内)、6</t>
  </si>
  <si>
    <t>8.48</t>
  </si>
  <si>
    <t>YD8-101</t>
  </si>
  <si>
    <t>控制电缆头制作安装 芯数(以内)、14</t>
  </si>
  <si>
    <t>14.51</t>
  </si>
  <si>
    <t>YD8-102</t>
  </si>
  <si>
    <t>控制电缆头制作安装 芯数(以内)、24</t>
  </si>
  <si>
    <t>17.66</t>
  </si>
  <si>
    <t>YD8-103</t>
  </si>
  <si>
    <t>控制电缆头制作安装 芯数(以内)、37</t>
  </si>
  <si>
    <t>19.99</t>
  </si>
  <si>
    <t>YD8-104</t>
  </si>
  <si>
    <t>YD8-105</t>
  </si>
  <si>
    <t>15.86</t>
  </si>
  <si>
    <t>YD8-106</t>
  </si>
  <si>
    <t>21.92</t>
  </si>
  <si>
    <t>YD8-107</t>
  </si>
  <si>
    <t>19.09</t>
  </si>
  <si>
    <t>YD8-108</t>
  </si>
  <si>
    <t>控制电缆头制作安装 芯数(以内)、60</t>
  </si>
  <si>
    <t>33.64</t>
  </si>
  <si>
    <t>YD8-109</t>
  </si>
  <si>
    <t>控制电缆头制作安装 芯数(以内)、80</t>
  </si>
  <si>
    <t>45.26</t>
  </si>
  <si>
    <t>YD8-110</t>
  </si>
  <si>
    <t>控制电缆头制作安装 芯数(以内)、100</t>
  </si>
  <si>
    <t>81.90</t>
  </si>
  <si>
    <t>YD8-111</t>
  </si>
  <si>
    <t>(淘宝店铺:枫启教育)阻燃槽盒(套)</t>
  </si>
  <si>
    <t>82.97</t>
  </si>
  <si>
    <t>YD8-112</t>
  </si>
  <si>
    <t>防火隔板(m2)</t>
  </si>
  <si>
    <t>26.73</t>
  </si>
  <si>
    <t>YD8-113</t>
  </si>
  <si>
    <t>防火堵料(t)</t>
  </si>
  <si>
    <t>1303.81</t>
  </si>
  <si>
    <t>YD8-114</t>
  </si>
  <si>
    <t>电缆防火涂料(t)</t>
  </si>
  <si>
    <t>6478.94</t>
  </si>
  <si>
    <t>YD9-1</t>
  </si>
  <si>
    <t>设备照明、锅炉本体</t>
  </si>
  <si>
    <t>YD9-2</t>
  </si>
  <si>
    <t>设备照明、汽机本体</t>
  </si>
  <si>
    <t>43.37</t>
  </si>
  <si>
    <t>YD9-3</t>
  </si>
  <si>
    <t>设备照明、电除尘</t>
  </si>
  <si>
    <t>67.91</t>
  </si>
  <si>
    <t>YD9-4</t>
  </si>
  <si>
    <t>设备照明、分离器</t>
  </si>
  <si>
    <t>29.44</t>
  </si>
  <si>
    <t>YD9-5</t>
  </si>
  <si>
    <t>设备照明、配电构架</t>
  </si>
  <si>
    <t>55.04</t>
  </si>
  <si>
    <t>YD9-6</t>
  </si>
  <si>
    <t>路灯安装、钢管杆路灯单叉</t>
  </si>
  <si>
    <t>基</t>
  </si>
  <si>
    <t>172.58</t>
  </si>
  <si>
    <t>YD9-7</t>
  </si>
  <si>
    <t>路灯安装、钢管杆路灯双叉</t>
  </si>
  <si>
    <t>196.56</t>
  </si>
  <si>
    <t>YD9-8</t>
  </si>
  <si>
    <t>路灯安装、水泥杆路灯单叉</t>
  </si>
  <si>
    <t>243.60</t>
  </si>
  <si>
    <t>YD9-9</t>
  </si>
  <si>
    <t>路灯安装、水泥杆路灯双叉</t>
  </si>
  <si>
    <t>344.19</t>
  </si>
  <si>
    <t>YD9-10</t>
  </si>
  <si>
    <t>架设钢芯铝铰线(截面mm2以内)、35</t>
  </si>
  <si>
    <t>km</t>
  </si>
  <si>
    <t>88.49</t>
  </si>
  <si>
    <t>YD9-11</t>
  </si>
  <si>
    <t>架设钢芯铝铰线(截面mm2以内)、95</t>
  </si>
  <si>
    <t>183.37</t>
  </si>
  <si>
    <t>YD9-12</t>
  </si>
  <si>
    <t>架设绝缘铝芯线(截面mm2以内)、35</t>
  </si>
  <si>
    <t>92.17</t>
  </si>
  <si>
    <t>YD9-13</t>
  </si>
  <si>
    <t>架设绝缘铝芯线(截面mm2以内)、95</t>
  </si>
  <si>
    <t>111.91</t>
  </si>
  <si>
    <t>YD9-14</t>
  </si>
  <si>
    <t>埋地钢管穿设绝缘线</t>
  </si>
  <si>
    <t>6.73</t>
  </si>
  <si>
    <t>YD9-15</t>
  </si>
  <si>
    <t>接地极、钢管</t>
  </si>
  <si>
    <t>9.03</t>
  </si>
  <si>
    <t>YD9-16</t>
  </si>
  <si>
    <t>接地极、角钢</t>
  </si>
  <si>
    <t>YD9-17</t>
  </si>
  <si>
    <t>接地极、铜棒</t>
  </si>
  <si>
    <t>6.78</t>
  </si>
  <si>
    <t>YD9-18</t>
  </si>
  <si>
    <t>户外接地母线、扁钢60x10以内</t>
  </si>
  <si>
    <t>10.00</t>
  </si>
  <si>
    <t>YD9-19</t>
  </si>
  <si>
    <t>户外接地母线、扁钢40x4以内</t>
  </si>
  <si>
    <t>6.74</t>
  </si>
  <si>
    <t>YD9-20</t>
  </si>
  <si>
    <t>户外接地母线、园钢Φ16以内</t>
  </si>
  <si>
    <t>5.78</t>
  </si>
  <si>
    <t>YD9-21</t>
  </si>
  <si>
    <t>户外接地母线、铜绞线250mm2</t>
  </si>
  <si>
    <t>4.77</t>
  </si>
  <si>
    <t>YD9-22</t>
  </si>
  <si>
    <t>户外接地母线、铜绞线150mm2</t>
  </si>
  <si>
    <t>5.12</t>
  </si>
  <si>
    <t>YD9-23</t>
  </si>
  <si>
    <t>户外接地母线敷设 铜排、60x80以内</t>
  </si>
  <si>
    <t>5.98</t>
  </si>
  <si>
    <t>YD9-24</t>
  </si>
  <si>
    <t>户外接地母线敷设 铜排、40x5以内</t>
  </si>
  <si>
    <t>5.86</t>
  </si>
  <si>
    <t>YD9-25</t>
  </si>
  <si>
    <t>户内接地母线敷设</t>
  </si>
  <si>
    <t>2.92</t>
  </si>
  <si>
    <t>YD9-26</t>
  </si>
  <si>
    <t>避雷针接地引下线安装 沿混凝土结构(高度m)、25</t>
  </si>
  <si>
    <t>2.08</t>
  </si>
  <si>
    <t>YD9-27</t>
  </si>
  <si>
    <t>避雷针接地引下线安装 沿混凝土结构(高度m)、50</t>
  </si>
  <si>
    <t>3.82</t>
  </si>
  <si>
    <t>YD9-28</t>
  </si>
  <si>
    <t>避雷针接地引下线安装 沿混凝土结构(高度m)、100</t>
  </si>
  <si>
    <t>5.37</t>
  </si>
  <si>
    <t>YD9-29</t>
  </si>
  <si>
    <t>避雷针接地引下线安装 沿混凝土结构(高度m)、150</t>
  </si>
  <si>
    <t>7.58</t>
  </si>
  <si>
    <t>YD9-30</t>
  </si>
  <si>
    <t>避雷针接地引下线安装 沿砖结构(高度m)、25</t>
  </si>
  <si>
    <t>1.24</t>
  </si>
  <si>
    <t>YD9-31</t>
  </si>
  <si>
    <t>避雷针接地引下线安装 沿砖结构(高度m)、50</t>
  </si>
  <si>
    <t>1.95</t>
  </si>
  <si>
    <t>YD9-32</t>
  </si>
  <si>
    <t>避雷针接地引下线安装 沿砖结构(高度m)、100</t>
  </si>
  <si>
    <t>YD9-33</t>
  </si>
  <si>
    <t>避雷针接地引下线安装 沿砖结构(高度m)、150</t>
  </si>
  <si>
    <t>5.65</t>
  </si>
  <si>
    <t>YD9-34</t>
  </si>
  <si>
    <t>避雷针接地引下线安装 利用金属架接地</t>
  </si>
  <si>
    <t>0.38</t>
  </si>
  <si>
    <t>YD9-35</t>
  </si>
  <si>
    <t>避雷针接地引下线安装 构架接地(处)</t>
  </si>
  <si>
    <t>处</t>
  </si>
  <si>
    <t>49.35</t>
  </si>
  <si>
    <t>YD9-36</t>
  </si>
  <si>
    <t>独立避雷针安装 高度(m以下)、18</t>
  </si>
  <si>
    <t>141.60</t>
  </si>
  <si>
    <t>YD9-37</t>
  </si>
  <si>
    <t>独立避雷针安装 高度(m以下)、24</t>
  </si>
  <si>
    <t>165.61</t>
  </si>
  <si>
    <t>YD9-38</t>
  </si>
  <si>
    <t>独立避雷针安装 高度(m以下)、30</t>
  </si>
  <si>
    <t>185.28</t>
  </si>
  <si>
    <t>YD9-39</t>
  </si>
  <si>
    <t>避雷网安装 沿混凝土块敷设</t>
  </si>
  <si>
    <t>1.73</t>
  </si>
  <si>
    <t>YD9-40</t>
  </si>
  <si>
    <t>避雷网安装 沿墙支架敷设</t>
  </si>
  <si>
    <t>5.16</t>
  </si>
  <si>
    <t>YD9-41</t>
  </si>
  <si>
    <t>混凝土块制作(100块)</t>
  </si>
  <si>
    <t>100块</t>
  </si>
  <si>
    <t>0.89</t>
  </si>
  <si>
    <t>YD9-42</t>
  </si>
  <si>
    <t>阴极保护井安装</t>
  </si>
  <si>
    <t>口</t>
  </si>
  <si>
    <t>1733.17</t>
  </si>
  <si>
    <t>YD9-43</t>
  </si>
  <si>
    <t>阴极保护井电极安装</t>
  </si>
  <si>
    <t>101.41</t>
  </si>
  <si>
    <t>YD9-44</t>
  </si>
  <si>
    <t>化学降阻剂铺设</t>
  </si>
  <si>
    <t>100kg</t>
  </si>
  <si>
    <t>0.50</t>
  </si>
  <si>
    <t>YD10-1</t>
  </si>
  <si>
    <t>人力运输、平均运距200m以内</t>
  </si>
  <si>
    <t>t·km</t>
  </si>
  <si>
    <t>215.29</t>
  </si>
  <si>
    <t>YD10-2</t>
  </si>
  <si>
    <t>人力运输、平均运距200m以上</t>
  </si>
  <si>
    <t>169.55</t>
  </si>
  <si>
    <t>YD10-3</t>
  </si>
  <si>
    <t>汽车运输、装卸</t>
  </si>
  <si>
    <t>11.74</t>
  </si>
  <si>
    <t>YD10-4</t>
  </si>
  <si>
    <t>汽车运输、运输(t·km)</t>
  </si>
  <si>
    <t>0.63</t>
  </si>
  <si>
    <t>YD10-10</t>
  </si>
  <si>
    <t>土石方工程 土类型、岩石</t>
  </si>
  <si>
    <t>64.13</t>
  </si>
  <si>
    <t>YD10-5</t>
  </si>
  <si>
    <t>土石方工程 土类型、普通土</t>
  </si>
  <si>
    <t>11.17</t>
  </si>
  <si>
    <t>YD10-6</t>
  </si>
  <si>
    <t>土石方工程 土类型、坚土</t>
  </si>
  <si>
    <t>13.59</t>
  </si>
  <si>
    <t>YD10-7</t>
  </si>
  <si>
    <t>土石方工程 土类型、松砂土</t>
  </si>
  <si>
    <t>19.89</t>
  </si>
  <si>
    <t>YD10-8</t>
  </si>
  <si>
    <t>土石方工程 土类型、泥水坑</t>
  </si>
  <si>
    <t>33.10</t>
  </si>
  <si>
    <t>YD10-9</t>
  </si>
  <si>
    <t>土石方工程 土类型、流砂坑</t>
  </si>
  <si>
    <t>39.98</t>
  </si>
  <si>
    <t>YD10-11</t>
  </si>
  <si>
    <t>盘型、底盘</t>
  </si>
  <si>
    <t>YD10-12</t>
  </si>
  <si>
    <t>(淘宝店铺:枫启教育)盘型、卡盘</t>
  </si>
  <si>
    <t>YD10-13</t>
  </si>
  <si>
    <t>盘型、拉盘</t>
  </si>
  <si>
    <t>4.62</t>
  </si>
  <si>
    <t>YD10-14</t>
  </si>
  <si>
    <t>盘型、木杆根部防腐(根)</t>
  </si>
  <si>
    <t>2.73</t>
  </si>
  <si>
    <t>YD10-15</t>
  </si>
  <si>
    <t>电杆组立 木杆(m以内)、9</t>
  </si>
  <si>
    <t>7.77</t>
  </si>
  <si>
    <t>YD10-16</t>
  </si>
  <si>
    <t>电杆组立 木杆(m以内)、11</t>
  </si>
  <si>
    <t>YD10-17</t>
  </si>
  <si>
    <t>电杆组立 木杆(m以内)、13</t>
  </si>
  <si>
    <t>YD10-18</t>
  </si>
  <si>
    <t>电杆组立 混凝土杆(m以内)、9</t>
  </si>
  <si>
    <t>19.95</t>
  </si>
  <si>
    <t>YD10-19</t>
  </si>
  <si>
    <t>电杆组立 混凝土杆(m以内)、11</t>
  </si>
  <si>
    <t>27.93</t>
  </si>
  <si>
    <t>YD10-20</t>
  </si>
  <si>
    <t>电杆组立 混凝土杆(m以内)、13</t>
  </si>
  <si>
    <t>YD10-21</t>
  </si>
  <si>
    <t>电杆组立 混凝土杆(m以内)、15</t>
  </si>
  <si>
    <t>YD10-22</t>
  </si>
  <si>
    <t>电杆组立 混凝土杆(m以内)、18</t>
  </si>
  <si>
    <t>YD10-23</t>
  </si>
  <si>
    <t>电杆组立 单腿接杆(m以内)、9</t>
  </si>
  <si>
    <t>28.56</t>
  </si>
  <si>
    <t>YD10-24</t>
  </si>
  <si>
    <t>电杆组立 单腿接杆(m以内)、11</t>
  </si>
  <si>
    <t>32.76</t>
  </si>
  <si>
    <t>YD10-25</t>
  </si>
  <si>
    <t>电杆组立 单腿接杆(m以内)、13</t>
  </si>
  <si>
    <t>YD10-26</t>
  </si>
  <si>
    <t>电杆组立 双腿接杆(m以内)、15</t>
  </si>
  <si>
    <t>70.56</t>
  </si>
  <si>
    <t>YD10-27</t>
  </si>
  <si>
    <t>电杆组立 混合接腿杆(m以内)、9</t>
  </si>
  <si>
    <t>YD10-28</t>
  </si>
  <si>
    <t>电杆组立 混合接腿杆(m以内)、11</t>
  </si>
  <si>
    <t>29.40</t>
  </si>
  <si>
    <t>YD10-29</t>
  </si>
  <si>
    <t>电杆组立 混合接腿杆(m以内)、13</t>
  </si>
  <si>
    <t>34.65</t>
  </si>
  <si>
    <t>YD10-30</t>
  </si>
  <si>
    <t>电杆组立 木撑杆(m以内)、9</t>
  </si>
  <si>
    <t>19.53</t>
  </si>
  <si>
    <t>YD10-31</t>
  </si>
  <si>
    <t>电杆组立 木撑杆(m以内)、11</t>
  </si>
  <si>
    <t>30.66</t>
  </si>
  <si>
    <t>YD10-32</t>
  </si>
  <si>
    <t>电杆组立 木撑杆(m以内)、13</t>
  </si>
  <si>
    <t>42.42</t>
  </si>
  <si>
    <t>YD10-33</t>
  </si>
  <si>
    <t>电杆组立 混凝土撑杆(m以内)、9</t>
  </si>
  <si>
    <t>28.14</t>
  </si>
  <si>
    <t>YD10-34</t>
  </si>
  <si>
    <t>电杆组立 混凝土撑杆(m以内)、11</t>
  </si>
  <si>
    <t>36.33</t>
  </si>
  <si>
    <t>YD10-35</t>
  </si>
  <si>
    <t>电杆组立 混凝土撑杆(m以内)、13</t>
  </si>
  <si>
    <t>YD10-36</t>
  </si>
  <si>
    <t>电杆组立 钢圈焊接、1个焊口</t>
  </si>
  <si>
    <t>25.83</t>
  </si>
  <si>
    <t>YD10-37</t>
  </si>
  <si>
    <t>铁、木横担、单根</t>
  </si>
  <si>
    <t>YD10-38</t>
  </si>
  <si>
    <t>铁、木横担、双根</t>
  </si>
  <si>
    <t>10.92</t>
  </si>
  <si>
    <t>YD10-39</t>
  </si>
  <si>
    <t>瓷横担、直线杆</t>
  </si>
  <si>
    <t>YD10-40</t>
  </si>
  <si>
    <t>瓷横担、承力杆</t>
  </si>
  <si>
    <t>9.24</t>
  </si>
  <si>
    <t>YD10-41</t>
  </si>
  <si>
    <t>(淘宝店铺:枫启教育)二线</t>
  </si>
  <si>
    <t>3.99</t>
  </si>
  <si>
    <t>YD10-42</t>
  </si>
  <si>
    <t>四线、单根</t>
  </si>
  <si>
    <t>YD10-43</t>
  </si>
  <si>
    <t>四线、双根</t>
  </si>
  <si>
    <t>YD10-44</t>
  </si>
  <si>
    <t>六线、单根</t>
  </si>
  <si>
    <t>YD10-45</t>
  </si>
  <si>
    <t>六线、双根</t>
  </si>
  <si>
    <t>11.34</t>
  </si>
  <si>
    <t>YD10-46</t>
  </si>
  <si>
    <t>瓷横担</t>
  </si>
  <si>
    <t>YD10-47</t>
  </si>
  <si>
    <t>一端埋设式、二线</t>
  </si>
  <si>
    <t>5.04</t>
  </si>
  <si>
    <t>YD10-48</t>
  </si>
  <si>
    <t>一端埋设式、四线</t>
  </si>
  <si>
    <t>YD10-49</t>
  </si>
  <si>
    <t>一端埋设式、六线</t>
  </si>
  <si>
    <t>YD10-50</t>
  </si>
  <si>
    <t>两端埋设式、二线</t>
  </si>
  <si>
    <t>YD10-51</t>
  </si>
  <si>
    <t>两端埋设式、四线</t>
  </si>
  <si>
    <t>YD10-52</t>
  </si>
  <si>
    <t>两端埋设式、六线</t>
  </si>
  <si>
    <t>YD10-53</t>
  </si>
  <si>
    <t>普通拉线(截面mm2以内)、35</t>
  </si>
  <si>
    <t>YD10-54</t>
  </si>
  <si>
    <t>普通拉线(截面mm2以内)、70</t>
  </si>
  <si>
    <t>YD10-55</t>
  </si>
  <si>
    <t>普通拉线(截面mm2以内)、120</t>
  </si>
  <si>
    <t>YD10-56</t>
  </si>
  <si>
    <t>水平及弓型拉线(截面mm2以内)、35</t>
  </si>
  <si>
    <t>21.42</t>
  </si>
  <si>
    <t>YD10-57</t>
  </si>
  <si>
    <t>水平及弓型拉线(截面mm2以内)、70</t>
  </si>
  <si>
    <t>YD10-58</t>
  </si>
  <si>
    <t>水平及弓型拉线(截面mm2以内)、120</t>
  </si>
  <si>
    <t>31.50</t>
  </si>
  <si>
    <t>YD10-59</t>
  </si>
  <si>
    <t>裸铝绞线(截面mm2以下)、35</t>
  </si>
  <si>
    <t>91.77</t>
  </si>
  <si>
    <t>YD10-60</t>
  </si>
  <si>
    <t>裸铝绞线(截面mm2以下)、95</t>
  </si>
  <si>
    <t>178.92</t>
  </si>
  <si>
    <t>YD10-61</t>
  </si>
  <si>
    <t>裸铝绞线(截面mm2以下)、150</t>
  </si>
  <si>
    <t>282.24</t>
  </si>
  <si>
    <t>YD10-62</t>
  </si>
  <si>
    <t>裸铝绞线(截面mm2以下)、240</t>
  </si>
  <si>
    <t>399.84</t>
  </si>
  <si>
    <t>YD10-63</t>
  </si>
  <si>
    <t>钢芯铝绞线(截面mm2以内)、35</t>
  </si>
  <si>
    <t>101.22</t>
  </si>
  <si>
    <t>YD10-64</t>
  </si>
  <si>
    <t>钢芯铝绞线(截面mm2以内)、95</t>
  </si>
  <si>
    <t>202.65</t>
  </si>
  <si>
    <t>YD10-65</t>
  </si>
  <si>
    <t>钢芯铝绞线(截面mm2以内)、150</t>
  </si>
  <si>
    <t>305.76</t>
  </si>
  <si>
    <t>YD10-66</t>
  </si>
  <si>
    <t>钢芯铝绞线(截面mm2以内)、240</t>
  </si>
  <si>
    <t>446.88</t>
  </si>
  <si>
    <t>YD10-67</t>
  </si>
  <si>
    <t>绝缘铝绞线(截面mm2以下)、35</t>
  </si>
  <si>
    <t>YD10-68</t>
  </si>
  <si>
    <t>绝缘铝绞线(截面mm2以下)、95</t>
  </si>
  <si>
    <t>202.44</t>
  </si>
  <si>
    <t>YD10-69</t>
  </si>
  <si>
    <t>绝缘铝绞线(截面mm2以下)、150</t>
  </si>
  <si>
    <t>YD10-70</t>
  </si>
  <si>
    <t>绝缘铝绞线(截面mm2以下)、240</t>
  </si>
  <si>
    <t>YD10-71</t>
  </si>
  <si>
    <t>导线跨越(处)、电力,公路,通讯</t>
  </si>
  <si>
    <t>185.22</t>
  </si>
  <si>
    <t>YD10-72</t>
  </si>
  <si>
    <t>导线跨越(处)、铁路</t>
  </si>
  <si>
    <t>238.56</t>
  </si>
  <si>
    <t>YD10-73</t>
  </si>
  <si>
    <t>导线跨越(处)、河流</t>
  </si>
  <si>
    <t>173.67</t>
  </si>
  <si>
    <t>YD10-74</t>
  </si>
  <si>
    <t>进户线截面(mm2以内)、35</t>
  </si>
  <si>
    <t>0.18</t>
  </si>
  <si>
    <t>YD10-75</t>
  </si>
  <si>
    <t>进户线截面(mm2以内)、95</t>
  </si>
  <si>
    <t>0.36</t>
  </si>
  <si>
    <t>YD10-76</t>
  </si>
  <si>
    <t>进户线截面(mm2以内)、150</t>
  </si>
  <si>
    <t>0.56</t>
  </si>
  <si>
    <t>YD10-77</t>
  </si>
  <si>
    <t>进户线截面(mm2以内)、240</t>
  </si>
  <si>
    <t>0.80</t>
  </si>
  <si>
    <t>YD10-78</t>
  </si>
  <si>
    <t>变压器容量(KVA以下)、50</t>
  </si>
  <si>
    <t>131.67</t>
  </si>
  <si>
    <t>YD10-79</t>
  </si>
  <si>
    <t>变压器容量(KVA以下)、100</t>
  </si>
  <si>
    <t>155.82</t>
  </si>
  <si>
    <t>YD10-80</t>
  </si>
  <si>
    <t>变压器容量(KVA以下)、180</t>
  </si>
  <si>
    <t>202.86</t>
  </si>
  <si>
    <t>YD10-81</t>
  </si>
  <si>
    <t>变压器容量(KVA以下)、320</t>
  </si>
  <si>
    <t>253.26</t>
  </si>
  <si>
    <t>YD10-82</t>
  </si>
  <si>
    <t>跌落式熔断器</t>
  </si>
  <si>
    <t>YD10-83</t>
  </si>
  <si>
    <t>(淘宝店铺:枫启教育)避雷器</t>
  </si>
  <si>
    <t>YD10-84</t>
  </si>
  <si>
    <t>隔离开关</t>
  </si>
  <si>
    <t>54.18</t>
  </si>
  <si>
    <t>YD10-85</t>
  </si>
  <si>
    <t>油开关、(台)</t>
  </si>
  <si>
    <t>56.49</t>
  </si>
  <si>
    <t>YD10-86</t>
  </si>
  <si>
    <t>配电箱、(台)</t>
  </si>
  <si>
    <t>66.15</t>
  </si>
  <si>
    <t>YD11-1</t>
  </si>
  <si>
    <t>微波通信设备安装 楼房高度(m以内)、30</t>
  </si>
  <si>
    <t>1386.00</t>
  </si>
  <si>
    <t>YD11-10</t>
  </si>
  <si>
    <t>微波通信设备安装 铁塔高度(m以内)、30</t>
  </si>
  <si>
    <t>2667.00</t>
  </si>
  <si>
    <t>YD11-11</t>
  </si>
  <si>
    <t>微波通信设备安装 铁塔高度(m以内)、60</t>
  </si>
  <si>
    <t>3087.00</t>
  </si>
  <si>
    <t>YD11-12</t>
  </si>
  <si>
    <t>微波通信设备安装 铁塔高度(m以内)、100</t>
  </si>
  <si>
    <t>3927.00</t>
  </si>
  <si>
    <t>YD11-13</t>
  </si>
  <si>
    <t>168.00</t>
  </si>
  <si>
    <t>YD11-14</t>
  </si>
  <si>
    <t>微波通信设备安装 楼房高度(m以内)、60</t>
  </si>
  <si>
    <t>YD11-15</t>
  </si>
  <si>
    <t>微波通信设备安装 楼房高度(m以内)、100</t>
  </si>
  <si>
    <t>273.00</t>
  </si>
  <si>
    <t>YD11-16</t>
  </si>
  <si>
    <t>YD11-17</t>
  </si>
  <si>
    <t>YD11-18</t>
  </si>
  <si>
    <t>357.00</t>
  </si>
  <si>
    <t>YD11-19</t>
  </si>
  <si>
    <t>椭园馈线安装、楼房上</t>
  </si>
  <si>
    <t>YD11-2</t>
  </si>
  <si>
    <t>1659.00</t>
  </si>
  <si>
    <t>YD11-20</t>
  </si>
  <si>
    <t>椭园馈线安装、铁塔上</t>
  </si>
  <si>
    <t>23.10</t>
  </si>
  <si>
    <t>YD11-21</t>
  </si>
  <si>
    <t>综合同轴电缆安装、楼房上</t>
  </si>
  <si>
    <t>YD11-22</t>
  </si>
  <si>
    <t>综合同轴电缆安装、铁塔上</t>
  </si>
  <si>
    <t>YD11-23</t>
  </si>
  <si>
    <t>射频同轴电缆安装、楼房上</t>
  </si>
  <si>
    <t>4.20</t>
  </si>
  <si>
    <t>YD11-24</t>
  </si>
  <si>
    <t>射频同轴电缆安装、铁塔上</t>
  </si>
  <si>
    <t>YD11-25</t>
  </si>
  <si>
    <t>馈线头制作安装(个)、椭园</t>
  </si>
  <si>
    <t>21.00</t>
  </si>
  <si>
    <t>YD11-26</t>
  </si>
  <si>
    <t>馈线头制作安装(个)、综合</t>
  </si>
  <si>
    <t>YD11-27</t>
  </si>
  <si>
    <t>馈线头制作安装(个)、射频</t>
  </si>
  <si>
    <t>YD11-28</t>
  </si>
  <si>
    <t>数字微波设备安装、终端站</t>
  </si>
  <si>
    <t>套/站</t>
  </si>
  <si>
    <t>YD11-29</t>
  </si>
  <si>
    <t>数字微波设备安装、中继站</t>
  </si>
  <si>
    <t>441.00</t>
  </si>
  <si>
    <t>YD11-3</t>
  </si>
  <si>
    <t>2478.00</t>
  </si>
  <si>
    <t>YD11-30</t>
  </si>
  <si>
    <t>数字微波设备安装、终端机</t>
  </si>
  <si>
    <t>YD11-31</t>
  </si>
  <si>
    <t>一点多址设备安装、中心站</t>
  </si>
  <si>
    <t>430.50</t>
  </si>
  <si>
    <t>YD11-32</t>
  </si>
  <si>
    <t>一点多址设备安装、中继站</t>
  </si>
  <si>
    <t>YD11-33</t>
  </si>
  <si>
    <t>一点多址设备安装、外围站</t>
  </si>
  <si>
    <t>84.00</t>
  </si>
  <si>
    <t>YD11-34</t>
  </si>
  <si>
    <t>扩频通信设备安装、主站</t>
  </si>
  <si>
    <t>YD11-35</t>
  </si>
  <si>
    <t>扩频通信设备安装、中间站</t>
  </si>
  <si>
    <t>294.00</t>
  </si>
  <si>
    <t>YD11-36</t>
  </si>
  <si>
    <t>扩频通信设备安装、分站</t>
  </si>
  <si>
    <t>YD11-4</t>
  </si>
  <si>
    <t>1932.00</t>
  </si>
  <si>
    <t>YD11-5</t>
  </si>
  <si>
    <t>2289.00</t>
  </si>
  <si>
    <t>YD11-6</t>
  </si>
  <si>
    <t>2919.00</t>
  </si>
  <si>
    <t>YD11-7</t>
  </si>
  <si>
    <t>1995.00</t>
  </si>
  <si>
    <t>YD11-8</t>
  </si>
  <si>
    <t>2310.00</t>
  </si>
  <si>
    <t>YD11-9</t>
  </si>
  <si>
    <t>3066.00</t>
  </si>
  <si>
    <t>YD11-37</t>
  </si>
  <si>
    <t>电力载波设备安装</t>
  </si>
  <si>
    <t>252.00</t>
  </si>
  <si>
    <t>YD11-38</t>
  </si>
  <si>
    <t>高频引入架安装</t>
  </si>
  <si>
    <t>YD11-39</t>
  </si>
  <si>
    <t>高低频引入架安装</t>
  </si>
  <si>
    <t>420.00</t>
  </si>
  <si>
    <t>YD11-40</t>
  </si>
  <si>
    <t>高频差接网络安装</t>
  </si>
  <si>
    <t>YD11-41</t>
  </si>
  <si>
    <t>光纤通信设备安装、终端站</t>
  </si>
  <si>
    <t>315.00</t>
  </si>
  <si>
    <t>YD11-42</t>
  </si>
  <si>
    <t>光纤通信设备安装、中继站</t>
  </si>
  <si>
    <t>YD11-43</t>
  </si>
  <si>
    <t>光纤通信设备安装、终端机</t>
  </si>
  <si>
    <t>YD11-44</t>
  </si>
  <si>
    <t>远供电源设备安装、中心站(架)</t>
  </si>
  <si>
    <t>架</t>
  </si>
  <si>
    <t>147.00</t>
  </si>
  <si>
    <t>YD11-45</t>
  </si>
  <si>
    <t>远供电源设备安装、分站(盘)</t>
  </si>
  <si>
    <t>盘</t>
  </si>
  <si>
    <t>YD11-46</t>
  </si>
  <si>
    <t>分配架安装(架)、光配式</t>
  </si>
  <si>
    <t>YD11-47</t>
  </si>
  <si>
    <t>分配架安装(架)、数字式</t>
  </si>
  <si>
    <t>YD11-48</t>
  </si>
  <si>
    <t>程控交换总机安装(门以内)、100</t>
  </si>
  <si>
    <t>YD11-49</t>
  </si>
  <si>
    <t>程控交换总机安装(门以内)、200</t>
  </si>
  <si>
    <t>462.00</t>
  </si>
  <si>
    <t>YD11-50</t>
  </si>
  <si>
    <t>程控交换总机安装(门以内)、400</t>
  </si>
  <si>
    <t>735.00</t>
  </si>
  <si>
    <t>YD11-51</t>
  </si>
  <si>
    <t>程控交换总机安装(门以内)、800</t>
  </si>
  <si>
    <t>819.00</t>
  </si>
  <si>
    <t>YD11-52</t>
  </si>
  <si>
    <t>电力调度总机安装(门以内)、40</t>
  </si>
  <si>
    <t>YD11-53</t>
  </si>
  <si>
    <t>电力调度总机安装(门以内)、80</t>
  </si>
  <si>
    <t>YD11-54</t>
  </si>
  <si>
    <t>电力调度总机安装(门以内)、120</t>
  </si>
  <si>
    <t>YD11-55</t>
  </si>
  <si>
    <t>调度总机每增加一席(门)(席)、80</t>
  </si>
  <si>
    <t>YD11-56</t>
  </si>
  <si>
    <t>调度总机每增加一席(门)(席)、120</t>
  </si>
  <si>
    <t>席</t>
  </si>
  <si>
    <t>63.00</t>
  </si>
  <si>
    <t>YD11-57</t>
  </si>
  <si>
    <t>架空吊线、GJ7/2.2</t>
  </si>
  <si>
    <t>546.00</t>
  </si>
  <si>
    <t>YD11-58</t>
  </si>
  <si>
    <t>架设光纤光缆(芯以内)、12</t>
  </si>
  <si>
    <t>YD11-59</t>
  </si>
  <si>
    <t>架设光纤光缆(芯以内)、36</t>
  </si>
  <si>
    <t>567.00</t>
  </si>
  <si>
    <t>YD11-60</t>
  </si>
  <si>
    <t>架设光纤光缆(芯以内)、60</t>
  </si>
  <si>
    <t>YD11-61</t>
  </si>
  <si>
    <t>架设自承式光缆(芯以内)、12</t>
  </si>
  <si>
    <t>924.00</t>
  </si>
  <si>
    <t>YD11-62</t>
  </si>
  <si>
    <t>架设自承式光缆(芯以内)、36</t>
  </si>
  <si>
    <t>987.00</t>
  </si>
  <si>
    <t>YD11-63</t>
  </si>
  <si>
    <t>架设自承式光缆(芯以内)、60</t>
  </si>
  <si>
    <t>1113.00</t>
  </si>
  <si>
    <t>YD11-64</t>
  </si>
  <si>
    <t>架设音频电缆(对以内)、50</t>
  </si>
  <si>
    <t>YD11-65</t>
  </si>
  <si>
    <t>架设音频电缆(对以内)、100</t>
  </si>
  <si>
    <t>588.00</t>
  </si>
  <si>
    <t>YD11-66</t>
  </si>
  <si>
    <t>敷设光纤光缆(芯对以内)、12</t>
  </si>
  <si>
    <t>1071.00</t>
  </si>
  <si>
    <t>YD11-67</t>
  </si>
  <si>
    <t>敷设光纤光缆(芯对以内)、36</t>
  </si>
  <si>
    <t>1155.00</t>
  </si>
  <si>
    <t>YD11-68</t>
  </si>
  <si>
    <t>敷设光纤光缆(芯对以内)、60</t>
  </si>
  <si>
    <t>1260.00</t>
  </si>
  <si>
    <t>YD11-69</t>
  </si>
  <si>
    <t>穿套管敷设光缆(芯以内)、12</t>
  </si>
  <si>
    <t>YD11-70</t>
  </si>
  <si>
    <t>穿套管敷设光缆(芯以内)、36</t>
  </si>
  <si>
    <t>YD11-71</t>
  </si>
  <si>
    <t>穿套管敷设光缆(芯以内)、60</t>
  </si>
  <si>
    <t>1596.00</t>
  </si>
  <si>
    <t>YD11-72</t>
  </si>
  <si>
    <t>敷设音频电缆(对以内)、50</t>
  </si>
  <si>
    <t>672.00</t>
  </si>
  <si>
    <t>YD11-73</t>
  </si>
  <si>
    <t>敷设音频电缆(对以内)、100</t>
  </si>
  <si>
    <t>YD11-74</t>
  </si>
  <si>
    <t>(淘宝店铺:枫启教育)引上光(电)缆、条</t>
  </si>
  <si>
    <t>条</t>
  </si>
  <si>
    <t>YD11-75</t>
  </si>
  <si>
    <t>敷设直埋式电缆(对以内)、50</t>
  </si>
  <si>
    <t>777.00</t>
  </si>
  <si>
    <t>YD11-76</t>
  </si>
  <si>
    <t>敷设直埋式电缆(对以内)、100</t>
  </si>
  <si>
    <t>840.00</t>
  </si>
  <si>
    <t>YD11-77</t>
  </si>
  <si>
    <t>敷设钉固式电缆(对以内)、50</t>
  </si>
  <si>
    <t>1491.00</t>
  </si>
  <si>
    <t>YD11-78</t>
  </si>
  <si>
    <t>敷设钉固式电缆(对以内)、100</t>
  </si>
  <si>
    <t>1575.00</t>
  </si>
  <si>
    <t>YD11-79</t>
  </si>
  <si>
    <t>敷设直埋式光缆(芯以内)、12</t>
  </si>
  <si>
    <t>1302.00</t>
  </si>
  <si>
    <t>YD11-80</t>
  </si>
  <si>
    <t>敷设直埋式光缆(芯以内)、36</t>
  </si>
  <si>
    <t>1407.00</t>
  </si>
  <si>
    <t>YD11-81</t>
  </si>
  <si>
    <t>敷设直埋式光缆(芯以内)、60</t>
  </si>
  <si>
    <t>1533.00</t>
  </si>
  <si>
    <t>YD11-82</t>
  </si>
  <si>
    <t>布放成端电缆(条对以内)、50</t>
  </si>
  <si>
    <t>YD11-83</t>
  </si>
  <si>
    <t>布放成端电缆(条对以内)、100</t>
  </si>
  <si>
    <t>YD11-84</t>
  </si>
  <si>
    <t>光缆中间头制作(芯以内)、12</t>
  </si>
  <si>
    <t>YD11-85</t>
  </si>
  <si>
    <t>光缆中间头制作(芯以内)、36</t>
  </si>
  <si>
    <t>YD11-86</t>
  </si>
  <si>
    <t>光缆中间头制作(芯以内)、60</t>
  </si>
  <si>
    <t>YD11-87</t>
  </si>
  <si>
    <t>光缆成端头制作(芯以内)、12</t>
  </si>
  <si>
    <t>YD11-88</t>
  </si>
  <si>
    <t>光缆成端头制作(芯以内)、36</t>
  </si>
  <si>
    <t>YD11-89</t>
  </si>
  <si>
    <t>光缆成端头制作(芯以内)、60</t>
  </si>
  <si>
    <t>YD11-90</t>
  </si>
  <si>
    <t>塑料电缆中间头制作(对以内)、50</t>
  </si>
  <si>
    <t>YD11-91</t>
  </si>
  <si>
    <t>塑料电缆中间头制作(对以内)、100</t>
  </si>
  <si>
    <t>YD11-92</t>
  </si>
  <si>
    <t>铅包电缆中间头制作(对以内)、50</t>
  </si>
  <si>
    <t>YD11-93</t>
  </si>
  <si>
    <t>铅包电缆中间头制作(对以内)、100</t>
  </si>
  <si>
    <t>YD11-94</t>
  </si>
  <si>
    <t>铅包电缆成端头制作(对以内)、50</t>
  </si>
  <si>
    <t>YD11-95</t>
  </si>
  <si>
    <t>铅包电缆成端头制作(对以内)、100</t>
  </si>
  <si>
    <t>YD11-96</t>
  </si>
  <si>
    <t>会议电话汇接机安装(路以内)、24</t>
  </si>
  <si>
    <t>YD11-97</t>
  </si>
  <si>
    <t>会议电话汇接机安装(路以内)、48</t>
  </si>
  <si>
    <t>YD11-98</t>
  </si>
  <si>
    <t>会议电话终端机安装、(套)</t>
  </si>
  <si>
    <t>YD11-99</t>
  </si>
  <si>
    <t>会议电话扩音装置安装、(部)</t>
  </si>
  <si>
    <t>YD11-100</t>
  </si>
  <si>
    <t>防酸隔爆式安装(AH以内)、300</t>
  </si>
  <si>
    <t>YD11-101</t>
  </si>
  <si>
    <t>防酸隔爆式安装(AH以内)、500</t>
  </si>
  <si>
    <t>YD11-102</t>
  </si>
  <si>
    <t>防酸隔爆式安装(AH以内)、1000</t>
  </si>
  <si>
    <t>YD11-103</t>
  </si>
  <si>
    <t>阀控式密封式安装(AH以内)、300</t>
  </si>
  <si>
    <t>YD11-104</t>
  </si>
  <si>
    <t>阀控式密封式安装(AH以内)、500</t>
  </si>
  <si>
    <t>YD11-105</t>
  </si>
  <si>
    <t>阀控式密封式安装(AH以内)、1000</t>
  </si>
  <si>
    <t>231.00</t>
  </si>
  <si>
    <t>YD11-106</t>
  </si>
  <si>
    <t>配电整流设备安装、交流屏</t>
  </si>
  <si>
    <t>YD11-107</t>
  </si>
  <si>
    <t>配电整流设备安装、直流屏</t>
  </si>
  <si>
    <t>YD11-108</t>
  </si>
  <si>
    <t>配电整流设备安装、可控硅</t>
  </si>
  <si>
    <t>YD11-109</t>
  </si>
  <si>
    <t>配电整流设备安装、切换屏</t>
  </si>
  <si>
    <t>YD11-110</t>
  </si>
  <si>
    <t>配电整流设备安装、稳压器</t>
  </si>
  <si>
    <t>YD11-111</t>
  </si>
  <si>
    <t>组合电源安装、（套）</t>
  </si>
  <si>
    <t>YD11-112</t>
  </si>
  <si>
    <t>天线座架安装(天线直径m)、小口径</t>
  </si>
  <si>
    <t>YD11-113</t>
  </si>
  <si>
    <t>天线座架安装(天线直径m)、6~8</t>
  </si>
  <si>
    <t>1617.00</t>
  </si>
  <si>
    <t>YD11-114</t>
  </si>
  <si>
    <t>天线座架安装(天线直径m)、9~11</t>
  </si>
  <si>
    <t>2247.00</t>
  </si>
  <si>
    <t>YD11-115</t>
  </si>
  <si>
    <t>天线座架安装(天线直径m)、12~14</t>
  </si>
  <si>
    <t>2394.00</t>
  </si>
  <si>
    <t>YD11-116</t>
  </si>
  <si>
    <t>天线吊装(天线直径m)、小口径</t>
  </si>
  <si>
    <t>4725.00</t>
  </si>
  <si>
    <t>YD11-117</t>
  </si>
  <si>
    <t>天线吊装(天线直径m)、6~8</t>
  </si>
  <si>
    <t>5334.00</t>
  </si>
  <si>
    <t>YD11-118</t>
  </si>
  <si>
    <t>天线吊装(天线直径m)、9~11</t>
  </si>
  <si>
    <t>7329.00</t>
  </si>
  <si>
    <t>YD11-119</t>
  </si>
  <si>
    <t>天线吊装(天线直径m)、12~14</t>
  </si>
  <si>
    <t>7476.00</t>
  </si>
  <si>
    <t>YD11-120</t>
  </si>
  <si>
    <t>(淘宝店铺:枫启教育)馈线系统、安装</t>
  </si>
  <si>
    <t>1050.00</t>
  </si>
  <si>
    <t>YD11-121</t>
  </si>
  <si>
    <t>驱动及附属设备安装(天线直径m)、2001-6-8</t>
  </si>
  <si>
    <t>站</t>
  </si>
  <si>
    <t>3612.00</t>
  </si>
  <si>
    <t>YD11-122</t>
  </si>
  <si>
    <t>驱动及附属设备安装(天线直径m)、2001-9-11</t>
  </si>
  <si>
    <t>5082.00</t>
  </si>
  <si>
    <t>YD11-123</t>
  </si>
  <si>
    <t>驱动及附属设备安装(天线直径m)、2001-12-13</t>
  </si>
  <si>
    <t>5943.00</t>
  </si>
  <si>
    <t>YD11-124</t>
  </si>
  <si>
    <t>地球站设备安装、小口径中心站</t>
  </si>
  <si>
    <t>2163.00</t>
  </si>
  <si>
    <t>YD11-125</t>
  </si>
  <si>
    <t>地球站设备安装、小口径终端站</t>
  </si>
  <si>
    <t>882.00</t>
  </si>
  <si>
    <t>YD11-126</t>
  </si>
  <si>
    <t>地球站设备安装、6-13m地球站</t>
  </si>
  <si>
    <t>10815.00</t>
  </si>
  <si>
    <t>YD11-127</t>
  </si>
  <si>
    <t>微波监控设备安装、主站</t>
  </si>
  <si>
    <t>YD11-128</t>
  </si>
  <si>
    <t>微波监控设备安装、被控站</t>
  </si>
  <si>
    <t>YD11-129</t>
  </si>
  <si>
    <t>光纤监控设备安装、中心站</t>
  </si>
  <si>
    <t>YD11-130</t>
  </si>
  <si>
    <t>光纤监控设备安装、子站</t>
  </si>
  <si>
    <t>YD11-131</t>
  </si>
  <si>
    <t>卫星通信监控设备安装、小口径站</t>
  </si>
  <si>
    <t>YD11-132</t>
  </si>
  <si>
    <t>卫星通信监控设备安装、6-13m站</t>
  </si>
  <si>
    <t>1176.00</t>
  </si>
  <si>
    <t>YD11-133</t>
  </si>
  <si>
    <t>通信监测系统设备安装、中心站</t>
  </si>
  <si>
    <t>YD11-134</t>
  </si>
  <si>
    <t>通信监测系统设备安装、微波站</t>
  </si>
  <si>
    <t>YD11-135</t>
  </si>
  <si>
    <t>通信监测系统设备安装、载波站</t>
  </si>
  <si>
    <t>YD11-136</t>
  </si>
  <si>
    <t>通信监测系统设备安装、光纤站</t>
  </si>
  <si>
    <t>YD11-137</t>
  </si>
  <si>
    <t>通信监测系统设备安装、电缆站</t>
  </si>
  <si>
    <t>YD11-138</t>
  </si>
  <si>
    <t>通信监测系统设备安装、电源站</t>
  </si>
  <si>
    <t>YD11-139</t>
  </si>
  <si>
    <t>配线架安装(回线以内)、100</t>
  </si>
  <si>
    <t>YD11-140</t>
  </si>
  <si>
    <t>配线架安装(回线以内)、200</t>
  </si>
  <si>
    <t>YD11-141</t>
  </si>
  <si>
    <t>配线架安装(回线以内)、300</t>
  </si>
  <si>
    <t>YD11-142</t>
  </si>
  <si>
    <t>配线架安装(回线以内)、600</t>
  </si>
  <si>
    <t>YD11-143</t>
  </si>
  <si>
    <t>配线架安装(回线以内)、1000</t>
  </si>
  <si>
    <t>YD11-144</t>
  </si>
  <si>
    <t>配线架安装(回线以内)、2000</t>
  </si>
  <si>
    <t>YD11-145</t>
  </si>
  <si>
    <t>保安配线箱(回线以内)、100</t>
  </si>
  <si>
    <t>YD11-146</t>
  </si>
  <si>
    <t>保安配线箱(回线以内)、200</t>
  </si>
  <si>
    <t>YD11-147</t>
  </si>
  <si>
    <t>电缆交接配线箱(回线以内)、300</t>
  </si>
  <si>
    <t>YD11-148</t>
  </si>
  <si>
    <t>电缆交接配线箱(回线以内)、900</t>
  </si>
  <si>
    <t>YD11-149</t>
  </si>
  <si>
    <t>电缆交接配线箱(回线以内)、1000</t>
  </si>
  <si>
    <t>YD11-150</t>
  </si>
  <si>
    <t>音频分线盒安装(对以内)、20</t>
  </si>
  <si>
    <t>YD11-151</t>
  </si>
  <si>
    <t>音频分线盒安装(对以内)、50</t>
  </si>
  <si>
    <t>YD11-152</t>
  </si>
  <si>
    <t>音频分线盒安装(对以内)、100</t>
  </si>
  <si>
    <t>YD11-153</t>
  </si>
  <si>
    <t>高频分线盒、安装</t>
  </si>
  <si>
    <t>YD11-154</t>
  </si>
  <si>
    <t>铃流发生器</t>
  </si>
  <si>
    <t>YD11-155</t>
  </si>
  <si>
    <t>(淘宝店铺:枫启教育)音频测量台</t>
  </si>
  <si>
    <t>YD11-156</t>
  </si>
  <si>
    <t>自动充气机、(套)</t>
  </si>
  <si>
    <t>YD11-157</t>
  </si>
  <si>
    <t>气压表、(块)</t>
  </si>
  <si>
    <t>YD11-158</t>
  </si>
  <si>
    <t>气门嘴、(个)</t>
  </si>
  <si>
    <t>YD11-159</t>
  </si>
  <si>
    <t>电母子钟安装、母钟(部)</t>
  </si>
  <si>
    <t>YD11-160</t>
  </si>
  <si>
    <t>电母子钟安装、子钟(只)</t>
  </si>
  <si>
    <t>YD11-161</t>
  </si>
  <si>
    <t>电话机安装、(部)</t>
  </si>
  <si>
    <t>YD11-162</t>
  </si>
  <si>
    <t>传真机安装、(部)</t>
  </si>
  <si>
    <t>YD11-163</t>
  </si>
  <si>
    <t>布放设备电缆</t>
  </si>
  <si>
    <t>YD11-164</t>
  </si>
  <si>
    <t>布放射频电缆</t>
  </si>
  <si>
    <t>0.84</t>
  </si>
  <si>
    <t>YD11-165</t>
  </si>
  <si>
    <t>布放设备导线</t>
  </si>
  <si>
    <t>0.53</t>
  </si>
  <si>
    <t>YD11-166</t>
  </si>
  <si>
    <t>布放电话线</t>
  </si>
  <si>
    <t>0.42</t>
  </si>
  <si>
    <t>YD11-167</t>
  </si>
  <si>
    <t>配线架跳线、(100条)</t>
  </si>
  <si>
    <t>100条</t>
  </si>
  <si>
    <t>0.32</t>
  </si>
  <si>
    <t>YD11-168</t>
  </si>
  <si>
    <t>布放导气管、(m)</t>
  </si>
  <si>
    <t>1.26</t>
  </si>
  <si>
    <t>YD11-169</t>
  </si>
  <si>
    <t>射频电缆头制作、(个)</t>
  </si>
  <si>
    <t>YD11-170</t>
  </si>
  <si>
    <t>打穿墙洞、混凝土</t>
  </si>
  <si>
    <t>YD11-171</t>
  </si>
  <si>
    <t>打穿墙洞、砖混</t>
  </si>
  <si>
    <t>YD11-172</t>
  </si>
  <si>
    <t>安装引上钢管(根)、墙上</t>
  </si>
  <si>
    <t>YD11-173</t>
  </si>
  <si>
    <t>安装引上钢管(根)、杆上</t>
  </si>
  <si>
    <t>YD11-174</t>
  </si>
  <si>
    <t>安装消弧线、(处)</t>
  </si>
  <si>
    <t>YD11-175</t>
  </si>
  <si>
    <t>敷设排流线、(km)</t>
  </si>
  <si>
    <t>YD11-176</t>
  </si>
  <si>
    <t>数字微波联调、终端站</t>
  </si>
  <si>
    <t>YD11-177</t>
  </si>
  <si>
    <t>数字微波联调、中继站</t>
  </si>
  <si>
    <t>4452.00</t>
  </si>
  <si>
    <t>YD11-178</t>
  </si>
  <si>
    <t>数字微波联调、终端机每增加一个基群</t>
  </si>
  <si>
    <t>903.00</t>
  </si>
  <si>
    <t>YD11-179</t>
  </si>
  <si>
    <t>系统联调(系统)、一点多址微波</t>
  </si>
  <si>
    <t>系统</t>
  </si>
  <si>
    <t>714.00</t>
  </si>
  <si>
    <t>YD11-180</t>
  </si>
  <si>
    <t>系统联调(系统)、扩频通信系统</t>
  </si>
  <si>
    <t>756.00</t>
  </si>
  <si>
    <t>YD11-181</t>
  </si>
  <si>
    <t>载波、载波机联调</t>
  </si>
  <si>
    <t>YD11-182</t>
  </si>
  <si>
    <t>载波、载波复用保护通道</t>
  </si>
  <si>
    <t>YD11-183</t>
  </si>
  <si>
    <t>光纤、终端站</t>
  </si>
  <si>
    <t>YD11-184</t>
  </si>
  <si>
    <t>光纤、中继站</t>
  </si>
  <si>
    <t>YD11-185</t>
  </si>
  <si>
    <t>光纤、终端机</t>
  </si>
  <si>
    <t>YD11-186</t>
  </si>
  <si>
    <t>光纤、远供</t>
  </si>
  <si>
    <t>YD11-187</t>
  </si>
  <si>
    <t>光缆全程测试(芯以内)、12</t>
  </si>
  <si>
    <t>YD11-188</t>
  </si>
  <si>
    <t>光缆全程测试(芯以内)、36</t>
  </si>
  <si>
    <t>YD11-189</t>
  </si>
  <si>
    <t>光缆全程测试(芯以内)、60</t>
  </si>
  <si>
    <t>YD11-190</t>
  </si>
  <si>
    <t>音缆全程测试(对以内)、50</t>
  </si>
  <si>
    <t>YD11-191</t>
  </si>
  <si>
    <t>音缆全程测试(对以内)、100</t>
  </si>
  <si>
    <t>YD11-192</t>
  </si>
  <si>
    <t>全程充气(km)、市话</t>
  </si>
  <si>
    <t>YD11-193</t>
  </si>
  <si>
    <t>全程充气(km)、对称</t>
  </si>
  <si>
    <t>YD11-194</t>
  </si>
  <si>
    <t>汇接机联调(路)、24</t>
  </si>
  <si>
    <t>路</t>
  </si>
  <si>
    <t>YD11-195</t>
  </si>
  <si>
    <t>汇接机联调(路)、48</t>
  </si>
  <si>
    <t>1008.00</t>
  </si>
  <si>
    <t>YD11-196</t>
  </si>
  <si>
    <t>配电装置</t>
  </si>
  <si>
    <t>YD11-197</t>
  </si>
  <si>
    <t>(淘宝店铺:枫启教育)组合电源</t>
  </si>
  <si>
    <t>YD11-198</t>
  </si>
  <si>
    <t>天线调测(天线直径m以内)、6</t>
  </si>
  <si>
    <t>YD11-199</t>
  </si>
  <si>
    <t>天线调测(天线直径m以内)、8</t>
  </si>
  <si>
    <t>1092.00</t>
  </si>
  <si>
    <t>YD11-200</t>
  </si>
  <si>
    <t>天线调测(天线直径m以内)、11</t>
  </si>
  <si>
    <t>1722.00</t>
  </si>
  <si>
    <t>YD11-201</t>
  </si>
  <si>
    <t>天线调测(天线直径m以内)、13</t>
  </si>
  <si>
    <t>2100.00</t>
  </si>
  <si>
    <t>YD11-202</t>
  </si>
  <si>
    <t>馈线系统、联调</t>
  </si>
  <si>
    <t>YD11-203</t>
  </si>
  <si>
    <t>地球站设备联调(天线直径m以内)、6</t>
  </si>
  <si>
    <t>3780.00</t>
  </si>
  <si>
    <t>YD11-204</t>
  </si>
  <si>
    <t>地球站设备联调(天线直径m以内)、8</t>
  </si>
  <si>
    <t>22050.00</t>
  </si>
  <si>
    <t>YD11-205</t>
  </si>
  <si>
    <t>地球站设备联调(天线直径m以内)、11</t>
  </si>
  <si>
    <t>28854.00</t>
  </si>
  <si>
    <t>YD11-206</t>
  </si>
  <si>
    <t>地球站设备联调(天线直径m以内)、13</t>
  </si>
  <si>
    <t>32088.00</t>
  </si>
  <si>
    <t>YD11-207</t>
  </si>
  <si>
    <t>微波监控</t>
  </si>
  <si>
    <t>YD11-208</t>
  </si>
  <si>
    <t>光纤监控</t>
  </si>
  <si>
    <t>YD11-209</t>
  </si>
  <si>
    <t>卫星通信监控、&lt;6m</t>
  </si>
  <si>
    <t>YD11-210</t>
  </si>
  <si>
    <t>卫星通信监控、&gt;6m</t>
  </si>
  <si>
    <t>2457.00</t>
  </si>
  <si>
    <t>YD11-211</t>
  </si>
  <si>
    <t>通信监测、(系统)</t>
  </si>
  <si>
    <t>1344.00</t>
  </si>
  <si>
    <t>YD12-1</t>
  </si>
  <si>
    <t>柜式盘</t>
  </si>
  <si>
    <t>93.45</t>
  </si>
  <si>
    <t>YD12-10</t>
  </si>
  <si>
    <t>带电子卡件的控制柜(宽mm)、1400</t>
  </si>
  <si>
    <t>149.94</t>
  </si>
  <si>
    <t>YD12-11</t>
  </si>
  <si>
    <t>电磁阀箱</t>
  </si>
  <si>
    <t>54.39</t>
  </si>
  <si>
    <t>YD12-12</t>
  </si>
  <si>
    <t>接线盒</t>
  </si>
  <si>
    <t>YD12-2</t>
  </si>
  <si>
    <t>屏式盘</t>
  </si>
  <si>
    <t>YD12-3</t>
  </si>
  <si>
    <t>保温(护)箱</t>
  </si>
  <si>
    <t>48.51</t>
  </si>
  <si>
    <t>YD12-4</t>
  </si>
  <si>
    <t>组合式盘台</t>
  </si>
  <si>
    <t>187.11</t>
  </si>
  <si>
    <t>YD12-5</t>
  </si>
  <si>
    <t>操作台</t>
  </si>
  <si>
    <t>95.55</t>
  </si>
  <si>
    <t>YD12-6</t>
  </si>
  <si>
    <t>大型通道盘</t>
  </si>
  <si>
    <t>225.75</t>
  </si>
  <si>
    <t>YD12-7</t>
  </si>
  <si>
    <t>(淘宝店铺:枫启教育)挂式盘</t>
  </si>
  <si>
    <t>36.12</t>
  </si>
  <si>
    <t>YD12-8</t>
  </si>
  <si>
    <t>带电子卡件的控制柜(宽mm)、900</t>
  </si>
  <si>
    <t>114.45</t>
  </si>
  <si>
    <t>YD12-9</t>
  </si>
  <si>
    <t>带电子卡件的控制柜(宽mm)、1100</t>
  </si>
  <si>
    <t>132.3</t>
  </si>
  <si>
    <t>YD12-13</t>
  </si>
  <si>
    <t>温度计(压力式)</t>
  </si>
  <si>
    <t>支(套)</t>
  </si>
  <si>
    <t>72.66</t>
  </si>
  <si>
    <t>YD12-14</t>
  </si>
  <si>
    <t>温度计(膨胀式)</t>
  </si>
  <si>
    <t>YD12-15</t>
  </si>
  <si>
    <t>热电偶、热电阻</t>
  </si>
  <si>
    <t>YD12-16</t>
  </si>
  <si>
    <t>耐磨热电偶</t>
  </si>
  <si>
    <t>79.17</t>
  </si>
  <si>
    <t>YD12-17</t>
  </si>
  <si>
    <t>金属壁温</t>
  </si>
  <si>
    <t>YD12-18</t>
  </si>
  <si>
    <t>温度开关</t>
  </si>
  <si>
    <t>51.03</t>
  </si>
  <si>
    <t>YD12-19</t>
  </si>
  <si>
    <t>压力真空表、盘上</t>
  </si>
  <si>
    <t>YD12-20</t>
  </si>
  <si>
    <t>压力真空表、就地</t>
  </si>
  <si>
    <t>31.92</t>
  </si>
  <si>
    <t>YD12-21</t>
  </si>
  <si>
    <t>差压表</t>
  </si>
  <si>
    <t>55.65</t>
  </si>
  <si>
    <t>YD12-22</t>
  </si>
  <si>
    <t>电接点压力表</t>
  </si>
  <si>
    <t>32.97</t>
  </si>
  <si>
    <t>YD12-23</t>
  </si>
  <si>
    <t>远传式</t>
  </si>
  <si>
    <t>38.43</t>
  </si>
  <si>
    <t>YD12-24</t>
  </si>
  <si>
    <t>膜盒微压计</t>
  </si>
  <si>
    <t>29.19</t>
  </si>
  <si>
    <t>YD12-25</t>
  </si>
  <si>
    <t>波汶管压力表</t>
  </si>
  <si>
    <t>33.6</t>
  </si>
  <si>
    <t>YD12-26</t>
  </si>
  <si>
    <t>压力开关</t>
  </si>
  <si>
    <t>45.78</t>
  </si>
  <si>
    <t>YD12-27</t>
  </si>
  <si>
    <t>差压开关</t>
  </si>
  <si>
    <t>58.59</t>
  </si>
  <si>
    <t>YD12-28</t>
  </si>
  <si>
    <t>金属转子流量计、玻璃式</t>
  </si>
  <si>
    <t>台(套)</t>
  </si>
  <si>
    <t>23.52</t>
  </si>
  <si>
    <t>YD12-29</t>
  </si>
  <si>
    <t>金属转子流量计、气远传式</t>
  </si>
  <si>
    <t>31.71</t>
  </si>
  <si>
    <t>YD12-30</t>
  </si>
  <si>
    <t>金属转子流量计、电远传式</t>
  </si>
  <si>
    <t>YD12-31</t>
  </si>
  <si>
    <t>椭圆齿轮流量计(带过滤器)、指示式</t>
  </si>
  <si>
    <t>45.99</t>
  </si>
  <si>
    <t>YD12-32</t>
  </si>
  <si>
    <t>椭圆齿轮流量计(带过滤器)、电远传式</t>
  </si>
  <si>
    <t>YD12-33</t>
  </si>
  <si>
    <t>电磁流量计</t>
  </si>
  <si>
    <t>77.49</t>
  </si>
  <si>
    <t>YD12-34</t>
  </si>
  <si>
    <t>智能电磁流量计</t>
  </si>
  <si>
    <t>93.87</t>
  </si>
  <si>
    <t>YD12-35</t>
  </si>
  <si>
    <t>涡街流量计</t>
  </si>
  <si>
    <t>88.41</t>
  </si>
  <si>
    <t>YD12-36</t>
  </si>
  <si>
    <t>智能涡街流量计</t>
  </si>
  <si>
    <t>YD12-37</t>
  </si>
  <si>
    <t>质量流量计</t>
  </si>
  <si>
    <t>62.16</t>
  </si>
  <si>
    <t>YD12-38</t>
  </si>
  <si>
    <t>流量计、涡轮</t>
  </si>
  <si>
    <t>64.26</t>
  </si>
  <si>
    <t>YD12-39</t>
  </si>
  <si>
    <t>流量计、智能涡轮</t>
  </si>
  <si>
    <t>77.91</t>
  </si>
  <si>
    <t>YD12-40</t>
  </si>
  <si>
    <t>流量计、毕托管</t>
  </si>
  <si>
    <t>YD12-41</t>
  </si>
  <si>
    <t>流量计、均速管</t>
  </si>
  <si>
    <t>59.85</t>
  </si>
  <si>
    <t>YD12-42</t>
  </si>
  <si>
    <t>流量计、电容式</t>
  </si>
  <si>
    <t>35.28</t>
  </si>
  <si>
    <t>YD12-43</t>
  </si>
  <si>
    <t>流量计、超声波</t>
  </si>
  <si>
    <t>60.9</t>
  </si>
  <si>
    <t>YD12-44</t>
  </si>
  <si>
    <t>流量计、膜盒差压</t>
  </si>
  <si>
    <t>29.82</t>
  </si>
  <si>
    <t>YD12-45</t>
  </si>
  <si>
    <t>(淘宝店铺:枫启教育)流量开关</t>
  </si>
  <si>
    <t>37.59</t>
  </si>
  <si>
    <t>YD12-46</t>
  </si>
  <si>
    <t>节流装置管径(mm)、400以下</t>
  </si>
  <si>
    <t>51.45</t>
  </si>
  <si>
    <t>YD12-47</t>
  </si>
  <si>
    <t>节流装置管径(mm)、600以下</t>
  </si>
  <si>
    <t>87.99</t>
  </si>
  <si>
    <t>YD12-48</t>
  </si>
  <si>
    <t>节流装置管径(mm)、800以下</t>
  </si>
  <si>
    <t>119.7</t>
  </si>
  <si>
    <t>YD12-49</t>
  </si>
  <si>
    <t>节流装置管径(mm)、1000以下</t>
  </si>
  <si>
    <t>134.82</t>
  </si>
  <si>
    <t>YD12-50</t>
  </si>
  <si>
    <t>151.2</t>
  </si>
  <si>
    <t>YD12-51</t>
  </si>
  <si>
    <t>风量测量装置、机翼</t>
  </si>
  <si>
    <t>249.27</t>
  </si>
  <si>
    <t>YD12-52</t>
  </si>
  <si>
    <t>风量测量装置、复式文丘里</t>
  </si>
  <si>
    <t>YD12-53</t>
  </si>
  <si>
    <t>液位计、直读玻璃管</t>
  </si>
  <si>
    <t>22.26</t>
  </si>
  <si>
    <t>YD12-54</t>
  </si>
  <si>
    <t>液位计、浮球</t>
  </si>
  <si>
    <t>YD12-55</t>
  </si>
  <si>
    <t>液位计、电接点</t>
  </si>
  <si>
    <t>39.27</t>
  </si>
  <si>
    <t>YD12-56</t>
  </si>
  <si>
    <t>物位计、电容</t>
  </si>
  <si>
    <t>41.58</t>
  </si>
  <si>
    <t>YD12-57</t>
  </si>
  <si>
    <t>料位计、重锤探测</t>
  </si>
  <si>
    <t>95.76</t>
  </si>
  <si>
    <t>YD12-58</t>
  </si>
  <si>
    <t>超声波料位计</t>
  </si>
  <si>
    <t>58.17</t>
  </si>
  <si>
    <t>YD12-59</t>
  </si>
  <si>
    <t>放射性液位计</t>
  </si>
  <si>
    <t>230.16</t>
  </si>
  <si>
    <t>YD12-60</t>
  </si>
  <si>
    <t>翻转式物位计</t>
  </si>
  <si>
    <t>YD12-61</t>
  </si>
  <si>
    <t>液位开关</t>
  </si>
  <si>
    <t>YD12-62</t>
  </si>
  <si>
    <t>(淘宝店铺:枫启教育)吹气装置</t>
  </si>
  <si>
    <t>21</t>
  </si>
  <si>
    <t>YD12-63</t>
  </si>
  <si>
    <t>动圈式显示仪</t>
  </si>
  <si>
    <t>13.65</t>
  </si>
  <si>
    <t>YD12-64</t>
  </si>
  <si>
    <t>数字仪表、单点数字显示仪</t>
  </si>
  <si>
    <t>20.58</t>
  </si>
  <si>
    <t>YD12-65</t>
  </si>
  <si>
    <t>数字仪表、数字显示调节仪</t>
  </si>
  <si>
    <t>32.13</t>
  </si>
  <si>
    <t>YD12-100</t>
  </si>
  <si>
    <t>信号处理组件、信号处理逻辑</t>
  </si>
  <si>
    <t>YD12-101</t>
  </si>
  <si>
    <t>调节组件、PID组件</t>
  </si>
  <si>
    <t>26.04</t>
  </si>
  <si>
    <t>YD12-102</t>
  </si>
  <si>
    <t>调节组件、跟踪组件</t>
  </si>
  <si>
    <t>18.27</t>
  </si>
  <si>
    <t>YD12-103</t>
  </si>
  <si>
    <t>调节组件、多输出接口</t>
  </si>
  <si>
    <t>YD12-104</t>
  </si>
  <si>
    <t>调节组件、动态补偿</t>
  </si>
  <si>
    <t>22.89</t>
  </si>
  <si>
    <t>YD12-105</t>
  </si>
  <si>
    <t>其他组件、电源分配</t>
  </si>
  <si>
    <t>16.59</t>
  </si>
  <si>
    <t>YD12-106</t>
  </si>
  <si>
    <t>其他组件、信号分配</t>
  </si>
  <si>
    <t>YD12-107</t>
  </si>
  <si>
    <t>其他组件、给定组件</t>
  </si>
  <si>
    <t>YD12-108</t>
  </si>
  <si>
    <t>其他组件、切换组件</t>
  </si>
  <si>
    <t>20.79</t>
  </si>
  <si>
    <t>YD12-109</t>
  </si>
  <si>
    <t>其他组件、监控组件</t>
  </si>
  <si>
    <t>26.46</t>
  </si>
  <si>
    <t>YD12-110</t>
  </si>
  <si>
    <t>其他组件、继电器组件</t>
  </si>
  <si>
    <t>25.62</t>
  </si>
  <si>
    <t>YD12-111</t>
  </si>
  <si>
    <t>组盘装仪表、单双针记录仪</t>
  </si>
  <si>
    <t>25.41</t>
  </si>
  <si>
    <t>YD12-112</t>
  </si>
  <si>
    <t>组盘装仪表、单双针指示仪</t>
  </si>
  <si>
    <t>YD12-113</t>
  </si>
  <si>
    <t>组盘装仪表、3/4笔记录仪</t>
  </si>
  <si>
    <t>YD12-114</t>
  </si>
  <si>
    <t>组盘装仪表、趋势记录仪</t>
  </si>
  <si>
    <t>35.07</t>
  </si>
  <si>
    <t>YD12-115</t>
  </si>
  <si>
    <t>组盘装仪表、控制显示操作器</t>
  </si>
  <si>
    <t>232.68</t>
  </si>
  <si>
    <t>YD12-116</t>
  </si>
  <si>
    <t>组盘装仪表、手操器</t>
  </si>
  <si>
    <t>YD12-117</t>
  </si>
  <si>
    <t>电动角执行机构、25Kg-M以下</t>
  </si>
  <si>
    <t>YD12-118</t>
  </si>
  <si>
    <t>电动角执行机构、25Kg-M以上</t>
  </si>
  <si>
    <t>89.46</t>
  </si>
  <si>
    <t>YD12-119</t>
  </si>
  <si>
    <t>执行机构、电动直行程</t>
  </si>
  <si>
    <t>55.23</t>
  </si>
  <si>
    <t>YD12-120</t>
  </si>
  <si>
    <t>执行器、气动长行程</t>
  </si>
  <si>
    <t>50.61</t>
  </si>
  <si>
    <t>YD12-121</t>
  </si>
  <si>
    <t>执行器、气动活塞式</t>
  </si>
  <si>
    <t>17.43</t>
  </si>
  <si>
    <t>YD12-122</t>
  </si>
  <si>
    <t>执行器、气动薄膜式</t>
  </si>
  <si>
    <t>YD12-123</t>
  </si>
  <si>
    <t>(淘宝店铺:枫启教育)烟温探针</t>
  </si>
  <si>
    <t>24.57</t>
  </si>
  <si>
    <t>YD12-124</t>
  </si>
  <si>
    <t>调节阀、电动</t>
  </si>
  <si>
    <t>YD12-125</t>
  </si>
  <si>
    <t>调节阀、气动</t>
  </si>
  <si>
    <t>YD12-126</t>
  </si>
  <si>
    <t>电磁阀</t>
  </si>
  <si>
    <t>YD12-127</t>
  </si>
  <si>
    <t>电/气转换器</t>
  </si>
  <si>
    <t>21.63</t>
  </si>
  <si>
    <t>YD12-128</t>
  </si>
  <si>
    <t>阀门定位器</t>
  </si>
  <si>
    <t>YD12-129</t>
  </si>
  <si>
    <t>电动伺服放大器</t>
  </si>
  <si>
    <t>YD12-130</t>
  </si>
  <si>
    <t>远方控制器</t>
  </si>
  <si>
    <t>YD12-131</t>
  </si>
  <si>
    <t>开度指示表</t>
  </si>
  <si>
    <t>YD12-132</t>
  </si>
  <si>
    <t>调节器、基地式温度</t>
  </si>
  <si>
    <t>YD12-133</t>
  </si>
  <si>
    <t>调节器、基地式压力</t>
  </si>
  <si>
    <t>72.87</t>
  </si>
  <si>
    <t>YD12-134</t>
  </si>
  <si>
    <t>调节器、基地式差压</t>
  </si>
  <si>
    <t>YD12-135</t>
  </si>
  <si>
    <t>调节器、基地式流量</t>
  </si>
  <si>
    <t>YD12-136</t>
  </si>
  <si>
    <t>调节器、基地式液位</t>
  </si>
  <si>
    <t>105.84</t>
  </si>
  <si>
    <t>YD12-66</t>
  </si>
  <si>
    <t>变送器、温度</t>
  </si>
  <si>
    <t>51.66</t>
  </si>
  <si>
    <t>YD12-67</t>
  </si>
  <si>
    <t>(淘宝店铺:枫启教育)变送器、压力</t>
  </si>
  <si>
    <t>44.31</t>
  </si>
  <si>
    <t>YD12-68</t>
  </si>
  <si>
    <t>变送器、智能压力</t>
  </si>
  <si>
    <t>YD12-69</t>
  </si>
  <si>
    <t>变送器、差压</t>
  </si>
  <si>
    <t>YD12-70</t>
  </si>
  <si>
    <t>变送器、智能差压</t>
  </si>
  <si>
    <t>65.52</t>
  </si>
  <si>
    <t>YD12-71</t>
  </si>
  <si>
    <t>变送器、流量</t>
  </si>
  <si>
    <t>49.98</t>
  </si>
  <si>
    <t>YD12-72</t>
  </si>
  <si>
    <t>变送器、液位</t>
  </si>
  <si>
    <t>80.43</t>
  </si>
  <si>
    <t>YD12-73</t>
  </si>
  <si>
    <t>单双针指示仪</t>
  </si>
  <si>
    <t>YD12-74</t>
  </si>
  <si>
    <t>单双会记录仪信</t>
  </si>
  <si>
    <t>19.32</t>
  </si>
  <si>
    <t>YD12-75</t>
  </si>
  <si>
    <t>单双会报警仪</t>
  </si>
  <si>
    <t>25.2</t>
  </si>
  <si>
    <t>YD12-76</t>
  </si>
  <si>
    <t>色带指示仪</t>
  </si>
  <si>
    <t>YD12-77</t>
  </si>
  <si>
    <t>多点指示记录仪</t>
  </si>
  <si>
    <t>42.63</t>
  </si>
  <si>
    <t>YD12-78</t>
  </si>
  <si>
    <t>比例开方积算器</t>
  </si>
  <si>
    <t>YD12-79</t>
  </si>
  <si>
    <t>调节单元、指示调节器</t>
  </si>
  <si>
    <t>YD12-80</t>
  </si>
  <si>
    <t>调节单元、特殊调节器</t>
  </si>
  <si>
    <t>32.34</t>
  </si>
  <si>
    <t>YD12-81</t>
  </si>
  <si>
    <t>调节单元、微分/积分器</t>
  </si>
  <si>
    <t>20.37</t>
  </si>
  <si>
    <t>YD12-82</t>
  </si>
  <si>
    <t>计算单元、加减器</t>
  </si>
  <si>
    <t>24.78</t>
  </si>
  <si>
    <t>YD12-83</t>
  </si>
  <si>
    <t>计算单元、乘除器</t>
  </si>
  <si>
    <t>YD12-84</t>
  </si>
  <si>
    <t>计算单元、开方器</t>
  </si>
  <si>
    <t>YD12-85</t>
  </si>
  <si>
    <t>给定单元、恒流给定器</t>
  </si>
  <si>
    <t>YD12-86</t>
  </si>
  <si>
    <t>给定单元、比值给定器</t>
  </si>
  <si>
    <t>YD12-87</t>
  </si>
  <si>
    <t>给定单元、报警给定器</t>
  </si>
  <si>
    <t>YD12-88</t>
  </si>
  <si>
    <t>辅助单元、操作器</t>
  </si>
  <si>
    <t>YD12-89</t>
  </si>
  <si>
    <t>辅助单元、信号选择器</t>
  </si>
  <si>
    <t>19.11</t>
  </si>
  <si>
    <t>YD12-90</t>
  </si>
  <si>
    <t>辅助单元、信号限幅器</t>
  </si>
  <si>
    <t>17.85</t>
  </si>
  <si>
    <t>YD12-91</t>
  </si>
  <si>
    <t>辅助单元、信号阻尼器</t>
  </si>
  <si>
    <t>YD12-92</t>
  </si>
  <si>
    <t>辅助单元、给煤单元</t>
  </si>
  <si>
    <t>YD12-93</t>
  </si>
  <si>
    <t>输入输出组件、输入组件</t>
  </si>
  <si>
    <t>YD12-94</t>
  </si>
  <si>
    <t>输入输出组件、输出组件</t>
  </si>
  <si>
    <t>23.31</t>
  </si>
  <si>
    <t>YD12-95</t>
  </si>
  <si>
    <t>信号处理组件、信号缓冲</t>
  </si>
  <si>
    <t>YD12-96</t>
  </si>
  <si>
    <t>信号处理组件、积算</t>
  </si>
  <si>
    <t>YD12-97</t>
  </si>
  <si>
    <t>信号处理组件、计算</t>
  </si>
  <si>
    <t>YD12-98</t>
  </si>
  <si>
    <t>信号处理组件、报警</t>
  </si>
  <si>
    <t>YD12-99</t>
  </si>
  <si>
    <t>信号处理组件、信号发生</t>
  </si>
  <si>
    <t>YD12-137</t>
  </si>
  <si>
    <t>数字温度、巡测仪(40点)</t>
  </si>
  <si>
    <t>72.24</t>
  </si>
  <si>
    <t>YD12-138</t>
  </si>
  <si>
    <t>数字集中检测装置、96点</t>
  </si>
  <si>
    <t>YD12-139</t>
  </si>
  <si>
    <t>数字集中检测装置、200点</t>
  </si>
  <si>
    <t>170.52</t>
  </si>
  <si>
    <t>YD12-140</t>
  </si>
  <si>
    <t>数字集中检测装置、400点</t>
  </si>
  <si>
    <t>300.51</t>
  </si>
  <si>
    <t>YD12-141</t>
  </si>
  <si>
    <t>智能式数字巡测仪、40点</t>
  </si>
  <si>
    <t>63.84</t>
  </si>
  <si>
    <t>YD12-142</t>
  </si>
  <si>
    <t>智能式数字巡测仪、60点</t>
  </si>
  <si>
    <t>YD12-143</t>
  </si>
  <si>
    <t>智能式数字巡测仪、96点</t>
  </si>
  <si>
    <t>111.51</t>
  </si>
  <si>
    <t>YD12-144</t>
  </si>
  <si>
    <t>事故记忆、装置</t>
  </si>
  <si>
    <t>133.56</t>
  </si>
  <si>
    <t>YD12-145</t>
  </si>
  <si>
    <t>(淘宝店铺:枫启教育)巡回报警器</t>
  </si>
  <si>
    <t>30.03</t>
  </si>
  <si>
    <t>YD12-146</t>
  </si>
  <si>
    <t>单回路闪光报警器(回路点以下)、1</t>
  </si>
  <si>
    <t>YD12-147</t>
  </si>
  <si>
    <t>单回路闪光报警器(回路点以下)、每增一点</t>
  </si>
  <si>
    <t>4.2</t>
  </si>
  <si>
    <t>YD12-148</t>
  </si>
  <si>
    <t>八回路闪光、报警器</t>
  </si>
  <si>
    <t>YD12-149</t>
  </si>
  <si>
    <t>集中控制型、硬报警装置</t>
  </si>
  <si>
    <t>89.04</t>
  </si>
  <si>
    <t>YD12-150</t>
  </si>
  <si>
    <t>智能闪光报警装置(回路点以下)、4</t>
  </si>
  <si>
    <t>YD12-151</t>
  </si>
  <si>
    <t>智能闪光报警装置(回路点以下)、24</t>
  </si>
  <si>
    <t>67.83</t>
  </si>
  <si>
    <t>YD12-152</t>
  </si>
  <si>
    <t>智能闪光报警装置(回路点以下)、48</t>
  </si>
  <si>
    <t>107.73</t>
  </si>
  <si>
    <t>YD12-153</t>
  </si>
  <si>
    <t>探测器、离子感烟元件</t>
  </si>
  <si>
    <t>34.44</t>
  </si>
  <si>
    <t>YD12-154</t>
  </si>
  <si>
    <t>探测器、感温元件</t>
  </si>
  <si>
    <t>YD12-155</t>
  </si>
  <si>
    <t>火灾报警装置</t>
  </si>
  <si>
    <t>217.98</t>
  </si>
  <si>
    <t>YD12-156</t>
  </si>
  <si>
    <t>火焰监视装置</t>
  </si>
  <si>
    <t>YD12-157</t>
  </si>
  <si>
    <t>锅炉点火装置</t>
  </si>
  <si>
    <t>YD12-158</t>
  </si>
  <si>
    <t>工业电导仪</t>
  </si>
  <si>
    <t>YD12-159</t>
  </si>
  <si>
    <t>工业酸度仪</t>
  </si>
  <si>
    <t>53.13</t>
  </si>
  <si>
    <t>YD12-160</t>
  </si>
  <si>
    <t>酸碱浓度计</t>
  </si>
  <si>
    <t>89.88</t>
  </si>
  <si>
    <t>YD12-161</t>
  </si>
  <si>
    <t>磷(硅)酸根、分析仪</t>
  </si>
  <si>
    <t>87.57</t>
  </si>
  <si>
    <t>YD12-162</t>
  </si>
  <si>
    <t>钠离控制器</t>
  </si>
  <si>
    <t>116.13</t>
  </si>
  <si>
    <t>YD12-163</t>
  </si>
  <si>
    <t>分析仪、水中氧</t>
  </si>
  <si>
    <t>79.38</t>
  </si>
  <si>
    <t>YD12-164</t>
  </si>
  <si>
    <t>分析仪、氧化锆</t>
  </si>
  <si>
    <t>98.07</t>
  </si>
  <si>
    <t>YD12-165</t>
  </si>
  <si>
    <t>分析仪、热导式</t>
  </si>
  <si>
    <t>YD12-166</t>
  </si>
  <si>
    <t>分析仪、磁导式</t>
  </si>
  <si>
    <t>YD12-167</t>
  </si>
  <si>
    <t>分析仪、CO/CO2/H2O</t>
  </si>
  <si>
    <t>128.52</t>
  </si>
  <si>
    <t>YD12-168</t>
  </si>
  <si>
    <t>烟气浊度仪、烟气浊度仪</t>
  </si>
  <si>
    <t>60.69</t>
  </si>
  <si>
    <t>YD12-169</t>
  </si>
  <si>
    <t>大气温湿度仪</t>
  </si>
  <si>
    <t>74.76</t>
  </si>
  <si>
    <t>YD12-170</t>
  </si>
  <si>
    <t>(淘宝店铺:枫启教育)氢分析仪</t>
  </si>
  <si>
    <t>YD12-171</t>
  </si>
  <si>
    <t>高阻检漏仪</t>
  </si>
  <si>
    <t>YD12-172</t>
  </si>
  <si>
    <t>摄像机、摄像机</t>
  </si>
  <si>
    <t>101.01</t>
  </si>
  <si>
    <t>YD12-173</t>
  </si>
  <si>
    <t>附属设备安装、附照明</t>
  </si>
  <si>
    <t>36.75</t>
  </si>
  <si>
    <t>YD12-174</t>
  </si>
  <si>
    <t>附属设备安装、附吹扫装置</t>
  </si>
  <si>
    <t>YD12-175</t>
  </si>
  <si>
    <t>附属设备安装、附冷却装置</t>
  </si>
  <si>
    <t>YD12-176</t>
  </si>
  <si>
    <t>附属设备安装、附电动转台</t>
  </si>
  <si>
    <t>YD12-177</t>
  </si>
  <si>
    <t>显示器、显示器</t>
  </si>
  <si>
    <t>45.15</t>
  </si>
  <si>
    <t>YD12-178</t>
  </si>
  <si>
    <t>辅助设备安装、操作器</t>
  </si>
  <si>
    <t>YD12-179</t>
  </si>
  <si>
    <t>辅助设备安装、切换器</t>
  </si>
  <si>
    <t>18.9</t>
  </si>
  <si>
    <t>YD12-180</t>
  </si>
  <si>
    <t>计算机机柜</t>
  </si>
  <si>
    <t>120.96</t>
  </si>
  <si>
    <t>YD12-181</t>
  </si>
  <si>
    <t>操作显示、报警台柜</t>
  </si>
  <si>
    <t>136.92</t>
  </si>
  <si>
    <t>YD12-182</t>
  </si>
  <si>
    <t>通用计算机</t>
  </si>
  <si>
    <t>47.46</t>
  </si>
  <si>
    <t>YD12-183</t>
  </si>
  <si>
    <t>打印机(台)</t>
  </si>
  <si>
    <t>YD12-184</t>
  </si>
  <si>
    <t>拷贝机(台)</t>
  </si>
  <si>
    <t>24.15</t>
  </si>
  <si>
    <t>YD12-185</t>
  </si>
  <si>
    <t>CRT(台)、显示装置</t>
  </si>
  <si>
    <t>YD12-186</t>
  </si>
  <si>
    <t>轴向位移、相对膨胀</t>
  </si>
  <si>
    <t>75.18</t>
  </si>
  <si>
    <t>YD12-187</t>
  </si>
  <si>
    <t>(淘宝店铺:枫启教育)绝对膨胀</t>
  </si>
  <si>
    <t>YD12-188</t>
  </si>
  <si>
    <t>测振装置</t>
  </si>
  <si>
    <t>YD12-189</t>
  </si>
  <si>
    <t>挠度测量</t>
  </si>
  <si>
    <t>55.86</t>
  </si>
  <si>
    <t>YD12-190</t>
  </si>
  <si>
    <t>转速测量</t>
  </si>
  <si>
    <t>56.7</t>
  </si>
  <si>
    <t>YD12-191</t>
  </si>
  <si>
    <t>射频检测</t>
  </si>
  <si>
    <t>70.14</t>
  </si>
  <si>
    <t>YD12-192</t>
  </si>
  <si>
    <t>光纤测振仪</t>
  </si>
  <si>
    <t>YD12-193</t>
  </si>
  <si>
    <t>称重传感器</t>
  </si>
  <si>
    <t>YD12-194</t>
  </si>
  <si>
    <t>电子皮带称</t>
  </si>
  <si>
    <t>81.06</t>
  </si>
  <si>
    <t>YD12-195</t>
  </si>
  <si>
    <t>数字称重显示仪</t>
  </si>
  <si>
    <t>81.27</t>
  </si>
  <si>
    <t>YD12-196</t>
  </si>
  <si>
    <t>智能称重显示仪</t>
  </si>
  <si>
    <t>YD12-197</t>
  </si>
  <si>
    <t>皮带跑偏装置</t>
  </si>
  <si>
    <t>51.87</t>
  </si>
  <si>
    <t>YD12-198</t>
  </si>
  <si>
    <t>皮带打滑装置</t>
  </si>
  <si>
    <t>43.05</t>
  </si>
  <si>
    <t>YD12-199</t>
  </si>
  <si>
    <t>碳钢管、Φ16mm以下</t>
  </si>
  <si>
    <t>5.61</t>
  </si>
  <si>
    <t>YD12-200</t>
  </si>
  <si>
    <t>碳钢管、Φ32mm以下</t>
  </si>
  <si>
    <t>6.32</t>
  </si>
  <si>
    <t>YD12-201</t>
  </si>
  <si>
    <t>合金钢管、Φ16mm以下</t>
  </si>
  <si>
    <t>7.18</t>
  </si>
  <si>
    <t>YD12-202</t>
  </si>
  <si>
    <t>不锈钢管、Φ32mm以下</t>
  </si>
  <si>
    <t>7.96</t>
  </si>
  <si>
    <t>YD12-203</t>
  </si>
  <si>
    <t>紫铜管、Φ16mm以下</t>
  </si>
  <si>
    <t>4.73</t>
  </si>
  <si>
    <t>YD12-204</t>
  </si>
  <si>
    <t>(淘宝店铺:枫启教育)尼龙管</t>
  </si>
  <si>
    <t>2.44</t>
  </si>
  <si>
    <t>YD12-205</t>
  </si>
  <si>
    <t>伴热管(mm)、不锈钢管Φ16</t>
  </si>
  <si>
    <t>YD12-206</t>
  </si>
  <si>
    <t>伴热管(mm)、碳钢管Φ22</t>
  </si>
  <si>
    <t>5.44</t>
  </si>
  <si>
    <t>YD12-207</t>
  </si>
  <si>
    <t>伴热管(mm)、铜管Φ22</t>
  </si>
  <si>
    <t>YD12-208</t>
  </si>
  <si>
    <t>电伴热、伴热电缆敷设</t>
  </si>
  <si>
    <t>4.16</t>
  </si>
  <si>
    <t>YD12-209</t>
  </si>
  <si>
    <t>焊接式阀门(DN32以下)、碳钢</t>
  </si>
  <si>
    <t>YD12-210</t>
  </si>
  <si>
    <t>焊接式阀门(DN32以下)、合金钢</t>
  </si>
  <si>
    <t>14.7</t>
  </si>
  <si>
    <t>YD12-211</t>
  </si>
  <si>
    <t>焊接式阀门(DN32以下)、不锈钢</t>
  </si>
  <si>
    <t>15.54</t>
  </si>
  <si>
    <t>YD12-212</t>
  </si>
  <si>
    <t>法兰式阀门(DN50以下)、碳钢</t>
  </si>
  <si>
    <t>YD12-213</t>
  </si>
  <si>
    <t>法兰式阀门(DN50以下)、不锈钢</t>
  </si>
  <si>
    <t>YD12-214</t>
  </si>
  <si>
    <t>内,外螺纹式阀门、碳钢</t>
  </si>
  <si>
    <t>YD12-215</t>
  </si>
  <si>
    <t>内,外螺纹式阀门、不锈钢</t>
  </si>
  <si>
    <t>8.82</t>
  </si>
  <si>
    <t>YD12-216</t>
  </si>
  <si>
    <t>卡套式、阀门</t>
  </si>
  <si>
    <t>YD12-217</t>
  </si>
  <si>
    <t>气源球、阀</t>
  </si>
  <si>
    <t>YD12-218</t>
  </si>
  <si>
    <t>平衡阀、组</t>
  </si>
  <si>
    <t>YD12-219</t>
  </si>
  <si>
    <t>温度计套管安装、碳钢</t>
  </si>
  <si>
    <t>套(个)</t>
  </si>
  <si>
    <t>12.18</t>
  </si>
  <si>
    <t>YD12-220</t>
  </si>
  <si>
    <t>温度计套管安装、不锈钢</t>
  </si>
  <si>
    <t>14.07</t>
  </si>
  <si>
    <t>YD12-221</t>
  </si>
  <si>
    <t>取压、取样部件安装、碳钢管道</t>
  </si>
  <si>
    <t>YD12-222</t>
  </si>
  <si>
    <t>取压、取样部件安装、不锈钢管道</t>
  </si>
  <si>
    <t>YD12-223</t>
  </si>
  <si>
    <t>取压、取样部件安装、煤粉管道</t>
  </si>
  <si>
    <t>YD12-224</t>
  </si>
  <si>
    <t>取压、取样部件安装、烟气分析取样</t>
  </si>
  <si>
    <t>12.81</t>
  </si>
  <si>
    <t>YD12-225</t>
  </si>
  <si>
    <t>冷端温度补偿器</t>
  </si>
  <si>
    <t>YD12-226</t>
  </si>
  <si>
    <t>空气过滤减压器</t>
  </si>
  <si>
    <t>YD12-227</t>
  </si>
  <si>
    <t>行程开关</t>
  </si>
  <si>
    <t>6.72</t>
  </si>
  <si>
    <t>YD12-228</t>
  </si>
  <si>
    <t>温度切换开关</t>
  </si>
  <si>
    <t>YD12-229</t>
  </si>
  <si>
    <t>风压切换开关</t>
  </si>
  <si>
    <t>YD12-230</t>
  </si>
  <si>
    <t>多点切换开关</t>
  </si>
  <si>
    <t>YD12-231</t>
  </si>
  <si>
    <t>(淘宝店铺:枫启教育)供电装置</t>
  </si>
  <si>
    <t>8.4</t>
  </si>
  <si>
    <t>YD7-5</t>
  </si>
  <si>
    <t>抓斗式起重机电气安装 起重量(t以内)、5</t>
  </si>
  <si>
    <t>1848.8</t>
  </si>
  <si>
    <t>YD7-6</t>
  </si>
  <si>
    <t>抓斗式起重机电气安装 起重量(t以内)、10</t>
  </si>
  <si>
    <t>2245.89</t>
  </si>
  <si>
    <t>YD7-7</t>
  </si>
  <si>
    <t>抓斗式起重机电气安装 起重量(t以内)、15</t>
  </si>
  <si>
    <t>2675.09</t>
  </si>
  <si>
    <t>YD7-8</t>
  </si>
  <si>
    <t>抓斗式起重机电气安装 起重量(t以内)、20</t>
  </si>
  <si>
    <t>2941.68</t>
  </si>
  <si>
    <t>YD6-16</t>
  </si>
  <si>
    <t>直流电动机检查接线 容量(KW以内)、3</t>
  </si>
  <si>
    <t>53.59</t>
  </si>
  <si>
    <t>YD6-17</t>
  </si>
  <si>
    <t>直流电动机检查接线 容量(KW以内)、13</t>
  </si>
  <si>
    <t>74.3</t>
  </si>
  <si>
    <t>YD6-18</t>
  </si>
  <si>
    <t>直流电动机检查接线 容量(KW以内)、30</t>
  </si>
  <si>
    <t>84.88</t>
  </si>
  <si>
    <t>YD6-19</t>
  </si>
  <si>
    <t>直流电动机检查接线 容量(KW以内)、55</t>
  </si>
  <si>
    <t>103.17</t>
  </si>
  <si>
    <t>YD6-20</t>
  </si>
  <si>
    <t>直流电动机检查接线 容量(KW以内)、125</t>
  </si>
  <si>
    <t>123.59</t>
  </si>
  <si>
    <t>YD6-21</t>
  </si>
  <si>
    <t>直流电动机检查接线 容量(KW以内)、200</t>
  </si>
  <si>
    <t>176.25</t>
  </si>
  <si>
    <t>YD6-22</t>
  </si>
  <si>
    <t>直流电动机检查接线 容量(KW以内)、300</t>
  </si>
  <si>
    <t>261.81</t>
  </si>
  <si>
    <t>YD6-23</t>
  </si>
  <si>
    <t>交流电动机检查接线 容量(KW以内)、3</t>
  </si>
  <si>
    <t>63.25</t>
  </si>
  <si>
    <t>YD6-24</t>
  </si>
  <si>
    <t>交流电动机检查接线 容量(KW以内)、13</t>
  </si>
  <si>
    <t>111.24</t>
  </si>
  <si>
    <t>YD6-25</t>
  </si>
  <si>
    <t>交流电动机检查接线 容量(KW以内)、30</t>
  </si>
  <si>
    <t>158.97</t>
  </si>
  <si>
    <t>YD6-26</t>
  </si>
  <si>
    <t>交流电动机检查接线 容量(KW以内)、55</t>
  </si>
  <si>
    <t>250.87</t>
  </si>
  <si>
    <t>YD6-27</t>
  </si>
  <si>
    <t>交流电动机检查接线 容量(KW以内)、100</t>
  </si>
  <si>
    <t>260.65</t>
  </si>
  <si>
    <t>YD6-28</t>
  </si>
  <si>
    <t>交流电动机检查接线 容量(KW以内)、180</t>
  </si>
  <si>
    <t>273.08</t>
  </si>
  <si>
    <t>YD6-29</t>
  </si>
  <si>
    <t>交流电动机检查接线 容量(KW以内)、220</t>
  </si>
  <si>
    <t>288.54</t>
  </si>
  <si>
    <t>YD6-30</t>
  </si>
  <si>
    <t>交流电动机检查接线 容量(KW以内)、360</t>
  </si>
  <si>
    <t>379.97</t>
  </si>
  <si>
    <t>YD6-31</t>
  </si>
  <si>
    <t>交流电动机检查接线 容量(KW以内)、650</t>
  </si>
  <si>
    <t>548.75</t>
  </si>
  <si>
    <t>YD6-32</t>
  </si>
  <si>
    <t>交流电动机检查接线 容量(KW以内)、780</t>
  </si>
  <si>
    <t>588.23</t>
  </si>
  <si>
    <t>YD6-33</t>
  </si>
  <si>
    <t>交流电动机检查接线 容量(KW以内)、1600</t>
  </si>
  <si>
    <t>672.65</t>
  </si>
  <si>
    <t>YD6-34</t>
  </si>
  <si>
    <t>交流电动机检查接线 容量(KW以内)、4000</t>
  </si>
  <si>
    <t>809.11</t>
  </si>
  <si>
    <t>YD6-35</t>
  </si>
  <si>
    <t>交流电动机检查接线 容量(KW以内)、5500</t>
  </si>
  <si>
    <t>955.56</t>
  </si>
  <si>
    <t>YD6-36</t>
  </si>
  <si>
    <t>交流电动机检查接线 容量(KW以内)、6300</t>
  </si>
  <si>
    <t>1018.94</t>
  </si>
  <si>
    <t>YD6-37</t>
  </si>
  <si>
    <t>交流立式电动机检查接线 容量(KW以内)、30</t>
  </si>
  <si>
    <t>162.58</t>
  </si>
  <si>
    <t>YD6-38</t>
  </si>
  <si>
    <t>交流立式电动机检查接线 容量(KW以内)、60</t>
  </si>
  <si>
    <t>290.22</t>
  </si>
  <si>
    <t>YD6-39</t>
  </si>
  <si>
    <t>交流立式电动机检查接线 容量(KW以内)、100</t>
  </si>
  <si>
    <t>309.54</t>
  </si>
  <si>
    <t>YD6-40</t>
  </si>
  <si>
    <t>交流立式电动机检查接线 容量(KW以内)、175</t>
  </si>
  <si>
    <t>327.96</t>
  </si>
  <si>
    <t>YD6-41</t>
  </si>
  <si>
    <t>交流立式电动机检查接线 容量(KW以内)、240</t>
  </si>
  <si>
    <t>420.17</t>
  </si>
  <si>
    <t>YD6-42</t>
  </si>
  <si>
    <t>交流立式电动机检查接线 容量(KW以内)、475</t>
  </si>
  <si>
    <t>638.55</t>
  </si>
  <si>
    <t>YD6-43</t>
  </si>
  <si>
    <t>交流立式电动机检查接线 容量(KW以内)、800</t>
  </si>
  <si>
    <t>791.18</t>
  </si>
  <si>
    <t>YD6-44</t>
  </si>
  <si>
    <t>交流立式电动机检查接线 容量(KW以内)、1360</t>
  </si>
  <si>
    <t>844.37</t>
  </si>
  <si>
    <t>YD6-45</t>
  </si>
  <si>
    <t>交流立式电动机检查接线 容量(KW以内)、2500</t>
  </si>
  <si>
    <t>1319.66</t>
  </si>
  <si>
    <t>各和荧光灯的耗电量、额定电流及功率因数表</t>
  </si>
  <si>
    <t>常用家用电器的耗电量、频定电流及功率因数表</t>
  </si>
  <si>
    <t>数学常数表</t>
  </si>
  <si>
    <t>灯管</t>
  </si>
  <si>
    <t>灯管耗</t>
  </si>
  <si>
    <t>镇流器耗</t>
  </si>
  <si>
    <t>总耗电量</t>
  </si>
  <si>
    <t>寿命不</t>
  </si>
  <si>
    <t>家用电器名称</t>
  </si>
  <si>
    <t>功率（W）</t>
  </si>
  <si>
    <r>
      <rPr>
        <sz val="12"/>
        <color indexed="8"/>
        <rFont val="宋体"/>
        <charset val="134"/>
      </rPr>
      <t xml:space="preserve"> </t>
    </r>
    <r>
      <rPr>
        <sz val="12"/>
        <color indexed="8"/>
        <rFont val="宋体"/>
        <charset val="134"/>
      </rPr>
      <t>功率因数（Cos</t>
    </r>
    <r>
      <rPr>
        <sz val="12"/>
        <color indexed="8"/>
        <rFont val="Arial"/>
        <charset val="134"/>
      </rPr>
      <t xml:space="preserve">φ </t>
    </r>
    <r>
      <rPr>
        <sz val="12"/>
        <color indexed="8"/>
        <rFont val="宋体"/>
        <charset val="134"/>
      </rPr>
      <t>）</t>
    </r>
  </si>
  <si>
    <t>常数</t>
  </si>
  <si>
    <t>lg</t>
  </si>
  <si>
    <t>电量（W）</t>
  </si>
  <si>
    <t>（W）</t>
  </si>
  <si>
    <t>（A）</t>
  </si>
  <si>
    <t>COS&amp;</t>
  </si>
  <si>
    <t>小于（h)</t>
  </si>
  <si>
    <t>电视机</t>
  </si>
  <si>
    <t>0.51～0.65</t>
  </si>
  <si>
    <t>0.7～0.9</t>
  </si>
  <si>
    <t>YZ6RR</t>
  </si>
  <si>
    <t>电冰箱</t>
  </si>
  <si>
    <t>2.27～3.03</t>
  </si>
  <si>
    <t>0.3～0.4</t>
  </si>
  <si>
    <t>2π</t>
  </si>
  <si>
    <t>YZ8RR</t>
  </si>
  <si>
    <t>0.91～1.09</t>
  </si>
  <si>
    <t>0.5～0.6</t>
  </si>
  <si>
    <t>4π</t>
  </si>
  <si>
    <t>YZ15RR</t>
  </si>
  <si>
    <t>电熨斗</t>
  </si>
  <si>
    <t>500～1000</t>
  </si>
  <si>
    <t>2.27～4.54</t>
  </si>
  <si>
    <t>π2</t>
  </si>
  <si>
    <t>YZ20RR</t>
  </si>
  <si>
    <t>电热毯</t>
  </si>
  <si>
    <t>20～100</t>
  </si>
  <si>
    <t>0.09～0.45</t>
  </si>
  <si>
    <t>YZ30RR</t>
  </si>
  <si>
    <t>电吹风机</t>
  </si>
  <si>
    <t>350～550</t>
  </si>
  <si>
    <t>1.59～2.5</t>
  </si>
  <si>
    <t>1/π</t>
  </si>
  <si>
    <t>YZ40RR</t>
  </si>
  <si>
    <t>电热杯</t>
  </si>
  <si>
    <t>1nπ</t>
  </si>
  <si>
    <t xml:space="preserve"> 异步电动机的功率和效率与负荷的关系</t>
  </si>
  <si>
    <t>电暖器</t>
  </si>
  <si>
    <t>e</t>
  </si>
  <si>
    <t>负荷</t>
  </si>
  <si>
    <t>空载</t>
  </si>
  <si>
    <t>电烤箱</t>
  </si>
  <si>
    <t>600～1200</t>
  </si>
  <si>
    <t>2.73～5.45</t>
  </si>
  <si>
    <t>e2</t>
  </si>
  <si>
    <t>电饭煲</t>
  </si>
  <si>
    <t>300～500</t>
  </si>
  <si>
    <t>1.36～2.27</t>
  </si>
  <si>
    <r>
      <rPr>
        <sz val="12"/>
        <color indexed="8"/>
        <rFont val="宋体"/>
        <charset val="134"/>
      </rPr>
      <t>效率</t>
    </r>
    <r>
      <rPr>
        <sz val="12"/>
        <color indexed="8"/>
        <rFont val="宋体"/>
        <charset val="134"/>
      </rPr>
      <t>η</t>
    </r>
  </si>
  <si>
    <t>电炒锅</t>
  </si>
  <si>
    <t>1000～1500</t>
  </si>
  <si>
    <t>4.55～6.82</t>
  </si>
  <si>
    <t>1/e</t>
  </si>
  <si>
    <t>Cosφ和 tgφ对应值表(淘宝店铺:枫启机械教育)</t>
  </si>
  <si>
    <t>消毒柜110L</t>
  </si>
  <si>
    <t>200～300</t>
  </si>
  <si>
    <t>M=lge</t>
  </si>
  <si>
    <t>吊扇</t>
  </si>
  <si>
    <t>1/M=ln10</t>
  </si>
  <si>
    <t>0°</t>
  </si>
  <si>
    <t>44°46′</t>
  </si>
  <si>
    <t>电热水器</t>
  </si>
  <si>
    <t>3000～6000</t>
  </si>
  <si>
    <t>13.64～27.27</t>
  </si>
  <si>
    <t>eπ</t>
  </si>
  <si>
    <t>8°06′</t>
  </si>
  <si>
    <t>45°34′</t>
  </si>
  <si>
    <t>音响设备</t>
  </si>
  <si>
    <t>150～200</t>
  </si>
  <si>
    <t>0.85～1.14</t>
  </si>
  <si>
    <t>11°24′</t>
  </si>
  <si>
    <t>46°22′</t>
  </si>
  <si>
    <t>吸尘器</t>
  </si>
  <si>
    <t>400～800</t>
  </si>
  <si>
    <t>2.1～3.9</t>
  </si>
  <si>
    <t>14°04′</t>
  </si>
  <si>
    <t>47°09′</t>
  </si>
  <si>
    <t>抽油烟机</t>
  </si>
  <si>
    <t>120～200</t>
  </si>
  <si>
    <t>0.6～1.0</t>
  </si>
  <si>
    <t>16°16′</t>
  </si>
  <si>
    <t>47°56′</t>
  </si>
  <si>
    <t>排气扇</t>
  </si>
  <si>
    <t>18°12′</t>
  </si>
  <si>
    <t>48°42′</t>
  </si>
  <si>
    <t>浴霸</t>
  </si>
  <si>
    <t>2000～2500</t>
  </si>
  <si>
    <t>180°/π</t>
  </si>
  <si>
    <t>57.2957795131°</t>
  </si>
  <si>
    <t>19°57′</t>
  </si>
  <si>
    <t>49°27′</t>
  </si>
  <si>
    <t>空调器</t>
  </si>
  <si>
    <t>1000～3000</t>
  </si>
  <si>
    <t>6.5～15</t>
  </si>
  <si>
    <t>10800′/π</t>
  </si>
  <si>
    <t>3437.74677078′</t>
  </si>
  <si>
    <t>21°34′</t>
  </si>
  <si>
    <t>50°12′</t>
  </si>
  <si>
    <t>导电金属线电阻率、导电率和电阻温度系数</t>
  </si>
  <si>
    <t>648000″/π</t>
  </si>
  <si>
    <t>206264.80625″</t>
  </si>
  <si>
    <t>23°04′</t>
  </si>
  <si>
    <t>50°57′</t>
  </si>
  <si>
    <t>线材</t>
  </si>
  <si>
    <t>ρ20</t>
  </si>
  <si>
    <t>r20</t>
  </si>
  <si>
    <t>a20</t>
  </si>
  <si>
    <t>1°</t>
  </si>
  <si>
    <t>24°30′</t>
  </si>
  <si>
    <t>51°41′</t>
  </si>
  <si>
    <t>（Ω·m㎡/km)</t>
  </si>
  <si>
    <t>（km/Ω·m㎡)</t>
  </si>
  <si>
    <t>（1/℃)</t>
  </si>
  <si>
    <t>1′</t>
  </si>
  <si>
    <t>25°51′</t>
  </si>
  <si>
    <t>52°25′</t>
  </si>
  <si>
    <t>硬铝线</t>
  </si>
  <si>
    <t>1″</t>
  </si>
  <si>
    <t>27°08′</t>
  </si>
  <si>
    <t>53°08′</t>
  </si>
  <si>
    <t>软铝线</t>
  </si>
  <si>
    <t>28°21′</t>
  </si>
  <si>
    <t>53°51′</t>
  </si>
  <si>
    <t>铝合金线</t>
  </si>
  <si>
    <t>29°32′</t>
  </si>
  <si>
    <t>54°33′</t>
  </si>
  <si>
    <t>硬铜线</t>
  </si>
  <si>
    <t>30°41′</t>
  </si>
  <si>
    <t>55°15′</t>
  </si>
  <si>
    <t>软铜线</t>
  </si>
  <si>
    <t>31°47′</t>
  </si>
  <si>
    <t>55°57′</t>
  </si>
  <si>
    <t>32°52′</t>
  </si>
  <si>
    <t>56°38′</t>
  </si>
  <si>
    <t>33°54′</t>
  </si>
  <si>
    <t>57°19′</t>
  </si>
  <si>
    <t>34°55′</t>
  </si>
  <si>
    <t>58°00′</t>
  </si>
  <si>
    <t>35°54′</t>
  </si>
  <si>
    <t>58°40′</t>
  </si>
  <si>
    <t>36°52′</t>
  </si>
  <si>
    <t>59°20′</t>
  </si>
  <si>
    <t>37°49′</t>
  </si>
  <si>
    <t>60°00′</t>
  </si>
  <si>
    <t>38°44′</t>
  </si>
  <si>
    <t>63°15′</t>
  </si>
  <si>
    <t>39°39′</t>
  </si>
  <si>
    <t>66°25′</t>
  </si>
  <si>
    <t>40°32′</t>
  </si>
  <si>
    <t>69°31′</t>
  </si>
  <si>
    <t>41°25′</t>
  </si>
  <si>
    <t>72°32′</t>
  </si>
  <si>
    <t>42°16′</t>
  </si>
  <si>
    <t>75°31′</t>
  </si>
  <si>
    <t>43°07′</t>
  </si>
  <si>
    <t>78°28′</t>
  </si>
  <si>
    <t>43°57′</t>
  </si>
  <si>
    <t>D26─Cosφ型功率因数的Cosφ值与偏转角a计算表</t>
  </si>
  <si>
    <t>tga</t>
  </si>
  <si>
    <t>a</t>
  </si>
  <si>
    <t>直埋电缆安全载流（A)</t>
  </si>
  <si>
    <t>塑料绝缘软线明敷设时的安全载流量（A）</t>
  </si>
  <si>
    <t>BVV型和BLVV型熟料护套线规格、结构尺寸及参考载流量表</t>
  </si>
  <si>
    <t>双芯</t>
  </si>
  <si>
    <t>三芯</t>
  </si>
  <si>
    <t>四芯</t>
  </si>
  <si>
    <t>单根单芯</t>
  </si>
  <si>
    <t>二根单芯</t>
  </si>
  <si>
    <t>三根单芯</t>
  </si>
  <si>
    <t>线芯结构</t>
  </si>
  <si>
    <t>绝缘</t>
  </si>
  <si>
    <t>护套厚度</t>
  </si>
  <si>
    <t>最大外径</t>
  </si>
  <si>
    <t>BVV型参考载流量</t>
  </si>
  <si>
    <t>BLVV型参考载流量</t>
  </si>
  <si>
    <r>
      <rPr>
        <sz val="12"/>
        <rFont val="宋体"/>
        <charset val="134"/>
      </rPr>
      <t>（㎜</t>
    </r>
    <r>
      <rPr>
        <vertAlign val="superscript"/>
        <sz val="11"/>
        <color indexed="8"/>
        <rFont val="宋体"/>
        <charset val="134"/>
      </rPr>
      <t>2</t>
    </r>
  </si>
  <si>
    <t>铜芯</t>
  </si>
  <si>
    <t>铝芯</t>
  </si>
  <si>
    <t>直径</t>
  </si>
  <si>
    <t>层厚</t>
  </si>
  <si>
    <t>㎜</t>
  </si>
  <si>
    <t>─</t>
  </si>
  <si>
    <t>（㎜2)</t>
  </si>
  <si>
    <t>25℃</t>
  </si>
  <si>
    <t>30℃</t>
  </si>
  <si>
    <t>35℃</t>
  </si>
  <si>
    <t>40℃</t>
  </si>
  <si>
    <t>单双芯</t>
  </si>
  <si>
    <t>单芯</t>
  </si>
  <si>
    <t>RV</t>
  </si>
  <si>
    <t>4.1×6.7</t>
  </si>
  <si>
    <t>4.3×9.5</t>
  </si>
  <si>
    <t>4.4×7.2</t>
  </si>
  <si>
    <t>4.6×10.3</t>
  </si>
  <si>
    <t>4.8×7.8</t>
  </si>
  <si>
    <t>5×11.5</t>
  </si>
  <si>
    <t>RVV</t>
  </si>
  <si>
    <t>5.3×9.1</t>
  </si>
  <si>
    <t>5.5×13.1</t>
  </si>
  <si>
    <t>RVB</t>
  </si>
  <si>
    <t>6.3×10.7</t>
  </si>
  <si>
    <t>6.7×15.7</t>
  </si>
  <si>
    <t>RVS</t>
  </si>
  <si>
    <t>6.5×11.3</t>
  </si>
  <si>
    <t>6.9×16.5</t>
  </si>
  <si>
    <t>RFB</t>
  </si>
  <si>
    <t>7.9×13.6</t>
  </si>
  <si>
    <t>8.3×19.4</t>
  </si>
  <si>
    <t>RFS</t>
  </si>
  <si>
    <t>8.4×14.5</t>
  </si>
  <si>
    <t>8.8×20.7</t>
  </si>
  <si>
    <t>1kv vv vlv型无铠装聚氯乙烯护套聚乙烯绝缘电缆的安全载流量（A)</t>
  </si>
  <si>
    <t>安全载流量（A)</t>
  </si>
  <si>
    <t>二芯</t>
  </si>
  <si>
    <r>
      <rPr>
        <sz val="12"/>
        <rFont val="宋体"/>
        <charset val="134"/>
      </rPr>
      <t>（㎜</t>
    </r>
    <r>
      <rPr>
        <vertAlign val="superscript"/>
        <sz val="11"/>
        <color indexed="8"/>
        <rFont val="宋体"/>
        <charset val="134"/>
      </rPr>
      <t>2)</t>
    </r>
  </si>
  <si>
    <t>1kv vv29、 vlv29、VV30、VLV30、VV50、VLV50、VV59、VLV59、</t>
  </si>
  <si>
    <t>型无铠装聚氯乙烯护套聚乙烯绝缘电缆的安全载流量（A)</t>
  </si>
  <si>
    <t>单片铜母线的允许载流量（A)</t>
  </si>
  <si>
    <t>母线尺寸</t>
  </si>
  <si>
    <t>交流</t>
  </si>
  <si>
    <t>直流</t>
  </si>
  <si>
    <t>宽×厚㎜</t>
  </si>
  <si>
    <t>15×3</t>
  </si>
  <si>
    <t>20×3</t>
  </si>
  <si>
    <t>25×3</t>
  </si>
  <si>
    <t>30×4</t>
  </si>
  <si>
    <t>40×4</t>
  </si>
  <si>
    <t>40×5</t>
  </si>
  <si>
    <t>50×5</t>
  </si>
  <si>
    <t>50×6</t>
  </si>
  <si>
    <t>60×6</t>
  </si>
  <si>
    <t>80×6</t>
  </si>
  <si>
    <t>100×6</t>
  </si>
  <si>
    <t>60×8</t>
  </si>
  <si>
    <t>80×8</t>
  </si>
  <si>
    <t>100×8</t>
  </si>
  <si>
    <t>120×8</t>
  </si>
  <si>
    <t xml:space="preserve">   本表中系母线立放时的数据。当母线平放且宽度≦60㎜时，</t>
  </si>
  <si>
    <t xml:space="preserve">    表中数据应乘以0.95，宽度＞60㎜时应乘0.92</t>
  </si>
  <si>
    <t>扁钢允许载流量（A)</t>
  </si>
  <si>
    <t>载流量</t>
  </si>
  <si>
    <t>重量</t>
  </si>
  <si>
    <t>(Kg/m)</t>
  </si>
  <si>
    <t>40×3</t>
  </si>
  <si>
    <t>50×3</t>
  </si>
  <si>
    <t>60×3</t>
  </si>
  <si>
    <t>70×3</t>
  </si>
  <si>
    <t>75×3</t>
  </si>
  <si>
    <t>80×3</t>
  </si>
  <si>
    <t>90×3</t>
  </si>
  <si>
    <t>100×3</t>
  </si>
  <si>
    <t>20×4</t>
  </si>
  <si>
    <t>25×4</t>
  </si>
  <si>
    <t>50×4</t>
  </si>
  <si>
    <t>60×4</t>
  </si>
  <si>
    <t>70×4</t>
  </si>
  <si>
    <t>80×4</t>
  </si>
  <si>
    <t>90×4</t>
  </si>
  <si>
    <t>100×4</t>
  </si>
  <si>
    <t>25×5</t>
  </si>
  <si>
    <t>30×5</t>
  </si>
  <si>
    <t>60×5</t>
  </si>
  <si>
    <t>80×5</t>
  </si>
  <si>
    <t>100×5</t>
  </si>
  <si>
    <t>100×10</t>
  </si>
  <si>
    <t>橡皮绝缘电线明敷时的安全载流量（A）</t>
  </si>
  <si>
    <t>橡皮绝缘电线穿钢管敷设时的安全载流量（A）</t>
  </si>
  <si>
    <t>BLX、BLXF（铝芯）</t>
  </si>
  <si>
    <t>BX、BXF(铜芯）</t>
  </si>
  <si>
    <t>四根单芯</t>
  </si>
  <si>
    <t>环境温度</t>
  </si>
  <si>
    <t>管径（㎜）</t>
  </si>
  <si>
    <t>G</t>
  </si>
  <si>
    <t>DG</t>
  </si>
  <si>
    <t xml:space="preserve">BX  </t>
  </si>
  <si>
    <t>BXF</t>
  </si>
  <si>
    <t>（铜芯）</t>
  </si>
  <si>
    <t>橡皮绝缘电线穿硬塑料管时的安全载流量（A）</t>
  </si>
  <si>
    <t>聚氯乙烯绝缘电线明敷时的安全载流量（A）</t>
  </si>
  <si>
    <t>聚氯乙烯绝缘电线穿钢管敷设时的安全载流量（A）</t>
  </si>
  <si>
    <t>BLV（铝芯）</t>
  </si>
  <si>
    <t>BV、BVR(铜芯）</t>
  </si>
  <si>
    <t xml:space="preserve">BV </t>
  </si>
  <si>
    <t>聚氯乙烯绝缘电线穿硬塑料管时的安全载流量（A）</t>
  </si>
  <si>
    <t>电缆截面积</t>
  </si>
  <si>
    <t>各类电缆半径(淘宝店铺:枫启教育)</t>
  </si>
  <si>
    <t>各类电缆面积和</t>
  </si>
  <si>
    <t>各类电缆横排所需宽度</t>
  </si>
  <si>
    <t>3+1c</t>
  </si>
  <si>
    <t>3+2c</t>
  </si>
  <si>
    <t>4+1c</t>
  </si>
  <si>
    <t>3c</t>
  </si>
  <si>
    <t>4c</t>
  </si>
  <si>
    <t>5c</t>
  </si>
  <si>
    <t>电缆直径</t>
  </si>
  <si>
    <t>总的电缆面积(淘宝店铺:枫启教育)</t>
  </si>
  <si>
    <r>
      <rPr>
        <sz val="12"/>
        <rFont val="宋体"/>
        <charset val="134"/>
      </rPr>
      <t>所需桥架截面面积（</t>
    </r>
    <r>
      <rPr>
        <sz val="12"/>
        <rFont val="宋体"/>
        <charset val="134"/>
      </rPr>
      <t>40%</t>
    </r>
    <r>
      <rPr>
        <sz val="12"/>
        <rFont val="宋体"/>
        <charset val="134"/>
      </rPr>
      <t>计算）</t>
    </r>
  </si>
  <si>
    <r>
      <rPr>
        <sz val="12"/>
        <rFont val="宋体"/>
        <charset val="134"/>
      </rPr>
      <t>电缆</t>
    </r>
    <r>
      <rPr>
        <sz val="12"/>
        <rFont val="宋体"/>
        <charset val="134"/>
      </rPr>
      <t xml:space="preserve"> </t>
    </r>
    <r>
      <rPr>
        <sz val="12"/>
        <rFont val="宋体"/>
        <charset val="134"/>
      </rPr>
      <t>横排所需总宽度</t>
    </r>
    <r>
      <rPr>
        <sz val="12"/>
        <rFont val="宋体"/>
        <charset val="134"/>
      </rPr>
      <t>(</t>
    </r>
    <r>
      <rPr>
        <sz val="12"/>
        <rFont val="宋体"/>
        <charset val="134"/>
      </rPr>
      <t>注：电缆是相邻紧贴排列</t>
    </r>
    <r>
      <rPr>
        <sz val="12"/>
        <rFont val="宋体"/>
        <charset val="134"/>
      </rPr>
      <t>)</t>
    </r>
  </si>
  <si>
    <t xml:space="preserve"> 金属电缆桥架容量 (淘宝店铺:枫启教育)                  </t>
  </si>
  <si>
    <t xml:space="preserve">型 号           </t>
  </si>
  <si>
    <t>规 格</t>
  </si>
  <si>
    <t>富裕量</t>
  </si>
  <si>
    <t xml:space="preserve">XQJ-C-A1       </t>
  </si>
  <si>
    <r>
      <rPr>
        <sz val="12"/>
        <rFont val="宋体"/>
        <charset val="134"/>
      </rPr>
      <t xml:space="preserve">  60*30</t>
    </r>
    <r>
      <rPr>
        <sz val="12"/>
        <rFont val="宋体"/>
        <charset val="134"/>
      </rPr>
      <t xml:space="preserve">   </t>
    </r>
  </si>
  <si>
    <t xml:space="preserve">  (能容纳30条双绞线)30%</t>
  </si>
  <si>
    <t xml:space="preserve">XQJ-C-1A2     </t>
  </si>
  <si>
    <t xml:space="preserve">        75*35      </t>
  </si>
  <si>
    <t xml:space="preserve">  (能容纳50条双绞线)30% </t>
  </si>
  <si>
    <t xml:space="preserve">XQJ-C-1A3     </t>
  </si>
  <si>
    <t xml:space="preserve">        100*50     </t>
  </si>
  <si>
    <t xml:space="preserve">  (能容纳60条双绞线)30% </t>
  </si>
  <si>
    <t xml:space="preserve">XQJ-C-1A4     </t>
  </si>
  <si>
    <t xml:space="preserve">        150*75     </t>
  </si>
  <si>
    <t xml:space="preserve">  (能容纳100条双绞线)30%  </t>
  </si>
  <si>
    <t xml:space="preserve">XQJ-C-1A5     </t>
  </si>
  <si>
    <t xml:space="preserve">        200*100    </t>
  </si>
  <si>
    <t xml:space="preserve">  (能容纳180条双绞线)30% </t>
  </si>
  <si>
    <t xml:space="preserve">XQJ-C-1A6     </t>
  </si>
  <si>
    <t xml:space="preserve">    250*125   </t>
  </si>
  <si>
    <t xml:space="preserve">  (能容纳230条双绞线)30% </t>
  </si>
  <si>
    <t xml:space="preserve">XQJ-C-1A7     </t>
  </si>
  <si>
    <t xml:space="preserve">        300*100      </t>
  </si>
  <si>
    <t xml:space="preserve">  (能容纳280条双绞线)30% </t>
  </si>
  <si>
    <t xml:space="preserve">XQJ-C-1A8     </t>
  </si>
  <si>
    <t xml:space="preserve">    300*150   </t>
  </si>
  <si>
    <t xml:space="preserve">  (能容纳330条双绞线)30% </t>
  </si>
  <si>
    <t xml:space="preserve">XQJ-C-1A9         </t>
  </si>
  <si>
    <r>
      <rPr>
        <sz val="12"/>
        <rFont val="宋体"/>
        <charset val="134"/>
      </rPr>
      <t xml:space="preserve">   </t>
    </r>
    <r>
      <rPr>
        <sz val="12"/>
        <rFont val="宋体"/>
        <charset val="134"/>
      </rPr>
      <t xml:space="preserve">400*100        </t>
    </r>
  </si>
  <si>
    <t xml:space="preserve">  (能容纳380条双绞线)30%             </t>
  </si>
  <si>
    <t xml:space="preserve">PVC圆管容量 (淘宝店铺:枫启教育)                 </t>
  </si>
  <si>
    <t xml:space="preserve">规 格            </t>
  </si>
  <si>
    <t xml:space="preserve">15mm      （能容纳1-2条双绞线） 30%       </t>
  </si>
  <si>
    <t xml:space="preserve">20mm       (能容纳2-3条双绞线)  30%       </t>
  </si>
  <si>
    <t xml:space="preserve">25mm       (能容纳4-5条双绞线)  30%       </t>
  </si>
  <si>
    <t xml:space="preserve">32mm       (能容纳5-6条双绞线)  30%       </t>
  </si>
  <si>
    <t xml:space="preserve">100mm     （容纳67-80条双绞线） 30%  </t>
  </si>
  <si>
    <t xml:space="preserve">40mm      (能容纳7-11条双绞线)   30% </t>
  </si>
  <si>
    <t xml:space="preserve">50mm      (能容纳12-14条双绞线)  30% </t>
  </si>
  <si>
    <t>65mm     （容纳17-42条双绞线)    30%</t>
  </si>
  <si>
    <t xml:space="preserve"> 80mm     （容纳49-66条双绞线）   30%</t>
  </si>
  <si>
    <t>https://item.taobao.com/item.htm?spm=a1z10.1-c.w137644-22246039121.26.7dc12e37ZmLaY2&amp;id=618934354185</t>
  </si>
  <si>
    <t xml:space="preserve">PVC线槽容量(淘宝店铺:枫启教育)                   </t>
  </si>
  <si>
    <t xml:space="preserve">规 格               富裕量                         规 格              富余量 </t>
  </si>
  <si>
    <t>20*13        (能容纳2条双绞线) 30%                80*50         (能容纳50条双绞线) 30%</t>
  </si>
  <si>
    <t>25*13         (能容纳3条双绞线) 30%                100*50        (能容纳60条双绞线) 30%</t>
  </si>
  <si>
    <t>30*17         (能容纳6条双绞线) 30%                100*80        (能容纳80条双绞线) 30%</t>
  </si>
  <si>
    <t xml:space="preserve">40*25         (能容纳10条双绞线) 30%               120*50        (能容纳90条双绞线) 30%  </t>
  </si>
  <si>
    <t xml:space="preserve">50*27         (能容纳15条双绞线) 30%               120*80        (能容纳100条双绞线) 30% </t>
  </si>
  <si>
    <t xml:space="preserve">60*30         (能容纳22条双绞线) 30%               200*160       (能容纳200条双绞线) 30% </t>
  </si>
  <si>
    <t>电容器装置继电保护整定计算</t>
  </si>
  <si>
    <t>二、电容器组内部故障保护</t>
  </si>
  <si>
    <t>1. 开口三角电压保护\电压差动不平衡保护（单星形接线）</t>
  </si>
  <si>
    <t>1.1 用熔断器的电容器组不平衡保护计算</t>
  </si>
  <si>
    <t>电容器组的额定相电压Unph：</t>
  </si>
  <si>
    <t>电压互感器变比Ny：</t>
  </si>
  <si>
    <t>每相电容器并联台数M：</t>
  </si>
  <si>
    <t>每相电容器的串联段数N：</t>
  </si>
  <si>
    <t>允许过电压倍数Kv：</t>
  </si>
  <si>
    <t>因故障而切除的电容器台数K'(计算值）：</t>
  </si>
  <si>
    <t>因故障而切除的电容器台数K：</t>
  </si>
  <si>
    <t>灵敏系数Ksen：</t>
  </si>
  <si>
    <t>不平衡电压Uk：</t>
  </si>
  <si>
    <t>动作电压Udz：</t>
  </si>
  <si>
    <t>1.2 无熔断器无内熔丝电容器组不平衡保护计算</t>
  </si>
  <si>
    <t>单台电容器内部串联段数S：</t>
  </si>
  <si>
    <t>单台电容器内部元件击穿百分数β：</t>
  </si>
  <si>
    <t>1.3 内熔丝电容器组不平衡保护计算</t>
  </si>
  <si>
    <t>单元中并联元件数m：</t>
  </si>
  <si>
    <t>单元中串联元件数n：</t>
  </si>
  <si>
    <t>一串联段中切除元件数K'：(计算值）</t>
  </si>
  <si>
    <t>一串联段中切除元件数K：</t>
  </si>
  <si>
    <t>皮带与皮带上工件的总质量m1</t>
  </si>
  <si>
    <t>工件</t>
  </si>
  <si>
    <t>皮带</t>
  </si>
  <si>
    <t>单位KG</t>
  </si>
  <si>
    <t>工件与皮带间的摩擦系数u</t>
  </si>
  <si>
    <t>主动轮及被动轮直径D</t>
  </si>
  <si>
    <t>半径r</t>
  </si>
  <si>
    <t>主动轮及从动轮总质量Ｍ２</t>
  </si>
  <si>
    <t>皮带输送系统效率Q</t>
  </si>
  <si>
    <t>要求皮带速度V</t>
  </si>
  <si>
    <t>m/s(1+0.1)</t>
  </si>
  <si>
    <t>电机电源</t>
  </si>
  <si>
    <t>单相220V50HZ</t>
  </si>
  <si>
    <t>工作时间</t>
  </si>
  <si>
    <t>每天8h</t>
  </si>
  <si>
    <t>计算减速机输出n1</t>
  </si>
  <si>
    <t>n1=V*60/3.14D</t>
  </si>
  <si>
    <t>所选电机额定转速N2</t>
  </si>
  <si>
    <t>所需减速机减速比I</t>
  </si>
  <si>
    <t>i=n1/n2</t>
  </si>
  <si>
    <t>水平负载功率P2</t>
  </si>
  <si>
    <t>P2=umgv</t>
  </si>
  <si>
    <t>计算皮带实际牵引力F</t>
  </si>
  <si>
    <t>F=um1g</t>
  </si>
  <si>
    <t>计算负载扭矩Tl</t>
  </si>
  <si>
    <t>计算电机所需要的最低输出扭矩Tm</t>
  </si>
  <si>
    <t>Tm=Tl/iY</t>
  </si>
  <si>
    <t>减速机传动效率Y</t>
  </si>
  <si>
    <t>安全启动扭矩Ta</t>
  </si>
  <si>
    <t>考虑安全余量和电压波动通常按2倍算</t>
  </si>
  <si>
    <t>Ta=Tm*2</t>
  </si>
  <si>
    <t>或根据负荷因数计算Tb</t>
  </si>
  <si>
    <t>请冲击负荷</t>
  </si>
  <si>
    <t>实际负载转动惯量Ia</t>
  </si>
  <si>
    <t>kg*m*m</t>
  </si>
  <si>
    <t>1/减速比</t>
  </si>
  <si>
    <t>电机轴换算负载转动惯量Ib</t>
  </si>
  <si>
    <t>启动停止次数</t>
  </si>
  <si>
    <t>每天</t>
  </si>
  <si>
    <t>修正系数</t>
  </si>
  <si>
    <t>修正后电机轴负载转动惯量Ic</t>
  </si>
  <si>
    <t>链传动</t>
  </si>
  <si>
    <t>功率N</t>
  </si>
  <si>
    <t>辊筒面的牵引力Fn</t>
  </si>
  <si>
    <t>牵引力Pn</t>
  </si>
  <si>
    <t>辊子直径Dr</t>
  </si>
  <si>
    <t>Ds/Dr</t>
  </si>
  <si>
    <t>辊子链轮节圆直径Ds</t>
  </si>
  <si>
    <t>每个辊子上物件重力Wr</t>
  </si>
  <si>
    <t>一个链条环链条重力We</t>
  </si>
  <si>
    <t>链条长476.25</t>
  </si>
  <si>
    <t>节数30</t>
  </si>
  <si>
    <t>节距</t>
  </si>
  <si>
    <t>输送机每m内的从动棍子数a</t>
  </si>
  <si>
    <t>4节重0.035KG</t>
  </si>
  <si>
    <t>传动棍子单件重力Rd</t>
  </si>
  <si>
    <t>从动棍子单件重力Ri</t>
  </si>
  <si>
    <t>线速度V</t>
  </si>
  <si>
    <t>传动总效率η</t>
  </si>
  <si>
    <t>电机余量系数K</t>
  </si>
  <si>
    <t>摩擦系数f</t>
  </si>
  <si>
    <t>每个动力辊筒驱动重力 W</t>
  </si>
  <si>
    <t>输送机总长L</t>
  </si>
  <si>
    <t>Q(淘宝店铺:枫启教育)</t>
  </si>
  <si>
    <t>一、 原始参数(淘宝店铺:枫启教育)</t>
  </si>
  <si>
    <t>1.运输物料</t>
  </si>
  <si>
    <t>原煤；</t>
  </si>
  <si>
    <t>松散密度</t>
  </si>
  <si>
    <t xml:space="preserve"> γ=</t>
  </si>
  <si>
    <r>
      <rPr>
        <sz val="10"/>
        <rFont val="宋体"/>
        <charset val="134"/>
      </rPr>
      <t>kg/m</t>
    </r>
    <r>
      <rPr>
        <vertAlign val="superscript"/>
        <sz val="10"/>
        <rFont val="宋体"/>
        <charset val="134"/>
      </rPr>
      <t>3</t>
    </r>
  </si>
  <si>
    <t>2.运输能力</t>
  </si>
  <si>
    <t>Q=</t>
  </si>
  <si>
    <t>3.水平运输距离</t>
  </si>
  <si>
    <t>4.胶带倾角</t>
  </si>
  <si>
    <t>β=</t>
  </si>
  <si>
    <t>°      =</t>
  </si>
  <si>
    <t>5.胶带速度</t>
  </si>
  <si>
    <t>ν=</t>
  </si>
  <si>
    <t>6.提升高度</t>
  </si>
  <si>
    <t>H=</t>
  </si>
  <si>
    <t>L×tgβ</t>
  </si>
  <si>
    <t>二、 自定义参数(淘宝店铺:枫启教育)</t>
  </si>
  <si>
    <t>1. 输送机种类</t>
  </si>
  <si>
    <t>2. 胶带宽度</t>
  </si>
  <si>
    <t>mm      =</t>
  </si>
  <si>
    <t>3. 初选胶带</t>
  </si>
  <si>
    <t>尼龙胶带σ=</t>
  </si>
  <si>
    <t>N/mm</t>
  </si>
  <si>
    <t>，共有</t>
  </si>
  <si>
    <t>层</t>
  </si>
  <si>
    <t>上覆盖胶厚度=</t>
  </si>
  <si>
    <t xml:space="preserve">mm        </t>
  </si>
  <si>
    <t>下覆盖胶厚度=</t>
  </si>
  <si>
    <t>4. 输送机理论运量     Q=</t>
  </si>
  <si>
    <t>3.6Sνkγ</t>
  </si>
  <si>
    <t>S—输送带上物料最大截面积；</t>
  </si>
  <si>
    <r>
      <rPr>
        <sz val="10"/>
        <rFont val="宋体"/>
        <charset val="134"/>
      </rPr>
      <t>m</t>
    </r>
    <r>
      <rPr>
        <vertAlign val="superscript"/>
        <sz val="10"/>
        <rFont val="宋体"/>
        <charset val="134"/>
      </rPr>
      <t>2</t>
    </r>
  </si>
  <si>
    <t>k—倾斜输送机面积折减系数；</t>
  </si>
  <si>
    <t>k=</t>
  </si>
  <si>
    <t>带速v</t>
  </si>
  <si>
    <t>松散密度γ</t>
  </si>
  <si>
    <t xml:space="preserve"> Q=</t>
  </si>
  <si>
    <t>5.每米机长胶带质量    q0=</t>
  </si>
  <si>
    <t>kg/m</t>
  </si>
  <si>
    <t>6.每米机长物料质量     q=</t>
  </si>
  <si>
    <t>Q/3.6ν</t>
  </si>
  <si>
    <t>运输能力Q</t>
  </si>
  <si>
    <t>7.滚筒组(淘宝店铺:枫启教育)</t>
  </si>
  <si>
    <t>（1）头部传动滚筒</t>
  </si>
  <si>
    <t>D≥</t>
  </si>
  <si>
    <t>Cod</t>
  </si>
  <si>
    <t>绳芯厚度d=</t>
  </si>
  <si>
    <t>Co=</t>
  </si>
  <si>
    <t>传动滚筒直径D=</t>
  </si>
  <si>
    <t>（2）尾部及主要改向滚筒直径           =Φ</t>
  </si>
  <si>
    <t>8.托辊组</t>
  </si>
  <si>
    <t xml:space="preserve">⑴ 重载段采用35°槽角托辊组，   </t>
  </si>
  <si>
    <t>辊子直径=Φ</t>
  </si>
  <si>
    <t>辊子轴承型号</t>
  </si>
  <si>
    <t>4G305</t>
  </si>
  <si>
    <t>,</t>
  </si>
  <si>
    <t>辊子轴径Φ</t>
  </si>
  <si>
    <t>mm，</t>
  </si>
  <si>
    <r>
      <rPr>
        <sz val="10"/>
        <rFont val="宋体"/>
        <charset val="134"/>
      </rPr>
      <t>查表单个上辊转动部分质量q</t>
    </r>
    <r>
      <rPr>
        <vertAlign val="subscript"/>
        <sz val="10"/>
        <rFont val="宋体"/>
        <charset val="134"/>
      </rPr>
      <t>r0</t>
    </r>
    <r>
      <rPr>
        <vertAlign val="superscript"/>
        <sz val="10"/>
        <rFont val="宋体"/>
        <charset val="134"/>
      </rPr>
      <t>'</t>
    </r>
    <r>
      <rPr>
        <sz val="10"/>
        <rFont val="宋体"/>
        <charset val="134"/>
      </rPr>
      <t>=</t>
    </r>
  </si>
  <si>
    <t>kg,     n=</t>
  </si>
  <si>
    <r>
      <rPr>
        <sz val="10"/>
        <rFont val="宋体"/>
        <charset val="134"/>
      </rPr>
      <t>a</t>
    </r>
    <r>
      <rPr>
        <vertAlign val="subscript"/>
        <sz val="10"/>
        <rFont val="宋体"/>
        <charset val="134"/>
      </rPr>
      <t>0</t>
    </r>
    <r>
      <rPr>
        <sz val="10"/>
        <rFont val="宋体"/>
        <charset val="134"/>
      </rPr>
      <t>--上托辊组间距；  a</t>
    </r>
    <r>
      <rPr>
        <vertAlign val="subscript"/>
        <sz val="10"/>
        <rFont val="宋体"/>
        <charset val="134"/>
      </rPr>
      <t>0</t>
    </r>
    <r>
      <rPr>
        <sz val="10"/>
        <rFont val="宋体"/>
        <charset val="134"/>
      </rPr>
      <t xml:space="preserve"> =</t>
    </r>
  </si>
  <si>
    <r>
      <rPr>
        <sz val="10"/>
        <rFont val="宋体"/>
        <charset val="134"/>
      </rPr>
      <t>q</t>
    </r>
    <r>
      <rPr>
        <vertAlign val="subscript"/>
        <sz val="10"/>
        <rFont val="宋体"/>
        <charset val="134"/>
      </rPr>
      <t>r0</t>
    </r>
    <r>
      <rPr>
        <sz val="10"/>
        <rFont val="宋体"/>
        <charset val="134"/>
      </rPr>
      <t>=</t>
    </r>
  </si>
  <si>
    <r>
      <rPr>
        <sz val="10"/>
        <rFont val="宋体"/>
        <charset val="134"/>
      </rPr>
      <t>nq</t>
    </r>
    <r>
      <rPr>
        <vertAlign val="subscript"/>
        <sz val="10"/>
        <rFont val="宋体"/>
        <charset val="134"/>
      </rPr>
      <t>r0</t>
    </r>
    <r>
      <rPr>
        <vertAlign val="superscript"/>
        <sz val="10"/>
        <rFont val="宋体"/>
        <charset val="134"/>
      </rPr>
      <t>'</t>
    </r>
    <r>
      <rPr>
        <sz val="10"/>
        <rFont val="宋体"/>
        <charset val="134"/>
      </rPr>
      <t>/a</t>
    </r>
    <r>
      <rPr>
        <vertAlign val="subscript"/>
        <sz val="10"/>
        <rFont val="宋体"/>
        <charset val="134"/>
      </rPr>
      <t>0</t>
    </r>
    <r>
      <rPr>
        <sz val="10"/>
        <rFont val="宋体"/>
        <charset val="134"/>
      </rPr>
      <t>=</t>
    </r>
  </si>
  <si>
    <t xml:space="preserve">   每米机长上辊子旋转部分质量  q1=</t>
  </si>
  <si>
    <t>⑵ 空载段采用普通V型下托辊组</t>
  </si>
  <si>
    <r>
      <rPr>
        <sz val="10"/>
        <rFont val="宋体"/>
        <charset val="134"/>
      </rPr>
      <t>查表单个下辊转动部分质量q</t>
    </r>
    <r>
      <rPr>
        <vertAlign val="subscript"/>
        <sz val="10"/>
        <rFont val="宋体"/>
        <charset val="134"/>
      </rPr>
      <t>r0</t>
    </r>
    <r>
      <rPr>
        <vertAlign val="superscript"/>
        <sz val="10"/>
        <rFont val="宋体"/>
        <charset val="134"/>
      </rPr>
      <t>'</t>
    </r>
    <r>
      <rPr>
        <sz val="10"/>
        <rFont val="宋体"/>
        <charset val="134"/>
      </rPr>
      <t>=</t>
    </r>
  </si>
  <si>
    <r>
      <rPr>
        <sz val="10"/>
        <rFont val="宋体"/>
        <charset val="134"/>
      </rPr>
      <t>a</t>
    </r>
    <r>
      <rPr>
        <vertAlign val="subscript"/>
        <sz val="10"/>
        <rFont val="宋体"/>
        <charset val="134"/>
      </rPr>
      <t>0</t>
    </r>
    <r>
      <rPr>
        <sz val="10"/>
        <rFont val="宋体"/>
        <charset val="134"/>
      </rPr>
      <t>--上托辊组间距；a</t>
    </r>
    <r>
      <rPr>
        <vertAlign val="subscript"/>
        <sz val="10"/>
        <rFont val="宋体"/>
        <charset val="134"/>
      </rPr>
      <t>u</t>
    </r>
    <r>
      <rPr>
        <sz val="10"/>
        <rFont val="宋体"/>
        <charset val="134"/>
      </rPr>
      <t xml:space="preserve"> =</t>
    </r>
  </si>
  <si>
    <r>
      <rPr>
        <sz val="10"/>
        <rFont val="宋体"/>
        <charset val="134"/>
      </rPr>
      <t>nq</t>
    </r>
    <r>
      <rPr>
        <vertAlign val="subscript"/>
        <sz val="10"/>
        <rFont val="宋体"/>
        <charset val="134"/>
      </rPr>
      <t>r0</t>
    </r>
    <r>
      <rPr>
        <vertAlign val="superscript"/>
        <sz val="10"/>
        <rFont val="宋体"/>
        <charset val="134"/>
      </rPr>
      <t>'</t>
    </r>
    <r>
      <rPr>
        <sz val="10"/>
        <rFont val="宋体"/>
        <charset val="134"/>
      </rPr>
      <t>/a</t>
    </r>
    <r>
      <rPr>
        <vertAlign val="subscript"/>
        <sz val="10"/>
        <rFont val="宋体"/>
        <charset val="134"/>
      </rPr>
      <t>u</t>
    </r>
    <r>
      <rPr>
        <sz val="10"/>
        <rFont val="宋体"/>
        <charset val="134"/>
      </rPr>
      <t>=</t>
    </r>
  </si>
  <si>
    <t xml:space="preserve">   每米机长下辊子旋转部分质量  q2=</t>
  </si>
  <si>
    <t>⑶ 辊子旋转转速      n=</t>
  </si>
  <si>
    <t>30×ν/（3.14×r）</t>
  </si>
  <si>
    <t>辊子半径r</t>
  </si>
  <si>
    <t>⒑ 上下胶带模拟阻力系数        ω=</t>
  </si>
  <si>
    <t>⒒ 胶带与传动滚筒之间的摩擦系数 μ=</t>
  </si>
  <si>
    <t>⒓ 拉紧方式垂直重锤拉紧，拉紧位置至头部距离     L1=</t>
  </si>
  <si>
    <t>⒔ 清扫方式头部布置H型合金橡胶清扫器，尾部布置角型硬质合金清扫器</t>
  </si>
  <si>
    <t>⒕ 导料板长度          l=</t>
  </si>
  <si>
    <r>
      <rPr>
        <sz val="10"/>
        <rFont val="宋体"/>
        <charset val="134"/>
      </rPr>
      <t>三、</t>
    </r>
    <r>
      <rPr>
        <sz val="10"/>
        <rFont val="Times New Roman"/>
        <charset val="134"/>
      </rPr>
      <t xml:space="preserve"> </t>
    </r>
    <r>
      <rPr>
        <sz val="10"/>
        <rFont val="宋体"/>
        <charset val="134"/>
      </rPr>
      <t>输送机布置型式</t>
    </r>
  </si>
  <si>
    <t xml:space="preserve">    头部为单滚筒单电机驱动</t>
  </si>
  <si>
    <t>四、输送机阻力计算(淘宝店铺:枫启教育)</t>
  </si>
  <si>
    <t>⒈ 胶带及物料产生的运行阻力</t>
  </si>
  <si>
    <r>
      <rPr>
        <sz val="10"/>
        <rFont val="宋体"/>
        <charset val="134"/>
      </rPr>
      <t>F</t>
    </r>
    <r>
      <rPr>
        <vertAlign val="subscript"/>
        <sz val="10"/>
        <rFont val="宋体"/>
        <charset val="134"/>
      </rPr>
      <t>1</t>
    </r>
    <r>
      <rPr>
        <sz val="10"/>
        <rFont val="宋体"/>
        <charset val="134"/>
      </rPr>
      <t>=</t>
    </r>
  </si>
  <si>
    <r>
      <rPr>
        <sz val="10"/>
        <rFont val="宋体"/>
        <charset val="134"/>
      </rPr>
      <t>Lωg(2q</t>
    </r>
    <r>
      <rPr>
        <vertAlign val="subscript"/>
        <sz val="10"/>
        <rFont val="宋体"/>
        <charset val="134"/>
      </rPr>
      <t>0</t>
    </r>
    <r>
      <rPr>
        <sz val="10"/>
        <rFont val="宋体"/>
        <charset val="134"/>
      </rPr>
      <t>+q+q</t>
    </r>
    <r>
      <rPr>
        <vertAlign val="subscript"/>
        <sz val="10"/>
        <rFont val="宋体"/>
        <charset val="134"/>
      </rPr>
      <t>1</t>
    </r>
    <r>
      <rPr>
        <sz val="10"/>
        <rFont val="宋体"/>
        <charset val="134"/>
      </rPr>
      <t>+q</t>
    </r>
    <r>
      <rPr>
        <vertAlign val="subscript"/>
        <sz val="10"/>
        <rFont val="宋体"/>
        <charset val="134"/>
      </rPr>
      <t>2</t>
    </r>
    <r>
      <rPr>
        <sz val="10"/>
        <rFont val="宋体"/>
        <charset val="134"/>
      </rPr>
      <t>)</t>
    </r>
  </si>
  <si>
    <r>
      <rPr>
        <sz val="10"/>
        <rFont val="宋体"/>
        <charset val="134"/>
      </rPr>
      <t>q</t>
    </r>
    <r>
      <rPr>
        <vertAlign val="subscript"/>
        <sz val="10"/>
        <rFont val="宋体"/>
        <charset val="134"/>
      </rPr>
      <t>0</t>
    </r>
  </si>
  <si>
    <r>
      <rPr>
        <sz val="10"/>
        <rFont val="宋体"/>
        <charset val="134"/>
      </rPr>
      <t>q</t>
    </r>
    <r>
      <rPr>
        <vertAlign val="subscript"/>
        <sz val="10"/>
        <rFont val="宋体"/>
        <charset val="134"/>
      </rPr>
      <t>1</t>
    </r>
  </si>
  <si>
    <r>
      <rPr>
        <sz val="10"/>
        <rFont val="宋体"/>
        <charset val="134"/>
      </rPr>
      <t>q</t>
    </r>
    <r>
      <rPr>
        <vertAlign val="subscript"/>
        <sz val="10"/>
        <rFont val="宋体"/>
        <charset val="134"/>
      </rPr>
      <t>2</t>
    </r>
  </si>
  <si>
    <t>ω</t>
  </si>
  <si>
    <t>g</t>
  </si>
  <si>
    <t>⒉ 物料提升阻力(淘宝店铺:枫启教育)</t>
  </si>
  <si>
    <r>
      <rPr>
        <sz val="10"/>
        <rFont val="宋体"/>
        <charset val="134"/>
      </rPr>
      <t>F</t>
    </r>
    <r>
      <rPr>
        <vertAlign val="subscript"/>
        <sz val="10"/>
        <rFont val="宋体"/>
        <charset val="134"/>
      </rPr>
      <t>2</t>
    </r>
    <r>
      <rPr>
        <sz val="10"/>
        <rFont val="宋体"/>
        <charset val="134"/>
      </rPr>
      <t>=</t>
    </r>
  </si>
  <si>
    <t>Hqg</t>
  </si>
  <si>
    <t>H</t>
  </si>
  <si>
    <t>⒊ 头部清扫器对胶带阻力</t>
  </si>
  <si>
    <r>
      <rPr>
        <sz val="10"/>
        <rFont val="宋体"/>
        <charset val="134"/>
      </rPr>
      <t>F</t>
    </r>
    <r>
      <rPr>
        <vertAlign val="subscript"/>
        <sz val="10"/>
        <rFont val="宋体"/>
        <charset val="134"/>
      </rPr>
      <t>3</t>
    </r>
    <r>
      <rPr>
        <sz val="10"/>
        <rFont val="宋体"/>
        <charset val="134"/>
      </rPr>
      <t>=</t>
    </r>
  </si>
  <si>
    <r>
      <rPr>
        <sz val="10"/>
        <rFont val="宋体"/>
        <charset val="134"/>
      </rPr>
      <t>2APμ</t>
    </r>
    <r>
      <rPr>
        <vertAlign val="subscript"/>
        <sz val="10"/>
        <rFont val="宋体"/>
        <charset val="134"/>
      </rPr>
      <t>3</t>
    </r>
  </si>
  <si>
    <t>A—清扫器与胶带接触面积；</t>
  </si>
  <si>
    <t>0.01×B</t>
  </si>
  <si>
    <t>P—清扫器与胶带之间的压力；</t>
  </si>
  <si>
    <t>P=</t>
  </si>
  <si>
    <r>
      <rPr>
        <sz val="10"/>
        <rFont val="宋体"/>
        <charset val="134"/>
      </rPr>
      <t>N/m</t>
    </r>
    <r>
      <rPr>
        <vertAlign val="superscript"/>
        <sz val="10"/>
        <rFont val="宋体"/>
        <charset val="134"/>
      </rPr>
      <t>2</t>
    </r>
  </si>
  <si>
    <r>
      <rPr>
        <sz val="10"/>
        <rFont val="宋体"/>
        <charset val="134"/>
      </rPr>
      <t>μ</t>
    </r>
    <r>
      <rPr>
        <vertAlign val="subscript"/>
        <sz val="10"/>
        <rFont val="宋体"/>
        <charset val="134"/>
      </rPr>
      <t>3</t>
    </r>
    <r>
      <rPr>
        <sz val="10"/>
        <rFont val="宋体"/>
        <charset val="134"/>
      </rPr>
      <t>—清扫器与胶带之间的摩擦系数；</t>
    </r>
  </si>
  <si>
    <r>
      <rPr>
        <sz val="10"/>
        <rFont val="宋体"/>
        <charset val="134"/>
      </rPr>
      <t>μ</t>
    </r>
    <r>
      <rPr>
        <vertAlign val="subscript"/>
        <sz val="10"/>
        <rFont val="宋体"/>
        <charset val="134"/>
      </rPr>
      <t>3</t>
    </r>
    <r>
      <rPr>
        <sz val="10"/>
        <rFont val="宋体"/>
        <charset val="134"/>
      </rPr>
      <t>=</t>
    </r>
  </si>
  <si>
    <t>⒋ 尾部清扫器对胶带阻力(淘宝店铺:枫启教育)</t>
  </si>
  <si>
    <r>
      <rPr>
        <sz val="10"/>
        <rFont val="宋体"/>
        <charset val="134"/>
      </rPr>
      <t>F</t>
    </r>
    <r>
      <rPr>
        <vertAlign val="subscript"/>
        <sz val="10"/>
        <rFont val="宋体"/>
        <charset val="134"/>
      </rPr>
      <t>4</t>
    </r>
    <r>
      <rPr>
        <sz val="10"/>
        <rFont val="宋体"/>
        <charset val="134"/>
      </rPr>
      <t>=</t>
    </r>
  </si>
  <si>
    <t>20Bg</t>
  </si>
  <si>
    <t>⒌ 托辊前倾阻力</t>
  </si>
  <si>
    <r>
      <rPr>
        <sz val="10"/>
        <rFont val="宋体"/>
        <charset val="134"/>
      </rPr>
      <t>F</t>
    </r>
    <r>
      <rPr>
        <vertAlign val="subscript"/>
        <sz val="10"/>
        <rFont val="宋体"/>
        <charset val="134"/>
      </rPr>
      <t>5</t>
    </r>
    <r>
      <rPr>
        <sz val="10"/>
        <rFont val="宋体"/>
        <charset val="134"/>
      </rPr>
      <t>=</t>
    </r>
  </si>
  <si>
    <r>
      <rPr>
        <sz val="10"/>
        <rFont val="宋体"/>
        <charset val="134"/>
      </rPr>
      <t>C</t>
    </r>
    <r>
      <rPr>
        <vertAlign val="subscript"/>
        <sz val="10"/>
        <rFont val="宋体"/>
        <charset val="134"/>
      </rPr>
      <t>ε</t>
    </r>
    <r>
      <rPr>
        <sz val="10"/>
        <rFont val="宋体"/>
        <charset val="134"/>
      </rPr>
      <t>L</t>
    </r>
    <r>
      <rPr>
        <vertAlign val="subscript"/>
        <sz val="10"/>
        <rFont val="宋体"/>
        <charset val="134"/>
      </rPr>
      <t>e</t>
    </r>
    <r>
      <rPr>
        <sz val="10"/>
        <rFont val="宋体"/>
        <charset val="134"/>
      </rPr>
      <t>μ</t>
    </r>
    <r>
      <rPr>
        <vertAlign val="subscript"/>
        <sz val="10"/>
        <rFont val="宋体"/>
        <charset val="134"/>
      </rPr>
      <t>0</t>
    </r>
    <r>
      <rPr>
        <sz val="10"/>
        <rFont val="宋体"/>
        <charset val="134"/>
      </rPr>
      <t>(q+q</t>
    </r>
    <r>
      <rPr>
        <vertAlign val="subscript"/>
        <sz val="10"/>
        <rFont val="宋体"/>
        <charset val="134"/>
      </rPr>
      <t>0</t>
    </r>
    <r>
      <rPr>
        <sz val="10"/>
        <rFont val="宋体"/>
        <charset val="134"/>
      </rPr>
      <t>)gcosβsinε</t>
    </r>
  </si>
  <si>
    <r>
      <rPr>
        <sz val="10"/>
        <rFont val="宋体"/>
        <charset val="134"/>
      </rPr>
      <t>C</t>
    </r>
    <r>
      <rPr>
        <vertAlign val="subscript"/>
        <sz val="10"/>
        <rFont val="宋体"/>
        <charset val="134"/>
      </rPr>
      <t>ε</t>
    </r>
    <r>
      <rPr>
        <sz val="10"/>
        <rFont val="宋体"/>
        <charset val="134"/>
      </rPr>
      <t>—槽形系数；</t>
    </r>
  </si>
  <si>
    <r>
      <rPr>
        <sz val="10"/>
        <rFont val="宋体"/>
        <charset val="134"/>
      </rPr>
      <t>C</t>
    </r>
    <r>
      <rPr>
        <vertAlign val="subscript"/>
        <sz val="10"/>
        <rFont val="宋体"/>
        <charset val="134"/>
      </rPr>
      <t>ε</t>
    </r>
    <r>
      <rPr>
        <sz val="10"/>
        <rFont val="宋体"/>
        <charset val="134"/>
      </rPr>
      <t>=</t>
    </r>
  </si>
  <si>
    <r>
      <rPr>
        <sz val="10"/>
        <rFont val="宋体"/>
        <charset val="134"/>
      </rPr>
      <t>μ</t>
    </r>
    <r>
      <rPr>
        <vertAlign val="subscript"/>
        <sz val="10"/>
        <rFont val="宋体"/>
        <charset val="134"/>
      </rPr>
      <t>0</t>
    </r>
  </si>
  <si>
    <r>
      <rPr>
        <sz val="10"/>
        <rFont val="宋体"/>
        <charset val="134"/>
      </rPr>
      <t>L</t>
    </r>
    <r>
      <rPr>
        <vertAlign val="subscript"/>
        <sz val="10"/>
        <rFont val="宋体"/>
        <charset val="134"/>
      </rPr>
      <t>e</t>
    </r>
    <r>
      <rPr>
        <sz val="10"/>
        <rFont val="宋体"/>
        <charset val="134"/>
      </rPr>
      <t>—装前倾托辊设备长；</t>
    </r>
  </si>
  <si>
    <r>
      <rPr>
        <sz val="10"/>
        <rFont val="宋体"/>
        <charset val="134"/>
      </rPr>
      <t>L</t>
    </r>
    <r>
      <rPr>
        <vertAlign val="subscript"/>
        <sz val="10"/>
        <rFont val="宋体"/>
        <charset val="134"/>
      </rPr>
      <t>e</t>
    </r>
  </si>
  <si>
    <t>ε—托辊前倾角；</t>
  </si>
  <si>
    <t>ε=</t>
  </si>
  <si>
    <t>（弧度）=</t>
  </si>
  <si>
    <t>β（弧度）</t>
  </si>
  <si>
    <t>⒍ 导料板阻力(淘宝店铺:枫启教育)</t>
  </si>
  <si>
    <r>
      <rPr>
        <sz val="10"/>
        <rFont val="宋体"/>
        <charset val="134"/>
      </rPr>
      <t>F</t>
    </r>
    <r>
      <rPr>
        <vertAlign val="subscript"/>
        <sz val="10"/>
        <rFont val="宋体"/>
        <charset val="134"/>
      </rPr>
      <t>6</t>
    </r>
    <r>
      <rPr>
        <sz val="10"/>
        <rFont val="宋体"/>
        <charset val="134"/>
      </rPr>
      <t>=</t>
    </r>
  </si>
  <si>
    <r>
      <rPr>
        <sz val="10"/>
        <rFont val="宋体"/>
        <charset val="134"/>
      </rPr>
      <t>μ</t>
    </r>
    <r>
      <rPr>
        <vertAlign val="subscript"/>
        <sz val="10"/>
        <rFont val="宋体"/>
        <charset val="134"/>
      </rPr>
      <t>2</t>
    </r>
    <r>
      <rPr>
        <sz val="10"/>
        <rFont val="宋体"/>
        <charset val="134"/>
      </rPr>
      <t>Iv</t>
    </r>
    <r>
      <rPr>
        <vertAlign val="superscript"/>
        <sz val="10"/>
        <rFont val="宋体"/>
        <charset val="134"/>
      </rPr>
      <t>2</t>
    </r>
    <r>
      <rPr>
        <sz val="10"/>
        <rFont val="宋体"/>
        <charset val="134"/>
      </rPr>
      <t>γgl/v</t>
    </r>
    <r>
      <rPr>
        <vertAlign val="superscript"/>
        <sz val="10"/>
        <rFont val="宋体"/>
        <charset val="134"/>
      </rPr>
      <t>2</t>
    </r>
    <r>
      <rPr>
        <sz val="10"/>
        <rFont val="宋体"/>
        <charset val="134"/>
      </rPr>
      <t>b</t>
    </r>
    <r>
      <rPr>
        <vertAlign val="subscript"/>
        <sz val="10"/>
        <rFont val="宋体"/>
        <charset val="134"/>
      </rPr>
      <t>1</t>
    </r>
    <r>
      <rPr>
        <vertAlign val="superscript"/>
        <sz val="10"/>
        <rFont val="宋体"/>
        <charset val="134"/>
      </rPr>
      <t>2</t>
    </r>
  </si>
  <si>
    <r>
      <rPr>
        <sz val="10"/>
        <rFont val="宋体"/>
        <charset val="134"/>
      </rPr>
      <t>μ</t>
    </r>
    <r>
      <rPr>
        <vertAlign val="subscript"/>
        <sz val="10"/>
        <rFont val="宋体"/>
        <charset val="134"/>
      </rPr>
      <t>2</t>
    </r>
    <r>
      <rPr>
        <sz val="10"/>
        <rFont val="宋体"/>
        <charset val="134"/>
      </rPr>
      <t>—物料与导料板之间的摩擦系数；</t>
    </r>
  </si>
  <si>
    <r>
      <rPr>
        <sz val="10"/>
        <rFont val="宋体"/>
        <charset val="134"/>
      </rPr>
      <t>μ</t>
    </r>
    <r>
      <rPr>
        <vertAlign val="subscript"/>
        <sz val="10"/>
        <rFont val="宋体"/>
        <charset val="134"/>
      </rPr>
      <t>2</t>
    </r>
    <r>
      <rPr>
        <sz val="10"/>
        <rFont val="宋体"/>
        <charset val="134"/>
      </rPr>
      <t>＝</t>
    </r>
  </si>
  <si>
    <t>γ</t>
  </si>
  <si>
    <t>l</t>
  </si>
  <si>
    <t>Iv—物料流量；</t>
  </si>
  <si>
    <t>Iv=</t>
  </si>
  <si>
    <t>Q/3.6γ</t>
  </si>
  <si>
    <t>(=Svk)=</t>
  </si>
  <si>
    <t>v</t>
  </si>
  <si>
    <r>
      <rPr>
        <sz val="10"/>
        <rFont val="宋体"/>
        <charset val="134"/>
      </rPr>
      <t>m</t>
    </r>
    <r>
      <rPr>
        <vertAlign val="superscript"/>
        <sz val="10"/>
        <rFont val="宋体"/>
        <charset val="134"/>
      </rPr>
      <t>3</t>
    </r>
    <r>
      <rPr>
        <sz val="10"/>
        <rFont val="宋体"/>
        <charset val="134"/>
      </rPr>
      <t>/s</t>
    </r>
  </si>
  <si>
    <r>
      <rPr>
        <sz val="10"/>
        <rFont val="宋体"/>
        <charset val="134"/>
      </rPr>
      <t xml:space="preserve"> b</t>
    </r>
    <r>
      <rPr>
        <vertAlign val="subscript"/>
        <sz val="10"/>
        <rFont val="宋体"/>
        <charset val="134"/>
      </rPr>
      <t>1</t>
    </r>
    <r>
      <rPr>
        <sz val="10"/>
        <rFont val="宋体"/>
        <charset val="134"/>
      </rPr>
      <t>—导料板内部宽度；</t>
    </r>
  </si>
  <si>
    <r>
      <rPr>
        <sz val="10"/>
        <rFont val="宋体"/>
        <charset val="134"/>
      </rPr>
      <t>b</t>
    </r>
    <r>
      <rPr>
        <vertAlign val="subscript"/>
        <sz val="10"/>
        <rFont val="宋体"/>
        <charset val="134"/>
      </rPr>
      <t>1</t>
    </r>
    <r>
      <rPr>
        <sz val="10"/>
        <rFont val="宋体"/>
        <charset val="134"/>
      </rPr>
      <t>＝</t>
    </r>
  </si>
  <si>
    <t>⒎ 给料点处物料附加阻力</t>
  </si>
  <si>
    <r>
      <rPr>
        <sz val="10"/>
        <rFont val="宋体"/>
        <charset val="134"/>
      </rPr>
      <t>F</t>
    </r>
    <r>
      <rPr>
        <vertAlign val="subscript"/>
        <sz val="10"/>
        <rFont val="宋体"/>
        <charset val="134"/>
      </rPr>
      <t>7</t>
    </r>
    <r>
      <rPr>
        <sz val="10"/>
        <rFont val="宋体"/>
        <charset val="134"/>
      </rPr>
      <t>=</t>
    </r>
  </si>
  <si>
    <r>
      <rPr>
        <sz val="10"/>
        <rFont val="宋体"/>
        <charset val="134"/>
      </rPr>
      <t>Iv</t>
    </r>
    <r>
      <rPr>
        <sz val="10"/>
        <rFont val="宋体"/>
        <charset val="134"/>
      </rPr>
      <t>γv</t>
    </r>
  </si>
  <si>
    <t>Iv</t>
  </si>
  <si>
    <t>⒏ 胶带绕过滚筒附加阻力(按每个滚筒600N计算）</t>
  </si>
  <si>
    <r>
      <rPr>
        <sz val="10"/>
        <rFont val="宋体"/>
        <charset val="134"/>
      </rPr>
      <t>F</t>
    </r>
    <r>
      <rPr>
        <vertAlign val="subscript"/>
        <sz val="10"/>
        <rFont val="宋体"/>
        <charset val="134"/>
      </rPr>
      <t>8</t>
    </r>
    <r>
      <rPr>
        <sz val="10"/>
        <rFont val="宋体"/>
        <charset val="134"/>
      </rPr>
      <t>=</t>
    </r>
  </si>
  <si>
    <t>⒐ 犁式卸料器附加阻力</t>
  </si>
  <si>
    <r>
      <rPr>
        <sz val="10"/>
        <rFont val="宋体"/>
        <charset val="134"/>
      </rPr>
      <t>F</t>
    </r>
    <r>
      <rPr>
        <vertAlign val="subscript"/>
        <sz val="10"/>
        <rFont val="宋体"/>
        <charset val="134"/>
      </rPr>
      <t>9</t>
    </r>
    <r>
      <rPr>
        <sz val="10"/>
        <rFont val="宋体"/>
        <charset val="134"/>
      </rPr>
      <t>=</t>
    </r>
  </si>
  <si>
    <r>
      <rPr>
        <sz val="10"/>
        <rFont val="宋体"/>
        <charset val="134"/>
      </rPr>
      <t>Bk</t>
    </r>
    <r>
      <rPr>
        <vertAlign val="subscript"/>
        <sz val="10"/>
        <rFont val="宋体"/>
        <charset val="134"/>
      </rPr>
      <t>1</t>
    </r>
  </si>
  <si>
    <r>
      <rPr>
        <sz val="10"/>
        <rFont val="宋体"/>
        <charset val="134"/>
      </rPr>
      <t>k</t>
    </r>
    <r>
      <rPr>
        <vertAlign val="subscript"/>
        <sz val="10"/>
        <rFont val="宋体"/>
        <charset val="134"/>
      </rPr>
      <t>1</t>
    </r>
    <r>
      <rPr>
        <sz val="10"/>
        <rFont val="宋体"/>
        <charset val="134"/>
      </rPr>
      <t>—刮板系数；</t>
    </r>
  </si>
  <si>
    <r>
      <rPr>
        <sz val="10"/>
        <rFont val="宋体"/>
        <charset val="134"/>
      </rPr>
      <t>k</t>
    </r>
    <r>
      <rPr>
        <vertAlign val="subscript"/>
        <sz val="10"/>
        <rFont val="宋体"/>
        <charset val="134"/>
      </rPr>
      <t>1</t>
    </r>
    <r>
      <rPr>
        <sz val="10"/>
        <rFont val="宋体"/>
        <charset val="134"/>
      </rPr>
      <t>＝</t>
    </r>
  </si>
  <si>
    <t>N/m</t>
  </si>
  <si>
    <t>10. 驱动滚筒圆周驱动力(淘宝店铺:枫启教育)</t>
  </si>
  <si>
    <r>
      <rPr>
        <sz val="10"/>
        <rFont val="宋体"/>
        <charset val="134"/>
      </rPr>
      <t>F</t>
    </r>
    <r>
      <rPr>
        <vertAlign val="subscript"/>
        <sz val="10"/>
        <rFont val="宋体"/>
        <charset val="134"/>
      </rPr>
      <t>u</t>
    </r>
    <r>
      <rPr>
        <sz val="10"/>
        <rFont val="宋体"/>
        <charset val="134"/>
      </rPr>
      <t>=</t>
    </r>
  </si>
  <si>
    <r>
      <rPr>
        <sz val="10"/>
        <rFont val="宋体"/>
        <charset val="134"/>
      </rPr>
      <t>F</t>
    </r>
    <r>
      <rPr>
        <vertAlign val="subscript"/>
        <sz val="10"/>
        <rFont val="宋体"/>
        <charset val="134"/>
      </rPr>
      <t>1</t>
    </r>
    <r>
      <rPr>
        <sz val="10"/>
        <rFont val="宋体"/>
        <charset val="134"/>
      </rPr>
      <t>+F</t>
    </r>
    <r>
      <rPr>
        <vertAlign val="subscript"/>
        <sz val="10"/>
        <rFont val="宋体"/>
        <charset val="134"/>
      </rPr>
      <t>2</t>
    </r>
    <r>
      <rPr>
        <sz val="10"/>
        <rFont val="宋体"/>
        <charset val="134"/>
      </rPr>
      <t>+F</t>
    </r>
    <r>
      <rPr>
        <vertAlign val="subscript"/>
        <sz val="10"/>
        <rFont val="宋体"/>
        <charset val="134"/>
      </rPr>
      <t>3</t>
    </r>
    <r>
      <rPr>
        <sz val="10"/>
        <rFont val="宋体"/>
        <charset val="134"/>
      </rPr>
      <t>+F</t>
    </r>
    <r>
      <rPr>
        <vertAlign val="subscript"/>
        <sz val="10"/>
        <rFont val="宋体"/>
        <charset val="134"/>
      </rPr>
      <t>4</t>
    </r>
    <r>
      <rPr>
        <sz val="10"/>
        <rFont val="宋体"/>
        <charset val="134"/>
      </rPr>
      <t>+F</t>
    </r>
    <r>
      <rPr>
        <vertAlign val="subscript"/>
        <sz val="10"/>
        <rFont val="宋体"/>
        <charset val="134"/>
      </rPr>
      <t>5</t>
    </r>
    <r>
      <rPr>
        <sz val="10"/>
        <rFont val="宋体"/>
        <charset val="134"/>
      </rPr>
      <t>+F</t>
    </r>
    <r>
      <rPr>
        <vertAlign val="subscript"/>
        <sz val="10"/>
        <rFont val="宋体"/>
        <charset val="134"/>
      </rPr>
      <t>6</t>
    </r>
    <r>
      <rPr>
        <sz val="10"/>
        <rFont val="宋体"/>
        <charset val="134"/>
      </rPr>
      <t>+F</t>
    </r>
    <r>
      <rPr>
        <vertAlign val="subscript"/>
        <sz val="10"/>
        <rFont val="宋体"/>
        <charset val="134"/>
      </rPr>
      <t>7</t>
    </r>
    <r>
      <rPr>
        <sz val="10"/>
        <rFont val="宋体"/>
        <charset val="134"/>
      </rPr>
      <t>+F</t>
    </r>
    <r>
      <rPr>
        <vertAlign val="subscript"/>
        <sz val="10"/>
        <rFont val="宋体"/>
        <charset val="134"/>
      </rPr>
      <t>8</t>
    </r>
    <r>
      <rPr>
        <sz val="10"/>
        <rFont val="宋体"/>
        <charset val="134"/>
      </rPr>
      <t>+F</t>
    </r>
    <r>
      <rPr>
        <vertAlign val="subscript"/>
        <sz val="10"/>
        <rFont val="宋体"/>
        <charset val="134"/>
      </rPr>
      <t>9</t>
    </r>
  </si>
  <si>
    <r>
      <rPr>
        <sz val="10"/>
        <rFont val="宋体"/>
        <charset val="134"/>
      </rPr>
      <t>F</t>
    </r>
    <r>
      <rPr>
        <vertAlign val="subscript"/>
        <sz val="10"/>
        <rFont val="宋体"/>
        <charset val="134"/>
      </rPr>
      <t>1</t>
    </r>
  </si>
  <si>
    <r>
      <rPr>
        <sz val="10"/>
        <rFont val="宋体"/>
        <charset val="134"/>
      </rPr>
      <t>F</t>
    </r>
    <r>
      <rPr>
        <vertAlign val="subscript"/>
        <sz val="10"/>
        <rFont val="宋体"/>
        <charset val="134"/>
      </rPr>
      <t>2</t>
    </r>
  </si>
  <si>
    <r>
      <rPr>
        <sz val="10"/>
        <rFont val="宋体"/>
        <charset val="134"/>
      </rPr>
      <t>F</t>
    </r>
    <r>
      <rPr>
        <vertAlign val="subscript"/>
        <sz val="10"/>
        <rFont val="宋体"/>
        <charset val="134"/>
      </rPr>
      <t>3</t>
    </r>
  </si>
  <si>
    <r>
      <rPr>
        <sz val="10"/>
        <rFont val="宋体"/>
        <charset val="134"/>
      </rPr>
      <t>F</t>
    </r>
    <r>
      <rPr>
        <vertAlign val="subscript"/>
        <sz val="10"/>
        <rFont val="宋体"/>
        <charset val="134"/>
      </rPr>
      <t>4</t>
    </r>
  </si>
  <si>
    <r>
      <rPr>
        <sz val="10"/>
        <rFont val="宋体"/>
        <charset val="134"/>
      </rPr>
      <t>F</t>
    </r>
    <r>
      <rPr>
        <vertAlign val="subscript"/>
        <sz val="10"/>
        <rFont val="宋体"/>
        <charset val="134"/>
      </rPr>
      <t>9</t>
    </r>
  </si>
  <si>
    <r>
      <rPr>
        <sz val="10"/>
        <rFont val="宋体"/>
        <charset val="134"/>
      </rPr>
      <t>F</t>
    </r>
    <r>
      <rPr>
        <vertAlign val="subscript"/>
        <sz val="10"/>
        <rFont val="宋体"/>
        <charset val="134"/>
      </rPr>
      <t>5</t>
    </r>
  </si>
  <si>
    <r>
      <rPr>
        <sz val="10"/>
        <rFont val="宋体"/>
        <charset val="134"/>
      </rPr>
      <t>F</t>
    </r>
    <r>
      <rPr>
        <vertAlign val="subscript"/>
        <sz val="10"/>
        <rFont val="宋体"/>
        <charset val="134"/>
      </rPr>
      <t>6</t>
    </r>
  </si>
  <si>
    <r>
      <rPr>
        <sz val="10"/>
        <rFont val="宋体"/>
        <charset val="134"/>
      </rPr>
      <t>F</t>
    </r>
    <r>
      <rPr>
        <vertAlign val="subscript"/>
        <sz val="10"/>
        <rFont val="宋体"/>
        <charset val="134"/>
      </rPr>
      <t>7</t>
    </r>
  </si>
  <si>
    <r>
      <rPr>
        <sz val="10"/>
        <rFont val="宋体"/>
        <charset val="134"/>
      </rPr>
      <t>F</t>
    </r>
    <r>
      <rPr>
        <vertAlign val="subscript"/>
        <sz val="10"/>
        <rFont val="宋体"/>
        <charset val="134"/>
      </rPr>
      <t>8</t>
    </r>
  </si>
  <si>
    <t>五、传动功率计算及驱动设备选型(淘宝店铺:枫启教育)</t>
  </si>
  <si>
    <t>⒈ 传动滚筒轴功率计算</t>
  </si>
  <si>
    <r>
      <rPr>
        <sz val="10"/>
        <rFont val="宋体"/>
        <charset val="134"/>
      </rPr>
      <t>P</t>
    </r>
    <r>
      <rPr>
        <vertAlign val="subscript"/>
        <sz val="10"/>
        <rFont val="宋体"/>
        <charset val="134"/>
      </rPr>
      <t>0</t>
    </r>
    <r>
      <rPr>
        <sz val="10"/>
        <rFont val="宋体"/>
        <charset val="134"/>
      </rPr>
      <t>=</t>
    </r>
  </si>
  <si>
    <r>
      <rPr>
        <sz val="10"/>
        <rFont val="宋体"/>
        <charset val="134"/>
      </rPr>
      <t>F</t>
    </r>
    <r>
      <rPr>
        <vertAlign val="subscript"/>
        <sz val="10"/>
        <rFont val="宋体"/>
        <charset val="134"/>
      </rPr>
      <t>u</t>
    </r>
    <r>
      <rPr>
        <sz val="10"/>
        <rFont val="宋体"/>
        <charset val="134"/>
      </rPr>
      <t>V</t>
    </r>
  </si>
  <si>
    <t>w</t>
  </si>
  <si>
    <t>Kw</t>
  </si>
  <si>
    <t>⒉ 电动机功率计算(淘宝店铺:枫启教育)</t>
  </si>
  <si>
    <r>
      <rPr>
        <sz val="10"/>
        <rFont val="宋体"/>
        <charset val="134"/>
      </rPr>
      <t>P</t>
    </r>
    <r>
      <rPr>
        <vertAlign val="subscript"/>
        <sz val="10"/>
        <rFont val="宋体"/>
        <charset val="134"/>
      </rPr>
      <t>e</t>
    </r>
    <r>
      <rPr>
        <sz val="10"/>
        <rFont val="宋体"/>
        <charset val="134"/>
      </rPr>
      <t>=</t>
    </r>
  </si>
  <si>
    <r>
      <rPr>
        <sz val="10"/>
        <rFont val="宋体"/>
        <charset val="134"/>
      </rPr>
      <t>P</t>
    </r>
    <r>
      <rPr>
        <vertAlign val="subscript"/>
        <sz val="10"/>
        <rFont val="宋体"/>
        <charset val="134"/>
      </rPr>
      <t>0</t>
    </r>
    <r>
      <rPr>
        <sz val="10"/>
        <rFont val="宋体"/>
        <charset val="134"/>
      </rPr>
      <t>/η</t>
    </r>
    <r>
      <rPr>
        <vertAlign val="subscript"/>
        <sz val="10"/>
        <rFont val="宋体"/>
        <charset val="134"/>
      </rPr>
      <t>1</t>
    </r>
    <r>
      <rPr>
        <sz val="10"/>
        <rFont val="宋体"/>
        <charset val="134"/>
      </rPr>
      <t>η</t>
    </r>
    <r>
      <rPr>
        <vertAlign val="subscript"/>
        <sz val="10"/>
        <rFont val="宋体"/>
        <charset val="134"/>
      </rPr>
      <t>2</t>
    </r>
    <r>
      <rPr>
        <sz val="10"/>
        <rFont val="宋体"/>
        <charset val="134"/>
      </rPr>
      <t>η</t>
    </r>
    <r>
      <rPr>
        <vertAlign val="subscript"/>
        <sz val="10"/>
        <rFont val="宋体"/>
        <charset val="134"/>
      </rPr>
      <t>3</t>
    </r>
    <r>
      <rPr>
        <sz val="10"/>
        <rFont val="宋体"/>
        <charset val="134"/>
      </rPr>
      <t>η</t>
    </r>
    <r>
      <rPr>
        <vertAlign val="subscript"/>
        <sz val="10"/>
        <rFont val="宋体"/>
        <charset val="134"/>
      </rPr>
      <t>4</t>
    </r>
    <r>
      <rPr>
        <sz val="10"/>
        <rFont val="宋体"/>
        <charset val="134"/>
      </rPr>
      <t>η</t>
    </r>
    <r>
      <rPr>
        <vertAlign val="subscript"/>
        <sz val="10"/>
        <rFont val="宋体"/>
        <charset val="134"/>
      </rPr>
      <t>5</t>
    </r>
  </si>
  <si>
    <r>
      <rPr>
        <sz val="10"/>
        <rFont val="宋体"/>
        <charset val="134"/>
      </rPr>
      <t xml:space="preserve"> η</t>
    </r>
    <r>
      <rPr>
        <vertAlign val="subscript"/>
        <sz val="10"/>
        <rFont val="宋体"/>
        <charset val="134"/>
      </rPr>
      <t>1</t>
    </r>
    <r>
      <rPr>
        <sz val="10"/>
        <rFont val="宋体"/>
        <charset val="134"/>
      </rPr>
      <t>--减速器效率；</t>
    </r>
  </si>
  <si>
    <r>
      <rPr>
        <sz val="10"/>
        <rFont val="宋体"/>
        <charset val="134"/>
      </rPr>
      <t>η</t>
    </r>
    <r>
      <rPr>
        <vertAlign val="subscript"/>
        <sz val="10"/>
        <rFont val="宋体"/>
        <charset val="134"/>
      </rPr>
      <t>1</t>
    </r>
    <r>
      <rPr>
        <sz val="10"/>
        <rFont val="宋体"/>
        <charset val="134"/>
      </rPr>
      <t>=</t>
    </r>
  </si>
  <si>
    <r>
      <rPr>
        <sz val="10"/>
        <rFont val="宋体"/>
        <charset val="134"/>
      </rPr>
      <t xml:space="preserve"> η</t>
    </r>
    <r>
      <rPr>
        <vertAlign val="subscript"/>
        <sz val="10"/>
        <rFont val="宋体"/>
        <charset val="134"/>
      </rPr>
      <t>2</t>
    </r>
    <r>
      <rPr>
        <sz val="10"/>
        <rFont val="宋体"/>
        <charset val="134"/>
      </rPr>
      <t>--偶合器效率；</t>
    </r>
  </si>
  <si>
    <r>
      <rPr>
        <sz val="10"/>
        <rFont val="宋体"/>
        <charset val="134"/>
      </rPr>
      <t>η</t>
    </r>
    <r>
      <rPr>
        <vertAlign val="subscript"/>
        <sz val="10"/>
        <rFont val="宋体"/>
        <charset val="134"/>
      </rPr>
      <t>2</t>
    </r>
    <r>
      <rPr>
        <sz val="10"/>
        <rFont val="宋体"/>
        <charset val="134"/>
      </rPr>
      <t>=</t>
    </r>
  </si>
  <si>
    <r>
      <rPr>
        <sz val="10"/>
        <rFont val="宋体"/>
        <charset val="134"/>
      </rPr>
      <t xml:space="preserve"> η</t>
    </r>
    <r>
      <rPr>
        <vertAlign val="subscript"/>
        <sz val="10"/>
        <rFont val="宋体"/>
        <charset val="134"/>
      </rPr>
      <t>3</t>
    </r>
    <r>
      <rPr>
        <sz val="10"/>
        <rFont val="宋体"/>
        <charset val="134"/>
      </rPr>
      <t>--联轴器效率；</t>
    </r>
  </si>
  <si>
    <r>
      <rPr>
        <sz val="10"/>
        <rFont val="宋体"/>
        <charset val="134"/>
      </rPr>
      <t>η</t>
    </r>
    <r>
      <rPr>
        <vertAlign val="subscript"/>
        <sz val="10"/>
        <rFont val="宋体"/>
        <charset val="134"/>
      </rPr>
      <t>3</t>
    </r>
    <r>
      <rPr>
        <sz val="10"/>
        <rFont val="宋体"/>
        <charset val="134"/>
      </rPr>
      <t>=</t>
    </r>
  </si>
  <si>
    <r>
      <rPr>
        <sz val="10"/>
        <rFont val="宋体"/>
        <charset val="134"/>
      </rPr>
      <t xml:space="preserve"> η</t>
    </r>
    <r>
      <rPr>
        <vertAlign val="subscript"/>
        <sz val="10"/>
        <rFont val="宋体"/>
        <charset val="134"/>
      </rPr>
      <t>4</t>
    </r>
    <r>
      <rPr>
        <sz val="10"/>
        <rFont val="宋体"/>
        <charset val="134"/>
      </rPr>
      <t>--电压降系数；</t>
    </r>
  </si>
  <si>
    <r>
      <rPr>
        <sz val="10"/>
        <rFont val="宋体"/>
        <charset val="134"/>
      </rPr>
      <t>η</t>
    </r>
    <r>
      <rPr>
        <vertAlign val="subscript"/>
        <sz val="10"/>
        <rFont val="宋体"/>
        <charset val="134"/>
      </rPr>
      <t>4</t>
    </r>
    <r>
      <rPr>
        <sz val="10"/>
        <rFont val="宋体"/>
        <charset val="134"/>
      </rPr>
      <t>=</t>
    </r>
  </si>
  <si>
    <r>
      <rPr>
        <sz val="10"/>
        <rFont val="宋体"/>
        <charset val="134"/>
      </rPr>
      <t xml:space="preserve"> η</t>
    </r>
    <r>
      <rPr>
        <vertAlign val="subscript"/>
        <sz val="10"/>
        <rFont val="宋体"/>
        <charset val="134"/>
      </rPr>
      <t>5</t>
    </r>
    <r>
      <rPr>
        <sz val="10"/>
        <rFont val="宋体"/>
        <charset val="134"/>
      </rPr>
      <t>--不平衡系数；</t>
    </r>
  </si>
  <si>
    <r>
      <rPr>
        <sz val="10"/>
        <rFont val="宋体"/>
        <charset val="134"/>
      </rPr>
      <t>η</t>
    </r>
    <r>
      <rPr>
        <vertAlign val="subscript"/>
        <sz val="10"/>
        <rFont val="宋体"/>
        <charset val="134"/>
      </rPr>
      <t>5</t>
    </r>
    <r>
      <rPr>
        <sz val="10"/>
        <rFont val="宋体"/>
        <charset val="134"/>
      </rPr>
      <t>=</t>
    </r>
  </si>
  <si>
    <t>⒊ 驱动设备选型(淘宝店铺:枫启教育)</t>
  </si>
  <si>
    <r>
      <rPr>
        <sz val="10"/>
        <rFont val="宋体"/>
        <charset val="134"/>
      </rPr>
      <t xml:space="preserve">   因输送带运行阻力      F</t>
    </r>
    <r>
      <rPr>
        <vertAlign val="subscript"/>
        <sz val="10"/>
        <rFont val="宋体"/>
        <charset val="134"/>
      </rPr>
      <t>1</t>
    </r>
    <r>
      <rPr>
        <sz val="10"/>
        <rFont val="宋体"/>
        <charset val="134"/>
      </rPr>
      <t>=</t>
    </r>
  </si>
  <si>
    <r>
      <rPr>
        <sz val="10"/>
        <rFont val="宋体"/>
        <charset val="134"/>
      </rPr>
      <t xml:space="preserve">   物料提升阻力          F</t>
    </r>
    <r>
      <rPr>
        <vertAlign val="subscript"/>
        <sz val="10"/>
        <rFont val="宋体"/>
        <charset val="134"/>
      </rPr>
      <t>2</t>
    </r>
    <r>
      <rPr>
        <sz val="10"/>
        <rFont val="宋体"/>
        <charset val="134"/>
      </rPr>
      <t>=</t>
    </r>
  </si>
  <si>
    <t xml:space="preserve">   输送带运行阻力小于物料下滑力，输送带不会逆转，因此不设逆止器。</t>
  </si>
  <si>
    <t>⑴ 电动机YB355S-4，V=6000V，共1台</t>
  </si>
  <si>
    <t xml:space="preserve">   电机功率P=</t>
  </si>
  <si>
    <r>
      <rPr>
        <sz val="10"/>
        <rFont val="宋体"/>
        <charset val="134"/>
      </rPr>
      <t>电动机转速      n</t>
    </r>
    <r>
      <rPr>
        <vertAlign val="subscript"/>
        <sz val="10"/>
        <rFont val="宋体"/>
        <charset val="134"/>
      </rPr>
      <t>1</t>
    </r>
    <r>
      <rPr>
        <sz val="10"/>
        <rFont val="宋体"/>
        <charset val="134"/>
      </rPr>
      <t>=</t>
    </r>
  </si>
  <si>
    <t>滚筒直径Dr=</t>
  </si>
  <si>
    <t>带速V=</t>
  </si>
  <si>
    <r>
      <rPr>
        <sz val="10"/>
        <rFont val="宋体"/>
        <charset val="134"/>
      </rPr>
      <t>滚筒转速n</t>
    </r>
    <r>
      <rPr>
        <vertAlign val="subscript"/>
        <sz val="10"/>
        <rFont val="宋体"/>
        <charset val="134"/>
      </rPr>
      <t>2</t>
    </r>
    <r>
      <rPr>
        <sz val="10"/>
        <rFont val="宋体"/>
        <charset val="134"/>
      </rPr>
      <t>=</t>
    </r>
  </si>
  <si>
    <t>减速器减速比i=</t>
  </si>
  <si>
    <t>取减速比i=</t>
  </si>
  <si>
    <t>实际带速</t>
  </si>
  <si>
    <t xml:space="preserve">⑵ 减速器 </t>
  </si>
  <si>
    <r>
      <rPr>
        <sz val="10"/>
        <rFont val="宋体"/>
        <charset val="134"/>
      </rPr>
      <t>轴功率 P</t>
    </r>
    <r>
      <rPr>
        <vertAlign val="subscript"/>
        <sz val="10"/>
        <rFont val="宋体"/>
        <charset val="134"/>
      </rPr>
      <t>0</t>
    </r>
  </si>
  <si>
    <t>转速 n</t>
  </si>
  <si>
    <t>速比 i</t>
  </si>
  <si>
    <t>使用系数</t>
  </si>
  <si>
    <r>
      <rPr>
        <sz val="10"/>
        <rFont val="宋体"/>
        <charset val="134"/>
      </rPr>
      <t>低速轴转速 n</t>
    </r>
    <r>
      <rPr>
        <vertAlign val="subscript"/>
        <sz val="10"/>
        <rFont val="宋体"/>
        <charset val="134"/>
      </rPr>
      <t>2</t>
    </r>
  </si>
  <si>
    <r>
      <rPr>
        <sz val="10"/>
        <rFont val="宋体"/>
        <charset val="134"/>
      </rPr>
      <t>输入功率 P</t>
    </r>
    <r>
      <rPr>
        <vertAlign val="subscript"/>
        <sz val="10"/>
        <rFont val="宋体"/>
        <charset val="134"/>
      </rPr>
      <t>N1</t>
    </r>
  </si>
  <si>
    <t>选型</t>
  </si>
  <si>
    <t>B-10</t>
  </si>
  <si>
    <r>
      <rPr>
        <sz val="10"/>
        <rFont val="宋体"/>
        <charset val="134"/>
      </rPr>
      <t>额定热容量  PG</t>
    </r>
    <r>
      <rPr>
        <vertAlign val="subscript"/>
        <sz val="10"/>
        <rFont val="宋体"/>
        <charset val="134"/>
      </rPr>
      <t>1</t>
    </r>
    <r>
      <rPr>
        <sz val="10"/>
        <rFont val="宋体"/>
        <charset val="134"/>
      </rPr>
      <t>/PG</t>
    </r>
    <r>
      <rPr>
        <vertAlign val="subscript"/>
        <sz val="10"/>
        <rFont val="宋体"/>
        <charset val="134"/>
      </rPr>
      <t>2</t>
    </r>
  </si>
  <si>
    <t>系数f4</t>
  </si>
  <si>
    <t>系数f6</t>
  </si>
  <si>
    <t>系数f8</t>
  </si>
  <si>
    <t>系数  f9/f10</t>
  </si>
  <si>
    <t>计算热容量</t>
  </si>
  <si>
    <t>型号表示</t>
  </si>
  <si>
    <t>B3SH10-31.5</t>
  </si>
  <si>
    <t>带冷却风扇</t>
  </si>
  <si>
    <t>减速器型号---</t>
  </si>
  <si>
    <t>B3SH10-31.5，共1台</t>
  </si>
  <si>
    <t>六、输送带张力计算(淘宝店铺:枫启教育)</t>
  </si>
  <si>
    <t>⒈ 胶带在允许最大下垂度时输送带张力</t>
  </si>
  <si>
    <t>⑴ 重载段允许最小张力</t>
  </si>
  <si>
    <r>
      <rPr>
        <sz val="10"/>
        <rFont val="宋体"/>
        <charset val="134"/>
      </rPr>
      <t>S</t>
    </r>
    <r>
      <rPr>
        <vertAlign val="subscript"/>
        <sz val="10"/>
        <rFont val="宋体"/>
        <charset val="134"/>
      </rPr>
      <t>2min</t>
    </r>
    <r>
      <rPr>
        <sz val="10"/>
        <rFont val="宋体"/>
        <charset val="134"/>
      </rPr>
      <t>≥</t>
    </r>
  </si>
  <si>
    <r>
      <rPr>
        <sz val="10"/>
        <rFont val="宋体"/>
        <charset val="134"/>
      </rPr>
      <t>a</t>
    </r>
    <r>
      <rPr>
        <vertAlign val="subscript"/>
        <sz val="10"/>
        <rFont val="宋体"/>
        <charset val="134"/>
      </rPr>
      <t>0</t>
    </r>
    <r>
      <rPr>
        <sz val="10"/>
        <rFont val="宋体"/>
        <charset val="134"/>
      </rPr>
      <t>(q+q</t>
    </r>
    <r>
      <rPr>
        <vertAlign val="subscript"/>
        <sz val="10"/>
        <rFont val="宋体"/>
        <charset val="134"/>
      </rPr>
      <t>0</t>
    </r>
    <r>
      <rPr>
        <sz val="10"/>
        <rFont val="宋体"/>
        <charset val="134"/>
      </rPr>
      <t>)g/8(h/a)</t>
    </r>
    <r>
      <rPr>
        <vertAlign val="subscript"/>
        <sz val="10"/>
        <rFont val="宋体"/>
        <charset val="134"/>
      </rPr>
      <t>max</t>
    </r>
  </si>
  <si>
    <r>
      <rPr>
        <sz val="10"/>
        <rFont val="宋体"/>
        <charset val="134"/>
      </rPr>
      <t>a</t>
    </r>
    <r>
      <rPr>
        <vertAlign val="subscript"/>
        <sz val="10"/>
        <rFont val="宋体"/>
        <charset val="134"/>
      </rPr>
      <t>0</t>
    </r>
    <r>
      <rPr>
        <sz val="10"/>
        <rFont val="宋体"/>
        <charset val="134"/>
      </rPr>
      <t xml:space="preserve">--上托辊组间距； </t>
    </r>
  </si>
  <si>
    <r>
      <rPr>
        <sz val="10"/>
        <rFont val="宋体"/>
        <charset val="134"/>
      </rPr>
      <t>a</t>
    </r>
    <r>
      <rPr>
        <vertAlign val="subscript"/>
        <sz val="10"/>
        <rFont val="宋体"/>
        <charset val="134"/>
      </rPr>
      <t>0</t>
    </r>
    <r>
      <rPr>
        <sz val="10"/>
        <rFont val="宋体"/>
        <charset val="134"/>
      </rPr>
      <t>=</t>
    </r>
  </si>
  <si>
    <r>
      <rPr>
        <sz val="10"/>
        <rFont val="宋体"/>
        <charset val="134"/>
      </rPr>
      <t>(h/a)</t>
    </r>
    <r>
      <rPr>
        <vertAlign val="subscript"/>
        <sz val="10"/>
        <rFont val="宋体"/>
        <charset val="134"/>
      </rPr>
      <t>max</t>
    </r>
    <r>
      <rPr>
        <sz val="10"/>
        <rFont val="宋体"/>
        <charset val="134"/>
      </rPr>
      <t>--两托辊组间允许的胶带垂度；</t>
    </r>
  </si>
  <si>
    <r>
      <rPr>
        <sz val="9"/>
        <rFont val="宋体"/>
        <charset val="134"/>
      </rPr>
      <t>(h/a)</t>
    </r>
    <r>
      <rPr>
        <vertAlign val="subscript"/>
        <sz val="9"/>
        <rFont val="宋体"/>
        <charset val="134"/>
      </rPr>
      <t>max</t>
    </r>
    <r>
      <rPr>
        <sz val="9"/>
        <rFont val="宋体"/>
        <charset val="134"/>
      </rPr>
      <t>=</t>
    </r>
  </si>
  <si>
    <t>⑵ 空载段允许最小张力(淘宝店铺:枫启教育)</t>
  </si>
  <si>
    <r>
      <rPr>
        <sz val="10"/>
        <rFont val="宋体"/>
        <charset val="134"/>
      </rPr>
      <t>S</t>
    </r>
    <r>
      <rPr>
        <vertAlign val="subscript"/>
        <sz val="10"/>
        <rFont val="宋体"/>
        <charset val="134"/>
      </rPr>
      <t>kmin</t>
    </r>
    <r>
      <rPr>
        <sz val="10"/>
        <rFont val="宋体"/>
        <charset val="134"/>
      </rPr>
      <t>≥</t>
    </r>
  </si>
  <si>
    <r>
      <rPr>
        <sz val="10"/>
        <rFont val="宋体"/>
        <charset val="134"/>
      </rPr>
      <t>a</t>
    </r>
    <r>
      <rPr>
        <vertAlign val="subscript"/>
        <sz val="10"/>
        <rFont val="宋体"/>
        <charset val="134"/>
      </rPr>
      <t>u</t>
    </r>
    <r>
      <rPr>
        <sz val="10"/>
        <rFont val="宋体"/>
        <charset val="134"/>
      </rPr>
      <t>q</t>
    </r>
    <r>
      <rPr>
        <vertAlign val="subscript"/>
        <sz val="10"/>
        <rFont val="宋体"/>
        <charset val="134"/>
      </rPr>
      <t>0</t>
    </r>
    <r>
      <rPr>
        <sz val="10"/>
        <rFont val="宋体"/>
        <charset val="134"/>
      </rPr>
      <t>g/8(h/a)</t>
    </r>
    <r>
      <rPr>
        <vertAlign val="subscript"/>
        <sz val="10"/>
        <rFont val="宋体"/>
        <charset val="134"/>
      </rPr>
      <t>max</t>
    </r>
  </si>
  <si>
    <r>
      <rPr>
        <sz val="10"/>
        <rFont val="宋体"/>
        <charset val="134"/>
      </rPr>
      <t>a</t>
    </r>
    <r>
      <rPr>
        <vertAlign val="subscript"/>
        <sz val="10"/>
        <rFont val="宋体"/>
        <charset val="134"/>
      </rPr>
      <t>u</t>
    </r>
    <r>
      <rPr>
        <sz val="10"/>
        <rFont val="宋体"/>
        <charset val="134"/>
      </rPr>
      <t xml:space="preserve">--下托辊组间距； </t>
    </r>
  </si>
  <si>
    <r>
      <rPr>
        <sz val="10"/>
        <rFont val="宋体"/>
        <charset val="134"/>
      </rPr>
      <t>a</t>
    </r>
    <r>
      <rPr>
        <vertAlign val="subscript"/>
        <sz val="10"/>
        <rFont val="宋体"/>
        <charset val="134"/>
      </rPr>
      <t>u</t>
    </r>
    <r>
      <rPr>
        <sz val="10"/>
        <rFont val="宋体"/>
        <charset val="134"/>
      </rPr>
      <t>=</t>
    </r>
  </si>
  <si>
    <t>⒉ 滚筒与胶带在临界打滑状态时输送带张力(淘宝店铺:枫启教育)</t>
  </si>
  <si>
    <t>传动滚筒</t>
  </si>
  <si>
    <r>
      <rPr>
        <sz val="10"/>
        <rFont val="宋体"/>
        <charset val="134"/>
      </rPr>
      <t xml:space="preserve"> K</t>
    </r>
    <r>
      <rPr>
        <vertAlign val="subscript"/>
        <sz val="10"/>
        <rFont val="宋体"/>
        <charset val="134"/>
      </rPr>
      <t>A</t>
    </r>
    <r>
      <rPr>
        <sz val="10"/>
        <rFont val="宋体"/>
        <charset val="134"/>
      </rPr>
      <t xml:space="preserve">--滚筒起动系数； </t>
    </r>
  </si>
  <si>
    <r>
      <rPr>
        <sz val="10"/>
        <rFont val="宋体"/>
        <charset val="134"/>
      </rPr>
      <t>K</t>
    </r>
    <r>
      <rPr>
        <vertAlign val="subscript"/>
        <sz val="10"/>
        <rFont val="宋体"/>
        <charset val="134"/>
      </rPr>
      <t>A</t>
    </r>
    <r>
      <rPr>
        <sz val="10"/>
        <rFont val="宋体"/>
        <charset val="134"/>
      </rPr>
      <t>=</t>
    </r>
  </si>
  <si>
    <r>
      <rPr>
        <sz val="10"/>
        <rFont val="宋体"/>
        <charset val="134"/>
      </rPr>
      <t xml:space="preserve"> e</t>
    </r>
    <r>
      <rPr>
        <vertAlign val="superscript"/>
        <sz val="10"/>
        <rFont val="宋体"/>
        <charset val="134"/>
      </rPr>
      <t>μФ</t>
    </r>
    <r>
      <rPr>
        <sz val="10"/>
        <rFont val="宋体"/>
        <charset val="134"/>
      </rPr>
      <t>--胶带传动尤拉系数；</t>
    </r>
  </si>
  <si>
    <r>
      <rPr>
        <sz val="10"/>
        <rFont val="宋体"/>
        <charset val="134"/>
      </rPr>
      <t>S</t>
    </r>
    <r>
      <rPr>
        <vertAlign val="subscript"/>
        <sz val="10"/>
        <rFont val="宋体"/>
        <charset val="134"/>
      </rPr>
      <t>1min</t>
    </r>
    <r>
      <rPr>
        <sz val="10"/>
        <rFont val="宋体"/>
        <charset val="134"/>
      </rPr>
      <t>≥</t>
    </r>
  </si>
  <si>
    <r>
      <rPr>
        <sz val="10"/>
        <rFont val="宋体"/>
        <charset val="134"/>
      </rPr>
      <t>K</t>
    </r>
    <r>
      <rPr>
        <vertAlign val="subscript"/>
        <sz val="10"/>
        <rFont val="宋体"/>
        <charset val="134"/>
      </rPr>
      <t>A</t>
    </r>
    <r>
      <rPr>
        <sz val="10"/>
        <rFont val="宋体"/>
        <charset val="134"/>
      </rPr>
      <t>F</t>
    </r>
    <r>
      <rPr>
        <vertAlign val="subscript"/>
        <sz val="10"/>
        <rFont val="宋体"/>
        <charset val="134"/>
      </rPr>
      <t>u</t>
    </r>
    <r>
      <rPr>
        <sz val="10"/>
        <rFont val="宋体"/>
        <charset val="134"/>
      </rPr>
      <t>(e</t>
    </r>
    <r>
      <rPr>
        <vertAlign val="superscript"/>
        <sz val="10"/>
        <rFont val="宋体"/>
        <charset val="134"/>
      </rPr>
      <t>μФ2</t>
    </r>
    <r>
      <rPr>
        <sz val="10"/>
        <rFont val="宋体"/>
        <charset val="134"/>
      </rPr>
      <t>-1)</t>
    </r>
  </si>
  <si>
    <r>
      <rPr>
        <sz val="9"/>
        <rFont val="宋体"/>
        <charset val="134"/>
      </rPr>
      <t>胶带围包角       Ф</t>
    </r>
    <r>
      <rPr>
        <vertAlign val="subscript"/>
        <sz val="9"/>
        <rFont val="宋体"/>
        <charset val="134"/>
      </rPr>
      <t>2</t>
    </r>
    <r>
      <rPr>
        <sz val="9"/>
        <rFont val="宋体"/>
        <charset val="134"/>
      </rPr>
      <t>=</t>
    </r>
  </si>
  <si>
    <t>°时</t>
  </si>
  <si>
    <r>
      <rPr>
        <sz val="10"/>
        <rFont val="宋体"/>
        <charset val="134"/>
      </rPr>
      <t>e</t>
    </r>
    <r>
      <rPr>
        <vertAlign val="superscript"/>
        <sz val="10"/>
        <rFont val="宋体"/>
        <charset val="134"/>
      </rPr>
      <t>μФ2</t>
    </r>
    <r>
      <rPr>
        <sz val="10"/>
        <rFont val="宋体"/>
        <charset val="134"/>
      </rPr>
      <t>=</t>
    </r>
  </si>
  <si>
    <r>
      <rPr>
        <sz val="10"/>
        <rFont val="宋体"/>
        <charset val="134"/>
      </rPr>
      <t>K</t>
    </r>
    <r>
      <rPr>
        <vertAlign val="subscript"/>
        <sz val="10"/>
        <rFont val="宋体"/>
        <charset val="134"/>
      </rPr>
      <t>A</t>
    </r>
    <r>
      <rPr>
        <sz val="10"/>
        <rFont val="宋体"/>
        <charset val="134"/>
      </rPr>
      <t>F</t>
    </r>
    <r>
      <rPr>
        <vertAlign val="subscript"/>
        <sz val="10"/>
        <rFont val="宋体"/>
        <charset val="134"/>
      </rPr>
      <t>u</t>
    </r>
    <r>
      <rPr>
        <sz val="10"/>
        <rFont val="宋体"/>
        <charset val="134"/>
      </rPr>
      <t>/(e</t>
    </r>
    <r>
      <rPr>
        <vertAlign val="superscript"/>
        <sz val="10"/>
        <rFont val="宋体"/>
        <charset val="134"/>
      </rPr>
      <t>μФ2</t>
    </r>
    <r>
      <rPr>
        <sz val="10"/>
        <rFont val="宋体"/>
        <charset val="134"/>
      </rPr>
      <t>-1)</t>
    </r>
  </si>
  <si>
    <r>
      <rPr>
        <sz val="10"/>
        <rFont val="宋体"/>
        <charset val="134"/>
      </rPr>
      <t>取S</t>
    </r>
    <r>
      <rPr>
        <vertAlign val="subscript"/>
        <sz val="10"/>
        <rFont val="宋体"/>
        <charset val="134"/>
      </rPr>
      <t>1</t>
    </r>
    <r>
      <rPr>
        <sz val="10"/>
        <rFont val="宋体"/>
        <charset val="134"/>
      </rPr>
      <t>=</t>
    </r>
  </si>
  <si>
    <t>3.头部传动滚筒(淘宝店铺:枫启教育)</t>
  </si>
  <si>
    <t xml:space="preserve">  胶带趋入点输送带张力</t>
  </si>
  <si>
    <r>
      <rPr>
        <sz val="10"/>
        <rFont val="宋体"/>
        <charset val="134"/>
      </rPr>
      <t>S</t>
    </r>
    <r>
      <rPr>
        <vertAlign val="subscript"/>
        <sz val="10"/>
        <rFont val="宋体"/>
        <charset val="134"/>
      </rPr>
      <t>2</t>
    </r>
    <r>
      <rPr>
        <sz val="10"/>
        <rFont val="宋体"/>
        <charset val="134"/>
      </rPr>
      <t>=</t>
    </r>
  </si>
  <si>
    <r>
      <rPr>
        <sz val="10"/>
        <rFont val="宋体"/>
        <charset val="134"/>
      </rPr>
      <t>S</t>
    </r>
    <r>
      <rPr>
        <vertAlign val="subscript"/>
        <sz val="10"/>
        <rFont val="宋体"/>
        <charset val="134"/>
      </rPr>
      <t>1</t>
    </r>
    <r>
      <rPr>
        <sz val="10"/>
        <rFont val="宋体"/>
        <charset val="134"/>
      </rPr>
      <t>+F</t>
    </r>
    <r>
      <rPr>
        <vertAlign val="subscript"/>
        <sz val="10"/>
        <rFont val="宋体"/>
        <charset val="134"/>
      </rPr>
      <t>u</t>
    </r>
  </si>
  <si>
    <r>
      <rPr>
        <sz val="10"/>
        <rFont val="宋体"/>
        <charset val="134"/>
      </rPr>
      <t>S</t>
    </r>
    <r>
      <rPr>
        <vertAlign val="subscript"/>
        <sz val="10"/>
        <rFont val="宋体"/>
        <charset val="134"/>
      </rPr>
      <t>1</t>
    </r>
    <r>
      <rPr>
        <sz val="10"/>
        <rFont val="宋体"/>
        <charset val="134"/>
      </rPr>
      <t>=</t>
    </r>
  </si>
  <si>
    <t>4. 尾部滚筒胶带奔离点输送带张力(淘宝店铺:枫启教育)</t>
  </si>
  <si>
    <r>
      <rPr>
        <sz val="10"/>
        <rFont val="宋体"/>
        <charset val="134"/>
      </rPr>
      <t>S</t>
    </r>
    <r>
      <rPr>
        <vertAlign val="subscript"/>
        <sz val="10"/>
        <rFont val="宋体"/>
        <charset val="134"/>
      </rPr>
      <t>3</t>
    </r>
    <r>
      <rPr>
        <sz val="10"/>
        <rFont val="宋体"/>
        <charset val="134"/>
      </rPr>
      <t>=</t>
    </r>
  </si>
  <si>
    <r>
      <rPr>
        <sz val="10"/>
        <rFont val="宋体"/>
        <charset val="134"/>
      </rPr>
      <t>S</t>
    </r>
    <r>
      <rPr>
        <vertAlign val="subscript"/>
        <sz val="10"/>
        <rFont val="宋体"/>
        <charset val="134"/>
      </rPr>
      <t>2</t>
    </r>
    <r>
      <rPr>
        <sz val="10"/>
        <rFont val="宋体"/>
        <charset val="134"/>
      </rPr>
      <t>-Lωg(q+q</t>
    </r>
    <r>
      <rPr>
        <vertAlign val="subscript"/>
        <sz val="10"/>
        <rFont val="宋体"/>
        <charset val="134"/>
      </rPr>
      <t>0</t>
    </r>
    <r>
      <rPr>
        <sz val="10"/>
        <rFont val="宋体"/>
        <charset val="134"/>
      </rPr>
      <t>+q</t>
    </r>
    <r>
      <rPr>
        <vertAlign val="subscript"/>
        <sz val="10"/>
        <rFont val="宋体"/>
        <charset val="134"/>
      </rPr>
      <t>1</t>
    </r>
    <r>
      <rPr>
        <sz val="10"/>
        <rFont val="宋体"/>
        <charset val="134"/>
      </rPr>
      <t>)-F</t>
    </r>
    <r>
      <rPr>
        <vertAlign val="subscript"/>
        <sz val="10"/>
        <rFont val="宋体"/>
        <charset val="134"/>
      </rPr>
      <t>5</t>
    </r>
    <r>
      <rPr>
        <sz val="10"/>
        <rFont val="宋体"/>
        <charset val="134"/>
      </rPr>
      <t>-F</t>
    </r>
    <r>
      <rPr>
        <vertAlign val="subscript"/>
        <sz val="10"/>
        <rFont val="宋体"/>
        <charset val="134"/>
      </rPr>
      <t>6</t>
    </r>
    <r>
      <rPr>
        <sz val="10"/>
        <rFont val="宋体"/>
        <charset val="134"/>
      </rPr>
      <t>-F</t>
    </r>
    <r>
      <rPr>
        <vertAlign val="subscript"/>
        <sz val="10"/>
        <rFont val="宋体"/>
        <charset val="134"/>
      </rPr>
      <t>7</t>
    </r>
    <r>
      <rPr>
        <sz val="10"/>
        <rFont val="宋体"/>
        <charset val="134"/>
      </rPr>
      <t>-Hg(q</t>
    </r>
    <r>
      <rPr>
        <vertAlign val="subscript"/>
        <sz val="10"/>
        <rFont val="宋体"/>
        <charset val="134"/>
      </rPr>
      <t>0</t>
    </r>
    <r>
      <rPr>
        <sz val="10"/>
        <rFont val="宋体"/>
        <charset val="134"/>
      </rPr>
      <t>+q)</t>
    </r>
  </si>
  <si>
    <r>
      <rPr>
        <sz val="10"/>
        <rFont val="宋体"/>
        <charset val="134"/>
      </rPr>
      <t>S</t>
    </r>
    <r>
      <rPr>
        <vertAlign val="subscript"/>
        <sz val="10"/>
        <rFont val="宋体"/>
        <charset val="134"/>
      </rPr>
      <t>2</t>
    </r>
  </si>
  <si>
    <r>
      <rPr>
        <sz val="9"/>
        <rFont val="宋体"/>
        <charset val="134"/>
      </rPr>
      <t>托辊前倾阻力</t>
    </r>
    <r>
      <rPr>
        <sz val="10"/>
        <rFont val="宋体"/>
        <charset val="134"/>
      </rPr>
      <t>F</t>
    </r>
    <r>
      <rPr>
        <vertAlign val="subscript"/>
        <sz val="10"/>
        <rFont val="宋体"/>
        <charset val="134"/>
      </rPr>
      <t>5</t>
    </r>
  </si>
  <si>
    <r>
      <rPr>
        <sz val="9"/>
        <rFont val="宋体"/>
        <charset val="134"/>
      </rPr>
      <t>导料板阻力</t>
    </r>
    <r>
      <rPr>
        <sz val="10"/>
        <rFont val="宋体"/>
        <charset val="134"/>
      </rPr>
      <t>F</t>
    </r>
    <r>
      <rPr>
        <vertAlign val="subscript"/>
        <sz val="10"/>
        <rFont val="宋体"/>
        <charset val="134"/>
      </rPr>
      <t>6</t>
    </r>
  </si>
  <si>
    <r>
      <rPr>
        <sz val="9"/>
        <rFont val="宋体"/>
        <charset val="134"/>
      </rPr>
      <t>给料点处物料附加阻力F</t>
    </r>
    <r>
      <rPr>
        <vertAlign val="subscript"/>
        <sz val="9"/>
        <rFont val="宋体"/>
        <charset val="134"/>
      </rPr>
      <t>7</t>
    </r>
  </si>
  <si>
    <t>因</t>
  </si>
  <si>
    <t>大于</t>
  </si>
  <si>
    <r>
      <rPr>
        <sz val="10"/>
        <rFont val="宋体"/>
        <charset val="134"/>
      </rPr>
      <t>S</t>
    </r>
    <r>
      <rPr>
        <vertAlign val="subscript"/>
        <sz val="10"/>
        <rFont val="宋体"/>
        <charset val="134"/>
      </rPr>
      <t>2min</t>
    </r>
    <r>
      <rPr>
        <sz val="10"/>
        <rFont val="宋体"/>
        <charset val="134"/>
      </rPr>
      <t>=</t>
    </r>
  </si>
  <si>
    <t>满足重载段胶带垂度要求</t>
  </si>
  <si>
    <t>5. 尾部滚筒胶带趋入点输送带张力(淘宝店铺:枫启教育)</t>
  </si>
  <si>
    <r>
      <rPr>
        <sz val="10"/>
        <rFont val="宋体"/>
        <charset val="134"/>
      </rPr>
      <t>S</t>
    </r>
    <r>
      <rPr>
        <vertAlign val="subscript"/>
        <sz val="10"/>
        <rFont val="宋体"/>
        <charset val="134"/>
      </rPr>
      <t>4</t>
    </r>
    <r>
      <rPr>
        <sz val="10"/>
        <rFont val="宋体"/>
        <charset val="134"/>
      </rPr>
      <t>=</t>
    </r>
  </si>
  <si>
    <r>
      <rPr>
        <sz val="10"/>
        <rFont val="宋体"/>
        <charset val="134"/>
      </rPr>
      <t>S</t>
    </r>
    <r>
      <rPr>
        <vertAlign val="subscript"/>
        <sz val="10"/>
        <rFont val="宋体"/>
        <charset val="134"/>
      </rPr>
      <t>3</t>
    </r>
    <r>
      <rPr>
        <sz val="10"/>
        <rFont val="宋体"/>
        <charset val="134"/>
      </rPr>
      <t>/K</t>
    </r>
    <r>
      <rPr>
        <vertAlign val="subscript"/>
        <sz val="10"/>
        <rFont val="宋体"/>
        <charset val="134"/>
      </rPr>
      <t>g</t>
    </r>
  </si>
  <si>
    <r>
      <rPr>
        <sz val="10"/>
        <rFont val="宋体"/>
        <charset val="134"/>
      </rPr>
      <t xml:space="preserve"> K</t>
    </r>
    <r>
      <rPr>
        <vertAlign val="subscript"/>
        <sz val="10"/>
        <rFont val="宋体"/>
        <charset val="134"/>
      </rPr>
      <t>g</t>
    </r>
    <r>
      <rPr>
        <sz val="10"/>
        <rFont val="宋体"/>
        <charset val="134"/>
      </rPr>
      <t xml:space="preserve">--胶带绕过滚筒时的阻力系数； </t>
    </r>
  </si>
  <si>
    <r>
      <rPr>
        <sz val="10"/>
        <rFont val="宋体"/>
        <charset val="134"/>
      </rPr>
      <t>K</t>
    </r>
    <r>
      <rPr>
        <vertAlign val="subscript"/>
        <sz val="10"/>
        <rFont val="宋体"/>
        <charset val="134"/>
      </rPr>
      <t>g</t>
    </r>
    <r>
      <rPr>
        <sz val="10"/>
        <rFont val="宋体"/>
        <charset val="134"/>
      </rPr>
      <t>=</t>
    </r>
  </si>
  <si>
    <t>6. 拉紧装置处输送带张力(淘宝店铺:枫启教育)</t>
  </si>
  <si>
    <r>
      <rPr>
        <sz val="10"/>
        <rFont val="宋体"/>
        <charset val="134"/>
      </rPr>
      <t>S</t>
    </r>
    <r>
      <rPr>
        <vertAlign val="subscript"/>
        <sz val="10"/>
        <rFont val="宋体"/>
        <charset val="134"/>
      </rPr>
      <t>5</t>
    </r>
    <r>
      <rPr>
        <sz val="10"/>
        <rFont val="宋体"/>
        <charset val="134"/>
      </rPr>
      <t>=</t>
    </r>
  </si>
  <si>
    <r>
      <rPr>
        <sz val="10"/>
        <rFont val="宋体"/>
        <charset val="134"/>
      </rPr>
      <t>S</t>
    </r>
    <r>
      <rPr>
        <vertAlign val="subscript"/>
        <sz val="10"/>
        <rFont val="宋体"/>
        <charset val="134"/>
      </rPr>
      <t>4</t>
    </r>
    <r>
      <rPr>
        <sz val="10"/>
        <rFont val="宋体"/>
        <charset val="134"/>
      </rPr>
      <t>-(L-L</t>
    </r>
    <r>
      <rPr>
        <vertAlign val="subscript"/>
        <sz val="10"/>
        <rFont val="宋体"/>
        <charset val="134"/>
      </rPr>
      <t>1</t>
    </r>
    <r>
      <rPr>
        <sz val="10"/>
        <rFont val="宋体"/>
        <charset val="134"/>
      </rPr>
      <t>)ωg(q</t>
    </r>
    <r>
      <rPr>
        <vertAlign val="subscript"/>
        <sz val="10"/>
        <rFont val="宋体"/>
        <charset val="134"/>
      </rPr>
      <t>0</t>
    </r>
    <r>
      <rPr>
        <sz val="10"/>
        <rFont val="宋体"/>
        <charset val="134"/>
      </rPr>
      <t>+q</t>
    </r>
    <r>
      <rPr>
        <vertAlign val="subscript"/>
        <sz val="10"/>
        <rFont val="宋体"/>
        <charset val="134"/>
      </rPr>
      <t>2</t>
    </r>
    <r>
      <rPr>
        <sz val="10"/>
        <rFont val="宋体"/>
        <charset val="134"/>
      </rPr>
      <t>)+(L-L</t>
    </r>
    <r>
      <rPr>
        <vertAlign val="subscript"/>
        <sz val="10"/>
        <rFont val="宋体"/>
        <charset val="134"/>
      </rPr>
      <t>1</t>
    </r>
    <r>
      <rPr>
        <sz val="10"/>
        <rFont val="宋体"/>
        <charset val="134"/>
      </rPr>
      <t>)q</t>
    </r>
    <r>
      <rPr>
        <vertAlign val="subscript"/>
        <sz val="10"/>
        <rFont val="宋体"/>
        <charset val="134"/>
      </rPr>
      <t>0</t>
    </r>
    <r>
      <rPr>
        <sz val="10"/>
        <rFont val="宋体"/>
        <charset val="134"/>
      </rPr>
      <t>gtgβ-F</t>
    </r>
    <r>
      <rPr>
        <vertAlign val="subscript"/>
        <sz val="10"/>
        <rFont val="宋体"/>
        <charset val="134"/>
      </rPr>
      <t>4</t>
    </r>
  </si>
  <si>
    <r>
      <rPr>
        <sz val="10"/>
        <rFont val="宋体"/>
        <charset val="134"/>
      </rPr>
      <t>S</t>
    </r>
    <r>
      <rPr>
        <vertAlign val="subscript"/>
        <sz val="10"/>
        <rFont val="宋体"/>
        <charset val="134"/>
      </rPr>
      <t>4</t>
    </r>
  </si>
  <si>
    <r>
      <rPr>
        <sz val="10"/>
        <rFont val="宋体"/>
        <charset val="134"/>
      </rPr>
      <t>L</t>
    </r>
    <r>
      <rPr>
        <vertAlign val="subscript"/>
        <sz val="10"/>
        <rFont val="宋体"/>
        <charset val="134"/>
      </rPr>
      <t>1</t>
    </r>
  </si>
  <si>
    <r>
      <rPr>
        <sz val="10"/>
        <rFont val="宋体"/>
        <charset val="134"/>
      </rPr>
      <t>尾清阻力F</t>
    </r>
    <r>
      <rPr>
        <vertAlign val="subscript"/>
        <sz val="10"/>
        <rFont val="宋体"/>
        <charset val="134"/>
      </rPr>
      <t>4</t>
    </r>
  </si>
  <si>
    <t>β(弧度）</t>
  </si>
  <si>
    <r>
      <rPr>
        <sz val="10"/>
        <rFont val="宋体"/>
        <charset val="134"/>
      </rPr>
      <t>S</t>
    </r>
    <r>
      <rPr>
        <vertAlign val="subscript"/>
        <sz val="10"/>
        <rFont val="宋体"/>
        <charset val="134"/>
      </rPr>
      <t>kmin</t>
    </r>
    <r>
      <rPr>
        <sz val="10"/>
        <rFont val="宋体"/>
        <charset val="134"/>
      </rPr>
      <t>=</t>
    </r>
  </si>
  <si>
    <t>满足空载段胶带垂度要求</t>
  </si>
  <si>
    <t>7. 拉紧力计算(淘宝店铺:枫启教育)</t>
  </si>
  <si>
    <t>(1)拉紧力(式1）M=</t>
  </si>
  <si>
    <r>
      <rPr>
        <sz val="10"/>
        <rFont val="宋体"/>
        <charset val="134"/>
      </rPr>
      <t>2.0S</t>
    </r>
    <r>
      <rPr>
        <vertAlign val="subscript"/>
        <sz val="10"/>
        <rFont val="宋体"/>
        <charset val="134"/>
      </rPr>
      <t>5</t>
    </r>
  </si>
  <si>
    <t>取</t>
  </si>
  <si>
    <t>(2)拉紧力(式2）G=</t>
  </si>
  <si>
    <r>
      <rPr>
        <sz val="10"/>
        <rFont val="宋体"/>
        <charset val="134"/>
      </rPr>
      <t>2.1[Fu/(g(e</t>
    </r>
    <r>
      <rPr>
        <vertAlign val="superscript"/>
        <sz val="10"/>
        <rFont val="宋体"/>
        <charset val="134"/>
      </rPr>
      <t>μФ</t>
    </r>
    <r>
      <rPr>
        <sz val="10"/>
        <rFont val="宋体"/>
        <charset val="134"/>
      </rPr>
      <t>-1))+(q</t>
    </r>
    <r>
      <rPr>
        <vertAlign val="subscript"/>
        <sz val="10"/>
        <rFont val="宋体"/>
        <charset val="134"/>
      </rPr>
      <t>0</t>
    </r>
    <r>
      <rPr>
        <sz val="10"/>
        <rFont val="宋体"/>
        <charset val="134"/>
      </rPr>
      <t>+q</t>
    </r>
    <r>
      <rPr>
        <vertAlign val="subscript"/>
        <sz val="10"/>
        <rFont val="宋体"/>
        <charset val="134"/>
      </rPr>
      <t>2</t>
    </r>
    <r>
      <rPr>
        <sz val="10"/>
        <rFont val="宋体"/>
        <charset val="134"/>
      </rPr>
      <t>)ωL</t>
    </r>
    <r>
      <rPr>
        <vertAlign val="subscript"/>
        <sz val="10"/>
        <rFont val="宋体"/>
        <charset val="134"/>
      </rPr>
      <t>1</t>
    </r>
    <r>
      <rPr>
        <sz val="10"/>
        <rFont val="宋体"/>
        <charset val="134"/>
      </rPr>
      <t>-q</t>
    </r>
    <r>
      <rPr>
        <vertAlign val="subscript"/>
        <sz val="10"/>
        <rFont val="宋体"/>
        <charset val="134"/>
      </rPr>
      <t>0</t>
    </r>
    <r>
      <rPr>
        <sz val="10"/>
        <rFont val="宋体"/>
        <charset val="134"/>
      </rPr>
      <t>L</t>
    </r>
    <r>
      <rPr>
        <vertAlign val="subscript"/>
        <sz val="10"/>
        <rFont val="宋体"/>
        <charset val="134"/>
      </rPr>
      <t>1</t>
    </r>
    <r>
      <rPr>
        <sz val="10"/>
        <rFont val="宋体"/>
        <charset val="134"/>
      </rPr>
      <t>tgβ]</t>
    </r>
  </si>
  <si>
    <t>ω=</t>
  </si>
  <si>
    <t>Fu</t>
  </si>
  <si>
    <t>Ф</t>
  </si>
  <si>
    <r>
      <rPr>
        <sz val="10"/>
        <rFont val="宋体"/>
        <charset val="134"/>
      </rPr>
      <t>e</t>
    </r>
    <r>
      <rPr>
        <vertAlign val="superscript"/>
        <sz val="10"/>
        <rFont val="宋体"/>
        <charset val="134"/>
      </rPr>
      <t>μФ</t>
    </r>
  </si>
  <si>
    <t>kg      =</t>
  </si>
  <si>
    <t>（该值仅供参考）</t>
  </si>
  <si>
    <t>8.拉紧行程</t>
  </si>
  <si>
    <t>帆布带</t>
  </si>
  <si>
    <t>尼龙带</t>
  </si>
  <si>
    <t>钢丝绳带</t>
  </si>
  <si>
    <r>
      <rPr>
        <sz val="10"/>
        <rFont val="宋体"/>
        <charset val="134"/>
      </rPr>
      <t>L</t>
    </r>
    <r>
      <rPr>
        <vertAlign val="subscript"/>
        <sz val="10"/>
        <rFont val="宋体"/>
        <charset val="134"/>
      </rPr>
      <t>L</t>
    </r>
    <r>
      <rPr>
        <sz val="10"/>
        <rFont val="宋体"/>
        <charset val="134"/>
      </rPr>
      <t>≥</t>
    </r>
  </si>
  <si>
    <r>
      <rPr>
        <sz val="10"/>
        <rFont val="宋体"/>
        <charset val="134"/>
      </rPr>
      <t>L(ε+ε</t>
    </r>
    <r>
      <rPr>
        <vertAlign val="subscript"/>
        <sz val="10"/>
        <rFont val="宋体"/>
        <charset val="134"/>
      </rPr>
      <t>1</t>
    </r>
    <r>
      <rPr>
        <sz val="10"/>
        <rFont val="宋体"/>
        <charset val="134"/>
      </rPr>
      <t>)+ln</t>
    </r>
  </si>
  <si>
    <r>
      <rPr>
        <sz val="10"/>
        <rFont val="宋体"/>
        <charset val="134"/>
      </rPr>
      <t>ε</t>
    </r>
    <r>
      <rPr>
        <vertAlign val="subscript"/>
        <sz val="10"/>
        <rFont val="宋体"/>
        <charset val="134"/>
      </rPr>
      <t>1</t>
    </r>
  </si>
  <si>
    <t>ln</t>
  </si>
  <si>
    <t>1个接头长度+1m</t>
  </si>
  <si>
    <t>9. 头部传动滚筒合力(淘宝店铺:枫启教育)</t>
  </si>
  <si>
    <r>
      <rPr>
        <sz val="10"/>
        <rFont val="宋体"/>
        <charset val="134"/>
      </rPr>
      <t>传动滚筒F</t>
    </r>
    <r>
      <rPr>
        <vertAlign val="subscript"/>
        <sz val="10"/>
        <rFont val="宋体"/>
        <charset val="134"/>
      </rPr>
      <t>t1</t>
    </r>
    <r>
      <rPr>
        <sz val="10"/>
        <rFont val="宋体"/>
        <charset val="134"/>
      </rPr>
      <t>=</t>
    </r>
  </si>
  <si>
    <r>
      <rPr>
        <sz val="10"/>
        <rFont val="宋体"/>
        <charset val="134"/>
      </rPr>
      <t>S</t>
    </r>
    <r>
      <rPr>
        <vertAlign val="subscript"/>
        <sz val="10"/>
        <rFont val="宋体"/>
        <charset val="134"/>
      </rPr>
      <t>1</t>
    </r>
    <r>
      <rPr>
        <sz val="10"/>
        <rFont val="宋体"/>
        <charset val="134"/>
      </rPr>
      <t>+S</t>
    </r>
    <r>
      <rPr>
        <vertAlign val="subscript"/>
        <sz val="10"/>
        <rFont val="宋体"/>
        <charset val="134"/>
      </rPr>
      <t xml:space="preserve">2     </t>
    </r>
    <r>
      <rPr>
        <sz val="10"/>
        <rFont val="宋体"/>
        <charset val="134"/>
      </rPr>
      <t>=</t>
    </r>
  </si>
  <si>
    <r>
      <rPr>
        <sz val="10"/>
        <rFont val="宋体"/>
        <charset val="134"/>
      </rPr>
      <t>F</t>
    </r>
    <r>
      <rPr>
        <vertAlign val="subscript"/>
        <sz val="10"/>
        <rFont val="宋体"/>
        <charset val="134"/>
      </rPr>
      <t>t1</t>
    </r>
    <r>
      <rPr>
        <sz val="10"/>
        <rFont val="宋体"/>
        <charset val="134"/>
      </rPr>
      <t>=</t>
    </r>
  </si>
  <si>
    <t>10. 尾部改向滚筒合力</t>
  </si>
  <si>
    <r>
      <rPr>
        <sz val="10"/>
        <rFont val="宋体"/>
        <charset val="134"/>
      </rPr>
      <t>F</t>
    </r>
    <r>
      <rPr>
        <vertAlign val="subscript"/>
        <sz val="10"/>
        <rFont val="宋体"/>
        <charset val="134"/>
      </rPr>
      <t>w</t>
    </r>
    <r>
      <rPr>
        <sz val="10"/>
        <rFont val="宋体"/>
        <charset val="134"/>
      </rPr>
      <t>=</t>
    </r>
  </si>
  <si>
    <r>
      <rPr>
        <sz val="10"/>
        <rFont val="宋体"/>
        <charset val="134"/>
      </rPr>
      <t>S</t>
    </r>
    <r>
      <rPr>
        <vertAlign val="subscript"/>
        <sz val="10"/>
        <rFont val="宋体"/>
        <charset val="134"/>
      </rPr>
      <t>3</t>
    </r>
    <r>
      <rPr>
        <sz val="10"/>
        <rFont val="宋体"/>
        <charset val="134"/>
      </rPr>
      <t>+S</t>
    </r>
    <r>
      <rPr>
        <vertAlign val="subscript"/>
        <sz val="10"/>
        <rFont val="宋体"/>
        <charset val="134"/>
      </rPr>
      <t xml:space="preserve">4    </t>
    </r>
    <r>
      <rPr>
        <sz val="10"/>
        <rFont val="宋体"/>
        <charset val="134"/>
      </rPr>
      <t>=</t>
    </r>
  </si>
  <si>
    <t>11.头部传动滚筒最大转距</t>
  </si>
  <si>
    <t>Mn=</t>
  </si>
  <si>
    <r>
      <rPr>
        <sz val="10"/>
        <rFont val="宋体"/>
        <charset val="134"/>
      </rPr>
      <t>K</t>
    </r>
    <r>
      <rPr>
        <vertAlign val="subscript"/>
        <sz val="10"/>
        <rFont val="宋体"/>
        <charset val="134"/>
      </rPr>
      <t>A</t>
    </r>
    <r>
      <rPr>
        <sz val="10"/>
        <rFont val="宋体"/>
        <charset val="134"/>
      </rPr>
      <t>F</t>
    </r>
    <r>
      <rPr>
        <vertAlign val="subscript"/>
        <sz val="10"/>
        <rFont val="宋体"/>
        <charset val="134"/>
      </rPr>
      <t>u</t>
    </r>
    <r>
      <rPr>
        <sz val="10"/>
        <rFont val="宋体"/>
        <charset val="134"/>
      </rPr>
      <t>dr</t>
    </r>
  </si>
  <si>
    <t xml:space="preserve"> dr--驱动滚筒半径；</t>
  </si>
  <si>
    <t>KN.m</t>
  </si>
  <si>
    <t>dr=</t>
  </si>
  <si>
    <t>七、胶带及托辊安全验算(淘宝店铺:枫启教育)</t>
  </si>
  <si>
    <t>⒈ 胶带强度校核</t>
  </si>
  <si>
    <t>胶带接头采用硫化接头连接，其强度取带强的80%。安全系数</t>
  </si>
  <si>
    <t xml:space="preserve">   胶带层数</t>
  </si>
  <si>
    <t>Z=</t>
  </si>
  <si>
    <r>
      <rPr>
        <sz val="10"/>
        <rFont val="宋体"/>
        <charset val="134"/>
      </rPr>
      <t>S</t>
    </r>
    <r>
      <rPr>
        <vertAlign val="subscript"/>
        <sz val="10"/>
        <rFont val="宋体"/>
        <charset val="134"/>
      </rPr>
      <t>2</t>
    </r>
    <r>
      <rPr>
        <sz val="10"/>
        <rFont val="宋体"/>
        <charset val="134"/>
      </rPr>
      <t>n/Bσ</t>
    </r>
  </si>
  <si>
    <t>取层数Z=</t>
  </si>
  <si>
    <t>2.辊子载荷校核</t>
  </si>
  <si>
    <t>⑴ 净载荷校核</t>
  </si>
  <si>
    <t>① 重载段辊子校核</t>
  </si>
  <si>
    <r>
      <rPr>
        <sz val="10"/>
        <rFont val="宋体"/>
        <charset val="134"/>
      </rPr>
      <t>ea</t>
    </r>
    <r>
      <rPr>
        <vertAlign val="subscript"/>
        <sz val="10"/>
        <rFont val="宋体"/>
        <charset val="134"/>
      </rPr>
      <t>0</t>
    </r>
    <r>
      <rPr>
        <sz val="10"/>
        <rFont val="宋体"/>
        <charset val="134"/>
      </rPr>
      <t>g(Im/v+q</t>
    </r>
    <r>
      <rPr>
        <vertAlign val="subscript"/>
        <sz val="10"/>
        <rFont val="宋体"/>
        <charset val="134"/>
      </rPr>
      <t>0</t>
    </r>
    <r>
      <rPr>
        <sz val="10"/>
        <rFont val="宋体"/>
        <charset val="134"/>
      </rPr>
      <t>)</t>
    </r>
  </si>
  <si>
    <t xml:space="preserve"> e--辊子载荷系数； </t>
  </si>
  <si>
    <t>e=</t>
  </si>
  <si>
    <t xml:space="preserve"> Im--输送能力； </t>
  </si>
  <si>
    <r>
      <rPr>
        <sz val="10"/>
        <rFont val="宋体"/>
        <charset val="134"/>
      </rPr>
      <t>q</t>
    </r>
    <r>
      <rPr>
        <vertAlign val="subscript"/>
        <sz val="10"/>
        <rFont val="宋体"/>
        <charset val="134"/>
      </rPr>
      <t>0</t>
    </r>
    <r>
      <rPr>
        <sz val="10"/>
        <rFont val="宋体"/>
        <charset val="134"/>
      </rPr>
      <t>=</t>
    </r>
  </si>
  <si>
    <t>Im=</t>
  </si>
  <si>
    <t>Q/3.6</t>
  </si>
  <si>
    <t>kg/s</t>
  </si>
  <si>
    <r>
      <rPr>
        <sz val="10"/>
        <rFont val="宋体"/>
        <charset val="134"/>
      </rPr>
      <t>辊子额定载荷P</t>
    </r>
    <r>
      <rPr>
        <vertAlign val="subscript"/>
        <sz val="10"/>
        <rFont val="宋体"/>
        <charset val="134"/>
      </rPr>
      <t>0e</t>
    </r>
    <r>
      <rPr>
        <sz val="10"/>
        <rFont val="宋体"/>
        <charset val="134"/>
      </rPr>
      <t>=</t>
    </r>
  </si>
  <si>
    <t>满足</t>
  </si>
  <si>
    <t>② 空载段辊子校核</t>
  </si>
  <si>
    <r>
      <rPr>
        <sz val="10"/>
        <rFont val="宋体"/>
        <charset val="134"/>
      </rPr>
      <t>P</t>
    </r>
    <r>
      <rPr>
        <vertAlign val="subscript"/>
        <sz val="10"/>
        <rFont val="宋体"/>
        <charset val="134"/>
      </rPr>
      <t>u</t>
    </r>
    <r>
      <rPr>
        <sz val="10"/>
        <rFont val="宋体"/>
        <charset val="134"/>
      </rPr>
      <t>=</t>
    </r>
  </si>
  <si>
    <r>
      <rPr>
        <sz val="10"/>
        <rFont val="宋体"/>
        <charset val="134"/>
      </rPr>
      <t>ea</t>
    </r>
    <r>
      <rPr>
        <vertAlign val="subscript"/>
        <sz val="10"/>
        <rFont val="宋体"/>
        <charset val="134"/>
      </rPr>
      <t>u</t>
    </r>
    <r>
      <rPr>
        <sz val="10"/>
        <rFont val="宋体"/>
        <charset val="134"/>
      </rPr>
      <t>q</t>
    </r>
    <r>
      <rPr>
        <vertAlign val="subscript"/>
        <sz val="10"/>
        <rFont val="宋体"/>
        <charset val="134"/>
      </rPr>
      <t>0</t>
    </r>
    <r>
      <rPr>
        <sz val="10"/>
        <rFont val="宋体"/>
        <charset val="134"/>
      </rPr>
      <t>g</t>
    </r>
  </si>
  <si>
    <r>
      <rPr>
        <sz val="10"/>
        <rFont val="宋体"/>
        <charset val="134"/>
      </rPr>
      <t>辊子额定载荷P</t>
    </r>
    <r>
      <rPr>
        <vertAlign val="subscript"/>
        <sz val="10"/>
        <rFont val="宋体"/>
        <charset val="134"/>
      </rPr>
      <t>ue</t>
    </r>
    <r>
      <rPr>
        <sz val="10"/>
        <rFont val="宋体"/>
        <charset val="134"/>
      </rPr>
      <t>=</t>
    </r>
  </si>
  <si>
    <t>⑵ 动载荷校核</t>
  </si>
  <si>
    <r>
      <rPr>
        <sz val="10"/>
        <rFont val="宋体"/>
        <charset val="134"/>
      </rPr>
      <t>P</t>
    </r>
    <r>
      <rPr>
        <vertAlign val="subscript"/>
        <sz val="10"/>
        <rFont val="宋体"/>
        <charset val="134"/>
      </rPr>
      <t>0</t>
    </r>
    <r>
      <rPr>
        <vertAlign val="superscript"/>
        <sz val="10"/>
        <rFont val="宋体"/>
        <charset val="134"/>
      </rPr>
      <t>'</t>
    </r>
    <r>
      <rPr>
        <sz val="10"/>
        <rFont val="宋体"/>
        <charset val="134"/>
      </rPr>
      <t>=</t>
    </r>
  </si>
  <si>
    <r>
      <rPr>
        <sz val="10"/>
        <rFont val="宋体"/>
        <charset val="134"/>
      </rPr>
      <t>P</t>
    </r>
    <r>
      <rPr>
        <vertAlign val="subscript"/>
        <sz val="10"/>
        <rFont val="宋体"/>
        <charset val="134"/>
      </rPr>
      <t>0</t>
    </r>
    <r>
      <rPr>
        <sz val="10"/>
        <rFont val="宋体"/>
        <charset val="134"/>
      </rPr>
      <t>f</t>
    </r>
    <r>
      <rPr>
        <vertAlign val="subscript"/>
        <sz val="10"/>
        <rFont val="宋体"/>
        <charset val="134"/>
      </rPr>
      <t>s</t>
    </r>
    <r>
      <rPr>
        <sz val="10"/>
        <rFont val="宋体"/>
        <charset val="134"/>
      </rPr>
      <t>f</t>
    </r>
    <r>
      <rPr>
        <vertAlign val="subscript"/>
        <sz val="10"/>
        <rFont val="宋体"/>
        <charset val="134"/>
      </rPr>
      <t>d</t>
    </r>
    <r>
      <rPr>
        <sz val="10"/>
        <rFont val="宋体"/>
        <charset val="134"/>
      </rPr>
      <t>f</t>
    </r>
    <r>
      <rPr>
        <vertAlign val="subscript"/>
        <sz val="10"/>
        <rFont val="宋体"/>
        <charset val="134"/>
      </rPr>
      <t>a</t>
    </r>
  </si>
  <si>
    <r>
      <rPr>
        <sz val="10"/>
        <rFont val="宋体"/>
        <charset val="134"/>
      </rPr>
      <t xml:space="preserve"> f</t>
    </r>
    <r>
      <rPr>
        <vertAlign val="subscript"/>
        <sz val="10"/>
        <rFont val="宋体"/>
        <charset val="134"/>
      </rPr>
      <t>s</t>
    </r>
    <r>
      <rPr>
        <sz val="10"/>
        <rFont val="宋体"/>
        <charset val="134"/>
      </rPr>
      <t xml:space="preserve">--运行系数； </t>
    </r>
  </si>
  <si>
    <t>fs=</t>
  </si>
  <si>
    <r>
      <rPr>
        <sz val="10"/>
        <rFont val="宋体"/>
        <charset val="134"/>
      </rPr>
      <t xml:space="preserve"> f</t>
    </r>
    <r>
      <rPr>
        <vertAlign val="subscript"/>
        <sz val="10"/>
        <rFont val="宋体"/>
        <charset val="134"/>
      </rPr>
      <t>d</t>
    </r>
    <r>
      <rPr>
        <sz val="10"/>
        <rFont val="宋体"/>
        <charset val="134"/>
      </rPr>
      <t xml:space="preserve">--冲击系数； </t>
    </r>
  </si>
  <si>
    <t>fd=</t>
  </si>
  <si>
    <r>
      <rPr>
        <sz val="10"/>
        <rFont val="宋体"/>
        <charset val="134"/>
      </rPr>
      <t xml:space="preserve"> f</t>
    </r>
    <r>
      <rPr>
        <vertAlign val="subscript"/>
        <sz val="10"/>
        <rFont val="宋体"/>
        <charset val="134"/>
      </rPr>
      <t>a</t>
    </r>
    <r>
      <rPr>
        <sz val="10"/>
        <rFont val="宋体"/>
        <charset val="134"/>
      </rPr>
      <t xml:space="preserve">--工况系数； </t>
    </r>
  </si>
  <si>
    <t>fa=</t>
  </si>
  <si>
    <r>
      <rPr>
        <sz val="10"/>
        <rFont val="宋体"/>
        <charset val="134"/>
      </rPr>
      <t>P</t>
    </r>
    <r>
      <rPr>
        <vertAlign val="subscript"/>
        <sz val="10"/>
        <rFont val="宋体"/>
        <charset val="134"/>
      </rPr>
      <t>u</t>
    </r>
    <r>
      <rPr>
        <vertAlign val="superscript"/>
        <sz val="10"/>
        <rFont val="宋体"/>
        <charset val="134"/>
      </rPr>
      <t>'</t>
    </r>
    <r>
      <rPr>
        <sz val="10"/>
        <rFont val="宋体"/>
        <charset val="134"/>
      </rPr>
      <t>=</t>
    </r>
  </si>
  <si>
    <r>
      <rPr>
        <sz val="10"/>
        <rFont val="宋体"/>
        <charset val="134"/>
      </rPr>
      <t>P</t>
    </r>
    <r>
      <rPr>
        <vertAlign val="subscript"/>
        <sz val="10"/>
        <rFont val="宋体"/>
        <charset val="134"/>
      </rPr>
      <t>u</t>
    </r>
    <r>
      <rPr>
        <sz val="10"/>
        <rFont val="宋体"/>
        <charset val="134"/>
      </rPr>
      <t>f</t>
    </r>
    <r>
      <rPr>
        <vertAlign val="subscript"/>
        <sz val="10"/>
        <rFont val="宋体"/>
        <charset val="134"/>
      </rPr>
      <t>s</t>
    </r>
    <r>
      <rPr>
        <sz val="10"/>
        <rFont val="宋体"/>
        <charset val="134"/>
      </rPr>
      <t>f</t>
    </r>
    <r>
      <rPr>
        <vertAlign val="subscript"/>
        <sz val="10"/>
        <rFont val="宋体"/>
        <charset val="134"/>
      </rPr>
      <t>a</t>
    </r>
  </si>
  <si>
    <r>
      <rPr>
        <sz val="10"/>
        <rFont val="宋体"/>
        <charset val="134"/>
      </rPr>
      <t>P</t>
    </r>
    <r>
      <rPr>
        <vertAlign val="subscript"/>
        <sz val="10"/>
        <rFont val="宋体"/>
        <charset val="134"/>
      </rPr>
      <t>u</t>
    </r>
  </si>
  <si>
    <t>fs</t>
  </si>
  <si>
    <t>fa</t>
  </si>
  <si>
    <t>种类</t>
  </si>
  <si>
    <t xml:space="preserve"> 胶带宽度</t>
  </si>
  <si>
    <t>TD75型</t>
  </si>
  <si>
    <t>DTII型</t>
  </si>
  <si>
    <r>
      <rPr>
        <b/>
        <u/>
        <sz val="14"/>
        <color indexed="60"/>
        <rFont val="宋体"/>
        <charset val="134"/>
      </rPr>
      <t xml:space="preserve">无功补偿容量选择 </t>
    </r>
    <r>
      <rPr>
        <b/>
        <sz val="14"/>
        <color indexed="60"/>
        <rFont val="宋体"/>
        <charset val="134"/>
      </rPr>
      <t xml:space="preserve">        </t>
    </r>
    <r>
      <rPr>
        <sz val="14"/>
        <color indexed="60"/>
        <rFont val="宋体"/>
        <charset val="134"/>
      </rPr>
      <t xml:space="preserve">                                                                                                                                                    </t>
    </r>
    <r>
      <rPr>
        <b/>
        <sz val="14"/>
        <color indexed="60"/>
        <rFont val="宋体"/>
        <charset val="134"/>
      </rPr>
      <t xml:space="preserve">                                        </t>
    </r>
    <r>
      <rPr>
        <sz val="14"/>
        <color indexed="60"/>
        <rFont val="宋体"/>
        <charset val="134"/>
      </rPr>
      <t xml:space="preserve">                                                        </t>
    </r>
  </si>
  <si>
    <t>1.已知数据输入界面(淘宝店铺:枫启教育)</t>
  </si>
  <si>
    <t>整流变容量</t>
  </si>
  <si>
    <t>有功</t>
  </si>
  <si>
    <t>无功</t>
  </si>
  <si>
    <t>视在功率</t>
  </si>
  <si>
    <t>负载率</t>
  </si>
  <si>
    <t>最大负荷有功功率(kW)</t>
  </si>
  <si>
    <t>补偿前cosφ</t>
  </si>
  <si>
    <t>补偿后cosφ</t>
  </si>
  <si>
    <t>2.计算结果界面</t>
  </si>
  <si>
    <t>无功补偿容量(kvar)</t>
  </si>
  <si>
    <r>
      <rPr>
        <b/>
        <u/>
        <sz val="12"/>
        <color indexed="60"/>
        <rFont val="宋体"/>
        <charset val="134"/>
      </rPr>
      <t xml:space="preserve">2.并联电容器额定电压选择 </t>
    </r>
    <r>
      <rPr>
        <b/>
        <sz val="12"/>
        <color indexed="60"/>
        <rFont val="宋体"/>
        <charset val="134"/>
      </rPr>
      <t xml:space="preserve">        </t>
    </r>
    <r>
      <rPr>
        <sz val="12"/>
        <color indexed="60"/>
        <rFont val="宋体"/>
        <charset val="134"/>
      </rPr>
      <t xml:space="preserve">                                                                                                                                                    </t>
    </r>
    <r>
      <rPr>
        <b/>
        <sz val="12"/>
        <color indexed="60"/>
        <rFont val="宋体"/>
        <charset val="134"/>
      </rPr>
      <t xml:space="preserve">                                        </t>
    </r>
    <r>
      <rPr>
        <sz val="12"/>
        <color indexed="60"/>
        <rFont val="宋体"/>
        <charset val="134"/>
      </rPr>
      <t xml:space="preserve">                                                        </t>
    </r>
  </si>
  <si>
    <t>1)已知参数输入界面(淘宝店铺:枫启教育)</t>
  </si>
  <si>
    <t>电网标称电压Us（Kv)</t>
  </si>
  <si>
    <t>串联段数S</t>
  </si>
  <si>
    <t>电抗率（%）</t>
  </si>
  <si>
    <t>运行电压与电网电压倍数</t>
  </si>
  <si>
    <t>并联电容器容量（kvar)</t>
  </si>
  <si>
    <t>2)计算结果（电容器额定电压kV)</t>
  </si>
  <si>
    <t>电容器额定电压Uc（Kv)</t>
  </si>
  <si>
    <t>√3</t>
  </si>
  <si>
    <t xml:space="preserve">备注：    (淘宝店铺:枫启教育)                 Uc电容器端子运行电压(Kv)；Us并联电容器端子的母线电压(Kv)；S每相电容器的串联段数 ；K电抗率   </t>
  </si>
  <si>
    <r>
      <rPr>
        <b/>
        <u/>
        <sz val="12"/>
        <color indexed="60"/>
        <rFont val="宋体"/>
        <charset val="134"/>
      </rPr>
      <t xml:space="preserve">3.串联电抗器额定端电压、额定容量的选择 </t>
    </r>
    <r>
      <rPr>
        <b/>
        <sz val="12"/>
        <color indexed="60"/>
        <rFont val="宋体"/>
        <charset val="134"/>
      </rPr>
      <t xml:space="preserve">        </t>
    </r>
    <r>
      <rPr>
        <sz val="12"/>
        <color indexed="60"/>
        <rFont val="宋体"/>
        <charset val="134"/>
      </rPr>
      <t xml:space="preserve">                                                                                                                                                    </t>
    </r>
    <r>
      <rPr>
        <b/>
        <sz val="12"/>
        <color indexed="60"/>
        <rFont val="宋体"/>
        <charset val="134"/>
      </rPr>
      <t xml:space="preserve">                                        </t>
    </r>
    <r>
      <rPr>
        <sz val="12"/>
        <color indexed="60"/>
        <rFont val="宋体"/>
        <charset val="134"/>
      </rPr>
      <t xml:space="preserve">                                                        </t>
    </r>
  </si>
  <si>
    <t>1)计算结果（串联电抗器额定端电压kV)</t>
  </si>
  <si>
    <t>电抗器额定端电压（Kv)</t>
  </si>
  <si>
    <t>2)计算结果（串联电抗器额定容量（kvar)</t>
  </si>
  <si>
    <t>电抗器额定容量（kvar)</t>
  </si>
  <si>
    <r>
      <rPr>
        <b/>
        <u/>
        <sz val="12"/>
        <color indexed="60"/>
        <rFont val="宋体"/>
        <charset val="134"/>
      </rPr>
      <t xml:space="preserve">4.串联电抗器后引起电容器运行电压升高值 </t>
    </r>
    <r>
      <rPr>
        <b/>
        <sz val="12"/>
        <color indexed="60"/>
        <rFont val="宋体"/>
        <charset val="134"/>
      </rPr>
      <t xml:space="preserve">        </t>
    </r>
    <r>
      <rPr>
        <sz val="12"/>
        <color indexed="60"/>
        <rFont val="宋体"/>
        <charset val="134"/>
      </rPr>
      <t xml:space="preserve">                                                                                                                                                    </t>
    </r>
    <r>
      <rPr>
        <b/>
        <sz val="12"/>
        <color indexed="60"/>
        <rFont val="宋体"/>
        <charset val="134"/>
      </rPr>
      <t xml:space="preserve">                                        </t>
    </r>
    <r>
      <rPr>
        <sz val="12"/>
        <color indexed="60"/>
        <rFont val="宋体"/>
        <charset val="134"/>
      </rPr>
      <t xml:space="preserve">                                                        </t>
    </r>
  </si>
  <si>
    <t>电容器升高值Uc（v)</t>
  </si>
  <si>
    <t>备注：    (淘宝店铺:枫启教育)                                                              参考公式见《并联电容器、串联电抗器额定电压的选择》                           《DL 462-1992高压并联电容器用串联电抗器订货技术条件》</t>
  </si>
  <si>
    <r>
      <rPr>
        <b/>
        <u/>
        <sz val="14"/>
        <color indexed="60"/>
        <rFont val="宋体"/>
        <charset val="134"/>
      </rPr>
      <t xml:space="preserve">电容器实际输出容量计算 </t>
    </r>
    <r>
      <rPr>
        <b/>
        <sz val="14"/>
        <color indexed="60"/>
        <rFont val="宋体"/>
        <charset val="134"/>
      </rPr>
      <t xml:space="preserve">        </t>
    </r>
    <r>
      <rPr>
        <sz val="14"/>
        <color indexed="60"/>
        <rFont val="宋体"/>
        <charset val="134"/>
      </rPr>
      <t xml:space="preserve">                                                                                                                                                    </t>
    </r>
    <r>
      <rPr>
        <b/>
        <sz val="14"/>
        <color indexed="60"/>
        <rFont val="宋体"/>
        <charset val="134"/>
      </rPr>
      <t xml:space="preserve">                                        </t>
    </r>
    <r>
      <rPr>
        <sz val="14"/>
        <color indexed="60"/>
        <rFont val="宋体"/>
        <charset val="134"/>
      </rPr>
      <t xml:space="preserve">                                                        </t>
    </r>
  </si>
  <si>
    <t>1.已知数据输入界面</t>
  </si>
  <si>
    <t>并联电容器容（kvar)</t>
  </si>
  <si>
    <t>电容器额定电压（kv)</t>
  </si>
  <si>
    <t>串联电抗器额定电压（kv)</t>
  </si>
  <si>
    <t>2.中间计算过程（电抗器容量及感抗）(淘宝店铺:枫启教育)</t>
  </si>
  <si>
    <t>1）每台串联电抗器容量（kvar)</t>
  </si>
  <si>
    <t>2）每台串联电抗器感抗Xl（Ω)</t>
  </si>
  <si>
    <t>3.中间计算过程（当电容器额定电压、接入网上电压确定）(淘宝店铺:枫启教育)</t>
  </si>
  <si>
    <t>电容器额定电压U（kv)</t>
  </si>
  <si>
    <t>接入网上电压U（kv)</t>
  </si>
  <si>
    <t>4.计算结果(淘宝店铺:枫启教育)</t>
  </si>
  <si>
    <t>1）并联电容器每相容抗（Ω)</t>
  </si>
  <si>
    <t>2）实际电抗率%</t>
  </si>
  <si>
    <t>选择的电抗率%</t>
  </si>
  <si>
    <t>3）当并联电容器接入电网后输出的容量及电压(淘宝店铺:枫启教育)</t>
  </si>
  <si>
    <t>并联电容器端电压（kv)</t>
  </si>
  <si>
    <t>并联电容器输出容量（kvar)</t>
  </si>
  <si>
    <t>输出原容量（%）</t>
  </si>
  <si>
    <t>备注：   (淘宝店铺:枫启教育)                                                                            参考公式见《并联电容器、串联电抗器额定电压的选择》                           《DL 462-1992高压并联电容器用串联电抗器订货技术条件》</t>
  </si>
  <si>
    <t>最远点距离</t>
  </si>
  <si>
    <t>最近点距离</t>
  </si>
  <si>
    <t>平均线长</t>
  </si>
  <si>
    <t>每点线长</t>
  </si>
  <si>
    <t>每箱线点数</t>
  </si>
  <si>
    <t>(向下取整)</t>
  </si>
  <si>
    <t>总点数</t>
  </si>
  <si>
    <t>总箱数</t>
  </si>
  <si>
    <t>(向上取整)</t>
  </si>
  <si>
    <t>(红色框为需填项)</t>
  </si>
  <si>
    <r>
      <rPr>
        <b/>
        <sz val="30"/>
        <color indexed="15"/>
        <rFont val="宋体"/>
        <charset val="134"/>
      </rPr>
      <t>避雷针防雷计算（</t>
    </r>
    <r>
      <rPr>
        <b/>
        <sz val="30"/>
        <color indexed="15"/>
        <rFont val="Times New Roman"/>
        <charset val="134"/>
      </rPr>
      <t>H&lt;120</t>
    </r>
    <r>
      <rPr>
        <b/>
        <sz val="30"/>
        <color indexed="15"/>
        <rFont val="宋体"/>
        <charset val="134"/>
      </rPr>
      <t>）</t>
    </r>
  </si>
  <si>
    <t>请输入避雷针相关参数：</t>
  </si>
  <si>
    <r>
      <rPr>
        <sz val="14"/>
        <color indexed="15"/>
        <rFont val="宋体"/>
        <charset val="134"/>
      </rPr>
      <t>避雷针</t>
    </r>
    <r>
      <rPr>
        <sz val="14"/>
        <color indexed="15"/>
        <rFont val="Times New Roman"/>
        <charset val="134"/>
      </rPr>
      <t>A</t>
    </r>
    <r>
      <rPr>
        <sz val="14"/>
        <color indexed="15"/>
        <rFont val="宋体"/>
        <charset val="134"/>
      </rPr>
      <t>的高度（</t>
    </r>
    <r>
      <rPr>
        <sz val="14"/>
        <color indexed="15"/>
        <rFont val="Times New Roman"/>
        <charset val="134"/>
      </rPr>
      <t>h</t>
    </r>
    <r>
      <rPr>
        <sz val="14"/>
        <color indexed="15"/>
        <rFont val="宋体"/>
        <charset val="134"/>
      </rPr>
      <t>）：</t>
    </r>
  </si>
  <si>
    <r>
      <rPr>
        <sz val="14"/>
        <color indexed="15"/>
        <rFont val="宋体"/>
        <charset val="134"/>
      </rPr>
      <t>避雷针</t>
    </r>
    <r>
      <rPr>
        <sz val="14"/>
        <color indexed="15"/>
        <rFont val="Times New Roman"/>
        <charset val="134"/>
      </rPr>
      <t>B</t>
    </r>
    <r>
      <rPr>
        <sz val="14"/>
        <color indexed="15"/>
        <rFont val="宋体"/>
        <charset val="134"/>
      </rPr>
      <t>的高度（</t>
    </r>
    <r>
      <rPr>
        <sz val="14"/>
        <color indexed="15"/>
        <rFont val="Times New Roman"/>
        <charset val="134"/>
      </rPr>
      <t>h</t>
    </r>
    <r>
      <rPr>
        <sz val="14"/>
        <color indexed="15"/>
        <rFont val="宋体"/>
        <charset val="134"/>
      </rPr>
      <t>）：</t>
    </r>
  </si>
  <si>
    <r>
      <rPr>
        <sz val="14"/>
        <color indexed="15"/>
        <rFont val="宋体"/>
        <charset val="134"/>
      </rPr>
      <t>两避雷针之间的距离（</t>
    </r>
    <r>
      <rPr>
        <sz val="14"/>
        <color indexed="15"/>
        <rFont val="Times New Roman"/>
        <charset val="134"/>
      </rPr>
      <t>D</t>
    </r>
    <r>
      <rPr>
        <sz val="14"/>
        <color indexed="15"/>
        <rFont val="宋体"/>
        <charset val="134"/>
      </rPr>
      <t>）：</t>
    </r>
  </si>
  <si>
    <r>
      <rPr>
        <sz val="14"/>
        <color indexed="15"/>
        <rFont val="宋体"/>
        <charset val="134"/>
      </rPr>
      <t>被保护物的高度（</t>
    </r>
    <r>
      <rPr>
        <sz val="14"/>
        <color indexed="15"/>
        <rFont val="Times New Roman"/>
        <charset val="134"/>
      </rPr>
      <t>h</t>
    </r>
    <r>
      <rPr>
        <sz val="12"/>
        <color indexed="15"/>
        <rFont val="Times New Roman"/>
        <charset val="134"/>
      </rPr>
      <t>x</t>
    </r>
    <r>
      <rPr>
        <sz val="14"/>
        <color indexed="15"/>
        <rFont val="宋体"/>
        <charset val="134"/>
      </rPr>
      <t>）：</t>
    </r>
  </si>
  <si>
    <t>计算结果为：</t>
  </si>
  <si>
    <r>
      <rPr>
        <sz val="14"/>
        <color indexed="15"/>
        <rFont val="宋体"/>
        <charset val="134"/>
      </rPr>
      <t>避雷针</t>
    </r>
    <r>
      <rPr>
        <sz val="14"/>
        <color indexed="15"/>
        <rFont val="Times New Roman"/>
        <charset val="134"/>
      </rPr>
      <t>A</t>
    </r>
    <r>
      <rPr>
        <sz val="14"/>
        <color indexed="15"/>
        <rFont val="宋体"/>
        <charset val="134"/>
      </rPr>
      <t>的保护半径</t>
    </r>
    <r>
      <rPr>
        <sz val="14"/>
        <color indexed="15"/>
        <rFont val="Times New Roman"/>
        <charset val="134"/>
      </rPr>
      <t>r</t>
    </r>
    <r>
      <rPr>
        <sz val="12"/>
        <color indexed="15"/>
        <rFont val="Times New Roman"/>
        <charset val="134"/>
      </rPr>
      <t>x</t>
    </r>
    <r>
      <rPr>
        <sz val="12"/>
        <color indexed="15"/>
        <rFont val="宋体"/>
        <charset val="134"/>
      </rPr>
      <t>：</t>
    </r>
  </si>
  <si>
    <r>
      <rPr>
        <sz val="14"/>
        <color indexed="15"/>
        <rFont val="宋体"/>
        <charset val="134"/>
      </rPr>
      <t>避雷针</t>
    </r>
    <r>
      <rPr>
        <sz val="14"/>
        <color indexed="15"/>
        <rFont val="Times New Roman"/>
        <charset val="134"/>
      </rPr>
      <t>B</t>
    </r>
    <r>
      <rPr>
        <sz val="14"/>
        <color indexed="15"/>
        <rFont val="宋体"/>
        <charset val="134"/>
      </rPr>
      <t>的保护半径</t>
    </r>
    <r>
      <rPr>
        <sz val="14"/>
        <color indexed="15"/>
        <rFont val="Times New Roman"/>
        <charset val="134"/>
      </rPr>
      <t>r</t>
    </r>
    <r>
      <rPr>
        <sz val="12"/>
        <color indexed="15"/>
        <rFont val="Times New Roman"/>
        <charset val="134"/>
      </rPr>
      <t>x</t>
    </r>
    <r>
      <rPr>
        <sz val="14"/>
        <color indexed="15"/>
        <rFont val="宋体"/>
        <charset val="134"/>
      </rPr>
      <t>：</t>
    </r>
  </si>
  <si>
    <r>
      <rPr>
        <sz val="14"/>
        <color indexed="15"/>
        <rFont val="宋体"/>
        <charset val="134"/>
      </rPr>
      <t>两针保护最低点高度</t>
    </r>
    <r>
      <rPr>
        <sz val="14"/>
        <color indexed="15"/>
        <rFont val="Times New Roman"/>
        <charset val="134"/>
      </rPr>
      <t>h</t>
    </r>
    <r>
      <rPr>
        <sz val="12"/>
        <color indexed="15"/>
        <rFont val="Times New Roman"/>
        <charset val="134"/>
      </rPr>
      <t>0</t>
    </r>
    <r>
      <rPr>
        <sz val="14"/>
        <color indexed="15"/>
        <rFont val="宋体"/>
        <charset val="134"/>
      </rPr>
      <t>：</t>
    </r>
  </si>
  <si>
    <r>
      <rPr>
        <sz val="14"/>
        <color indexed="15"/>
        <rFont val="宋体"/>
        <charset val="134"/>
      </rPr>
      <t>两针水平之间最小保护宽度</t>
    </r>
    <r>
      <rPr>
        <sz val="14"/>
        <color indexed="15"/>
        <rFont val="Times New Roman"/>
        <charset val="134"/>
      </rPr>
      <t>b</t>
    </r>
    <r>
      <rPr>
        <sz val="12"/>
        <color indexed="15"/>
        <rFont val="Times New Roman"/>
        <charset val="134"/>
      </rPr>
      <t>x</t>
    </r>
    <r>
      <rPr>
        <sz val="12"/>
        <color indexed="15"/>
        <rFont val="宋体"/>
        <charset val="134"/>
      </rPr>
      <t>：</t>
    </r>
  </si>
  <si>
    <t>齿轮齿条电机选型(淘宝店铺:枫启机械教育)</t>
  </si>
  <si>
    <t>返回目录</t>
  </si>
  <si>
    <t>质量</t>
  </si>
  <si>
    <t>180+10+80+10</t>
  </si>
  <si>
    <t>路程</t>
  </si>
  <si>
    <t>s=</t>
  </si>
  <si>
    <t>齿轮模数</t>
  </si>
  <si>
    <t>S=vt+½at²</t>
  </si>
  <si>
    <t>齿轮齿数</t>
  </si>
  <si>
    <t>z=</t>
  </si>
  <si>
    <t>齿轮半径</t>
  </si>
  <si>
    <t>R=</t>
  </si>
  <si>
    <t>电机扭矩</t>
  </si>
  <si>
    <t>NM</t>
  </si>
  <si>
    <t>30-90</t>
  </si>
  <si>
    <t>2000-4000</t>
  </si>
  <si>
    <t>加减速条件</t>
  </si>
  <si>
    <t>a&gt;</t>
  </si>
  <si>
    <t>m/s^2</t>
  </si>
  <si>
    <t>a&gt;4s/t^2</t>
  </si>
  <si>
    <t>重力</t>
  </si>
  <si>
    <t>mg=</t>
  </si>
  <si>
    <t>物体受的重力</t>
  </si>
  <si>
    <t>摩擦力</t>
  </si>
  <si>
    <t>f=</t>
  </si>
  <si>
    <t>电机要带动</t>
  </si>
  <si>
    <t>牵引力</t>
  </si>
  <si>
    <t>电机剩余的力（加速度力）</t>
  </si>
  <si>
    <t>加速度</t>
  </si>
  <si>
    <t>a=</t>
  </si>
  <si>
    <t>加速度确认</t>
  </si>
  <si>
    <t>t1=</t>
  </si>
  <si>
    <t>无效解</t>
  </si>
  <si>
    <t>匀速时间</t>
  </si>
  <si>
    <t>t2=</t>
  </si>
  <si>
    <t>匀速速度</t>
  </si>
  <si>
    <t>vt1=</t>
  </si>
  <si>
    <t>最高速度</t>
  </si>
  <si>
    <t>路程确认</t>
  </si>
  <si>
    <t>匀速时电机速度</t>
  </si>
  <si>
    <t>校核电机转速情况</t>
  </si>
  <si>
    <t>MP=2πM</t>
  </si>
  <si>
    <r>
      <rPr>
        <b/>
        <sz val="18"/>
        <color rgb="FFFFFFFF"/>
        <rFont val="굴림"/>
        <charset val="134"/>
      </rPr>
      <t>倍速</t>
    </r>
    <r>
      <rPr>
        <b/>
        <sz val="18"/>
        <color indexed="9"/>
        <rFont val="宋体"/>
        <charset val="134"/>
      </rPr>
      <t>链线马达功率计算</t>
    </r>
  </si>
  <si>
    <t>变量参数</t>
  </si>
  <si>
    <t>输送速度</t>
  </si>
  <si>
    <t>速度倍速</t>
  </si>
  <si>
    <t>输送链轮直径</t>
  </si>
  <si>
    <t>电机效率</t>
  </si>
  <si>
    <r>
      <rPr>
        <b/>
        <sz val="12"/>
        <rFont val="宋体"/>
        <charset val="134"/>
      </rPr>
      <t>η</t>
    </r>
    <r>
      <rPr>
        <b/>
        <sz val="13.8"/>
        <rFont val="Arial"/>
        <charset val="134"/>
      </rPr>
      <t>1</t>
    </r>
  </si>
  <si>
    <t>输送机构效率</t>
  </si>
  <si>
    <r>
      <rPr>
        <b/>
        <sz val="12"/>
        <rFont val="宋体"/>
        <charset val="134"/>
      </rPr>
      <t>η</t>
    </r>
    <r>
      <rPr>
        <b/>
        <sz val="13.8"/>
        <rFont val="宋体"/>
        <charset val="134"/>
      </rPr>
      <t>2</t>
    </r>
  </si>
  <si>
    <t>电机轴链轮</t>
  </si>
  <si>
    <t>Z1</t>
  </si>
  <si>
    <t>主动轴链轮</t>
  </si>
  <si>
    <t>Z2</t>
  </si>
  <si>
    <t>输送工件总重量</t>
  </si>
  <si>
    <t>M1</t>
  </si>
  <si>
    <t>KG</t>
  </si>
  <si>
    <t>链条重量</t>
  </si>
  <si>
    <t>M2</t>
  </si>
  <si>
    <t>转动物重量</t>
  </si>
  <si>
    <t>M3</t>
  </si>
  <si>
    <t>电机加速时间</t>
  </si>
  <si>
    <r>
      <rPr>
        <sz val="12"/>
        <rFont val="宋体"/>
        <charset val="134"/>
      </rPr>
      <t>静</t>
    </r>
    <r>
      <rPr>
        <sz val="12"/>
        <rFont val="굴림"/>
        <charset val="134"/>
      </rPr>
      <t>摩擦系</t>
    </r>
    <r>
      <rPr>
        <sz val="12"/>
        <rFont val="宋体"/>
        <charset val="134"/>
      </rPr>
      <t>数（滑动摩擦）</t>
    </r>
  </si>
  <si>
    <t>μ2</t>
  </si>
  <si>
    <t>得出</t>
  </si>
  <si>
    <t>链条速度</t>
  </si>
  <si>
    <t>Va</t>
  </si>
  <si>
    <t>驱动轴转速</t>
  </si>
  <si>
    <t>n2</t>
  </si>
  <si>
    <t>输送链加速度</t>
  </si>
  <si>
    <t>驱动轴角加速度</t>
  </si>
  <si>
    <t>α</t>
  </si>
  <si>
    <t>rad/s^2</t>
  </si>
  <si>
    <t>马达转速</t>
  </si>
  <si>
    <t>n1</t>
  </si>
  <si>
    <t>输送加速度需要扭矩</t>
  </si>
  <si>
    <t>T1</t>
  </si>
  <si>
    <t>转动物加速度需要扭矩</t>
  </si>
  <si>
    <t>T2</t>
  </si>
  <si>
    <r>
      <rPr>
        <sz val="12"/>
        <rFont val="굴림"/>
        <charset val="134"/>
      </rPr>
      <t>克服</t>
    </r>
    <r>
      <rPr>
        <sz val="12"/>
        <rFont val="宋体"/>
        <charset val="134"/>
      </rPr>
      <t>静摩擦力需要的扭矩</t>
    </r>
  </si>
  <si>
    <t>T3</t>
  </si>
  <si>
    <t>驱动轴所需最小扭矩</t>
  </si>
  <si>
    <t>Te</t>
  </si>
  <si>
    <t>马达所需最小扭矩</t>
  </si>
  <si>
    <t>Ma</t>
  </si>
  <si>
    <t>马达功率</t>
  </si>
  <si>
    <t>kw</t>
  </si>
  <si>
    <r>
      <rPr>
        <sz val="12"/>
        <color rgb="FF000000"/>
        <rFont val="宋体"/>
        <charset val="134"/>
      </rPr>
      <t>减速机速比i</t>
    </r>
    <r>
      <rPr>
        <vertAlign val="subscript"/>
        <sz val="12"/>
        <color rgb="FF000000"/>
        <rFont val="宋体"/>
        <charset val="134"/>
      </rPr>
      <t>1</t>
    </r>
  </si>
  <si>
    <t>入轴/出轴</t>
  </si>
  <si>
    <t>负重物质量m（kg）</t>
  </si>
  <si>
    <t>重力加速度g（m/s²）</t>
  </si>
  <si>
    <t>带轮传动效率η↓（手输）</t>
  </si>
  <si>
    <t>大带轮半径R（m）</t>
  </si>
  <si>
    <r>
      <rPr>
        <sz val="12"/>
        <color rgb="FF000000"/>
        <rFont val="宋体"/>
        <charset val="134"/>
      </rPr>
      <t>负重物力矩T</t>
    </r>
    <r>
      <rPr>
        <vertAlign val="subscript"/>
        <sz val="12"/>
        <color rgb="FF000000"/>
        <rFont val="宋体"/>
        <charset val="134"/>
      </rPr>
      <t>物</t>
    </r>
    <r>
      <rPr>
        <sz val="12"/>
        <color rgb="FF000000"/>
        <rFont val="宋体"/>
        <charset val="134"/>
      </rPr>
      <t>(N.m)</t>
    </r>
  </si>
  <si>
    <r>
      <rPr>
        <sz val="12"/>
        <color rgb="FF000000"/>
        <rFont val="宋体"/>
        <charset val="134"/>
      </rPr>
      <t>输出轴与大带轮传动比i</t>
    </r>
    <r>
      <rPr>
        <vertAlign val="subscript"/>
        <sz val="12"/>
        <color rgb="FF000000"/>
        <rFont val="宋体"/>
        <charset val="134"/>
      </rPr>
      <t>2</t>
    </r>
  </si>
  <si>
    <r>
      <rPr>
        <sz val="12"/>
        <color rgb="FF000000"/>
        <rFont val="宋体"/>
        <charset val="134"/>
      </rPr>
      <t>输出轴理论力矩T</t>
    </r>
    <r>
      <rPr>
        <vertAlign val="subscript"/>
        <sz val="12"/>
        <color rgb="FF000000"/>
        <rFont val="宋体"/>
        <charset val="134"/>
      </rPr>
      <t>理</t>
    </r>
    <r>
      <rPr>
        <sz val="12"/>
        <color rgb="FF000000"/>
        <rFont val="宋体"/>
        <charset val="134"/>
      </rPr>
      <t>(N.m)</t>
    </r>
  </si>
  <si>
    <r>
      <rPr>
        <sz val="12"/>
        <color rgb="FF000000"/>
        <rFont val="宋体"/>
        <charset val="134"/>
      </rPr>
      <t>温度修正系数a</t>
    </r>
    <r>
      <rPr>
        <vertAlign val="subscript"/>
        <sz val="12"/>
        <color rgb="FF000000"/>
        <rFont val="宋体"/>
        <charset val="134"/>
      </rPr>
      <t>1</t>
    </r>
  </si>
  <si>
    <t>查下表1</t>
  </si>
  <si>
    <r>
      <rPr>
        <sz val="12"/>
        <color rgb="FF000000"/>
        <rFont val="宋体"/>
        <charset val="134"/>
      </rPr>
      <t>工况修正系数a</t>
    </r>
    <r>
      <rPr>
        <vertAlign val="subscript"/>
        <sz val="12"/>
        <color rgb="FF000000"/>
        <rFont val="宋体"/>
        <charset val="134"/>
      </rPr>
      <t>2</t>
    </r>
  </si>
  <si>
    <t>查下表2</t>
  </si>
  <si>
    <r>
      <rPr>
        <sz val="12"/>
        <color rgb="FF000000"/>
        <rFont val="宋体"/>
        <charset val="134"/>
      </rPr>
      <t>输出轴实际力矩T</t>
    </r>
    <r>
      <rPr>
        <vertAlign val="subscript"/>
        <sz val="12"/>
        <color rgb="FF000000"/>
        <rFont val="宋体"/>
        <charset val="134"/>
      </rPr>
      <t>出</t>
    </r>
    <r>
      <rPr>
        <sz val="12"/>
        <color rgb="FF000000"/>
        <rFont val="宋体"/>
        <charset val="134"/>
      </rPr>
      <t>(N.m)</t>
    </r>
  </si>
  <si>
    <r>
      <rPr>
        <sz val="12"/>
        <color rgb="FF000000"/>
        <rFont val="宋体"/>
        <charset val="134"/>
      </rPr>
      <t>入力轴电机转速n</t>
    </r>
    <r>
      <rPr>
        <vertAlign val="subscript"/>
        <sz val="12"/>
        <color rgb="FF000000"/>
        <rFont val="宋体"/>
        <charset val="134"/>
      </rPr>
      <t>入</t>
    </r>
    <r>
      <rPr>
        <sz val="12"/>
        <color rgb="FF000000"/>
        <rFont val="宋体"/>
        <charset val="134"/>
      </rPr>
      <t>（r/min）</t>
    </r>
  </si>
  <si>
    <r>
      <rPr>
        <sz val="12"/>
        <color rgb="FF000000"/>
        <rFont val="宋体"/>
        <charset val="134"/>
      </rPr>
      <t>出力轴电机转速n</t>
    </r>
    <r>
      <rPr>
        <vertAlign val="subscript"/>
        <sz val="12"/>
        <color rgb="FF000000"/>
        <rFont val="宋体"/>
        <charset val="134"/>
      </rPr>
      <t>出</t>
    </r>
    <r>
      <rPr>
        <sz val="12"/>
        <color rgb="FF000000"/>
        <rFont val="宋体"/>
        <charset val="134"/>
      </rPr>
      <t>（r/min）</t>
    </r>
  </si>
  <si>
    <t>减速机传动效率系数u</t>
  </si>
  <si>
    <t>查下表3</t>
  </si>
  <si>
    <t>入力轴功率P（KW）</t>
  </si>
  <si>
    <t>注：根据出力轴力矩和入力轴功率查相应型号选择减速机</t>
  </si>
  <si>
    <r>
      <rPr>
        <sz val="16"/>
        <color rgb="FFC00000"/>
        <rFont val="宋体"/>
        <charset val="134"/>
      </rPr>
      <t>表1：工作环境温度系数a</t>
    </r>
    <r>
      <rPr>
        <vertAlign val="subscript"/>
        <sz val="16"/>
        <color rgb="FFC00000"/>
        <rFont val="宋体"/>
        <charset val="134"/>
      </rPr>
      <t>1</t>
    </r>
  </si>
  <si>
    <t>环境温度℃</t>
  </si>
  <si>
    <t>10～25</t>
  </si>
  <si>
    <t>26～30</t>
  </si>
  <si>
    <t>31～40</t>
  </si>
  <si>
    <t>41～50</t>
  </si>
  <si>
    <r>
      <rPr>
        <sz val="14"/>
        <color indexed="10"/>
        <rFont val="宋体"/>
        <charset val="134"/>
      </rPr>
      <t>a</t>
    </r>
    <r>
      <rPr>
        <vertAlign val="subscript"/>
        <sz val="14"/>
        <color indexed="10"/>
        <rFont val="宋体"/>
        <charset val="134"/>
      </rPr>
      <t>1</t>
    </r>
  </si>
  <si>
    <r>
      <rPr>
        <sz val="16"/>
        <color rgb="FFC00000"/>
        <rFont val="宋体"/>
        <charset val="134"/>
      </rPr>
      <t>表2：工作状况修正系数a</t>
    </r>
    <r>
      <rPr>
        <vertAlign val="subscript"/>
        <sz val="16"/>
        <color rgb="FFC00000"/>
        <rFont val="宋体"/>
        <charset val="134"/>
      </rPr>
      <t>2</t>
    </r>
  </si>
  <si>
    <t>运行状况</t>
  </si>
  <si>
    <t>24小时内运行实际时间（h）</t>
  </si>
  <si>
    <t>≤2</t>
  </si>
  <si>
    <t>＞2～10</t>
  </si>
  <si>
    <t>＞10～24</t>
  </si>
  <si>
    <t>平稳运行</t>
  </si>
  <si>
    <t>中度冲击载荷</t>
  </si>
  <si>
    <t>加大冲击载荷</t>
  </si>
  <si>
    <t>如果运行中，每小时开启次数或正反转，换向次数≥12次，那么上表中的数值再乘以1.2。</t>
  </si>
  <si>
    <t>表3：减速机转动效率系数u</t>
  </si>
  <si>
    <t>速比</t>
  </si>
  <si>
    <t>1:50、60</t>
  </si>
  <si>
    <t>0.76～0.90</t>
  </si>
  <si>
    <t>0.75～0.86</t>
  </si>
  <si>
    <t>0.74～0.84</t>
  </si>
  <si>
    <t>0.72～0.82</t>
  </si>
  <si>
    <t>0.68～0.70</t>
  </si>
  <si>
    <t>0.65～0.75</t>
  </si>
  <si>
    <t>0.62～0.72 0.60～0.70</t>
  </si>
  <si>
    <t>传动滚筒轴功率</t>
  </si>
  <si>
    <r>
      <rPr>
        <sz val="12"/>
        <rFont val="宋体"/>
        <charset val="134"/>
      </rPr>
      <t>对于</t>
    </r>
    <r>
      <rPr>
        <sz val="12"/>
        <rFont val="Times New Roman"/>
        <charset val="134"/>
      </rPr>
      <t>L</t>
    </r>
    <r>
      <rPr>
        <sz val="12"/>
        <rFont val="宋体"/>
        <charset val="134"/>
      </rPr>
      <t>＜</t>
    </r>
    <r>
      <rPr>
        <sz val="12"/>
        <rFont val="Times New Roman"/>
        <charset val="134"/>
      </rPr>
      <t>80m</t>
    </r>
    <r>
      <rPr>
        <sz val="12"/>
        <rFont val="宋体"/>
        <charset val="134"/>
      </rPr>
      <t>的带式输送机，可根据以下公式进行简易计算：</t>
    </r>
  </si>
  <si>
    <r>
      <rPr>
        <b/>
        <sz val="12"/>
        <rFont val="Times New Roman"/>
        <charset val="134"/>
      </rPr>
      <t>P</t>
    </r>
    <r>
      <rPr>
        <b/>
        <vertAlign val="subscript"/>
        <sz val="12"/>
        <rFont val="Times New Roman"/>
        <charset val="134"/>
      </rPr>
      <t>A</t>
    </r>
    <r>
      <rPr>
        <b/>
        <sz val="12"/>
        <rFont val="Times New Roman"/>
        <charset val="134"/>
      </rPr>
      <t>=</t>
    </r>
    <r>
      <rPr>
        <b/>
        <sz val="12"/>
        <rFont val="宋体"/>
        <charset val="134"/>
      </rPr>
      <t>（</t>
    </r>
    <r>
      <rPr>
        <b/>
        <sz val="12"/>
        <rFont val="Times New Roman"/>
        <charset val="134"/>
      </rPr>
      <t>k</t>
    </r>
    <r>
      <rPr>
        <b/>
        <vertAlign val="subscript"/>
        <sz val="12"/>
        <rFont val="Times New Roman"/>
        <charset val="134"/>
      </rPr>
      <t>1</t>
    </r>
    <r>
      <rPr>
        <b/>
        <sz val="12"/>
        <rFont val="Times New Roman"/>
        <charset val="134"/>
      </rPr>
      <t>L</t>
    </r>
    <r>
      <rPr>
        <b/>
        <vertAlign val="subscript"/>
        <sz val="12"/>
        <rFont val="Times New Roman"/>
        <charset val="134"/>
      </rPr>
      <t>n</t>
    </r>
    <r>
      <rPr>
        <b/>
        <sz val="12"/>
        <rFont val="Times New Roman"/>
        <charset val="134"/>
      </rPr>
      <t>v+k</t>
    </r>
    <r>
      <rPr>
        <b/>
        <vertAlign val="subscript"/>
        <sz val="12"/>
        <rFont val="Times New Roman"/>
        <charset val="134"/>
      </rPr>
      <t>2</t>
    </r>
    <r>
      <rPr>
        <b/>
        <sz val="12"/>
        <rFont val="Times New Roman"/>
        <charset val="134"/>
      </rPr>
      <t>L</t>
    </r>
    <r>
      <rPr>
        <b/>
        <vertAlign val="subscript"/>
        <sz val="12"/>
        <rFont val="Times New Roman"/>
        <charset val="134"/>
      </rPr>
      <t>n</t>
    </r>
    <r>
      <rPr>
        <b/>
        <sz val="12"/>
        <rFont val="Times New Roman"/>
        <charset val="134"/>
      </rPr>
      <t>Q±0.0273QH</t>
    </r>
    <r>
      <rPr>
        <b/>
        <sz val="12"/>
        <rFont val="宋体"/>
        <charset val="134"/>
      </rPr>
      <t>）</t>
    </r>
    <r>
      <rPr>
        <b/>
        <sz val="12"/>
        <rFont val="Times New Roman"/>
        <charset val="134"/>
      </rPr>
      <t>k</t>
    </r>
    <r>
      <rPr>
        <b/>
        <vertAlign val="subscript"/>
        <sz val="12"/>
        <rFont val="Times New Roman"/>
        <charset val="134"/>
      </rPr>
      <t>3</t>
    </r>
    <r>
      <rPr>
        <b/>
        <sz val="12"/>
        <rFont val="Times New Roman"/>
        <charset val="134"/>
      </rPr>
      <t>k</t>
    </r>
    <r>
      <rPr>
        <b/>
        <vertAlign val="subscript"/>
        <sz val="12"/>
        <rFont val="Times New Roman"/>
        <charset val="134"/>
      </rPr>
      <t>4</t>
    </r>
    <r>
      <rPr>
        <b/>
        <sz val="12"/>
        <rFont val="Times New Roman"/>
        <charset val="134"/>
      </rPr>
      <t>+</t>
    </r>
    <r>
      <rPr>
        <b/>
        <sz val="12"/>
        <rFont val="宋体"/>
        <charset val="134"/>
      </rPr>
      <t>∑</t>
    </r>
    <r>
      <rPr>
        <b/>
        <sz val="12"/>
        <rFont val="Times New Roman"/>
        <charset val="134"/>
      </rPr>
      <t>P</t>
    </r>
    <r>
      <rPr>
        <b/>
        <vertAlign val="superscript"/>
        <sz val="12"/>
        <rFont val="Times New Roman"/>
        <charset val="134"/>
      </rPr>
      <t>/</t>
    </r>
  </si>
  <si>
    <r>
      <rPr>
        <b/>
        <sz val="12"/>
        <rFont val="宋体"/>
        <charset val="134"/>
      </rPr>
      <t>k</t>
    </r>
    <r>
      <rPr>
        <b/>
        <vertAlign val="subscript"/>
        <sz val="12"/>
        <rFont val="宋体"/>
        <charset val="134"/>
      </rPr>
      <t>1</t>
    </r>
    <r>
      <rPr>
        <b/>
        <sz val="12"/>
        <rFont val="宋体"/>
        <charset val="134"/>
      </rPr>
      <t>L</t>
    </r>
    <r>
      <rPr>
        <b/>
        <vertAlign val="subscript"/>
        <sz val="12"/>
        <rFont val="宋体"/>
        <charset val="134"/>
      </rPr>
      <t>n</t>
    </r>
    <r>
      <rPr>
        <b/>
        <sz val="12"/>
        <rFont val="宋体"/>
        <charset val="134"/>
      </rPr>
      <t>v</t>
    </r>
    <r>
      <rPr>
        <sz val="12"/>
        <rFont val="宋体"/>
        <charset val="134"/>
      </rPr>
      <t>：输送带及托辊转动部分运转功率，KW；</t>
    </r>
  </si>
  <si>
    <r>
      <rPr>
        <b/>
        <sz val="12"/>
        <rFont val="宋体"/>
        <charset val="134"/>
      </rPr>
      <t>k</t>
    </r>
    <r>
      <rPr>
        <b/>
        <vertAlign val="subscript"/>
        <sz val="12"/>
        <rFont val="宋体"/>
        <charset val="134"/>
      </rPr>
      <t>2</t>
    </r>
    <r>
      <rPr>
        <b/>
        <sz val="12"/>
        <rFont val="宋体"/>
        <charset val="134"/>
      </rPr>
      <t>L</t>
    </r>
    <r>
      <rPr>
        <b/>
        <vertAlign val="subscript"/>
        <sz val="12"/>
        <rFont val="宋体"/>
        <charset val="134"/>
      </rPr>
      <t>n</t>
    </r>
    <r>
      <rPr>
        <b/>
        <sz val="12"/>
        <rFont val="宋体"/>
        <charset val="134"/>
      </rPr>
      <t>Q</t>
    </r>
    <r>
      <rPr>
        <sz val="12"/>
        <rFont val="宋体"/>
        <charset val="134"/>
      </rPr>
      <t>：物料水平提升功率，KW；</t>
    </r>
  </si>
  <si>
    <r>
      <rPr>
        <b/>
        <sz val="12"/>
        <rFont val="宋体"/>
        <charset val="134"/>
      </rPr>
      <t>0.0273QH</t>
    </r>
    <r>
      <rPr>
        <sz val="12"/>
        <rFont val="宋体"/>
        <charset val="134"/>
      </rPr>
      <t>：物料垂直提升功率，物料向下输送时取“+”，向下输送时取“-”，KW。</t>
    </r>
  </si>
  <si>
    <t>1#</t>
  </si>
  <si>
    <t>2#</t>
  </si>
  <si>
    <t>3#</t>
  </si>
  <si>
    <t>4#</t>
  </si>
  <si>
    <t>5#</t>
  </si>
  <si>
    <t>6#</t>
  </si>
  <si>
    <t>7#</t>
  </si>
  <si>
    <t>8#</t>
  </si>
  <si>
    <r>
      <rPr>
        <b/>
        <sz val="14"/>
        <rFont val="宋体"/>
        <charset val="134"/>
      </rPr>
      <t>表</t>
    </r>
    <r>
      <rPr>
        <b/>
        <sz val="14"/>
        <rFont val="Times New Roman"/>
        <charset val="134"/>
      </rPr>
      <t xml:space="preserve">5   </t>
    </r>
    <r>
      <rPr>
        <b/>
        <sz val="14"/>
        <rFont val="宋体"/>
        <charset val="134"/>
      </rPr>
      <t>槽长超过</t>
    </r>
    <r>
      <rPr>
        <b/>
        <sz val="14"/>
        <rFont val="Times New Roman"/>
        <charset val="134"/>
      </rPr>
      <t>3m</t>
    </r>
    <r>
      <rPr>
        <b/>
        <sz val="14"/>
        <rFont val="宋体"/>
        <charset val="134"/>
      </rPr>
      <t>部分的附加功率</t>
    </r>
  </si>
  <si>
    <r>
      <rPr>
        <b/>
        <sz val="14"/>
        <rFont val="宋体"/>
        <charset val="134"/>
      </rPr>
      <t>犁式卸料器个数</t>
    </r>
    <r>
      <rPr>
        <b/>
        <sz val="14"/>
        <rFont val="Times New Roman"/>
        <charset val="134"/>
      </rPr>
      <t>/n</t>
    </r>
  </si>
  <si>
    <r>
      <rPr>
        <b/>
        <sz val="14"/>
        <rFont val="宋体"/>
        <charset val="134"/>
      </rPr>
      <t>导料槽超过</t>
    </r>
    <r>
      <rPr>
        <b/>
        <sz val="14"/>
        <rFont val="Times New Roman"/>
        <charset val="134"/>
      </rPr>
      <t>3m</t>
    </r>
    <r>
      <rPr>
        <b/>
        <sz val="14"/>
        <rFont val="宋体"/>
        <charset val="134"/>
      </rPr>
      <t>的长度</t>
    </r>
    <r>
      <rPr>
        <b/>
        <sz val="14"/>
        <rFont val="Times New Roman"/>
        <charset val="134"/>
      </rPr>
      <t>/L</t>
    </r>
  </si>
  <si>
    <r>
      <rPr>
        <b/>
        <sz val="12"/>
        <rFont val="宋体"/>
        <charset val="134"/>
      </rPr>
      <t>带宽</t>
    </r>
    <r>
      <rPr>
        <b/>
        <sz val="12"/>
        <rFont val="Times New Roman"/>
        <charset val="134"/>
      </rPr>
      <t>B/mm</t>
    </r>
  </si>
  <si>
    <r>
      <rPr>
        <b/>
        <sz val="12"/>
        <rFont val="Times New Roman"/>
        <charset val="134"/>
      </rPr>
      <t>P</t>
    </r>
    <r>
      <rPr>
        <b/>
        <vertAlign val="superscript"/>
        <sz val="12"/>
        <rFont val="Times New Roman"/>
        <charset val="134"/>
      </rPr>
      <t>/</t>
    </r>
    <r>
      <rPr>
        <b/>
        <sz val="12"/>
        <rFont val="Times New Roman"/>
        <charset val="134"/>
      </rPr>
      <t>/</t>
    </r>
    <r>
      <rPr>
        <b/>
        <sz val="11"/>
        <rFont val="Times New Roman"/>
        <charset val="134"/>
      </rPr>
      <t>KW</t>
    </r>
  </si>
  <si>
    <t>犁式卸料器</t>
  </si>
  <si>
    <t>0.3n</t>
  </si>
  <si>
    <t>0.4n</t>
  </si>
  <si>
    <t>0.5n</t>
  </si>
  <si>
    <t>1.0n</t>
  </si>
  <si>
    <t>导料槽</t>
  </si>
  <si>
    <t>0.08L</t>
  </si>
  <si>
    <t>0.09L</t>
  </si>
  <si>
    <t>0.10L</t>
  </si>
  <si>
    <t>0.115L</t>
  </si>
  <si>
    <t>0.18L</t>
  </si>
  <si>
    <r>
      <rPr>
        <b/>
        <sz val="12"/>
        <rFont val="Times New Roman"/>
        <charset val="134"/>
      </rPr>
      <t xml:space="preserve">          </t>
    </r>
    <r>
      <rPr>
        <b/>
        <sz val="12"/>
        <rFont val="宋体"/>
        <charset val="134"/>
      </rPr>
      <t>注：</t>
    </r>
    <r>
      <rPr>
        <sz val="12"/>
        <rFont val="宋体"/>
        <charset val="134"/>
      </rPr>
      <t>表中</t>
    </r>
    <r>
      <rPr>
        <sz val="12"/>
        <rFont val="Times New Roman"/>
        <charset val="134"/>
      </rPr>
      <t>n</t>
    </r>
    <r>
      <rPr>
        <sz val="12"/>
        <rFont val="宋体"/>
        <charset val="134"/>
      </rPr>
      <t>为犁式卸料器个数；</t>
    </r>
    <r>
      <rPr>
        <sz val="12"/>
        <rFont val="Times New Roman"/>
        <charset val="134"/>
      </rPr>
      <t>L</t>
    </r>
    <r>
      <rPr>
        <sz val="12"/>
        <rFont val="宋体"/>
        <charset val="134"/>
      </rPr>
      <t>为导料槽超过</t>
    </r>
    <r>
      <rPr>
        <sz val="12"/>
        <rFont val="Times New Roman"/>
        <charset val="134"/>
      </rPr>
      <t>3m</t>
    </r>
    <r>
      <rPr>
        <sz val="12"/>
        <rFont val="宋体"/>
        <charset val="134"/>
      </rPr>
      <t>的长度（</t>
    </r>
    <r>
      <rPr>
        <sz val="12"/>
        <rFont val="Times New Roman"/>
        <charset val="134"/>
      </rPr>
      <t>m</t>
    </r>
    <r>
      <rPr>
        <sz val="12"/>
        <rFont val="宋体"/>
        <charset val="134"/>
      </rPr>
      <t>）</t>
    </r>
    <r>
      <rPr>
        <sz val="12"/>
        <rFont val="Times New Roman"/>
        <charset val="134"/>
      </rPr>
      <t>,</t>
    </r>
    <r>
      <rPr>
        <sz val="12"/>
        <rFont val="宋体"/>
        <charset val="134"/>
      </rPr>
      <t>即</t>
    </r>
    <r>
      <rPr>
        <sz val="12"/>
        <rFont val="Times New Roman"/>
        <charset val="134"/>
      </rPr>
      <t>L</t>
    </r>
    <r>
      <rPr>
        <sz val="12"/>
        <rFont val="宋体"/>
        <charset val="134"/>
      </rPr>
      <t>等于导料槽总长减</t>
    </r>
    <r>
      <rPr>
        <sz val="12"/>
        <rFont val="Times New Roman"/>
        <charset val="134"/>
      </rPr>
      <t>3</t>
    </r>
    <r>
      <rPr>
        <sz val="12"/>
        <rFont val="宋体"/>
        <charset val="134"/>
      </rPr>
      <t>米。</t>
    </r>
  </si>
  <si>
    <t>电动机功率的计算</t>
  </si>
  <si>
    <r>
      <rPr>
        <sz val="12"/>
        <rFont val="宋体"/>
        <charset val="134"/>
      </rPr>
      <t>电动机功率</t>
    </r>
    <r>
      <rPr>
        <sz val="12"/>
        <rFont val="Times New Roman"/>
        <charset val="134"/>
      </rPr>
      <t xml:space="preserve"> </t>
    </r>
    <r>
      <rPr>
        <sz val="12"/>
        <rFont val="宋体"/>
        <charset val="134"/>
      </rPr>
      <t>：</t>
    </r>
    <r>
      <rPr>
        <b/>
        <sz val="12"/>
        <rFont val="Times New Roman"/>
        <charset val="134"/>
      </rPr>
      <t>P=kP</t>
    </r>
    <r>
      <rPr>
        <b/>
        <vertAlign val="subscript"/>
        <sz val="12"/>
        <rFont val="Times New Roman"/>
        <charset val="134"/>
      </rPr>
      <t>A</t>
    </r>
    <r>
      <rPr>
        <b/>
        <sz val="12"/>
        <rFont val="Times New Roman"/>
        <charset val="134"/>
      </rPr>
      <t>/</t>
    </r>
    <r>
      <rPr>
        <b/>
        <sz val="12"/>
        <rFont val="宋体"/>
        <charset val="134"/>
      </rPr>
      <t>η</t>
    </r>
  </si>
  <si>
    <t>意义</t>
  </si>
  <si>
    <t>电动机功率</t>
  </si>
  <si>
    <t>（物料向上输送时）</t>
  </si>
  <si>
    <t>功率备用系数</t>
  </si>
  <si>
    <r>
      <rPr>
        <b/>
        <sz val="12"/>
        <rFont val="Times New Roman"/>
        <charset val="134"/>
      </rPr>
      <t>P</t>
    </r>
    <r>
      <rPr>
        <b/>
        <vertAlign val="subscript"/>
        <sz val="12"/>
        <rFont val="Times New Roman"/>
        <charset val="134"/>
      </rPr>
      <t>A</t>
    </r>
  </si>
  <si>
    <t>电动机轴功率</t>
  </si>
  <si>
    <t>总传动系数</t>
  </si>
  <si>
    <r>
      <rPr>
        <sz val="12"/>
        <rFont val="宋体"/>
        <charset val="134"/>
      </rPr>
      <t>注：对于功率大于5.5KW的JO</t>
    </r>
    <r>
      <rPr>
        <vertAlign val="subscript"/>
        <sz val="12"/>
        <rFont val="宋体"/>
        <charset val="134"/>
      </rPr>
      <t>2</t>
    </r>
    <r>
      <rPr>
        <sz val="12"/>
        <rFont val="宋体"/>
        <charset val="134"/>
      </rPr>
      <t>型电动机k=1.4，其他电动机k=1.0；</t>
    </r>
  </si>
  <si>
    <r>
      <rPr>
        <sz val="12"/>
        <rFont val="Times New Roman"/>
        <charset val="134"/>
      </rPr>
      <t xml:space="preserve">        </t>
    </r>
    <r>
      <rPr>
        <sz val="12"/>
        <rFont val="宋体"/>
        <charset val="134"/>
      </rPr>
      <t>对于光面传动滚筒η</t>
    </r>
    <r>
      <rPr>
        <sz val="12"/>
        <rFont val="Times New Roman"/>
        <charset val="134"/>
      </rPr>
      <t>=0.88</t>
    </r>
    <r>
      <rPr>
        <sz val="12"/>
        <rFont val="宋体"/>
        <charset val="134"/>
      </rPr>
      <t>，对于胶面传动滚筒η</t>
    </r>
    <r>
      <rPr>
        <sz val="12"/>
        <rFont val="Times New Roman"/>
        <charset val="134"/>
      </rPr>
      <t>=0.90</t>
    </r>
    <r>
      <rPr>
        <sz val="12"/>
        <rFont val="宋体"/>
        <charset val="134"/>
      </rPr>
      <t>。</t>
    </r>
  </si>
</sst>
</file>

<file path=xl/styles.xml><?xml version="1.0" encoding="utf-8"?>
<styleSheet xmlns="http://schemas.openxmlformats.org/spreadsheetml/2006/main">
  <numFmts count="35">
    <numFmt numFmtId="176" formatCode="0.0000_);[Red]\(0.0000\)"/>
    <numFmt numFmtId="177" formatCode="0.0%"/>
    <numFmt numFmtId="41" formatCode="_ * #,##0_ ;_ * \-#,##0_ ;_ * &quot;-&quot;_ ;_ @_ "/>
    <numFmt numFmtId="42" formatCode="_ &quot;￥&quot;* #,##0_ ;_ &quot;￥&quot;* \-#,##0_ ;_ &quot;￥&quot;* &quot;-&quot;_ ;_ @_ "/>
    <numFmt numFmtId="43" formatCode="_ * #,##0.00_ ;_ * \-#,##0.00_ ;_ * &quot;-&quot;??_ ;_ @_ "/>
    <numFmt numFmtId="178" formatCode="_ \¥* #,##0.00_ ;_ \¥* \-#,##0.00_ ;_ \¥* &quot;-&quot;??_ ;_ @_ "/>
    <numFmt numFmtId="179" formatCode="0.0_);[Red]\(0.0\)"/>
    <numFmt numFmtId="180" formatCode="#,##0.0_ "/>
    <numFmt numFmtId="181" formatCode="0.00_);[Red]\(0.00\)"/>
    <numFmt numFmtId="182" formatCode="0.000_ "/>
    <numFmt numFmtId="183" formatCode="0_ "/>
    <numFmt numFmtId="184" formatCode="#,##0_ "/>
    <numFmt numFmtId="185" formatCode="0.00_ "/>
    <numFmt numFmtId="186" formatCode="0.0E+00"/>
    <numFmt numFmtId="187" formatCode="0.0_ "/>
    <numFmt numFmtId="188" formatCode="0.0;[Red]0.0"/>
    <numFmt numFmtId="189" formatCode="0.0000_ "/>
    <numFmt numFmtId="190" formatCode="0.00000_ "/>
    <numFmt numFmtId="191" formatCode="#\ ??/??"/>
    <numFmt numFmtId="192" formatCode="0.0"/>
    <numFmt numFmtId="193" formatCode="0.000"/>
    <numFmt numFmtId="194" formatCode="0;[Red]0"/>
    <numFmt numFmtId="195" formatCode="0.000_);[Red]\(0.000\)"/>
    <numFmt numFmtId="196" formatCode="0.0000000_ "/>
    <numFmt numFmtId="197" formatCode="[DBNum1][$-804]yyyy&quot;年&quot;m&quot;月&quot;d&quot;日&quot;;@"/>
    <numFmt numFmtId="198" formatCode="0_);[Red]\(0\)"/>
    <numFmt numFmtId="199" formatCode="0.00_);\(0.00\)"/>
    <numFmt numFmtId="200" formatCode="0.0000"/>
    <numFmt numFmtId="201" formatCode="#,##0.00_ "/>
    <numFmt numFmtId="202" formatCode="#,##0.000_ "/>
    <numFmt numFmtId="203" formatCode="0.000000_ "/>
    <numFmt numFmtId="204" formatCode="0.0000_ ;[Red]\-0.0000\ "/>
    <numFmt numFmtId="205" formatCode="0.00;[Red]0.00"/>
    <numFmt numFmtId="206" formatCode="0.000;[Red]0.000"/>
    <numFmt numFmtId="207" formatCode="0.000000_);[Red]\(0.000000\)"/>
  </numFmts>
  <fonts count="302">
    <font>
      <sz val="12"/>
      <name val="宋体"/>
      <charset val="134"/>
    </font>
    <font>
      <b/>
      <sz val="16"/>
      <name val="宋体"/>
      <charset val="134"/>
    </font>
    <font>
      <b/>
      <sz val="12"/>
      <name val="Times New Roman"/>
      <charset val="134"/>
    </font>
    <font>
      <b/>
      <sz val="12"/>
      <name val="宋体"/>
      <charset val="134"/>
    </font>
    <font>
      <b/>
      <sz val="14"/>
      <name val="宋体"/>
      <charset val="134"/>
    </font>
    <font>
      <sz val="12"/>
      <name val="Times New Roman"/>
      <charset val="134"/>
    </font>
    <font>
      <sz val="14"/>
      <name val="宋体"/>
      <charset val="134"/>
    </font>
    <font>
      <u/>
      <sz val="12"/>
      <color indexed="12"/>
      <name val="宋体"/>
      <charset val="134"/>
    </font>
    <font>
      <sz val="11"/>
      <color rgb="FF000000"/>
      <name val="宋体"/>
      <charset val="134"/>
    </font>
    <font>
      <sz val="20"/>
      <color indexed="10"/>
      <name val="宋体"/>
      <charset val="134"/>
    </font>
    <font>
      <sz val="12"/>
      <color rgb="FF000000"/>
      <name val="宋体"/>
      <charset val="134"/>
    </font>
    <font>
      <sz val="16"/>
      <color rgb="FF000000"/>
      <name val="宋体"/>
      <charset val="134"/>
    </font>
    <font>
      <sz val="9"/>
      <color rgb="FF000000"/>
      <name val="宋体"/>
      <charset val="134"/>
    </font>
    <font>
      <sz val="16"/>
      <color rgb="FFC00000"/>
      <name val="宋体"/>
      <charset val="134"/>
    </font>
    <font>
      <sz val="16"/>
      <color rgb="FFF79646"/>
      <name val="宋体"/>
      <charset val="134"/>
    </font>
    <font>
      <sz val="16"/>
      <color rgb="FFFF0000"/>
      <name val="宋体"/>
      <charset val="134"/>
    </font>
    <font>
      <sz val="10"/>
      <color rgb="FFC00000"/>
      <name val="宋体"/>
      <charset val="134"/>
    </font>
    <font>
      <sz val="14"/>
      <color indexed="10"/>
      <name val="宋体"/>
      <charset val="134"/>
    </font>
    <font>
      <sz val="12"/>
      <color rgb="FFC00000"/>
      <name val="宋体"/>
      <charset val="134"/>
    </font>
    <font>
      <sz val="10"/>
      <color rgb="FF000000"/>
      <name val="宋体"/>
      <charset val="134"/>
    </font>
    <font>
      <sz val="12"/>
      <name val="Arial"/>
      <charset val="134"/>
    </font>
    <font>
      <b/>
      <sz val="18"/>
      <color rgb="FFFFFFFF"/>
      <name val="굴림"/>
      <charset val="134"/>
    </font>
    <font>
      <sz val="12"/>
      <name val="굴림"/>
      <charset val="134"/>
    </font>
    <font>
      <b/>
      <sz val="12"/>
      <name val="Arial"/>
      <charset val="134"/>
    </font>
    <font>
      <b/>
      <sz val="25"/>
      <color rgb="FF000000"/>
      <name val="宋体"/>
      <charset val="134"/>
    </font>
    <font>
      <sz val="11"/>
      <color rgb="FFFF0000"/>
      <name val="宋体"/>
      <charset val="134"/>
    </font>
    <font>
      <b/>
      <sz val="30"/>
      <color indexed="15"/>
      <name val="宋体"/>
      <charset val="134"/>
    </font>
    <font>
      <sz val="14"/>
      <color indexed="15"/>
      <name val="宋体"/>
      <charset val="134"/>
    </font>
    <font>
      <sz val="12"/>
      <color indexed="13"/>
      <name val="宋体"/>
      <charset val="134"/>
    </font>
    <font>
      <sz val="12"/>
      <color indexed="14"/>
      <name val="宋体"/>
      <charset val="134"/>
    </font>
    <font>
      <sz val="12"/>
      <color indexed="15"/>
      <name val="宋体"/>
      <charset val="134"/>
    </font>
    <font>
      <sz val="22"/>
      <name val="宋体"/>
      <charset val="134"/>
    </font>
    <font>
      <sz val="18"/>
      <name val="宋体"/>
      <charset val="134"/>
    </font>
    <font>
      <sz val="18"/>
      <color indexed="8"/>
      <name val="宋体"/>
      <charset val="134"/>
    </font>
    <font>
      <sz val="18"/>
      <color indexed="12"/>
      <name val="宋体"/>
      <charset val="134"/>
    </font>
    <font>
      <sz val="18"/>
      <color indexed="10"/>
      <name val="宋体"/>
      <charset val="134"/>
    </font>
    <font>
      <sz val="14"/>
      <color indexed="60"/>
      <name val="宋体"/>
      <charset val="134"/>
    </font>
    <font>
      <sz val="14"/>
      <color rgb="FFC00000"/>
      <name val="宋体"/>
      <charset val="134"/>
    </font>
    <font>
      <b/>
      <sz val="12"/>
      <color indexed="8"/>
      <name val="宋体"/>
      <charset val="134"/>
    </font>
    <font>
      <sz val="12"/>
      <color theme="1"/>
      <name val="宋体"/>
      <charset val="134"/>
      <scheme val="minor"/>
    </font>
    <font>
      <sz val="12"/>
      <color indexed="10"/>
      <name val="宋体"/>
      <charset val="134"/>
    </font>
    <font>
      <b/>
      <sz val="11"/>
      <color indexed="8"/>
      <name val="宋体"/>
      <charset val="134"/>
    </font>
    <font>
      <b/>
      <sz val="12"/>
      <color indexed="14"/>
      <name val="宋体"/>
      <charset val="134"/>
    </font>
    <font>
      <sz val="11"/>
      <color indexed="10"/>
      <name val="宋体"/>
      <charset val="134"/>
    </font>
    <font>
      <u/>
      <sz val="12"/>
      <color rgb="FF800080"/>
      <name val="宋体"/>
      <charset val="134"/>
    </font>
    <font>
      <sz val="10"/>
      <name val="宋体"/>
      <charset val="134"/>
    </font>
    <font>
      <sz val="10"/>
      <color indexed="10"/>
      <name val="宋体"/>
      <charset val="134"/>
    </font>
    <font>
      <sz val="10"/>
      <color indexed="12"/>
      <name val="宋体"/>
      <charset val="134"/>
    </font>
    <font>
      <sz val="10"/>
      <color indexed="14"/>
      <name val="宋体"/>
      <charset val="134"/>
    </font>
    <font>
      <sz val="9"/>
      <name val="宋体"/>
      <charset val="134"/>
    </font>
    <font>
      <sz val="16"/>
      <name val="华文新魏"/>
      <charset val="134"/>
    </font>
    <font>
      <b/>
      <sz val="9"/>
      <color indexed="8"/>
      <name val="宋体"/>
      <charset val="134"/>
    </font>
    <font>
      <sz val="12"/>
      <color indexed="8"/>
      <name val="宋体"/>
      <charset val="134"/>
    </font>
    <font>
      <sz val="14"/>
      <color indexed="8"/>
      <name val="宋体"/>
      <charset val="134"/>
    </font>
    <font>
      <sz val="9"/>
      <color indexed="8"/>
      <name val="宋体"/>
      <charset val="134"/>
    </font>
    <font>
      <u/>
      <sz val="14"/>
      <color indexed="12"/>
      <name val="宋体"/>
      <charset val="134"/>
    </font>
    <font>
      <b/>
      <sz val="14"/>
      <color indexed="8"/>
      <name val="宋体"/>
      <charset val="134"/>
    </font>
    <font>
      <u/>
      <sz val="20"/>
      <color indexed="12"/>
      <name val="宋体"/>
      <charset val="134"/>
    </font>
    <font>
      <sz val="12"/>
      <name val="楷体"/>
      <charset val="134"/>
    </font>
    <font>
      <sz val="11"/>
      <color indexed="8"/>
      <name val="黑体"/>
      <charset val="134"/>
    </font>
    <font>
      <sz val="16"/>
      <color indexed="10"/>
      <name val="宋体"/>
      <charset val="134"/>
    </font>
    <font>
      <sz val="10"/>
      <color indexed="8"/>
      <name val="宋体"/>
      <charset val="134"/>
    </font>
    <font>
      <sz val="14"/>
      <color indexed="9"/>
      <name val="宋体"/>
      <charset val="134"/>
    </font>
    <font>
      <sz val="16"/>
      <color indexed="8"/>
      <name val="宋体"/>
      <charset val="134"/>
    </font>
    <font>
      <sz val="16"/>
      <color indexed="9"/>
      <name val="黑体"/>
      <charset val="134"/>
    </font>
    <font>
      <sz val="12"/>
      <color indexed="8"/>
      <name val="Arial"/>
      <charset val="134"/>
    </font>
    <font>
      <sz val="12"/>
      <color indexed="9"/>
      <name val="黑体"/>
      <charset val="134"/>
    </font>
    <font>
      <sz val="16"/>
      <color indexed="8"/>
      <name val="黑体"/>
      <charset val="134"/>
    </font>
    <font>
      <sz val="16"/>
      <color indexed="9"/>
      <name val="宋体"/>
      <charset val="134"/>
    </font>
    <font>
      <sz val="18"/>
      <color indexed="9"/>
      <name val="宋体"/>
      <charset val="134"/>
    </font>
    <font>
      <sz val="11"/>
      <color indexed="8"/>
      <name val="宋体"/>
      <charset val="134"/>
    </font>
    <font>
      <sz val="12"/>
      <color indexed="8"/>
      <name val="方正舒体"/>
      <charset val="134"/>
    </font>
    <font>
      <sz val="18"/>
      <color indexed="8"/>
      <name val="黑体"/>
      <charset val="134"/>
    </font>
    <font>
      <b/>
      <sz val="12"/>
      <color indexed="9"/>
      <name val="宋体"/>
      <charset val="134"/>
    </font>
    <font>
      <b/>
      <sz val="16"/>
      <color indexed="9"/>
      <name val="宋体"/>
      <charset val="134"/>
    </font>
    <font>
      <b/>
      <sz val="18"/>
      <color indexed="9"/>
      <name val="宋体"/>
      <charset val="134"/>
    </font>
    <font>
      <b/>
      <u/>
      <sz val="20"/>
      <name val="宋体"/>
      <charset val="134"/>
    </font>
    <font>
      <u/>
      <sz val="12"/>
      <name val="宋体"/>
      <charset val="134"/>
    </font>
    <font>
      <sz val="10"/>
      <name val="楷体_GB2312"/>
      <charset val="134"/>
    </font>
    <font>
      <sz val="10"/>
      <name val="Times New Roman"/>
      <charset val="134"/>
    </font>
    <font>
      <sz val="9"/>
      <name val="Times New Roman"/>
      <charset val="134"/>
    </font>
    <font>
      <b/>
      <sz val="18"/>
      <color theme="1"/>
      <name val="宋体"/>
      <charset val="134"/>
      <scheme val="minor"/>
    </font>
    <font>
      <sz val="12"/>
      <color rgb="FFFF0000"/>
      <name val="宋体"/>
      <charset val="134"/>
      <scheme val="minor"/>
    </font>
    <font>
      <sz val="12"/>
      <name val="宋体"/>
      <charset val="134"/>
      <scheme val="minor"/>
    </font>
    <font>
      <sz val="11"/>
      <color theme="1"/>
      <name val="宋体"/>
      <charset val="134"/>
      <scheme val="minor"/>
    </font>
    <font>
      <sz val="10"/>
      <name val="ＭＳ Ｐゴシック"/>
      <charset val="128"/>
    </font>
    <font>
      <b/>
      <sz val="11"/>
      <name val="ＭＳ Ｐゴシック"/>
      <charset val="128"/>
    </font>
    <font>
      <b/>
      <sz val="11"/>
      <color indexed="12"/>
      <name val="ＭＳ Ｐゴシック"/>
      <charset val="128"/>
    </font>
    <font>
      <sz val="10"/>
      <color indexed="12"/>
      <name val="ＭＳ Ｐゴシック"/>
      <charset val="128"/>
    </font>
    <font>
      <b/>
      <sz val="10"/>
      <name val="ＭＳ Ｐゴシック"/>
      <charset val="128"/>
    </font>
    <font>
      <b/>
      <sz val="10"/>
      <color indexed="12"/>
      <name val="ＭＳ Ｐゴシック"/>
      <charset val="128"/>
    </font>
    <font>
      <sz val="8"/>
      <name val="ＭＳ Ｐゴシック"/>
      <charset val="128"/>
    </font>
    <font>
      <sz val="12"/>
      <color indexed="12"/>
      <name val="宋体"/>
      <charset val="134"/>
    </font>
    <font>
      <b/>
      <sz val="20"/>
      <name val="宋体"/>
      <charset val="134"/>
    </font>
    <font>
      <b/>
      <sz val="12"/>
      <color rgb="FFFF0000"/>
      <name val="宋体"/>
      <charset val="134"/>
    </font>
    <font>
      <b/>
      <sz val="10"/>
      <color rgb="FFFF0000"/>
      <name val="宋体"/>
      <charset val="134"/>
    </font>
    <font>
      <sz val="11"/>
      <color theme="1"/>
      <name val="Tahoma"/>
      <charset val="134"/>
    </font>
    <font>
      <sz val="16"/>
      <name val="宋体"/>
      <charset val="134"/>
    </font>
    <font>
      <sz val="8"/>
      <name val="宋体"/>
      <charset val="134"/>
    </font>
    <font>
      <sz val="11"/>
      <color indexed="8"/>
      <name val="Arial"/>
      <charset val="134"/>
    </font>
    <font>
      <sz val="10"/>
      <color rgb="FF000000"/>
      <name val="Arial"/>
      <charset val="134"/>
    </font>
    <font>
      <b/>
      <sz val="16"/>
      <name val="黑体"/>
      <charset val="134"/>
    </font>
    <font>
      <sz val="16"/>
      <name val="Times New Roman"/>
      <charset val="134"/>
    </font>
    <font>
      <sz val="16"/>
      <name val="黑体"/>
      <charset val="134"/>
    </font>
    <font>
      <sz val="12"/>
      <name val="黑体"/>
      <charset val="134"/>
    </font>
    <font>
      <sz val="20"/>
      <name val="华文新魏"/>
      <charset val="134"/>
    </font>
    <font>
      <sz val="10"/>
      <name val="黑体"/>
      <charset val="134"/>
    </font>
    <font>
      <sz val="12"/>
      <name val="华文细黑"/>
      <charset val="134"/>
    </font>
    <font>
      <sz val="12"/>
      <color indexed="12"/>
      <name val="黑体"/>
      <charset val="134"/>
    </font>
    <font>
      <sz val="12"/>
      <color indexed="19"/>
      <name val="黑体"/>
      <charset val="134"/>
    </font>
    <font>
      <sz val="12"/>
      <color indexed="54"/>
      <name val="黑体"/>
      <charset val="134"/>
    </font>
    <font>
      <sz val="12"/>
      <color indexed="8"/>
      <name val="黑体"/>
      <charset val="134"/>
    </font>
    <font>
      <b/>
      <u/>
      <sz val="16"/>
      <name val="黑体"/>
      <charset val="134"/>
    </font>
    <font>
      <sz val="12"/>
      <color indexed="53"/>
      <name val="黑体"/>
      <charset val="134"/>
    </font>
    <font>
      <sz val="22"/>
      <color theme="1"/>
      <name val="黑体"/>
      <charset val="134"/>
    </font>
    <font>
      <sz val="20"/>
      <name val="宋体"/>
      <charset val="134"/>
    </font>
    <font>
      <sz val="10.5"/>
      <name val="宋体"/>
      <charset val="134"/>
    </font>
    <font>
      <sz val="15"/>
      <color indexed="10"/>
      <name val="宋体"/>
      <charset val="134"/>
    </font>
    <font>
      <sz val="14"/>
      <name val="华文新魏"/>
      <charset val="134"/>
    </font>
    <font>
      <b/>
      <sz val="15"/>
      <color indexed="8"/>
      <name val="黑体"/>
      <charset val="134"/>
    </font>
    <font>
      <b/>
      <sz val="20"/>
      <color indexed="10"/>
      <name val="黑体"/>
      <charset val="134"/>
    </font>
    <font>
      <sz val="15"/>
      <color indexed="8"/>
      <name val="宋体"/>
      <charset val="134"/>
    </font>
    <font>
      <sz val="15"/>
      <color indexed="10"/>
      <name val="Times New Roman Bold"/>
      <charset val="134"/>
    </font>
    <font>
      <sz val="15"/>
      <color indexed="8"/>
      <name val="Times New Roman"/>
      <charset val="134"/>
    </font>
    <font>
      <sz val="15"/>
      <name val="宋体"/>
      <charset val="134"/>
    </font>
    <font>
      <sz val="11"/>
      <name val="宋体"/>
      <charset val="134"/>
    </font>
    <font>
      <b/>
      <sz val="11"/>
      <color theme="1"/>
      <name val="宋体"/>
      <charset val="134"/>
      <scheme val="minor"/>
    </font>
    <font>
      <b/>
      <sz val="11"/>
      <name val="Arial"/>
      <charset val="134"/>
    </font>
    <font>
      <sz val="11"/>
      <name val="Arial"/>
      <charset val="134"/>
    </font>
    <font>
      <vertAlign val="subscript"/>
      <sz val="11"/>
      <color indexed="8"/>
      <name val="Arial"/>
      <charset val="134"/>
    </font>
    <font>
      <sz val="11"/>
      <color indexed="8"/>
      <name val="楷体_GB2312"/>
      <charset val="134"/>
    </font>
    <font>
      <b/>
      <sz val="12"/>
      <name val="楷体_GB2312"/>
      <charset val="134"/>
    </font>
    <font>
      <sz val="11"/>
      <color theme="1"/>
      <name val="微软雅黑"/>
      <charset val="134"/>
    </font>
    <font>
      <u/>
      <sz val="11"/>
      <color rgb="FFFF0000"/>
      <name val="微软雅黑"/>
      <charset val="134"/>
    </font>
    <font>
      <b/>
      <sz val="18"/>
      <color theme="1"/>
      <name val="微软雅黑"/>
      <charset val="134"/>
    </font>
    <font>
      <b/>
      <sz val="14"/>
      <color theme="1"/>
      <name val="微软雅黑"/>
      <charset val="134"/>
    </font>
    <font>
      <b/>
      <i/>
      <sz val="11"/>
      <color theme="1"/>
      <name val="微软雅黑"/>
      <charset val="134"/>
    </font>
    <font>
      <b/>
      <sz val="11"/>
      <color rgb="FFFF0000"/>
      <name val="微软雅黑"/>
      <charset val="134"/>
    </font>
    <font>
      <sz val="11"/>
      <name val="微软雅黑"/>
      <charset val="134"/>
    </font>
    <font>
      <b/>
      <sz val="11"/>
      <color theme="1"/>
      <name val="微软雅黑"/>
      <charset val="134"/>
    </font>
    <font>
      <sz val="18"/>
      <name val="宋体"/>
      <charset val="134"/>
      <scheme val="minor"/>
    </font>
    <font>
      <sz val="18"/>
      <name val="Times New Roman"/>
      <charset val="134"/>
    </font>
    <font>
      <sz val="12"/>
      <color indexed="9"/>
      <name val="Times New Roman"/>
      <charset val="134"/>
    </font>
    <font>
      <b/>
      <sz val="18"/>
      <color indexed="48"/>
      <name val="仿宋_GB2312"/>
      <charset val="134"/>
    </font>
    <font>
      <b/>
      <sz val="18"/>
      <color indexed="48"/>
      <name val="Times New Roman"/>
      <charset val="134"/>
    </font>
    <font>
      <b/>
      <sz val="16"/>
      <color indexed="48"/>
      <name val="仿宋_GB2312"/>
      <charset val="134"/>
    </font>
    <font>
      <b/>
      <sz val="16"/>
      <color indexed="48"/>
      <name val="Times New Roman"/>
      <charset val="134"/>
    </font>
    <font>
      <sz val="12"/>
      <name val="仿宋_GB2312"/>
      <charset val="134"/>
    </font>
    <font>
      <sz val="12"/>
      <color indexed="48"/>
      <name val="仿宋_GB2312"/>
      <charset val="134"/>
    </font>
    <font>
      <sz val="12"/>
      <color indexed="48"/>
      <name val="Times New Roman"/>
      <charset val="134"/>
    </font>
    <font>
      <sz val="12"/>
      <color indexed="9"/>
      <name val="仿宋_GB2312"/>
      <charset val="134"/>
    </font>
    <font>
      <i/>
      <sz val="12"/>
      <color indexed="48"/>
      <name val="Times New Roman"/>
      <charset val="134"/>
    </font>
    <font>
      <i/>
      <sz val="12"/>
      <name val="Times New Roman"/>
      <charset val="134"/>
    </font>
    <font>
      <sz val="12"/>
      <name val="MingLiU"/>
      <charset val="136"/>
    </font>
    <font>
      <b/>
      <sz val="20"/>
      <color indexed="10"/>
      <name val="宋体"/>
      <charset val="134"/>
    </font>
    <font>
      <b/>
      <sz val="20"/>
      <color indexed="12"/>
      <name val="宋体"/>
      <charset val="134"/>
    </font>
    <font>
      <sz val="20"/>
      <color indexed="12"/>
      <name val="宋体"/>
      <charset val="134"/>
    </font>
    <font>
      <sz val="20"/>
      <color indexed="48"/>
      <name val="宋体"/>
      <charset val="134"/>
    </font>
    <font>
      <sz val="12"/>
      <name val="Dotum"/>
      <charset val="134"/>
    </font>
    <font>
      <b/>
      <sz val="12"/>
      <name val="Dotum"/>
      <charset val="134"/>
    </font>
    <font>
      <b/>
      <sz val="16"/>
      <color indexed="14"/>
      <name val="幼圆"/>
      <charset val="134"/>
    </font>
    <font>
      <b/>
      <sz val="12"/>
      <color indexed="10"/>
      <name val="Arial"/>
      <charset val="134"/>
    </font>
    <font>
      <b/>
      <sz val="12"/>
      <color indexed="10"/>
      <name val="Dotum"/>
      <charset val="134"/>
    </font>
    <font>
      <b/>
      <sz val="12"/>
      <color indexed="10"/>
      <name val="宋体"/>
      <charset val="134"/>
    </font>
    <font>
      <b/>
      <sz val="12"/>
      <name val="方正水柱简体"/>
      <charset val="134"/>
    </font>
    <font>
      <sz val="10"/>
      <color theme="1"/>
      <name val="宋体"/>
      <charset val="134"/>
      <scheme val="minor"/>
    </font>
    <font>
      <b/>
      <sz val="14"/>
      <color theme="1"/>
      <name val="宋体"/>
      <charset val="134"/>
      <scheme val="minor"/>
    </font>
    <font>
      <b/>
      <sz val="22"/>
      <color theme="1"/>
      <name val="宋体"/>
      <charset val="134"/>
      <scheme val="minor"/>
    </font>
    <font>
      <b/>
      <sz val="12"/>
      <color theme="1"/>
      <name val="宋体"/>
      <charset val="134"/>
      <scheme val="minor"/>
    </font>
    <font>
      <sz val="10"/>
      <color rgb="FFFF0000"/>
      <name val="宋体"/>
      <charset val="134"/>
      <scheme val="minor"/>
    </font>
    <font>
      <sz val="10"/>
      <name val="Arial"/>
      <charset val="134"/>
    </font>
    <font>
      <sz val="14"/>
      <name val="Arial"/>
      <charset val="134"/>
    </font>
    <font>
      <sz val="14"/>
      <name val="Times New Roman"/>
      <charset val="134"/>
    </font>
    <font>
      <b/>
      <sz val="12"/>
      <color indexed="48"/>
      <name val="Arial"/>
      <charset val="134"/>
    </font>
    <font>
      <b/>
      <u/>
      <sz val="12"/>
      <color indexed="48"/>
      <name val="Arial"/>
      <charset val="134"/>
    </font>
    <font>
      <b/>
      <sz val="12"/>
      <color indexed="12"/>
      <name val="宋体"/>
      <charset val="134"/>
    </font>
    <font>
      <b/>
      <sz val="22"/>
      <name val="宋体"/>
      <charset val="134"/>
    </font>
    <font>
      <b/>
      <sz val="18"/>
      <name val="宋体"/>
      <charset val="134"/>
    </font>
    <font>
      <sz val="14"/>
      <color indexed="10"/>
      <name val="Times New Roman"/>
      <charset val="134"/>
    </font>
    <font>
      <b/>
      <sz val="14"/>
      <name val="幼圆"/>
      <charset val="134"/>
    </font>
    <font>
      <sz val="12"/>
      <name val="华文宋体"/>
      <charset val="134"/>
    </font>
    <font>
      <sz val="14"/>
      <name val="华文宋体"/>
      <charset val="134"/>
    </font>
    <font>
      <sz val="11"/>
      <name val="华文宋体"/>
      <charset val="134"/>
    </font>
    <font>
      <b/>
      <sz val="11"/>
      <name val="宋体"/>
      <charset val="134"/>
    </font>
    <font>
      <sz val="11"/>
      <name val="MingLiU"/>
      <charset val="136"/>
    </font>
    <font>
      <sz val="12"/>
      <color theme="1"/>
      <name val="MingLiU"/>
      <charset val="136"/>
    </font>
    <font>
      <sz val="12"/>
      <color theme="1"/>
      <name val="Verdana"/>
      <charset val="134"/>
    </font>
    <font>
      <u/>
      <sz val="18"/>
      <color indexed="12"/>
      <name val="宋体"/>
      <charset val="134"/>
    </font>
    <font>
      <sz val="9"/>
      <color theme="1"/>
      <name val="Verdana"/>
      <charset val="134"/>
    </font>
    <font>
      <sz val="12"/>
      <color theme="1"/>
      <name val="宋体"/>
      <charset val="134"/>
    </font>
    <font>
      <sz val="12"/>
      <color indexed="49"/>
      <name val="宋体"/>
      <charset val="134"/>
    </font>
    <font>
      <sz val="12"/>
      <name val="方正姚体"/>
      <charset val="134"/>
    </font>
    <font>
      <sz val="12"/>
      <color indexed="14"/>
      <name val="方正姚体"/>
      <charset val="134"/>
    </font>
    <font>
      <sz val="12"/>
      <color indexed="14"/>
      <name val="Times New Roman"/>
      <charset val="134"/>
    </font>
    <font>
      <sz val="12"/>
      <name val="Dutch801 Rm BT"/>
      <charset val="134"/>
    </font>
    <font>
      <sz val="16"/>
      <name val="宋体"/>
      <charset val="134"/>
      <scheme val="minor"/>
    </font>
    <font>
      <sz val="14"/>
      <name val="宋体"/>
      <charset val="134"/>
      <scheme val="minor"/>
    </font>
    <font>
      <b/>
      <sz val="12"/>
      <color indexed="60"/>
      <name val="宋体"/>
      <charset val="134"/>
    </font>
    <font>
      <sz val="12"/>
      <color indexed="9"/>
      <name val="宋体"/>
      <charset val="134"/>
    </font>
    <font>
      <sz val="12"/>
      <color rgb="FFFF0000"/>
      <name val="宋体"/>
      <charset val="134"/>
    </font>
    <font>
      <sz val="24"/>
      <color indexed="8"/>
      <name val="宋体"/>
      <charset val="134"/>
    </font>
    <font>
      <sz val="11"/>
      <color indexed="9"/>
      <name val="宋体"/>
      <charset val="134"/>
    </font>
    <font>
      <sz val="22"/>
      <color indexed="8"/>
      <name val="黑体"/>
      <charset val="134"/>
    </font>
    <font>
      <sz val="20"/>
      <color indexed="8"/>
      <name val="宋体"/>
      <charset val="134"/>
    </font>
    <font>
      <i/>
      <sz val="11"/>
      <color indexed="8"/>
      <name val="宋体"/>
      <charset val="134"/>
    </font>
    <font>
      <sz val="8"/>
      <color indexed="8"/>
      <name val="宋体"/>
      <charset val="134"/>
    </font>
    <font>
      <i/>
      <sz val="11"/>
      <color indexed="8"/>
      <name val="黑体"/>
      <charset val="134"/>
    </font>
    <font>
      <i/>
      <sz val="6"/>
      <color indexed="8"/>
      <name val="宋体"/>
      <charset val="134"/>
    </font>
    <font>
      <sz val="14"/>
      <color theme="1"/>
      <name val="宋体"/>
      <charset val="134"/>
      <scheme val="minor"/>
    </font>
    <font>
      <sz val="12"/>
      <color rgb="FF0000FF"/>
      <name val="宋体"/>
      <charset val="134"/>
    </font>
    <font>
      <sz val="11"/>
      <color theme="1"/>
      <name val="宋体"/>
      <charset val="0"/>
      <scheme val="minor"/>
    </font>
    <font>
      <sz val="11"/>
      <color theme="0"/>
      <name val="宋体"/>
      <charset val="0"/>
      <scheme val="minor"/>
    </font>
    <font>
      <i/>
      <sz val="11"/>
      <color rgb="FF7F7F7F"/>
      <name val="宋体"/>
      <charset val="0"/>
      <scheme val="minor"/>
    </font>
    <font>
      <b/>
      <sz val="18"/>
      <color theme="3"/>
      <name val="宋体"/>
      <charset val="134"/>
      <scheme val="minor"/>
    </font>
    <font>
      <sz val="11"/>
      <color rgb="FF9C6500"/>
      <name val="宋体"/>
      <charset val="0"/>
      <scheme val="minor"/>
    </font>
    <font>
      <sz val="11"/>
      <color rgb="FFFF0000"/>
      <name val="宋体"/>
      <charset val="0"/>
      <scheme val="minor"/>
    </font>
    <font>
      <sz val="11"/>
      <color rgb="FF3F3F76"/>
      <name val="宋体"/>
      <charset val="0"/>
      <scheme val="minor"/>
    </font>
    <font>
      <b/>
      <sz val="11"/>
      <color theme="3"/>
      <name val="宋体"/>
      <charset val="134"/>
      <scheme val="minor"/>
    </font>
    <font>
      <sz val="11"/>
      <color rgb="FF9C0006"/>
      <name val="宋体"/>
      <charset val="0"/>
      <scheme val="minor"/>
    </font>
    <font>
      <b/>
      <sz val="11"/>
      <color theme="1"/>
      <name val="宋体"/>
      <charset val="0"/>
      <scheme val="minor"/>
    </font>
    <font>
      <b/>
      <sz val="15"/>
      <color theme="3"/>
      <name val="宋体"/>
      <charset val="134"/>
      <scheme val="minor"/>
    </font>
    <font>
      <b/>
      <sz val="11"/>
      <color rgb="FF3F3F3F"/>
      <name val="宋体"/>
      <charset val="0"/>
      <scheme val="minor"/>
    </font>
    <font>
      <b/>
      <sz val="13"/>
      <color theme="3"/>
      <name val="宋体"/>
      <charset val="134"/>
      <scheme val="minor"/>
    </font>
    <font>
      <u/>
      <sz val="11"/>
      <color rgb="FF800080"/>
      <name val="宋体"/>
      <charset val="0"/>
      <scheme val="minor"/>
    </font>
    <font>
      <sz val="11"/>
      <color rgb="FFFA7D00"/>
      <name val="宋体"/>
      <charset val="0"/>
      <scheme val="minor"/>
    </font>
    <font>
      <b/>
      <sz val="11"/>
      <color rgb="FFFFFFFF"/>
      <name val="宋体"/>
      <charset val="0"/>
      <scheme val="minor"/>
    </font>
    <font>
      <b/>
      <sz val="11"/>
      <color rgb="FFFA7D00"/>
      <name val="宋体"/>
      <charset val="0"/>
      <scheme val="minor"/>
    </font>
    <font>
      <sz val="11"/>
      <color rgb="FF006100"/>
      <name val="宋体"/>
      <charset val="0"/>
      <scheme val="minor"/>
    </font>
    <font>
      <b/>
      <vertAlign val="subscript"/>
      <sz val="12"/>
      <name val="Times New Roman"/>
      <charset val="134"/>
    </font>
    <font>
      <b/>
      <vertAlign val="superscript"/>
      <sz val="12"/>
      <name val="Times New Roman"/>
      <charset val="134"/>
    </font>
    <font>
      <b/>
      <vertAlign val="subscript"/>
      <sz val="12"/>
      <name val="宋体"/>
      <charset val="134"/>
    </font>
    <font>
      <b/>
      <sz val="14"/>
      <name val="Times New Roman"/>
      <charset val="134"/>
    </font>
    <font>
      <b/>
      <sz val="11"/>
      <name val="Times New Roman"/>
      <charset val="134"/>
    </font>
    <font>
      <vertAlign val="subscript"/>
      <sz val="12"/>
      <name val="宋体"/>
      <charset val="134"/>
    </font>
    <font>
      <vertAlign val="subscript"/>
      <sz val="12"/>
      <color rgb="FF000000"/>
      <name val="宋体"/>
      <charset val="134"/>
    </font>
    <font>
      <vertAlign val="subscript"/>
      <sz val="16"/>
      <color rgb="FFC00000"/>
      <name val="宋体"/>
      <charset val="134"/>
    </font>
    <font>
      <vertAlign val="subscript"/>
      <sz val="14"/>
      <color indexed="10"/>
      <name val="宋体"/>
      <charset val="134"/>
    </font>
    <font>
      <b/>
      <sz val="13.8"/>
      <name val="Arial"/>
      <charset val="134"/>
    </font>
    <font>
      <b/>
      <sz val="13.8"/>
      <name val="宋体"/>
      <charset val="134"/>
    </font>
    <font>
      <b/>
      <sz val="30"/>
      <color indexed="15"/>
      <name val="Times New Roman"/>
      <charset val="134"/>
    </font>
    <font>
      <sz val="14"/>
      <color indexed="15"/>
      <name val="Times New Roman"/>
      <charset val="134"/>
    </font>
    <font>
      <sz val="12"/>
      <color indexed="15"/>
      <name val="Times New Roman"/>
      <charset val="134"/>
    </font>
    <font>
      <b/>
      <u/>
      <sz val="14"/>
      <color indexed="60"/>
      <name val="宋体"/>
      <charset val="134"/>
    </font>
    <font>
      <b/>
      <sz val="14"/>
      <color indexed="60"/>
      <name val="宋体"/>
      <charset val="134"/>
    </font>
    <font>
      <b/>
      <u/>
      <sz val="12"/>
      <color indexed="60"/>
      <name val="宋体"/>
      <charset val="134"/>
    </font>
    <font>
      <sz val="12"/>
      <color indexed="60"/>
      <name val="宋体"/>
      <charset val="134"/>
    </font>
    <font>
      <vertAlign val="superscript"/>
      <sz val="10"/>
      <name val="宋体"/>
      <charset val="134"/>
    </font>
    <font>
      <vertAlign val="subscript"/>
      <sz val="10"/>
      <name val="宋体"/>
      <charset val="134"/>
    </font>
    <font>
      <vertAlign val="subscript"/>
      <sz val="9"/>
      <name val="宋体"/>
      <charset val="134"/>
    </font>
    <font>
      <sz val="8"/>
      <name val="Times New Roman"/>
      <charset val="134"/>
    </font>
    <font>
      <vertAlign val="superscript"/>
      <sz val="11"/>
      <color indexed="8"/>
      <name val="宋体"/>
      <charset val="134"/>
    </font>
    <font>
      <b/>
      <u/>
      <sz val="20"/>
      <name val="Times New Roman"/>
      <charset val="134"/>
    </font>
    <font>
      <sz val="12"/>
      <name val="Symbol"/>
      <charset val="2"/>
    </font>
    <font>
      <i/>
      <sz val="12"/>
      <color theme="1"/>
      <name val="宋体"/>
      <charset val="134"/>
      <scheme val="minor"/>
    </font>
    <font>
      <i/>
      <vertAlign val="subscript"/>
      <sz val="12"/>
      <color theme="1"/>
      <name val="宋体"/>
      <charset val="134"/>
      <scheme val="minor"/>
    </font>
    <font>
      <vertAlign val="subscript"/>
      <sz val="12"/>
      <color theme="1"/>
      <name val="宋体"/>
      <charset val="134"/>
      <scheme val="minor"/>
    </font>
    <font>
      <i/>
      <sz val="12"/>
      <name val="宋体"/>
      <charset val="134"/>
      <scheme val="minor"/>
    </font>
    <font>
      <i/>
      <vertAlign val="subscript"/>
      <sz val="12"/>
      <name val="宋体"/>
      <charset val="134"/>
      <scheme val="minor"/>
    </font>
    <font>
      <sz val="10"/>
      <name val="MingLiU"/>
      <charset val="136"/>
    </font>
    <font>
      <vertAlign val="subscript"/>
      <sz val="12"/>
      <name val="Arial"/>
      <charset val="134"/>
    </font>
    <font>
      <vertAlign val="superscript"/>
      <sz val="12"/>
      <name val="宋体"/>
      <charset val="134"/>
    </font>
    <font>
      <i/>
      <sz val="12"/>
      <name val="宋体"/>
      <charset val="134"/>
    </font>
    <font>
      <sz val="10.5"/>
      <name val="Times New Roman"/>
      <charset val="134"/>
    </font>
    <font>
      <vertAlign val="superscript"/>
      <sz val="12"/>
      <name val="Times New Roman"/>
      <charset val="134"/>
    </font>
    <font>
      <b/>
      <sz val="11"/>
      <name val="楷体_GB2312"/>
      <charset val="134"/>
    </font>
    <font>
      <vertAlign val="subscript"/>
      <sz val="11"/>
      <color theme="1"/>
      <name val="微软雅黑"/>
      <charset val="134"/>
    </font>
    <font>
      <vertAlign val="superscript"/>
      <sz val="11"/>
      <color theme="1"/>
      <name val="微软雅黑"/>
      <charset val="134"/>
    </font>
    <font>
      <i/>
      <vertAlign val="subscript"/>
      <sz val="12"/>
      <name val="Times New Roman"/>
      <charset val="134"/>
    </font>
    <font>
      <vertAlign val="subscript"/>
      <sz val="12"/>
      <name val="Times New Roman"/>
      <charset val="134"/>
    </font>
    <font>
      <sz val="12"/>
      <name val="BatangChe"/>
      <charset val="129"/>
    </font>
    <font>
      <vertAlign val="subscript"/>
      <sz val="20"/>
      <name val="宋体"/>
      <charset val="134"/>
    </font>
    <font>
      <vertAlign val="superscript"/>
      <sz val="20"/>
      <name val="宋体"/>
      <charset val="134"/>
    </font>
    <font>
      <vertAlign val="superscript"/>
      <sz val="12"/>
      <name val="Arial"/>
      <charset val="134"/>
    </font>
    <font>
      <vertAlign val="subscript"/>
      <sz val="14"/>
      <name val="宋体"/>
      <charset val="134"/>
    </font>
    <font>
      <b/>
      <sz val="20"/>
      <name val="Times New Roman"/>
      <charset val="134"/>
    </font>
    <font>
      <b/>
      <sz val="18"/>
      <name val="Times New Roman"/>
      <charset val="134"/>
    </font>
    <font>
      <vertAlign val="superscript"/>
      <sz val="12"/>
      <name val="华文宋体"/>
      <charset val="134"/>
    </font>
    <font>
      <vertAlign val="superscript"/>
      <sz val="11"/>
      <name val="Arial"/>
      <charset val="134"/>
    </font>
    <font>
      <vertAlign val="subscript"/>
      <sz val="11"/>
      <name val="Arial"/>
      <charset val="134"/>
    </font>
    <font>
      <sz val="9"/>
      <color indexed="8"/>
      <name val="Verdana"/>
      <charset val="134"/>
    </font>
    <font>
      <sz val="12"/>
      <color indexed="8"/>
      <name val="Verdana"/>
      <charset val="134"/>
    </font>
    <font>
      <sz val="12"/>
      <color indexed="49"/>
      <name val="Times New Roman"/>
      <charset val="134"/>
    </font>
    <font>
      <vertAlign val="subscript"/>
      <sz val="14"/>
      <name val="Times New Roman"/>
      <charset val="134"/>
    </font>
    <font>
      <vertAlign val="subscript"/>
      <sz val="14"/>
      <color indexed="8"/>
      <name val="宋体"/>
      <charset val="134"/>
    </font>
    <font>
      <vertAlign val="superscript"/>
      <sz val="14"/>
      <name val="宋体"/>
      <charset val="134"/>
    </font>
    <font>
      <i/>
      <sz val="14"/>
      <name val="宋体"/>
      <charset val="134"/>
    </font>
    <font>
      <vertAlign val="subscript"/>
      <sz val="16"/>
      <name val="宋体"/>
      <charset val="134"/>
    </font>
    <font>
      <vertAlign val="superscript"/>
      <sz val="18"/>
      <color indexed="8"/>
      <name val="宋体"/>
      <charset val="134"/>
    </font>
    <font>
      <vertAlign val="superscript"/>
      <sz val="18"/>
      <color indexed="10"/>
      <name val="宋体"/>
      <charset val="134"/>
    </font>
    <font>
      <i/>
      <sz val="8"/>
      <color indexed="8"/>
      <name val="宋体"/>
      <charset val="134"/>
    </font>
    <font>
      <vertAlign val="subscript"/>
      <sz val="10"/>
      <color indexed="8"/>
      <name val="宋体"/>
      <charset val="134"/>
    </font>
    <font>
      <i/>
      <sz val="16"/>
      <color indexed="8"/>
      <name val="宋体"/>
      <charset val="134"/>
    </font>
    <font>
      <sz val="16"/>
      <color indexed="8"/>
      <name val="Arial"/>
      <charset val="134"/>
    </font>
    <font>
      <vertAlign val="subscript"/>
      <sz val="16"/>
      <color indexed="8"/>
      <name val="宋体"/>
      <charset val="134"/>
    </font>
    <font>
      <i/>
      <sz val="16"/>
      <color indexed="8"/>
      <name val="Arial"/>
      <charset val="134"/>
    </font>
    <font>
      <vertAlign val="superscript"/>
      <sz val="16"/>
      <color indexed="8"/>
      <name val="宋体"/>
      <charset val="134"/>
    </font>
    <font>
      <sz val="12"/>
      <name val="PMingLiU"/>
      <charset val="134"/>
    </font>
    <font>
      <sz val="9"/>
      <name val="宋体"/>
      <charset val="134"/>
    </font>
    <font>
      <b/>
      <sz val="9"/>
      <name val="Tahoma"/>
      <charset val="134"/>
    </font>
    <font>
      <sz val="9"/>
      <name val="Tahoma"/>
      <charset val="134"/>
    </font>
    <font>
      <b/>
      <sz val="9"/>
      <name val="宋体"/>
      <charset val="134"/>
    </font>
    <font>
      <sz val="9"/>
      <name val="MingLiU"/>
      <charset val="136"/>
    </font>
  </fonts>
  <fills count="80">
    <fill>
      <patternFill patternType="none"/>
    </fill>
    <fill>
      <patternFill patternType="gray125"/>
    </fill>
    <fill>
      <patternFill patternType="solid">
        <fgColor indexed="11"/>
        <bgColor indexed="64"/>
      </patternFill>
    </fill>
    <fill>
      <patternFill patternType="solid">
        <fgColor indexed="9"/>
        <bgColor indexed="64"/>
      </patternFill>
    </fill>
    <fill>
      <patternFill patternType="solid">
        <fgColor indexed="13"/>
        <bgColor indexed="64"/>
      </patternFill>
    </fill>
    <fill>
      <patternFill patternType="solid">
        <fgColor rgb="FFFF0000"/>
        <bgColor indexed="64"/>
      </patternFill>
    </fill>
    <fill>
      <patternFill patternType="solid">
        <fgColor rgb="FF92D050"/>
        <bgColor indexed="64"/>
      </patternFill>
    </fill>
    <fill>
      <patternFill patternType="solid">
        <fgColor theme="0"/>
        <bgColor indexed="64"/>
      </patternFill>
    </fill>
    <fill>
      <patternFill patternType="solid">
        <fgColor rgb="FFFFFF00"/>
        <bgColor indexed="64"/>
      </patternFill>
    </fill>
    <fill>
      <patternFill patternType="solid">
        <fgColor theme="3" tint="-0.499984740745262"/>
        <bgColor indexed="64"/>
      </patternFill>
    </fill>
    <fill>
      <patternFill patternType="solid">
        <fgColor indexed="23"/>
        <bgColor indexed="64"/>
      </patternFill>
    </fill>
    <fill>
      <patternFill patternType="solid">
        <fgColor rgb="FFFFFF00"/>
        <bgColor rgb="FF000000"/>
      </patternFill>
    </fill>
    <fill>
      <patternFill patternType="solid">
        <fgColor rgb="FF8DB4E3"/>
        <bgColor rgb="FF000000"/>
      </patternFill>
    </fill>
    <fill>
      <patternFill patternType="solid">
        <fgColor rgb="FF5A5A5A"/>
        <bgColor rgb="FF000000"/>
      </patternFill>
    </fill>
    <fill>
      <patternFill patternType="solid">
        <fgColor rgb="FFFF0000"/>
        <bgColor rgb="FF000000"/>
      </patternFill>
    </fill>
    <fill>
      <patternFill patternType="solid">
        <fgColor indexed="62"/>
        <bgColor indexed="64"/>
      </patternFill>
    </fill>
    <fill>
      <patternFill patternType="solid">
        <fgColor indexed="41"/>
        <bgColor indexed="64"/>
      </patternFill>
    </fill>
    <fill>
      <patternFill patternType="solid">
        <fgColor indexed="31"/>
        <bgColor indexed="64"/>
      </patternFill>
    </fill>
    <fill>
      <patternFill patternType="solid">
        <fgColor indexed="29"/>
        <bgColor indexed="64"/>
      </patternFill>
    </fill>
    <fill>
      <patternFill patternType="solid">
        <fgColor indexed="42"/>
        <bgColor indexed="64"/>
      </patternFill>
    </fill>
    <fill>
      <patternFill patternType="solid">
        <fgColor indexed="26"/>
        <bgColor indexed="64"/>
      </patternFill>
    </fill>
    <fill>
      <patternFill patternType="solid">
        <fgColor indexed="49"/>
        <bgColor indexed="64"/>
      </patternFill>
    </fill>
    <fill>
      <patternFill patternType="solid">
        <fgColor indexed="22"/>
        <bgColor indexed="64"/>
      </patternFill>
    </fill>
    <fill>
      <patternFill patternType="solid">
        <fgColor indexed="44"/>
        <bgColor indexed="64"/>
      </patternFill>
    </fill>
    <fill>
      <patternFill patternType="solid">
        <fgColor indexed="51"/>
        <bgColor indexed="64"/>
      </patternFill>
    </fill>
    <fill>
      <patternFill patternType="solid">
        <fgColor indexed="17"/>
        <bgColor indexed="64"/>
      </patternFill>
    </fill>
    <fill>
      <patternFill patternType="solid">
        <fgColor indexed="36"/>
        <bgColor indexed="64"/>
      </patternFill>
    </fill>
    <fill>
      <patternFill patternType="solid">
        <fgColor indexed="10"/>
        <bgColor indexed="64"/>
      </patternFill>
    </fill>
    <fill>
      <patternFill patternType="solid">
        <fgColor indexed="47"/>
        <bgColor indexed="64"/>
      </patternFill>
    </fill>
    <fill>
      <patternFill patternType="solid">
        <fgColor indexed="43"/>
        <bgColor indexed="64"/>
      </patternFill>
    </fill>
    <fill>
      <patternFill patternType="solid">
        <fgColor indexed="52"/>
        <bgColor indexed="64"/>
      </patternFill>
    </fill>
    <fill>
      <patternFill patternType="solid">
        <fgColor indexed="45"/>
        <bgColor indexed="64"/>
      </patternFill>
    </fill>
    <fill>
      <patternFill patternType="solid">
        <fgColor theme="8" tint="0.799981688894314"/>
        <bgColor indexed="64"/>
      </patternFill>
    </fill>
    <fill>
      <patternFill patternType="solid">
        <fgColor indexed="45"/>
        <bgColor indexed="51"/>
      </patternFill>
    </fill>
    <fill>
      <patternFill patternType="solid">
        <fgColor indexed="15"/>
        <bgColor indexed="64"/>
      </patternFill>
    </fill>
    <fill>
      <patternFill patternType="solid">
        <fgColor theme="0" tint="-0.149998474074526"/>
        <bgColor indexed="64"/>
      </patternFill>
    </fill>
    <fill>
      <patternFill patternType="solid">
        <fgColor theme="8" tint="0.399975585192419"/>
        <bgColor indexed="64"/>
      </patternFill>
    </fill>
    <fill>
      <patternFill patternType="solid">
        <fgColor indexed="50"/>
        <bgColor indexed="64"/>
      </patternFill>
    </fill>
    <fill>
      <patternFill patternType="solid">
        <fgColor rgb="FF00B0F0"/>
        <bgColor indexed="64"/>
      </patternFill>
    </fill>
    <fill>
      <patternFill patternType="solid">
        <fgColor theme="3" tint="0.799981688894314"/>
        <bgColor indexed="64"/>
      </patternFill>
    </fill>
    <fill>
      <patternFill patternType="solid">
        <fgColor theme="4" tint="0.79985961485641"/>
        <bgColor indexed="64"/>
      </patternFill>
    </fill>
    <fill>
      <patternFill patternType="solid">
        <fgColor theme="5" tint="0.599993896298105"/>
        <bgColor indexed="64"/>
      </patternFill>
    </fill>
    <fill>
      <patternFill patternType="solid">
        <fgColor indexed="14"/>
        <bgColor indexed="64"/>
      </patternFill>
    </fill>
    <fill>
      <patternFill patternType="solid">
        <fgColor indexed="40"/>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00B050"/>
        <bgColor indexed="64"/>
      </patternFill>
    </fill>
    <fill>
      <patternFill patternType="solid">
        <fgColor rgb="FF44FF25"/>
        <bgColor indexed="64"/>
      </patternFill>
    </fill>
    <fill>
      <patternFill patternType="solid">
        <fgColor indexed="57"/>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rgb="FF00FF00"/>
        <bgColor indexed="64"/>
      </patternFill>
    </fill>
    <fill>
      <patternFill patternType="solid">
        <fgColor indexed="27"/>
        <bgColor indexed="64"/>
      </patternFill>
    </fill>
    <fill>
      <patternFill patternType="solid">
        <fgColor theme="9" tint="0.799981688894314"/>
        <bgColor indexed="64"/>
      </patternFill>
    </fill>
    <fill>
      <patternFill patternType="solid">
        <fgColor theme="3" tint="0.399975585192419"/>
        <bgColor indexed="64"/>
      </patternFill>
    </fill>
    <fill>
      <patternFill patternType="solid">
        <fgColor indexed="11"/>
        <bgColor indexed="50"/>
      </patternFill>
    </fill>
    <fill>
      <patternFill patternType="solid">
        <fgColor indexed="42"/>
        <bgColor indexed="50"/>
      </patternFill>
    </fill>
    <fill>
      <patternFill patternType="solid">
        <fgColor theme="7" tint="0.799981688894314"/>
        <bgColor indexed="64"/>
      </patternFill>
    </fill>
    <fill>
      <patternFill patternType="solid">
        <fgColor theme="7"/>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rgb="FFFFEB9C"/>
        <bgColor indexed="64"/>
      </patternFill>
    </fill>
    <fill>
      <patternFill patternType="solid">
        <fgColor rgb="FFFFCC99"/>
        <bgColor indexed="64"/>
      </patternFill>
    </fill>
    <fill>
      <patternFill patternType="solid">
        <fgColor rgb="FFFFC7CE"/>
        <bgColor indexed="64"/>
      </patternFill>
    </fill>
    <fill>
      <patternFill patternType="solid">
        <fgColor theme="4"/>
        <bgColor indexed="64"/>
      </patternFill>
    </fill>
    <fill>
      <patternFill patternType="solid">
        <fgColor theme="7"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rgb="FFF2F2F2"/>
        <bgColor indexed="64"/>
      </patternFill>
    </fill>
    <fill>
      <patternFill patternType="solid">
        <fgColor rgb="FFA5A5A5"/>
        <bgColor indexed="64"/>
      </patternFill>
    </fill>
    <fill>
      <patternFill patternType="solid">
        <fgColor rgb="FFFFFFCC"/>
        <bgColor indexed="64"/>
      </patternFill>
    </fill>
    <fill>
      <patternFill patternType="solid">
        <fgColor theme="9"/>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7" tint="0.399975585192419"/>
        <bgColor indexed="64"/>
      </patternFill>
    </fill>
    <fill>
      <patternFill patternType="solid">
        <fgColor rgb="FFC6EFCE"/>
        <bgColor indexed="64"/>
      </patternFill>
    </fill>
    <fill>
      <patternFill patternType="solid">
        <fgColor theme="8"/>
        <bgColor indexed="64"/>
      </patternFill>
    </fill>
    <fill>
      <patternFill patternType="solid">
        <fgColor theme="9" tint="0.399975585192419"/>
        <bgColor indexed="64"/>
      </patternFill>
    </fill>
  </fills>
  <borders count="131">
    <border>
      <left/>
      <right/>
      <top/>
      <bottom/>
      <diagonal/>
    </border>
    <border>
      <left style="thin">
        <color auto="1"/>
      </left>
      <right/>
      <top/>
      <bottom style="thin">
        <color auto="1"/>
      </bottom>
      <diagonal/>
    </border>
    <border>
      <left/>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indexed="23"/>
      </bottom>
      <diagonal/>
    </border>
    <border>
      <left style="thin">
        <color indexed="23"/>
      </left>
      <right style="thin">
        <color indexed="23"/>
      </right>
      <top style="thin">
        <color indexed="23"/>
      </top>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bottom/>
      <diagonal/>
    </border>
    <border>
      <left style="thin">
        <color indexed="23"/>
      </left>
      <right style="thin">
        <color indexed="23"/>
      </right>
      <top/>
      <bottom style="thin">
        <color indexed="23"/>
      </bottom>
      <diagonal/>
    </border>
    <border>
      <left/>
      <right/>
      <top style="thin">
        <color indexed="23"/>
      </top>
      <bottom style="thin">
        <color indexed="23"/>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thin">
        <color auto="1"/>
      </left>
      <right style="medium">
        <color auto="1"/>
      </right>
      <top style="thin">
        <color auto="1"/>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hair">
        <color auto="1"/>
      </left>
      <right style="hair">
        <color auto="1"/>
      </right>
      <top style="hair">
        <color auto="1"/>
      </top>
      <bottom style="hair">
        <color auto="1"/>
      </bottom>
      <diagonal/>
    </border>
    <border>
      <left style="medium">
        <color auto="1"/>
      </left>
      <right style="medium">
        <color auto="1"/>
      </right>
      <top style="medium">
        <color auto="1"/>
      </top>
      <bottom style="medium">
        <color auto="1"/>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diagonal/>
    </border>
    <border>
      <left/>
      <right style="double">
        <color auto="1"/>
      </right>
      <top style="thin">
        <color auto="1"/>
      </top>
      <bottom/>
      <diagonal/>
    </border>
    <border>
      <left style="double">
        <color auto="1"/>
      </left>
      <right style="thin">
        <color auto="1"/>
      </right>
      <top/>
      <bottom/>
      <diagonal/>
    </border>
    <border>
      <left/>
      <right style="double">
        <color auto="1"/>
      </right>
      <top/>
      <bottom/>
      <diagonal/>
    </border>
    <border>
      <left style="double">
        <color auto="1"/>
      </left>
      <right style="thin">
        <color auto="1"/>
      </right>
      <top/>
      <bottom style="thin">
        <color auto="1"/>
      </bottom>
      <diagonal/>
    </border>
    <border>
      <left/>
      <right style="double">
        <color auto="1"/>
      </right>
      <top/>
      <bottom style="thin">
        <color auto="1"/>
      </bottom>
      <diagonal/>
    </border>
    <border>
      <left style="double">
        <color auto="1"/>
      </left>
      <right style="thin">
        <color auto="1"/>
      </right>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double">
        <color auto="1"/>
      </left>
      <right style="thin">
        <color auto="1"/>
      </right>
      <top style="thin">
        <color auto="1"/>
      </top>
      <bottom style="double">
        <color auto="1"/>
      </bottom>
      <diagonal/>
    </border>
    <border>
      <left/>
      <right/>
      <top style="double">
        <color auto="1"/>
      </top>
      <bottom/>
      <diagonal/>
    </border>
    <border>
      <left style="thick">
        <color auto="1"/>
      </left>
      <right/>
      <top style="thick">
        <color auto="1"/>
      </top>
      <bottom style="thin">
        <color auto="1"/>
      </bottom>
      <diagonal/>
    </border>
    <border>
      <left/>
      <right/>
      <top style="thick">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style="thin">
        <color auto="1"/>
      </left>
      <right style="thick">
        <color auto="1"/>
      </right>
      <top style="thin">
        <color auto="1"/>
      </top>
      <bottom style="thick">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top/>
      <bottom style="dotted">
        <color auto="1"/>
      </bottom>
      <diagonal/>
    </border>
    <border diagonalDown="1">
      <left style="dotted">
        <color auto="1"/>
      </left>
      <right style="dotted">
        <color auto="1"/>
      </right>
      <top style="dotted">
        <color auto="1"/>
      </top>
      <bottom style="dotted">
        <color auto="1"/>
      </bottom>
      <diagonal style="dotted">
        <color auto="1"/>
      </diagonal>
    </border>
    <border>
      <left style="dotted">
        <color auto="1"/>
      </left>
      <right style="dotted">
        <color auto="1"/>
      </right>
      <top style="dotted">
        <color auto="1"/>
      </top>
      <bottom style="dotted">
        <color auto="1"/>
      </bottom>
      <diagonal/>
    </border>
    <border>
      <left/>
      <right/>
      <top style="dotted">
        <color auto="1"/>
      </top>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thin">
        <color auto="1"/>
      </top>
      <bottom style="medium">
        <color auto="1"/>
      </bottom>
      <diagonal/>
    </border>
    <border>
      <left/>
      <right style="medium">
        <color auto="1"/>
      </right>
      <top style="thin">
        <color auto="1"/>
      </top>
      <bottom/>
      <diagonal/>
    </border>
    <border>
      <left/>
      <right style="medium">
        <color auto="1"/>
      </right>
      <top style="thin">
        <color auto="1"/>
      </top>
      <bottom style="thin">
        <color auto="1"/>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diagonal/>
    </border>
    <border>
      <left style="thin">
        <color auto="1"/>
      </left>
      <right style="medium">
        <color auto="1"/>
      </right>
      <top/>
      <bottom/>
      <diagonal/>
    </border>
    <border>
      <left style="medium">
        <color auto="1"/>
      </left>
      <right style="thin">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double">
        <color auto="1"/>
      </left>
      <right/>
      <top style="double">
        <color auto="1"/>
      </top>
      <bottom style="thin">
        <color auto="1"/>
      </bottom>
      <diagonal/>
    </border>
    <border>
      <left/>
      <right/>
      <top style="double">
        <color auto="1"/>
      </top>
      <bottom style="thin">
        <color auto="1"/>
      </bottom>
      <diagonal/>
    </border>
    <border>
      <left style="double">
        <color auto="1"/>
      </left>
      <right/>
      <top style="thin">
        <color auto="1"/>
      </top>
      <bottom style="thin">
        <color auto="1"/>
      </bottom>
      <diagonal/>
    </border>
    <border>
      <left style="double">
        <color auto="1"/>
      </left>
      <right style="double">
        <color auto="1"/>
      </right>
      <top style="thin">
        <color auto="1"/>
      </top>
      <bottom style="thin">
        <color auto="1"/>
      </bottom>
      <diagonal/>
    </border>
    <border>
      <left/>
      <right style="thin">
        <color auto="1"/>
      </right>
      <top style="double">
        <color auto="1"/>
      </top>
      <bottom style="thin">
        <color auto="1"/>
      </bottom>
      <diagonal/>
    </border>
    <border>
      <left style="thick">
        <color indexed="57"/>
      </left>
      <right/>
      <top style="thick">
        <color indexed="57"/>
      </top>
      <bottom/>
      <diagonal/>
    </border>
    <border>
      <left/>
      <right/>
      <top style="thick">
        <color indexed="57"/>
      </top>
      <bottom/>
      <diagonal/>
    </border>
    <border>
      <left/>
      <right style="thick">
        <color indexed="57"/>
      </right>
      <top style="thick">
        <color indexed="57"/>
      </top>
      <bottom/>
      <diagonal/>
    </border>
    <border>
      <left style="thick">
        <color indexed="57"/>
      </left>
      <right/>
      <top/>
      <bottom/>
      <diagonal/>
    </border>
    <border>
      <left/>
      <right style="thick">
        <color indexed="57"/>
      </right>
      <top/>
      <bottom/>
      <diagonal/>
    </border>
    <border>
      <left style="thick">
        <color indexed="57"/>
      </left>
      <right/>
      <top/>
      <bottom style="thick">
        <color indexed="57"/>
      </bottom>
      <diagonal/>
    </border>
    <border>
      <left/>
      <right/>
      <top/>
      <bottom style="thick">
        <color indexed="57"/>
      </bottom>
      <diagonal/>
    </border>
    <border>
      <left/>
      <right style="thick">
        <color indexed="57"/>
      </right>
      <top/>
      <bottom style="thick">
        <color indexed="57"/>
      </bottom>
      <diagonal/>
    </border>
    <border>
      <left style="thin">
        <color auto="1"/>
      </left>
      <right/>
      <top style="thick">
        <color indexed="57"/>
      </top>
      <bottom style="thin">
        <color auto="1"/>
      </bottom>
      <diagonal/>
    </border>
    <border>
      <left/>
      <right/>
      <top style="thick">
        <color indexed="57"/>
      </top>
      <bottom style="thin">
        <color auto="1"/>
      </bottom>
      <diagonal/>
    </border>
    <border>
      <left/>
      <right style="thick">
        <color indexed="57"/>
      </right>
      <top style="thick">
        <color indexed="57"/>
      </top>
      <bottom style="thin">
        <color auto="1"/>
      </bottom>
      <diagonal/>
    </border>
    <border>
      <left style="thick">
        <color indexed="57"/>
      </left>
      <right style="thin">
        <color auto="1"/>
      </right>
      <top style="thick">
        <color indexed="57"/>
      </top>
      <bottom style="thin">
        <color auto="1"/>
      </bottom>
      <diagonal/>
    </border>
    <border>
      <left style="thick">
        <color indexed="57"/>
      </left>
      <right style="thin">
        <color auto="1"/>
      </right>
      <top style="thin">
        <color auto="1"/>
      </top>
      <bottom style="thin">
        <color auto="1"/>
      </bottom>
      <diagonal/>
    </border>
    <border>
      <left style="thin">
        <color auto="1"/>
      </left>
      <right style="thick">
        <color indexed="57"/>
      </right>
      <top style="thin">
        <color auto="1"/>
      </top>
      <bottom style="thin">
        <color auto="1"/>
      </bottom>
      <diagonal/>
    </border>
    <border>
      <left style="thick">
        <color indexed="57"/>
      </left>
      <right style="thin">
        <color auto="1"/>
      </right>
      <top style="thin">
        <color auto="1"/>
      </top>
      <bottom style="thick">
        <color indexed="57"/>
      </bottom>
      <diagonal/>
    </border>
    <border>
      <left style="thin">
        <color auto="1"/>
      </left>
      <right style="thin">
        <color auto="1"/>
      </right>
      <top style="thin">
        <color auto="1"/>
      </top>
      <bottom style="thick">
        <color indexed="57"/>
      </bottom>
      <diagonal/>
    </border>
    <border>
      <left style="thin">
        <color auto="1"/>
      </left>
      <right style="thick">
        <color indexed="57"/>
      </right>
      <top style="thin">
        <color auto="1"/>
      </top>
      <bottom style="thick">
        <color indexed="57"/>
      </bottom>
      <diagonal/>
    </border>
    <border>
      <left/>
      <right/>
      <top/>
      <bottom style="double">
        <color rgb="FF92D050"/>
      </bottom>
      <diagonal/>
    </border>
    <border>
      <left style="double">
        <color rgb="FF92D050"/>
      </left>
      <right style="double">
        <color rgb="FF92D050"/>
      </right>
      <top style="double">
        <color rgb="FF92D050"/>
      </top>
      <bottom style="double">
        <color rgb="FF92D050"/>
      </bottom>
      <diagonal/>
    </border>
    <border>
      <left style="medium">
        <color auto="1"/>
      </left>
      <right/>
      <top style="thin">
        <color auto="1"/>
      </top>
      <bottom style="thin">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55">
    <xf numFmtId="0" fontId="0" fillId="0" borderId="0"/>
    <xf numFmtId="42" fontId="84" fillId="0" borderId="0" applyFont="0" applyFill="0" applyBorder="0" applyAlignment="0" applyProtection="0">
      <alignment vertical="center"/>
    </xf>
    <xf numFmtId="0" fontId="210" fillId="61" borderId="0" applyNumberFormat="0" applyBorder="0" applyAlignment="0" applyProtection="0">
      <alignment vertical="center"/>
    </xf>
    <xf numFmtId="0" fontId="216" fillId="63" borderId="123" applyNumberFormat="0" applyAlignment="0" applyProtection="0">
      <alignment vertical="center"/>
    </xf>
    <xf numFmtId="178" fontId="0" fillId="0" borderId="0" applyFont="0" applyFill="0" applyBorder="0" applyAlignment="0" applyProtection="0"/>
    <xf numFmtId="41" fontId="0" fillId="0" borderId="0" applyFont="0" applyFill="0" applyBorder="0" applyAlignment="0" applyProtection="0">
      <alignment vertical="center"/>
    </xf>
    <xf numFmtId="0" fontId="210" fillId="50" borderId="0" applyNumberFormat="0" applyBorder="0" applyAlignment="0" applyProtection="0">
      <alignment vertical="center"/>
    </xf>
    <xf numFmtId="0" fontId="218" fillId="64" borderId="0" applyNumberFormat="0" applyBorder="0" applyAlignment="0" applyProtection="0">
      <alignment vertical="center"/>
    </xf>
    <xf numFmtId="43" fontId="84" fillId="0" borderId="0" applyFont="0" applyFill="0" applyBorder="0" applyAlignment="0" applyProtection="0">
      <alignment vertical="center"/>
    </xf>
    <xf numFmtId="0" fontId="211" fillId="68" borderId="0" applyNumberFormat="0" applyBorder="0" applyAlignment="0" applyProtection="0">
      <alignment vertical="center"/>
    </xf>
    <xf numFmtId="0" fontId="7"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223" fillId="0" borderId="0" applyNumberFormat="0" applyFill="0" applyBorder="0" applyAlignment="0" applyProtection="0">
      <alignment vertical="center"/>
    </xf>
    <xf numFmtId="0" fontId="84" fillId="71" borderId="130" applyNumberFormat="0" applyFont="0" applyAlignment="0" applyProtection="0">
      <alignment vertical="center"/>
    </xf>
    <xf numFmtId="0" fontId="211" fillId="74" borderId="0" applyNumberFormat="0" applyBorder="0" applyAlignment="0" applyProtection="0">
      <alignment vertical="center"/>
    </xf>
    <xf numFmtId="0" fontId="217" fillId="0" borderId="0" applyNumberFormat="0" applyFill="0" applyBorder="0" applyAlignment="0" applyProtection="0">
      <alignment vertical="center"/>
    </xf>
    <xf numFmtId="0" fontId="215" fillId="0" borderId="0" applyNumberFormat="0" applyFill="0" applyBorder="0" applyAlignment="0" applyProtection="0">
      <alignment vertical="center"/>
    </xf>
    <xf numFmtId="0" fontId="213" fillId="0" borderId="0" applyNumberFormat="0" applyFill="0" applyBorder="0" applyAlignment="0" applyProtection="0">
      <alignment vertical="center"/>
    </xf>
    <xf numFmtId="0" fontId="212" fillId="0" borderId="0" applyNumberFormat="0" applyFill="0" applyBorder="0" applyAlignment="0" applyProtection="0">
      <alignment vertical="center"/>
    </xf>
    <xf numFmtId="0" fontId="170" fillId="0" borderId="0"/>
    <xf numFmtId="0" fontId="220" fillId="0" borderId="126" applyNumberFormat="0" applyFill="0" applyAlignment="0" applyProtection="0">
      <alignment vertical="center"/>
    </xf>
    <xf numFmtId="0" fontId="222" fillId="0" borderId="126" applyNumberFormat="0" applyFill="0" applyAlignment="0" applyProtection="0">
      <alignment vertical="center"/>
    </xf>
    <xf numFmtId="0" fontId="211" fillId="73" borderId="0" applyNumberFormat="0" applyBorder="0" applyAlignment="0" applyProtection="0">
      <alignment vertical="center"/>
    </xf>
    <xf numFmtId="0" fontId="217" fillId="0" borderId="124" applyNumberFormat="0" applyFill="0" applyAlignment="0" applyProtection="0">
      <alignment vertical="center"/>
    </xf>
    <xf numFmtId="0" fontId="211" fillId="76" borderId="0" applyNumberFormat="0" applyBorder="0" applyAlignment="0" applyProtection="0">
      <alignment vertical="center"/>
    </xf>
    <xf numFmtId="0" fontId="221" fillId="69" borderId="127" applyNumberFormat="0" applyAlignment="0" applyProtection="0">
      <alignment vertical="center"/>
    </xf>
    <xf numFmtId="0" fontId="226" fillId="69" borderId="123" applyNumberFormat="0" applyAlignment="0" applyProtection="0">
      <alignment vertical="center"/>
    </xf>
    <xf numFmtId="0" fontId="8" fillId="0" borderId="0">
      <alignment vertical="center"/>
    </xf>
    <xf numFmtId="0" fontId="225" fillId="70" borderId="129" applyNumberFormat="0" applyAlignment="0" applyProtection="0">
      <alignment vertical="center"/>
    </xf>
    <xf numFmtId="0" fontId="210" fillId="53" borderId="0" applyNumberFormat="0" applyBorder="0" applyAlignment="0" applyProtection="0">
      <alignment vertical="center"/>
    </xf>
    <xf numFmtId="0" fontId="211" fillId="75" borderId="0" applyNumberFormat="0" applyBorder="0" applyAlignment="0" applyProtection="0">
      <alignment vertical="center"/>
    </xf>
    <xf numFmtId="0" fontId="224" fillId="0" borderId="128" applyNumberFormat="0" applyFill="0" applyAlignment="0" applyProtection="0">
      <alignment vertical="center"/>
    </xf>
    <xf numFmtId="0" fontId="219" fillId="0" borderId="125" applyNumberFormat="0" applyFill="0" applyAlignment="0" applyProtection="0">
      <alignment vertical="center"/>
    </xf>
    <xf numFmtId="0" fontId="227" fillId="77" borderId="0" applyNumberFormat="0" applyBorder="0" applyAlignment="0" applyProtection="0">
      <alignment vertical="center"/>
    </xf>
    <xf numFmtId="0" fontId="214" fillId="62" borderId="0" applyNumberFormat="0" applyBorder="0" applyAlignment="0" applyProtection="0">
      <alignment vertical="center"/>
    </xf>
    <xf numFmtId="0" fontId="210" fillId="32" borderId="0" applyNumberFormat="0" applyBorder="0" applyAlignment="0" applyProtection="0">
      <alignment vertical="center"/>
    </xf>
    <xf numFmtId="0" fontId="211" fillId="65" borderId="0" applyNumberFormat="0" applyBorder="0" applyAlignment="0" applyProtection="0">
      <alignment vertical="center"/>
    </xf>
    <xf numFmtId="0" fontId="210" fillId="49" borderId="0" applyNumberFormat="0" applyBorder="0" applyAlignment="0" applyProtection="0">
      <alignment vertical="center"/>
    </xf>
    <xf numFmtId="0" fontId="210" fillId="60" borderId="0" applyNumberFormat="0" applyBorder="0" applyAlignment="0" applyProtection="0">
      <alignment vertical="center"/>
    </xf>
    <xf numFmtId="0" fontId="210" fillId="59" borderId="0" applyNumberFormat="0" applyBorder="0" applyAlignment="0" applyProtection="0">
      <alignment vertical="center"/>
    </xf>
    <xf numFmtId="0" fontId="210" fillId="41" borderId="0" applyNumberFormat="0" applyBorder="0" applyAlignment="0" applyProtection="0">
      <alignment vertical="center"/>
    </xf>
    <xf numFmtId="0" fontId="211" fillId="67" borderId="0" applyNumberFormat="0" applyBorder="0" applyAlignment="0" applyProtection="0">
      <alignment vertical="center"/>
    </xf>
    <xf numFmtId="0" fontId="211" fillId="58" borderId="0" applyNumberFormat="0" applyBorder="0" applyAlignment="0" applyProtection="0">
      <alignment vertical="center"/>
    </xf>
    <xf numFmtId="0" fontId="210" fillId="57" borderId="0" applyNumberFormat="0" applyBorder="0" applyAlignment="0" applyProtection="0">
      <alignment vertical="center"/>
    </xf>
    <xf numFmtId="0" fontId="0" fillId="0" borderId="0"/>
    <xf numFmtId="0" fontId="210" fillId="66" borderId="0" applyNumberFormat="0" applyBorder="0" applyAlignment="0" applyProtection="0">
      <alignment vertical="center"/>
    </xf>
    <xf numFmtId="0" fontId="211" fillId="78" borderId="0" applyNumberFormat="0" applyBorder="0" applyAlignment="0" applyProtection="0">
      <alignment vertical="center"/>
    </xf>
    <xf numFmtId="0" fontId="0" fillId="0" borderId="0"/>
    <xf numFmtId="0" fontId="210" fillId="44" borderId="0" applyNumberFormat="0" applyBorder="0" applyAlignment="0" applyProtection="0">
      <alignment vertical="center"/>
    </xf>
    <xf numFmtId="0" fontId="211" fillId="36" borderId="0" applyNumberFormat="0" applyBorder="0" applyAlignment="0" applyProtection="0">
      <alignment vertical="center"/>
    </xf>
    <xf numFmtId="0" fontId="211" fillId="72" borderId="0" applyNumberFormat="0" applyBorder="0" applyAlignment="0" applyProtection="0">
      <alignment vertical="center"/>
    </xf>
    <xf numFmtId="0" fontId="210" fillId="45" borderId="0" applyNumberFormat="0" applyBorder="0" applyAlignment="0" applyProtection="0">
      <alignment vertical="center"/>
    </xf>
    <xf numFmtId="0" fontId="211" fillId="79" borderId="0" applyNumberFormat="0" applyBorder="0" applyAlignment="0" applyProtection="0">
      <alignment vertical="center"/>
    </xf>
    <xf numFmtId="0" fontId="0" fillId="0" borderId="0"/>
    <xf numFmtId="0" fontId="96" fillId="0" borderId="0">
      <alignment vertical="center"/>
    </xf>
  </cellStyleXfs>
  <cellXfs count="1936">
    <xf numFmtId="0" fontId="0" fillId="0" borderId="0" xfId="0"/>
    <xf numFmtId="0" fontId="1" fillId="0" borderId="0" xfId="0" applyFont="1" applyBorder="1" applyAlignment="1">
      <alignment horizontal="center"/>
    </xf>
    <xf numFmtId="0" fontId="0" fillId="0" borderId="0" xfId="0" applyBorder="1" applyAlignment="1">
      <alignment horizontal="left"/>
    </xf>
    <xf numFmtId="0" fontId="2" fillId="0" borderId="0" xfId="0" applyFont="1" applyBorder="1" applyAlignment="1">
      <alignment horizontal="left"/>
    </xf>
    <xf numFmtId="0" fontId="3" fillId="0" borderId="0" xfId="0" applyFont="1" applyBorder="1" applyAlignment="1">
      <alignment horizontal="left"/>
    </xf>
    <xf numFmtId="0" fontId="3" fillId="0" borderId="1" xfId="0" applyFont="1" applyBorder="1" applyAlignment="1"/>
    <xf numFmtId="0" fontId="3" fillId="0" borderId="2" xfId="0" applyFont="1" applyBorder="1" applyAlignment="1"/>
    <xf numFmtId="0" fontId="3" fillId="0" borderId="3" xfId="0" applyFont="1" applyBorder="1" applyAlignment="1"/>
    <xf numFmtId="0" fontId="3" fillId="0" borderId="0" xfId="0" applyFont="1" applyBorder="1" applyAlignment="1"/>
    <xf numFmtId="0" fontId="4" fillId="0" borderId="4" xfId="0" applyFont="1" applyBorder="1" applyAlignment="1"/>
    <xf numFmtId="0" fontId="4" fillId="0" borderId="3" xfId="0" applyFont="1" applyBorder="1" applyAlignment="1"/>
    <xf numFmtId="0" fontId="4" fillId="0" borderId="5" xfId="0" applyFont="1" applyBorder="1" applyAlignment="1"/>
    <xf numFmtId="0" fontId="4" fillId="0" borderId="6" xfId="0" applyFont="1" applyBorder="1" applyAlignment="1"/>
    <xf numFmtId="0" fontId="4" fillId="0" borderId="0" xfId="0" applyFont="1" applyBorder="1" applyAlignment="1"/>
    <xf numFmtId="0" fontId="4" fillId="0" borderId="7" xfId="0" applyFont="1" applyBorder="1" applyAlignment="1"/>
    <xf numFmtId="0" fontId="4" fillId="0" borderId="1" xfId="0" applyFont="1" applyBorder="1" applyAlignment="1"/>
    <xf numFmtId="0" fontId="4" fillId="0" borderId="2" xfId="0" applyFont="1" applyBorder="1" applyAlignment="1"/>
    <xf numFmtId="0" fontId="4" fillId="0" borderId="8" xfId="0" applyFont="1" applyBorder="1" applyAlignment="1"/>
    <xf numFmtId="0" fontId="0" fillId="0" borderId="0" xfId="0" applyAlignment="1"/>
    <xf numFmtId="0" fontId="0" fillId="0" borderId="0" xfId="0" applyAlignment="1">
      <alignment horizontal="center"/>
    </xf>
    <xf numFmtId="0" fontId="4" fillId="0" borderId="0" xfId="0" applyFont="1" applyBorder="1" applyAlignment="1">
      <alignment horizontal="center"/>
    </xf>
    <xf numFmtId="0" fontId="0" fillId="0" borderId="0" xfId="0" applyBorder="1"/>
    <xf numFmtId="0" fontId="2" fillId="0" borderId="0" xfId="0" applyFont="1" applyBorder="1" applyAlignment="1"/>
    <xf numFmtId="0" fontId="3" fillId="0" borderId="0" xfId="0" applyFont="1" applyBorder="1"/>
    <xf numFmtId="0" fontId="3" fillId="0" borderId="0" xfId="0" applyFont="1" applyBorder="1" applyAlignment="1">
      <alignment horizontal="center"/>
    </xf>
    <xf numFmtId="0" fontId="0" fillId="0" borderId="0" xfId="0" applyBorder="1" applyAlignment="1">
      <alignment horizontal="center"/>
    </xf>
    <xf numFmtId="0" fontId="5" fillId="0" borderId="0" xfId="0" applyFont="1" applyBorder="1" applyAlignment="1">
      <alignment horizontal="center"/>
    </xf>
    <xf numFmtId="0" fontId="4" fillId="0" borderId="9" xfId="0" applyFont="1" applyBorder="1" applyAlignment="1">
      <alignment horizontal="center"/>
    </xf>
    <xf numFmtId="0" fontId="4" fillId="0" borderId="10" xfId="0" applyFont="1" applyBorder="1" applyAlignment="1">
      <alignment horizontal="center"/>
    </xf>
    <xf numFmtId="0" fontId="4" fillId="0" borderId="11" xfId="0" applyFont="1" applyBorder="1" applyAlignment="1">
      <alignment horizontal="center"/>
    </xf>
    <xf numFmtId="0" fontId="6" fillId="2" borderId="9" xfId="0" applyFont="1" applyFill="1" applyBorder="1" applyAlignment="1">
      <alignment horizontal="center"/>
    </xf>
    <xf numFmtId="0" fontId="4" fillId="3" borderId="10" xfId="0" applyFont="1" applyFill="1" applyBorder="1" applyAlignment="1">
      <alignment horizontal="center"/>
    </xf>
    <xf numFmtId="0" fontId="3" fillId="0" borderId="12"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3" fillId="0" borderId="4" xfId="0" applyFont="1" applyBorder="1" applyAlignment="1">
      <alignment horizontal="center"/>
    </xf>
    <xf numFmtId="0" fontId="3" fillId="0" borderId="5" xfId="0" applyFont="1" applyBorder="1" applyAlignment="1">
      <alignment horizontal="center"/>
    </xf>
    <xf numFmtId="0" fontId="5" fillId="0" borderId="12" xfId="0" applyFont="1" applyBorder="1" applyAlignment="1">
      <alignment horizontal="center"/>
    </xf>
    <xf numFmtId="0" fontId="2" fillId="0" borderId="14" xfId="0" applyFont="1" applyBorder="1" applyAlignment="1">
      <alignment horizontal="center"/>
    </xf>
    <xf numFmtId="0" fontId="3" fillId="0" borderId="1" xfId="0" applyFont="1" applyBorder="1" applyAlignment="1">
      <alignment horizontal="center"/>
    </xf>
    <xf numFmtId="0" fontId="3" fillId="0" borderId="8" xfId="0" applyFont="1" applyBorder="1" applyAlignment="1">
      <alignment horizontal="center"/>
    </xf>
    <xf numFmtId="0" fontId="5" fillId="4" borderId="12" xfId="0" applyFont="1" applyFill="1" applyBorder="1" applyAlignment="1">
      <alignment horizontal="center"/>
    </xf>
    <xf numFmtId="0" fontId="0" fillId="0" borderId="14" xfId="0" applyBorder="1"/>
    <xf numFmtId="0" fontId="0" fillId="0" borderId="15" xfId="0" applyBorder="1"/>
    <xf numFmtId="0" fontId="2" fillId="0" borderId="0" xfId="0" applyFont="1" applyBorder="1" applyAlignment="1">
      <alignment horizontal="center"/>
    </xf>
    <xf numFmtId="0" fontId="7" fillId="5" borderId="0" xfId="10" applyFill="1" applyBorder="1" applyAlignment="1" applyProtection="1"/>
    <xf numFmtId="0" fontId="3" fillId="0" borderId="5" xfId="0" applyFont="1" applyBorder="1" applyAlignment="1"/>
    <xf numFmtId="0" fontId="3" fillId="0" borderId="12" xfId="0" applyFont="1" applyFill="1" applyBorder="1" applyAlignment="1">
      <alignment horizontal="center"/>
    </xf>
    <xf numFmtId="0" fontId="3" fillId="0" borderId="7" xfId="0" applyFont="1" applyBorder="1" applyAlignment="1"/>
    <xf numFmtId="0" fontId="0" fillId="2" borderId="12" xfId="0" applyFont="1" applyFill="1" applyBorder="1" applyAlignment="1">
      <alignment horizontal="center"/>
    </xf>
    <xf numFmtId="0" fontId="0" fillId="2" borderId="12" xfId="0" applyFill="1" applyBorder="1" applyAlignment="1">
      <alignment horizontal="center"/>
    </xf>
    <xf numFmtId="0" fontId="0" fillId="2" borderId="13" xfId="0" applyFill="1" applyBorder="1" applyAlignment="1">
      <alignment horizontal="center"/>
    </xf>
    <xf numFmtId="0" fontId="0" fillId="2" borderId="15" xfId="0" applyFill="1" applyBorder="1" applyAlignment="1">
      <alignment horizontal="center"/>
    </xf>
    <xf numFmtId="0" fontId="5" fillId="2" borderId="12" xfId="0" applyFont="1" applyFill="1" applyBorder="1"/>
    <xf numFmtId="0" fontId="0" fillId="4" borderId="12" xfId="0" applyFill="1" applyBorder="1" applyAlignment="1">
      <alignment horizontal="center"/>
    </xf>
    <xf numFmtId="0" fontId="3" fillId="0" borderId="8" xfId="0" applyFont="1" applyBorder="1" applyAlignment="1"/>
    <xf numFmtId="0" fontId="0" fillId="4" borderId="9" xfId="0" applyFill="1" applyBorder="1" applyAlignment="1">
      <alignment horizontal="center"/>
    </xf>
    <xf numFmtId="0" fontId="4" fillId="3" borderId="11" xfId="0" applyFont="1" applyFill="1" applyBorder="1" applyAlignment="1">
      <alignment horizontal="center"/>
    </xf>
    <xf numFmtId="0" fontId="0" fillId="0" borderId="12" xfId="0" applyBorder="1" applyAlignment="1">
      <alignment horizontal="center"/>
    </xf>
    <xf numFmtId="0" fontId="1" fillId="0" borderId="0" xfId="0" applyFont="1" applyAlignment="1">
      <alignment horizontal="center"/>
    </xf>
    <xf numFmtId="0" fontId="0" fillId="0" borderId="0" xfId="0" applyAlignment="1">
      <alignment horizontal="left"/>
    </xf>
    <xf numFmtId="0" fontId="3" fillId="0" borderId="9" xfId="0" applyFont="1" applyBorder="1" applyAlignment="1">
      <alignment horizontal="center"/>
    </xf>
    <xf numFmtId="0" fontId="3" fillId="0" borderId="10" xfId="0" applyFont="1" applyBorder="1" applyAlignment="1">
      <alignment horizontal="center"/>
    </xf>
    <xf numFmtId="0" fontId="3" fillId="0" borderId="11" xfId="0" applyFont="1"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2" borderId="9" xfId="0" applyFill="1" applyBorder="1" applyAlignment="1">
      <alignment horizontal="center"/>
    </xf>
    <xf numFmtId="0" fontId="0" fillId="0" borderId="11" xfId="0" applyBorder="1"/>
    <xf numFmtId="0" fontId="0" fillId="2" borderId="9" xfId="0" applyFill="1" applyBorder="1"/>
    <xf numFmtId="0" fontId="0" fillId="0" borderId="10" xfId="0" applyBorder="1"/>
    <xf numFmtId="0" fontId="0" fillId="0" borderId="3" xfId="0" applyBorder="1" applyAlignment="1">
      <alignment horizontal="left"/>
    </xf>
    <xf numFmtId="0" fontId="5" fillId="0" borderId="0" xfId="0" applyFont="1" applyFill="1" applyBorder="1" applyAlignment="1">
      <alignment horizontal="left"/>
    </xf>
    <xf numFmtId="0" fontId="8" fillId="0" borderId="0" xfId="27">
      <alignment vertical="center"/>
    </xf>
    <xf numFmtId="0" fontId="9" fillId="0" borderId="4" xfId="27" applyNumberFormat="1" applyFont="1" applyFill="1" applyBorder="1" applyAlignment="1" applyProtection="1">
      <alignment horizontal="center" vertical="center"/>
    </xf>
    <xf numFmtId="0" fontId="9" fillId="0" borderId="3" xfId="27" applyNumberFormat="1" applyFont="1" applyFill="1" applyBorder="1" applyAlignment="1" applyProtection="1">
      <alignment horizontal="center" vertical="center"/>
    </xf>
    <xf numFmtId="0" fontId="7" fillId="5" borderId="3" xfId="10" applyNumberFormat="1" applyFill="1" applyBorder="1" applyAlignment="1" applyProtection="1">
      <alignment horizontal="center" vertical="center"/>
    </xf>
    <xf numFmtId="0" fontId="9" fillId="0" borderId="6" xfId="27" applyNumberFormat="1" applyFont="1" applyFill="1" applyBorder="1" applyAlignment="1" applyProtection="1">
      <alignment horizontal="center" vertical="center"/>
    </xf>
    <xf numFmtId="0" fontId="9" fillId="0" borderId="0" xfId="27" applyNumberFormat="1" applyFont="1" applyFill="1" applyBorder="1" applyAlignment="1" applyProtection="1">
      <alignment horizontal="center" vertical="center"/>
    </xf>
    <xf numFmtId="0" fontId="7" fillId="5" borderId="2" xfId="10" applyNumberFormat="1" applyFill="1" applyBorder="1" applyAlignment="1" applyProtection="1">
      <alignment horizontal="center" vertical="center"/>
    </xf>
    <xf numFmtId="0" fontId="10" fillId="0" borderId="12" xfId="27" applyNumberFormat="1" applyFont="1" applyFill="1" applyBorder="1" applyAlignment="1" applyProtection="1">
      <alignment horizontal="left" vertical="center"/>
    </xf>
    <xf numFmtId="0" fontId="11" fillId="6" borderId="12" xfId="27" applyNumberFormat="1" applyFont="1" applyFill="1" applyBorder="1" applyAlignment="1" applyProtection="1">
      <alignment horizontal="center" vertical="center"/>
      <protection locked="0"/>
    </xf>
    <xf numFmtId="0" fontId="11" fillId="0" borderId="12" xfId="27" applyNumberFormat="1" applyFont="1" applyFill="1" applyBorder="1" applyAlignment="1" applyProtection="1">
      <alignment horizontal="center" vertical="center"/>
    </xf>
    <xf numFmtId="0" fontId="12" fillId="7" borderId="4" xfId="27" applyNumberFormat="1" applyFont="1" applyFill="1" applyBorder="1" applyAlignment="1" applyProtection="1">
      <alignment horizontal="center" vertical="center"/>
    </xf>
    <xf numFmtId="0" fontId="12" fillId="7" borderId="5" xfId="27" applyNumberFormat="1" applyFont="1" applyFill="1" applyBorder="1" applyAlignment="1" applyProtection="1">
      <alignment horizontal="center" vertical="center"/>
    </xf>
    <xf numFmtId="0" fontId="12" fillId="7" borderId="1" xfId="27" applyNumberFormat="1" applyFont="1" applyFill="1" applyBorder="1" applyAlignment="1" applyProtection="1">
      <alignment horizontal="center" vertical="center"/>
    </xf>
    <xf numFmtId="0" fontId="12" fillId="7" borderId="8" xfId="27" applyNumberFormat="1" applyFont="1" applyFill="1" applyBorder="1" applyAlignment="1" applyProtection="1">
      <alignment horizontal="center" vertical="center"/>
    </xf>
    <xf numFmtId="0" fontId="13" fillId="8" borderId="12" xfId="27" applyNumberFormat="1" applyFont="1" applyFill="1" applyBorder="1" applyAlignment="1" applyProtection="1">
      <alignment horizontal="center" vertical="center"/>
    </xf>
    <xf numFmtId="0" fontId="10" fillId="0" borderId="12" xfId="27" applyNumberFormat="1" applyFont="1" applyFill="1" applyBorder="1" applyAlignment="1" applyProtection="1">
      <alignment horizontal="center" vertical="center"/>
    </xf>
    <xf numFmtId="0" fontId="13" fillId="7" borderId="12" xfId="27" applyNumberFormat="1" applyFont="1" applyFill="1" applyBorder="1" applyAlignment="1" applyProtection="1">
      <alignment horizontal="center" vertical="center"/>
    </xf>
    <xf numFmtId="0" fontId="14" fillId="9" borderId="12" xfId="27" applyNumberFormat="1" applyFont="1" applyFill="1" applyBorder="1" applyAlignment="1" applyProtection="1">
      <alignment horizontal="center" vertical="center"/>
    </xf>
    <xf numFmtId="0" fontId="15" fillId="0" borderId="4" xfId="27" applyNumberFormat="1" applyFont="1" applyFill="1" applyBorder="1" applyAlignment="1" applyProtection="1">
      <alignment horizontal="left" vertical="center"/>
    </xf>
    <xf numFmtId="0" fontId="15" fillId="0" borderId="3" xfId="27" applyNumberFormat="1" applyFont="1" applyFill="1" applyBorder="1" applyAlignment="1" applyProtection="1">
      <alignment horizontal="left" vertical="center"/>
    </xf>
    <xf numFmtId="0" fontId="15" fillId="0" borderId="1" xfId="27" applyNumberFormat="1" applyFont="1" applyFill="1" applyBorder="1" applyAlignment="1" applyProtection="1">
      <alignment horizontal="left" vertical="center"/>
    </xf>
    <xf numFmtId="0" fontId="15" fillId="0" borderId="2" xfId="27" applyNumberFormat="1" applyFont="1" applyFill="1" applyBorder="1" applyAlignment="1" applyProtection="1">
      <alignment horizontal="left" vertical="center"/>
    </xf>
    <xf numFmtId="0" fontId="13" fillId="0" borderId="12" xfId="27" applyNumberFormat="1" applyFont="1" applyFill="1" applyBorder="1" applyAlignment="1" applyProtection="1">
      <alignment horizontal="center" vertical="center"/>
    </xf>
    <xf numFmtId="0" fontId="16" fillId="0" borderId="12" xfId="27" applyNumberFormat="1" applyFont="1" applyFill="1" applyBorder="1" applyAlignment="1" applyProtection="1">
      <alignment horizontal="center" vertical="center"/>
    </xf>
    <xf numFmtId="58" fontId="17" fillId="0" borderId="12" xfId="27" applyNumberFormat="1" applyFont="1" applyFill="1" applyBorder="1" applyAlignment="1" applyProtection="1">
      <alignment horizontal="center" vertical="center"/>
    </xf>
    <xf numFmtId="0" fontId="17" fillId="0" borderId="12" xfId="27" applyNumberFormat="1" applyFont="1" applyFill="1" applyBorder="1" applyAlignment="1" applyProtection="1">
      <alignment horizontal="center" vertical="center"/>
    </xf>
    <xf numFmtId="0" fontId="18" fillId="0" borderId="12" xfId="27" applyNumberFormat="1" applyFont="1" applyFill="1" applyBorder="1" applyAlignment="1" applyProtection="1">
      <alignment horizontal="center" vertical="center"/>
    </xf>
    <xf numFmtId="0" fontId="16" fillId="0" borderId="12" xfId="27" applyNumberFormat="1" applyFont="1" applyFill="1" applyBorder="1" applyAlignment="1" applyProtection="1">
      <alignment vertical="center"/>
    </xf>
    <xf numFmtId="20" fontId="10" fillId="0" borderId="12" xfId="27" applyNumberFormat="1" applyFont="1" applyFill="1" applyBorder="1" applyAlignment="1" applyProtection="1">
      <alignment horizontal="center" vertical="center"/>
    </xf>
    <xf numFmtId="0" fontId="19" fillId="0" borderId="12" xfId="27" applyNumberFormat="1" applyFont="1" applyFill="1" applyBorder="1" applyAlignment="1" applyProtection="1">
      <alignment vertical="center"/>
    </xf>
    <xf numFmtId="0" fontId="12" fillId="0" borderId="12" xfId="27" applyNumberFormat="1" applyFont="1" applyFill="1" applyBorder="1" applyAlignment="1" applyProtection="1">
      <alignment vertical="center"/>
    </xf>
    <xf numFmtId="0" fontId="9" fillId="0" borderId="5" xfId="27" applyNumberFormat="1" applyFont="1" applyFill="1" applyBorder="1" applyAlignment="1" applyProtection="1">
      <alignment vertical="center"/>
    </xf>
    <xf numFmtId="0" fontId="8" fillId="0" borderId="6" xfId="27" applyNumberFormat="1" applyFont="1" applyFill="1" applyBorder="1" applyAlignment="1" applyProtection="1">
      <alignment vertical="center"/>
    </xf>
    <xf numFmtId="0" fontId="8" fillId="0" borderId="0" xfId="27" applyNumberFormat="1" applyFont="1" applyFill="1" applyBorder="1" applyAlignment="1" applyProtection="1">
      <alignment vertical="center"/>
    </xf>
    <xf numFmtId="0" fontId="9" fillId="0" borderId="7" xfId="27" applyNumberFormat="1" applyFont="1" applyFill="1" applyBorder="1" applyAlignment="1" applyProtection="1">
      <alignment vertical="center"/>
    </xf>
    <xf numFmtId="0" fontId="11" fillId="0" borderId="12" xfId="27" applyNumberFormat="1" applyFont="1" applyFill="1" applyBorder="1" applyAlignment="1" applyProtection="1">
      <alignment vertical="center"/>
    </xf>
    <xf numFmtId="0" fontId="15" fillId="0" borderId="5" xfId="27" applyNumberFormat="1" applyFont="1" applyFill="1" applyBorder="1" applyAlignment="1" applyProtection="1">
      <alignment horizontal="left" vertical="center"/>
    </xf>
    <xf numFmtId="0" fontId="15" fillId="0" borderId="8" xfId="27" applyNumberFormat="1" applyFont="1" applyFill="1" applyBorder="1" applyAlignment="1" applyProtection="1">
      <alignment horizontal="left" vertical="center"/>
    </xf>
    <xf numFmtId="0" fontId="20" fillId="0" borderId="0" xfId="0" applyFont="1" applyFill="1" applyBorder="1" applyAlignment="1">
      <alignment vertical="center"/>
    </xf>
    <xf numFmtId="0" fontId="20" fillId="0" borderId="0" xfId="0" applyFont="1" applyFill="1" applyAlignment="1">
      <alignment vertical="center"/>
    </xf>
    <xf numFmtId="0" fontId="20" fillId="0" borderId="0" xfId="0" applyFont="1" applyFill="1" applyAlignment="1">
      <alignment horizontal="center" vertical="center"/>
    </xf>
    <xf numFmtId="180" fontId="20" fillId="0" borderId="0" xfId="0" applyNumberFormat="1" applyFont="1" applyFill="1" applyAlignment="1">
      <alignment vertical="center"/>
    </xf>
    <xf numFmtId="0" fontId="21" fillId="10" borderId="0" xfId="0" applyFont="1" applyFill="1" applyAlignment="1">
      <alignment horizontal="center" vertical="center"/>
    </xf>
    <xf numFmtId="0" fontId="7" fillId="5" borderId="0" xfId="10" applyFill="1" applyAlignment="1" applyProtection="1">
      <alignment vertical="center"/>
    </xf>
    <xf numFmtId="0" fontId="20" fillId="0" borderId="16" xfId="0" applyFont="1" applyFill="1" applyBorder="1" applyAlignment="1">
      <alignment horizontal="center" vertical="center"/>
    </xf>
    <xf numFmtId="0" fontId="0" fillId="0" borderId="17" xfId="0" applyFont="1" applyFill="1" applyBorder="1" applyAlignment="1">
      <alignment horizontal="center" vertical="center"/>
    </xf>
    <xf numFmtId="0" fontId="0" fillId="0" borderId="18" xfId="0" applyFont="1" applyFill="1" applyBorder="1" applyAlignment="1">
      <alignment vertical="center"/>
    </xf>
    <xf numFmtId="0" fontId="20" fillId="0" borderId="18" xfId="0" applyFont="1" applyFill="1" applyBorder="1" applyAlignment="1">
      <alignment horizontal="center" vertical="center"/>
    </xf>
    <xf numFmtId="0" fontId="20" fillId="0" borderId="18" xfId="0" applyNumberFormat="1" applyFont="1" applyFill="1" applyBorder="1" applyAlignment="1">
      <alignment vertical="center"/>
    </xf>
    <xf numFmtId="0" fontId="20" fillId="0" borderId="18" xfId="0" applyFont="1" applyFill="1" applyBorder="1" applyAlignment="1">
      <alignment vertical="center"/>
    </xf>
    <xf numFmtId="0" fontId="22" fillId="0" borderId="19" xfId="0" applyFont="1" applyFill="1" applyBorder="1" applyAlignment="1">
      <alignment horizontal="center" vertical="center"/>
    </xf>
    <xf numFmtId="0" fontId="22" fillId="0" borderId="18" xfId="0" applyFont="1" applyFill="1" applyBorder="1" applyAlignment="1">
      <alignment vertical="center"/>
    </xf>
    <xf numFmtId="0" fontId="3" fillId="0" borderId="18" xfId="0" applyFont="1" applyFill="1" applyBorder="1" applyAlignment="1">
      <alignment horizontal="center" vertical="center"/>
    </xf>
    <xf numFmtId="0" fontId="23" fillId="0" borderId="18" xfId="0" applyNumberFormat="1" applyFont="1" applyFill="1" applyBorder="1" applyAlignment="1">
      <alignment vertical="center"/>
    </xf>
    <xf numFmtId="0" fontId="22" fillId="0" borderId="20" xfId="0" applyFont="1" applyFill="1" applyBorder="1" applyAlignment="1">
      <alignment horizontal="center" vertical="center"/>
    </xf>
    <xf numFmtId="0" fontId="20" fillId="0" borderId="21" xfId="0" applyFont="1" applyFill="1" applyBorder="1" applyAlignment="1">
      <alignment vertical="center"/>
    </xf>
    <xf numFmtId="0" fontId="20" fillId="0" borderId="21" xfId="0" applyFont="1" applyFill="1" applyBorder="1" applyAlignment="1">
      <alignment horizontal="center" vertical="center"/>
    </xf>
    <xf numFmtId="180" fontId="20" fillId="0" borderId="21" xfId="0" applyNumberFormat="1" applyFont="1" applyFill="1" applyBorder="1" applyAlignment="1">
      <alignment vertical="center"/>
    </xf>
    <xf numFmtId="180" fontId="20" fillId="0" borderId="18" xfId="0" applyNumberFormat="1" applyFont="1" applyFill="1" applyBorder="1" applyAlignment="1">
      <alignment vertical="center"/>
    </xf>
    <xf numFmtId="180" fontId="20" fillId="4" borderId="18" xfId="0" applyNumberFormat="1" applyFont="1" applyFill="1" applyBorder="1" applyAlignment="1">
      <alignment vertical="center"/>
    </xf>
    <xf numFmtId="0" fontId="0" fillId="0" borderId="0" xfId="0" applyFont="1" applyFill="1" applyAlignment="1">
      <alignment vertical="center"/>
    </xf>
    <xf numFmtId="0" fontId="8" fillId="0" borderId="0" xfId="0" applyFont="1" applyBorder="1" applyAlignment="1">
      <alignment vertical="center"/>
    </xf>
    <xf numFmtId="0" fontId="8" fillId="0" borderId="0" xfId="0" applyFont="1" applyBorder="1" applyAlignment="1">
      <alignment horizontal="center" vertical="center"/>
    </xf>
    <xf numFmtId="0" fontId="24" fillId="6" borderId="0" xfId="0" applyFont="1" applyFill="1" applyAlignment="1">
      <alignment horizontal="center" vertical="center"/>
    </xf>
    <xf numFmtId="0" fontId="7" fillId="5" borderId="0" xfId="10" applyFill="1" applyBorder="1" applyAlignment="1" applyProtection="1">
      <alignment horizontal="center" vertical="center"/>
    </xf>
    <xf numFmtId="0" fontId="8" fillId="0" borderId="12" xfId="0" applyFont="1" applyBorder="1" applyAlignment="1">
      <alignment vertical="center"/>
    </xf>
    <xf numFmtId="0" fontId="25" fillId="11" borderId="12" xfId="0" applyFont="1" applyFill="1" applyBorder="1" applyAlignment="1">
      <alignment horizontal="center" vertical="center"/>
    </xf>
    <xf numFmtId="0" fontId="8" fillId="0" borderId="12" xfId="0" applyFont="1" applyBorder="1" applyAlignment="1">
      <alignment horizontal="center" vertical="center"/>
    </xf>
    <xf numFmtId="0" fontId="8" fillId="12" borderId="12" xfId="0" applyFont="1" applyFill="1" applyBorder="1" applyAlignment="1">
      <alignment horizontal="center" vertical="center"/>
    </xf>
    <xf numFmtId="0" fontId="8" fillId="11" borderId="12" xfId="0" applyFont="1" applyFill="1" applyBorder="1" applyAlignment="1">
      <alignment horizontal="center" vertical="center"/>
    </xf>
    <xf numFmtId="0" fontId="8" fillId="13" borderId="12" xfId="0" applyFont="1" applyFill="1" applyBorder="1" applyAlignment="1">
      <alignment horizontal="center" vertical="center"/>
    </xf>
    <xf numFmtId="0" fontId="8" fillId="0" borderId="12" xfId="0" applyFont="1" applyFill="1" applyBorder="1" applyAlignment="1">
      <alignment horizontal="center" vertical="center"/>
    </xf>
    <xf numFmtId="0" fontId="8" fillId="14" borderId="12" xfId="0" applyFont="1" applyFill="1" applyBorder="1" applyAlignment="1">
      <alignment horizontal="center" vertical="center"/>
    </xf>
    <xf numFmtId="0" fontId="26" fillId="15" borderId="0" xfId="0" applyFont="1" applyFill="1" applyBorder="1" applyAlignment="1">
      <alignment horizontal="center" vertical="center"/>
    </xf>
    <xf numFmtId="0" fontId="27" fillId="15" borderId="0" xfId="0" applyFont="1" applyFill="1" applyBorder="1" applyAlignment="1">
      <alignment horizontal="left" vertical="center"/>
    </xf>
    <xf numFmtId="0" fontId="0" fillId="15" borderId="0" xfId="0" applyFill="1" applyBorder="1"/>
    <xf numFmtId="0" fontId="27" fillId="15" borderId="0" xfId="0" applyFont="1" applyFill="1" applyBorder="1" applyAlignment="1">
      <alignment horizontal="right"/>
    </xf>
    <xf numFmtId="181" fontId="28" fillId="15" borderId="0" xfId="0" applyNumberFormat="1" applyFont="1" applyFill="1" applyBorder="1" applyProtection="1">
      <protection locked="0"/>
    </xf>
    <xf numFmtId="181" fontId="0" fillId="15" borderId="0" xfId="0" applyNumberFormat="1" applyFill="1" applyBorder="1"/>
    <xf numFmtId="182" fontId="29" fillId="15" borderId="0" xfId="0" applyNumberFormat="1" applyFont="1" applyFill="1" applyBorder="1"/>
    <xf numFmtId="0" fontId="30" fillId="15" borderId="0" xfId="0" applyFont="1" applyFill="1" applyBorder="1" applyAlignment="1">
      <alignment horizontal="right"/>
    </xf>
    <xf numFmtId="0" fontId="7" fillId="5" borderId="0" xfId="10" applyFill="1" applyAlignment="1" applyProtection="1">
      <alignment horizontal="center" vertical="center"/>
    </xf>
    <xf numFmtId="0" fontId="0" fillId="0" borderId="0" xfId="0" applyFont="1"/>
    <xf numFmtId="0" fontId="31" fillId="16" borderId="12" xfId="0" applyFont="1" applyFill="1" applyBorder="1" applyAlignment="1">
      <alignment horizontal="center"/>
    </xf>
    <xf numFmtId="0" fontId="7" fillId="5" borderId="0" xfId="10" applyFill="1" applyAlignment="1" applyProtection="1"/>
    <xf numFmtId="0" fontId="32" fillId="17" borderId="12" xfId="0" applyFont="1" applyFill="1" applyBorder="1" applyAlignment="1">
      <alignment horizontal="center"/>
    </xf>
    <xf numFmtId="0" fontId="33" fillId="18" borderId="12" xfId="0" applyFont="1" applyFill="1" applyBorder="1" applyAlignment="1">
      <alignment horizontal="center"/>
    </xf>
    <xf numFmtId="0" fontId="32" fillId="0" borderId="0" xfId="0" applyFont="1"/>
    <xf numFmtId="0" fontId="32" fillId="0" borderId="12" xfId="0" applyFont="1" applyBorder="1" applyAlignment="1">
      <alignment horizontal="center"/>
    </xf>
    <xf numFmtId="0" fontId="32" fillId="19" borderId="12" xfId="0" applyFont="1" applyFill="1" applyBorder="1" applyAlignment="1">
      <alignment horizontal="center"/>
    </xf>
    <xf numFmtId="0" fontId="34" fillId="20" borderId="12" xfId="0" applyFont="1" applyFill="1" applyBorder="1" applyAlignment="1">
      <alignment horizontal="center"/>
    </xf>
    <xf numFmtId="0" fontId="32" fillId="20" borderId="12" xfId="0" applyFont="1" applyFill="1" applyBorder="1" applyAlignment="1">
      <alignment horizontal="center"/>
    </xf>
    <xf numFmtId="0" fontId="32" fillId="0" borderId="0" xfId="0" applyFont="1" applyAlignment="1">
      <alignment horizontal="center"/>
    </xf>
    <xf numFmtId="0" fontId="35" fillId="0" borderId="0" xfId="0" applyFont="1" applyAlignment="1">
      <alignment horizontal="center"/>
    </xf>
    <xf numFmtId="0" fontId="0" fillId="0" borderId="0" xfId="0" applyAlignment="1">
      <alignment vertical="center"/>
    </xf>
    <xf numFmtId="0" fontId="36" fillId="0" borderId="0" xfId="0" applyFont="1" applyAlignment="1">
      <alignment horizontal="center" vertical="center" wrapText="1"/>
    </xf>
    <xf numFmtId="0" fontId="37" fillId="0" borderId="0" xfId="0" applyFont="1" applyAlignment="1">
      <alignment horizontal="center" vertical="center" wrapText="1"/>
    </xf>
    <xf numFmtId="0" fontId="38" fillId="0" borderId="0" xfId="0" applyFont="1" applyAlignment="1">
      <alignment horizontal="left" vertical="center"/>
    </xf>
    <xf numFmtId="0" fontId="39" fillId="0" borderId="12" xfId="0" applyFont="1" applyBorder="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left" vertical="center"/>
    </xf>
    <xf numFmtId="0" fontId="40" fillId="19" borderId="12" xfId="0" applyFont="1" applyFill="1" applyBorder="1" applyAlignment="1">
      <alignment horizontal="center" vertical="center"/>
    </xf>
    <xf numFmtId="0" fontId="40" fillId="0" borderId="0" xfId="0" applyFont="1" applyAlignment="1">
      <alignment horizontal="center" vertical="center"/>
    </xf>
    <xf numFmtId="182" fontId="40" fillId="19" borderId="12" xfId="0" applyNumberFormat="1" applyFont="1" applyFill="1" applyBorder="1" applyAlignment="1">
      <alignment horizontal="center" vertical="center"/>
    </xf>
    <xf numFmtId="0" fontId="41" fillId="0" borderId="12" xfId="0" applyFont="1" applyBorder="1" applyAlignment="1">
      <alignment horizontal="center" vertical="center" wrapText="1"/>
    </xf>
    <xf numFmtId="0" fontId="39" fillId="21" borderId="12" xfId="0" applyFont="1" applyFill="1" applyBorder="1" applyAlignment="1">
      <alignment horizontal="center" vertical="center"/>
    </xf>
    <xf numFmtId="182" fontId="39" fillId="21" borderId="12" xfId="0" applyNumberFormat="1" applyFont="1" applyFill="1" applyBorder="1" applyAlignment="1">
      <alignment horizontal="center" vertical="center"/>
    </xf>
    <xf numFmtId="0" fontId="42" fillId="0" borderId="0" xfId="0" applyFont="1" applyAlignment="1">
      <alignment horizontal="left" vertical="center"/>
    </xf>
    <xf numFmtId="183" fontId="39" fillId="21" borderId="12" xfId="0" applyNumberFormat="1" applyFont="1" applyFill="1" applyBorder="1" applyAlignment="1">
      <alignment horizontal="center" vertical="center"/>
    </xf>
    <xf numFmtId="185" fontId="39" fillId="21" borderId="12" xfId="0" applyNumberFormat="1" applyFont="1" applyFill="1" applyBorder="1" applyAlignment="1">
      <alignment horizontal="center" vertical="center"/>
    </xf>
    <xf numFmtId="187" fontId="40" fillId="0" borderId="12" xfId="0" applyNumberFormat="1" applyFont="1" applyFill="1" applyBorder="1" applyAlignment="1">
      <alignment horizontal="center" vertical="center"/>
    </xf>
    <xf numFmtId="0" fontId="38" fillId="0" borderId="6" xfId="0" applyFont="1" applyBorder="1" applyAlignment="1">
      <alignment horizontal="left" vertical="center" wrapText="1"/>
    </xf>
    <xf numFmtId="0" fontId="38" fillId="0" borderId="0" xfId="0" applyFont="1" applyBorder="1" applyAlignment="1">
      <alignment horizontal="left" vertical="center" wrapText="1"/>
    </xf>
    <xf numFmtId="185" fontId="39" fillId="21" borderId="13" xfId="0" applyNumberFormat="1" applyFont="1" applyFill="1" applyBorder="1" applyAlignment="1">
      <alignment horizontal="center" vertical="center"/>
    </xf>
    <xf numFmtId="0" fontId="39" fillId="0" borderId="12" xfId="0" applyFont="1" applyFill="1" applyBorder="1" applyAlignment="1">
      <alignment horizontal="left" vertical="center"/>
    </xf>
    <xf numFmtId="0" fontId="39" fillId="0" borderId="0" xfId="0" applyFont="1" applyBorder="1" applyAlignment="1">
      <alignment horizontal="left" vertical="center"/>
    </xf>
    <xf numFmtId="10" fontId="38" fillId="0" borderId="12" xfId="0" applyNumberFormat="1" applyFont="1" applyBorder="1" applyAlignment="1">
      <alignment horizontal="center" vertical="center" wrapText="1"/>
    </xf>
    <xf numFmtId="0" fontId="43" fillId="0" borderId="0" xfId="0" applyFont="1" applyAlignment="1">
      <alignment horizontal="left" vertical="center" wrapText="1"/>
    </xf>
    <xf numFmtId="0" fontId="43" fillId="0" borderId="0" xfId="0" applyFont="1" applyAlignment="1">
      <alignment vertical="center" wrapText="1"/>
    </xf>
    <xf numFmtId="0" fontId="44" fillId="5" borderId="0" xfId="10" applyFont="1" applyFill="1" applyAlignment="1" applyProtection="1">
      <alignment horizontal="left" vertical="center"/>
    </xf>
    <xf numFmtId="0" fontId="39" fillId="0" borderId="0" xfId="0" applyFont="1" applyAlignment="1">
      <alignment vertical="center"/>
    </xf>
    <xf numFmtId="0" fontId="3" fillId="0" borderId="0" xfId="0" applyFont="1" applyAlignment="1">
      <alignment horizontal="left" vertical="center"/>
    </xf>
    <xf numFmtId="0" fontId="38" fillId="0" borderId="9" xfId="0" applyFont="1" applyBorder="1" applyAlignment="1">
      <alignment horizontal="left" vertical="center" wrapText="1"/>
    </xf>
    <xf numFmtId="0" fontId="38" fillId="0" borderId="11" xfId="0" applyFont="1" applyBorder="1" applyAlignment="1">
      <alignment horizontal="left" vertical="center" wrapText="1"/>
    </xf>
    <xf numFmtId="0" fontId="40" fillId="21" borderId="12" xfId="0" applyFont="1" applyFill="1" applyBorder="1" applyAlignment="1">
      <alignment horizontal="center" vertical="center"/>
    </xf>
    <xf numFmtId="0" fontId="40" fillId="0" borderId="0" xfId="0" applyFont="1" applyFill="1" applyAlignment="1">
      <alignment horizontal="center" vertical="center"/>
    </xf>
    <xf numFmtId="0" fontId="39" fillId="0" borderId="12" xfId="0" applyFont="1" applyFill="1" applyBorder="1" applyAlignment="1">
      <alignment vertical="center"/>
    </xf>
    <xf numFmtId="0" fontId="39" fillId="0" borderId="0" xfId="0" applyFont="1" applyAlignment="1">
      <alignment horizontal="left" vertical="top" wrapText="1"/>
    </xf>
    <xf numFmtId="0" fontId="39" fillId="0" borderId="0" xfId="0" applyFont="1" applyFill="1" applyBorder="1" applyAlignment="1">
      <alignment vertical="center"/>
    </xf>
    <xf numFmtId="0" fontId="0" fillId="0" borderId="12" xfId="0" applyBorder="1" applyAlignment="1">
      <alignment horizontal="center" vertical="center" wrapText="1"/>
    </xf>
    <xf numFmtId="0" fontId="0" fillId="0" borderId="12" xfId="0" applyBorder="1" applyAlignment="1">
      <alignment horizontal="center" vertical="center"/>
    </xf>
    <xf numFmtId="0" fontId="0" fillId="0" borderId="12" xfId="0" applyBorder="1" applyAlignment="1">
      <alignment vertical="center"/>
    </xf>
    <xf numFmtId="0" fontId="0" fillId="0" borderId="12" xfId="0" applyFill="1" applyBorder="1" applyAlignment="1">
      <alignment vertical="center"/>
    </xf>
    <xf numFmtId="0" fontId="45" fillId="0" borderId="0" xfId="0" applyFont="1" applyAlignment="1">
      <alignment vertical="center"/>
    </xf>
    <xf numFmtId="0" fontId="45" fillId="0" borderId="0" xfId="0" applyFont="1" applyAlignment="1">
      <alignment horizontal="left" vertical="center"/>
    </xf>
    <xf numFmtId="0" fontId="45" fillId="0" borderId="0" xfId="0" applyFont="1" applyAlignment="1">
      <alignment horizontal="left" vertical="center" shrinkToFit="1"/>
    </xf>
    <xf numFmtId="0" fontId="45" fillId="0" borderId="0" xfId="0" applyFont="1" applyAlignment="1">
      <alignment horizontal="left" vertical="center" wrapText="1"/>
    </xf>
    <xf numFmtId="0" fontId="45" fillId="0" borderId="0" xfId="0" applyFont="1" applyAlignment="1">
      <alignment horizontal="right" vertical="center" wrapText="1"/>
    </xf>
    <xf numFmtId="0" fontId="46" fillId="0" borderId="0" xfId="0" applyFont="1" applyAlignment="1">
      <alignment horizontal="left" vertical="center" wrapText="1"/>
    </xf>
    <xf numFmtId="0" fontId="7" fillId="5" borderId="0" xfId="10" applyFill="1" applyAlignment="1" applyProtection="1">
      <alignment horizontal="center" vertical="center" wrapText="1"/>
    </xf>
    <xf numFmtId="0" fontId="45" fillId="0" borderId="0" xfId="0" applyFont="1" applyAlignment="1">
      <alignment horizontal="right" vertical="center"/>
    </xf>
    <xf numFmtId="185" fontId="46" fillId="0" borderId="0" xfId="0" applyNumberFormat="1" applyFont="1" applyAlignment="1">
      <alignment horizontal="center" vertical="center"/>
    </xf>
    <xf numFmtId="189" fontId="46" fillId="0" borderId="0" xfId="0" applyNumberFormat="1" applyFont="1" applyAlignment="1">
      <alignment horizontal="center" vertical="center"/>
    </xf>
    <xf numFmtId="0" fontId="47" fillId="0" borderId="0" xfId="0" applyFont="1" applyAlignment="1">
      <alignment horizontal="left" vertical="center"/>
    </xf>
    <xf numFmtId="0" fontId="45" fillId="0" borderId="0" xfId="0" applyFont="1" applyAlignment="1" applyProtection="1">
      <alignment horizontal="left" vertical="center"/>
      <protection hidden="1"/>
    </xf>
    <xf numFmtId="189" fontId="47" fillId="0" borderId="0" xfId="0" applyNumberFormat="1" applyFont="1" applyAlignment="1">
      <alignment horizontal="center" vertical="center"/>
    </xf>
    <xf numFmtId="0" fontId="46" fillId="0" borderId="0" xfId="0" applyFont="1" applyAlignment="1">
      <alignment horizontal="left" vertical="center"/>
    </xf>
    <xf numFmtId="0" fontId="46" fillId="0" borderId="0" xfId="0" applyFont="1" applyBorder="1" applyAlignment="1">
      <alignment horizontal="left" vertical="center" wrapText="1"/>
    </xf>
    <xf numFmtId="185" fontId="47" fillId="0" borderId="0" xfId="0" applyNumberFormat="1" applyFont="1" applyAlignment="1">
      <alignment horizontal="left" vertical="center"/>
    </xf>
    <xf numFmtId="0" fontId="45" fillId="0" borderId="0" xfId="0" applyFont="1" applyAlignment="1">
      <alignment horizontal="right" vertical="center" shrinkToFit="1"/>
    </xf>
    <xf numFmtId="0" fontId="46" fillId="0" borderId="0" xfId="0" applyFont="1" applyAlignment="1">
      <alignment horizontal="center" vertical="center" wrapText="1"/>
    </xf>
    <xf numFmtId="182" fontId="46" fillId="0" borderId="0" xfId="0" applyNumberFormat="1" applyFont="1" applyAlignment="1">
      <alignment horizontal="justify" vertical="center"/>
    </xf>
    <xf numFmtId="0" fontId="0" fillId="0" borderId="0" xfId="0" applyAlignment="1">
      <alignment horizontal="centerContinuous" vertical="center"/>
    </xf>
    <xf numFmtId="185" fontId="46" fillId="0" borderId="0" xfId="0" applyNumberFormat="1" applyFont="1" applyAlignment="1">
      <alignment horizontal="justify" vertical="center"/>
    </xf>
    <xf numFmtId="0" fontId="45" fillId="0" borderId="12" xfId="0" applyFont="1" applyBorder="1" applyAlignment="1">
      <alignment horizontal="center" vertical="center"/>
    </xf>
    <xf numFmtId="0" fontId="45" fillId="0" borderId="12" xfId="0" applyFont="1" applyBorder="1" applyAlignment="1">
      <alignment horizontal="right" vertical="center" shrinkToFit="1"/>
    </xf>
    <xf numFmtId="182" fontId="47" fillId="0" borderId="0" xfId="0" applyNumberFormat="1" applyFont="1" applyAlignment="1">
      <alignment horizontal="left" vertical="center"/>
    </xf>
    <xf numFmtId="185" fontId="48" fillId="0" borderId="12" xfId="0" applyNumberFormat="1" applyFont="1" applyBorder="1" applyAlignment="1">
      <alignment horizontal="center" vertical="center"/>
    </xf>
    <xf numFmtId="182" fontId="46" fillId="0" borderId="0" xfId="0" applyNumberFormat="1" applyFont="1" applyAlignment="1">
      <alignment horizontal="left" vertical="center"/>
    </xf>
    <xf numFmtId="0" fontId="45" fillId="0" borderId="12" xfId="0" applyFont="1" applyBorder="1" applyAlignment="1">
      <alignment vertical="center" shrinkToFit="1"/>
    </xf>
    <xf numFmtId="185" fontId="48" fillId="0" borderId="12" xfId="0" applyNumberFormat="1" applyFont="1" applyBorder="1" applyAlignment="1">
      <alignment horizontal="center" vertical="center" shrinkToFit="1"/>
    </xf>
    <xf numFmtId="189" fontId="46" fillId="0" borderId="0" xfId="0" applyNumberFormat="1" applyFont="1" applyBorder="1" applyAlignment="1">
      <alignment horizontal="center" vertical="center"/>
    </xf>
    <xf numFmtId="182" fontId="47" fillId="0" borderId="0" xfId="0" applyNumberFormat="1" applyFont="1" applyAlignment="1">
      <alignment horizontal="left" vertical="center" shrinkToFit="1"/>
    </xf>
    <xf numFmtId="183" fontId="46" fillId="0" borderId="0" xfId="0" applyNumberFormat="1" applyFont="1" applyBorder="1" applyAlignment="1">
      <alignment horizontal="center" vertical="center"/>
    </xf>
    <xf numFmtId="0" fontId="45" fillId="0" borderId="0" xfId="0" applyFont="1" applyAlignment="1">
      <alignment vertical="center" shrinkToFit="1"/>
    </xf>
    <xf numFmtId="185" fontId="46" fillId="0" borderId="0" xfId="0" applyNumberFormat="1" applyFont="1" applyAlignment="1">
      <alignment horizontal="left" vertical="center"/>
    </xf>
    <xf numFmtId="182" fontId="48" fillId="0" borderId="0" xfId="0" applyNumberFormat="1" applyFont="1" applyBorder="1" applyAlignment="1">
      <alignment horizontal="center" vertical="center"/>
    </xf>
    <xf numFmtId="183" fontId="47" fillId="0" borderId="0" xfId="0" applyNumberFormat="1" applyFont="1" applyBorder="1" applyAlignment="1">
      <alignment horizontal="center" vertical="center"/>
    </xf>
    <xf numFmtId="0" fontId="45" fillId="0" borderId="0" xfId="0" applyFont="1" applyBorder="1" applyAlignment="1">
      <alignment vertical="center"/>
    </xf>
    <xf numFmtId="0" fontId="45" fillId="0" borderId="12" xfId="0" applyFont="1" applyBorder="1" applyAlignment="1">
      <alignment horizontal="center" vertical="center" shrinkToFit="1"/>
    </xf>
    <xf numFmtId="189" fontId="48" fillId="0" borderId="12" xfId="0" applyNumberFormat="1" applyFont="1" applyBorder="1" applyAlignment="1">
      <alignment horizontal="center" vertical="center"/>
    </xf>
    <xf numFmtId="189" fontId="46" fillId="0" borderId="0" xfId="0" applyNumberFormat="1" applyFont="1" applyAlignment="1">
      <alignment horizontal="left" vertical="center"/>
    </xf>
    <xf numFmtId="0" fontId="0" fillId="0" borderId="0" xfId="0" applyAlignment="1">
      <alignment horizontal="left" vertical="center"/>
    </xf>
    <xf numFmtId="182" fontId="48" fillId="0" borderId="12" xfId="0" applyNumberFormat="1" applyFont="1" applyBorder="1" applyAlignment="1">
      <alignment horizontal="center" vertical="center" shrinkToFit="1"/>
    </xf>
    <xf numFmtId="0" fontId="45" fillId="0" borderId="0" xfId="0" applyFont="1" applyBorder="1" applyAlignment="1">
      <alignment horizontal="center" vertical="center"/>
    </xf>
    <xf numFmtId="185" fontId="48" fillId="0" borderId="0" xfId="0" applyNumberFormat="1" applyFont="1" applyBorder="1" applyAlignment="1">
      <alignment horizontal="center" vertical="center"/>
    </xf>
    <xf numFmtId="185" fontId="45" fillId="0" borderId="0" xfId="0" applyNumberFormat="1" applyFont="1" applyAlignment="1">
      <alignment horizontal="justify" vertical="center"/>
    </xf>
    <xf numFmtId="189" fontId="47" fillId="0" borderId="0" xfId="0" applyNumberFormat="1" applyFont="1" applyAlignment="1">
      <alignment horizontal="left" vertical="center"/>
    </xf>
    <xf numFmtId="0" fontId="45" fillId="0" borderId="7" xfId="0" applyFont="1" applyBorder="1" applyAlignment="1">
      <alignment horizontal="left" vertical="center"/>
    </xf>
    <xf numFmtId="189" fontId="46" fillId="0" borderId="0" xfId="0" applyNumberFormat="1" applyFont="1" applyAlignment="1">
      <alignment horizontal="justify" vertical="center"/>
    </xf>
    <xf numFmtId="0" fontId="45" fillId="0" borderId="0" xfId="0" applyFont="1" applyAlignment="1">
      <alignment horizontal="center" vertical="center"/>
    </xf>
    <xf numFmtId="0" fontId="45" fillId="0" borderId="0" xfId="0" applyFont="1" applyBorder="1" applyAlignment="1">
      <alignment horizontal="right" vertical="center"/>
    </xf>
    <xf numFmtId="185" fontId="48" fillId="0" borderId="0" xfId="0" applyNumberFormat="1" applyFont="1" applyBorder="1" applyAlignment="1">
      <alignment horizontal="center" vertical="center" shrinkToFit="1"/>
    </xf>
    <xf numFmtId="182" fontId="46" fillId="0" borderId="0" xfId="0" applyNumberFormat="1" applyFont="1" applyAlignment="1">
      <alignment horizontal="center" vertical="center"/>
    </xf>
    <xf numFmtId="182" fontId="47" fillId="0" borderId="0" xfId="0" applyNumberFormat="1" applyFont="1" applyAlignment="1">
      <alignment horizontal="center" vertical="center"/>
    </xf>
    <xf numFmtId="0" fontId="45" fillId="0" borderId="2" xfId="0" applyFont="1" applyBorder="1" applyAlignment="1">
      <alignment vertical="center"/>
    </xf>
    <xf numFmtId="0" fontId="45" fillId="0" borderId="13" xfId="0" applyFont="1" applyBorder="1" applyAlignment="1">
      <alignment horizontal="center" vertical="center" wrapText="1"/>
    </xf>
    <xf numFmtId="0" fontId="45" fillId="0" borderId="4" xfId="0" applyFont="1" applyBorder="1" applyAlignment="1">
      <alignment horizontal="center" vertical="center" wrapText="1"/>
    </xf>
    <xf numFmtId="0" fontId="0" fillId="0" borderId="5" xfId="0" applyBorder="1" applyAlignment="1">
      <alignment vertical="center"/>
    </xf>
    <xf numFmtId="0" fontId="45" fillId="0" borderId="14" xfId="0" applyFont="1" applyBorder="1" applyAlignment="1">
      <alignment horizontal="center" vertical="center" wrapText="1"/>
    </xf>
    <xf numFmtId="0" fontId="0" fillId="0" borderId="6" xfId="0" applyBorder="1" applyAlignment="1">
      <alignment vertical="center"/>
    </xf>
    <xf numFmtId="0" fontId="0" fillId="0" borderId="7" xfId="0" applyBorder="1" applyAlignment="1">
      <alignment vertical="center"/>
    </xf>
    <xf numFmtId="182" fontId="48" fillId="0" borderId="12" xfId="0" applyNumberFormat="1" applyFont="1" applyBorder="1" applyAlignment="1">
      <alignment horizontal="center" vertical="center"/>
    </xf>
    <xf numFmtId="182" fontId="46" fillId="0" borderId="12" xfId="0" applyNumberFormat="1" applyFont="1" applyBorder="1" applyAlignment="1">
      <alignment horizontal="center" vertical="center"/>
    </xf>
    <xf numFmtId="185" fontId="47" fillId="0" borderId="12" xfId="0" applyNumberFormat="1" applyFont="1" applyBorder="1" applyAlignment="1">
      <alignment horizontal="center" vertical="center"/>
    </xf>
    <xf numFmtId="182" fontId="46" fillId="0" borderId="9" xfId="0" applyNumberFormat="1" applyFont="1" applyBorder="1" applyAlignment="1">
      <alignment horizontal="center" vertical="center"/>
    </xf>
    <xf numFmtId="0" fontId="0" fillId="0" borderId="11" xfId="0" applyBorder="1" applyAlignment="1">
      <alignment vertical="center"/>
    </xf>
    <xf numFmtId="0" fontId="45" fillId="0" borderId="3" xfId="0" applyFont="1" applyBorder="1" applyAlignment="1">
      <alignment horizontal="center" vertical="center"/>
    </xf>
    <xf numFmtId="0" fontId="46" fillId="0" borderId="3" xfId="0" applyFont="1" applyBorder="1" applyAlignment="1">
      <alignment horizontal="center" vertical="center"/>
    </xf>
    <xf numFmtId="0" fontId="0" fillId="0" borderId="3" xfId="0" applyBorder="1" applyAlignment="1">
      <alignment vertical="center"/>
    </xf>
    <xf numFmtId="0" fontId="0" fillId="0" borderId="0" xfId="0" applyBorder="1" applyAlignment="1">
      <alignment vertical="center"/>
    </xf>
    <xf numFmtId="0" fontId="49" fillId="0" borderId="0" xfId="0" applyFont="1" applyAlignment="1">
      <alignment vertical="center"/>
    </xf>
    <xf numFmtId="0" fontId="49" fillId="0" borderId="12" xfId="0" applyFont="1" applyBorder="1" applyAlignment="1">
      <alignment horizontal="center" vertical="center" wrapText="1"/>
    </xf>
    <xf numFmtId="0" fontId="49" fillId="0" borderId="12" xfId="0" applyFont="1" applyBorder="1" applyAlignment="1">
      <alignment horizontal="center" vertical="center" wrapText="1" shrinkToFit="1"/>
    </xf>
    <xf numFmtId="0" fontId="45" fillId="0" borderId="12" xfId="0" applyFont="1" applyBorder="1" applyAlignment="1">
      <alignment vertical="center"/>
    </xf>
    <xf numFmtId="189" fontId="48" fillId="0" borderId="12" xfId="0" applyNumberFormat="1" applyFont="1" applyBorder="1" applyAlignment="1">
      <alignment horizontal="center" vertical="center" shrinkToFit="1"/>
    </xf>
    <xf numFmtId="0" fontId="45" fillId="0" borderId="2" xfId="0" applyFont="1" applyBorder="1" applyAlignment="1">
      <alignment horizontal="left" vertical="center"/>
    </xf>
    <xf numFmtId="0" fontId="0" fillId="0" borderId="2" xfId="0" applyBorder="1" applyAlignment="1">
      <alignment vertical="center"/>
    </xf>
    <xf numFmtId="0" fontId="45" fillId="0" borderId="4" xfId="0" applyFont="1" applyBorder="1" applyAlignment="1">
      <alignment vertical="center"/>
    </xf>
    <xf numFmtId="185" fontId="47" fillId="0" borderId="0" xfId="0" applyNumberFormat="1" applyFont="1" applyAlignment="1">
      <alignment horizontal="left" vertical="center" shrinkToFit="1"/>
    </xf>
    <xf numFmtId="185" fontId="47" fillId="0" borderId="0" xfId="0" applyNumberFormat="1" applyFont="1" applyAlignment="1">
      <alignment horizontal="center" vertical="center" shrinkToFit="1"/>
    </xf>
    <xf numFmtId="182" fontId="48" fillId="0" borderId="0" xfId="0" applyNumberFormat="1" applyFont="1" applyBorder="1" applyAlignment="1">
      <alignment horizontal="center" vertical="center" shrinkToFit="1"/>
    </xf>
    <xf numFmtId="183" fontId="46" fillId="0" borderId="0" xfId="0" applyNumberFormat="1" applyFont="1" applyAlignment="1">
      <alignment horizontal="justify" vertical="center"/>
    </xf>
    <xf numFmtId="0" fontId="45" fillId="0" borderId="12" xfId="0" applyFont="1" applyBorder="1" applyAlignment="1">
      <alignment horizontal="right" vertical="center"/>
    </xf>
    <xf numFmtId="0" fontId="45" fillId="0" borderId="0" xfId="0" applyFont="1" applyAlignment="1">
      <alignment horizontal="justify" vertical="center"/>
    </xf>
    <xf numFmtId="0" fontId="0" fillId="0" borderId="0" xfId="0" applyAlignment="1">
      <alignment horizontal="center" vertical="center"/>
    </xf>
    <xf numFmtId="0" fontId="0" fillId="0" borderId="13" xfId="0" applyBorder="1" applyAlignment="1">
      <alignment vertical="center"/>
    </xf>
    <xf numFmtId="0" fontId="0" fillId="0" borderId="13" xfId="0" applyBorder="1" applyAlignment="1">
      <alignment horizontal="center" vertical="center"/>
    </xf>
    <xf numFmtId="189" fontId="0" fillId="0" borderId="12" xfId="0" applyNumberFormat="1" applyBorder="1" applyAlignment="1">
      <alignment vertical="center"/>
    </xf>
    <xf numFmtId="190" fontId="0" fillId="0" borderId="12" xfId="0" applyNumberFormat="1" applyBorder="1" applyAlignment="1">
      <alignment vertical="center"/>
    </xf>
    <xf numFmtId="0" fontId="50" fillId="0" borderId="0" xfId="0" applyFont="1" applyAlignment="1">
      <alignment vertical="center"/>
    </xf>
    <xf numFmtId="0" fontId="7" fillId="5" borderId="13" xfId="10" applyFill="1" applyBorder="1" applyAlignment="1" applyProtection="1">
      <alignment horizontal="center" vertical="center"/>
    </xf>
    <xf numFmtId="0" fontId="7" fillId="5" borderId="15" xfId="10" applyFill="1" applyBorder="1" applyAlignment="1" applyProtection="1">
      <alignment horizontal="center" vertical="center"/>
    </xf>
    <xf numFmtId="0" fontId="51" fillId="0" borderId="0" xfId="0" applyFont="1" applyAlignment="1" applyProtection="1">
      <alignment vertical="center"/>
      <protection locked="0"/>
    </xf>
    <xf numFmtId="0" fontId="52" fillId="0" borderId="0" xfId="0" applyFont="1" applyAlignment="1" applyProtection="1">
      <alignment vertical="center"/>
      <protection locked="0"/>
    </xf>
    <xf numFmtId="0" fontId="53" fillId="0" borderId="0" xfId="0" applyFont="1" applyAlignment="1" applyProtection="1">
      <alignment horizontal="center" vertical="center"/>
      <protection locked="0"/>
    </xf>
    <xf numFmtId="0" fontId="54" fillId="0" borderId="0" xfId="0" applyFont="1" applyAlignment="1" applyProtection="1">
      <alignment vertical="center"/>
      <protection locked="0"/>
    </xf>
    <xf numFmtId="0" fontId="38" fillId="0" borderId="0" xfId="0" applyFont="1" applyAlignment="1" applyProtection="1">
      <alignment vertical="center"/>
      <protection locked="0"/>
    </xf>
    <xf numFmtId="0" fontId="55" fillId="5" borderId="0" xfId="10" applyFont="1" applyFill="1" applyAlignment="1" applyProtection="1">
      <alignment horizontal="center" vertical="center"/>
      <protection locked="0"/>
    </xf>
    <xf numFmtId="0" fontId="56" fillId="0" borderId="0" xfId="0" applyFont="1" applyAlignment="1" applyProtection="1">
      <alignment horizontal="center" vertical="center"/>
      <protection locked="0"/>
    </xf>
    <xf numFmtId="0" fontId="52" fillId="22" borderId="12" xfId="0" applyFont="1" applyFill="1" applyBorder="1" applyAlignment="1" applyProtection="1">
      <alignment vertical="center"/>
      <protection locked="0"/>
    </xf>
    <xf numFmtId="0" fontId="53" fillId="2" borderId="12" xfId="0" applyFont="1" applyFill="1" applyBorder="1" applyAlignment="1" applyProtection="1">
      <alignment horizontal="center" vertical="center"/>
      <protection locked="0"/>
    </xf>
    <xf numFmtId="0" fontId="54" fillId="0" borderId="0" xfId="0" applyFont="1" applyAlignment="1" applyProtection="1">
      <alignment horizontal="left" vertical="center"/>
      <protection locked="0"/>
    </xf>
    <xf numFmtId="0" fontId="56" fillId="23" borderId="12" xfId="0" applyFont="1" applyFill="1" applyBorder="1" applyAlignment="1" applyProtection="1">
      <alignment horizontal="center" vertical="center"/>
      <protection locked="0"/>
    </xf>
    <xf numFmtId="0" fontId="56" fillId="24" borderId="12" xfId="0" applyFont="1" applyFill="1" applyBorder="1" applyAlignment="1" applyProtection="1">
      <alignment horizontal="center" vertical="center"/>
      <protection hidden="1"/>
    </xf>
    <xf numFmtId="0" fontId="53" fillId="24" borderId="12" xfId="0" applyFont="1" applyFill="1" applyBorder="1" applyAlignment="1" applyProtection="1">
      <alignment horizontal="center" vertical="center"/>
      <protection hidden="1"/>
    </xf>
    <xf numFmtId="177" fontId="53" fillId="24" borderId="12" xfId="0" applyNumberFormat="1" applyFont="1" applyFill="1" applyBorder="1" applyAlignment="1" applyProtection="1">
      <alignment horizontal="center" vertical="center"/>
      <protection hidden="1"/>
    </xf>
    <xf numFmtId="0" fontId="53" fillId="24" borderId="12" xfId="0" applyNumberFormat="1" applyFont="1" applyFill="1" applyBorder="1" applyAlignment="1" applyProtection="1">
      <alignment horizontal="center" vertical="center"/>
      <protection hidden="1"/>
    </xf>
    <xf numFmtId="0" fontId="53" fillId="2" borderId="12" xfId="0" applyNumberFormat="1" applyFont="1" applyFill="1" applyBorder="1" applyAlignment="1" applyProtection="1">
      <alignment horizontal="center" vertical="center"/>
      <protection locked="0"/>
    </xf>
    <xf numFmtId="0" fontId="0" fillId="0" borderId="12" xfId="0" applyBorder="1"/>
    <xf numFmtId="0" fontId="7" fillId="5" borderId="12" xfId="10" applyFill="1" applyBorder="1" applyAlignment="1" applyProtection="1"/>
    <xf numFmtId="0" fontId="0" fillId="0" borderId="12" xfId="0" applyFont="1" applyBorder="1" applyAlignment="1">
      <alignment horizontal="center"/>
    </xf>
    <xf numFmtId="0" fontId="0" fillId="0" borderId="12" xfId="0" applyFont="1" applyBorder="1"/>
    <xf numFmtId="0" fontId="0" fillId="0" borderId="9" xfId="0" applyFont="1" applyBorder="1" applyAlignment="1"/>
    <xf numFmtId="0" fontId="0" fillId="0" borderId="10" xfId="0" applyBorder="1" applyAlignment="1"/>
    <xf numFmtId="0" fontId="0" fillId="0" borderId="11" xfId="0" applyBorder="1" applyAlignment="1"/>
    <xf numFmtId="0" fontId="0" fillId="0" borderId="9" xfId="0" applyBorder="1" applyAlignment="1"/>
    <xf numFmtId="0" fontId="0" fillId="0" borderId="9" xfId="0" applyFont="1" applyBorder="1" applyAlignment="1">
      <alignment horizontal="center"/>
    </xf>
    <xf numFmtId="0" fontId="7" fillId="0" borderId="9" xfId="10" applyFont="1" applyBorder="1" applyAlignment="1" applyProtection="1"/>
    <xf numFmtId="0" fontId="45" fillId="0" borderId="0" xfId="0" applyFont="1" applyAlignment="1">
      <alignment horizontal="center"/>
    </xf>
    <xf numFmtId="0" fontId="0" fillId="0" borderId="12" xfId="0" applyBorder="1" applyAlignment="1">
      <alignment horizontal="center" wrapText="1"/>
    </xf>
    <xf numFmtId="2" fontId="0" fillId="0" borderId="12" xfId="0" applyNumberFormat="1" applyBorder="1" applyAlignment="1"/>
    <xf numFmtId="2" fontId="0" fillId="0" borderId="12" xfId="0" applyNumberFormat="1" applyBorder="1" applyAlignment="1">
      <alignment horizontal="center"/>
    </xf>
    <xf numFmtId="193" fontId="0" fillId="0" borderId="12" xfId="0" applyNumberFormat="1" applyBorder="1" applyAlignment="1"/>
    <xf numFmtId="0" fontId="7" fillId="5" borderId="0" xfId="10" applyFill="1" applyAlignment="1" applyProtection="1">
      <alignment horizontal="center"/>
    </xf>
    <xf numFmtId="0" fontId="57" fillId="0" borderId="22" xfId="10" applyFont="1" applyBorder="1" applyAlignment="1" applyProtection="1">
      <alignment horizontal="center" vertical="center"/>
    </xf>
    <xf numFmtId="0" fontId="57" fillId="0" borderId="23" xfId="10" applyFont="1" applyBorder="1" applyAlignment="1" applyProtection="1">
      <alignment horizontal="center" vertical="center"/>
    </xf>
    <xf numFmtId="0" fontId="57" fillId="0" borderId="24" xfId="10" applyFont="1" applyBorder="1" applyAlignment="1" applyProtection="1">
      <alignment horizontal="center" vertical="center"/>
    </xf>
    <xf numFmtId="0" fontId="57" fillId="0" borderId="0" xfId="10" applyFont="1" applyBorder="1" applyAlignment="1" applyProtection="1">
      <alignment horizontal="center" vertical="center"/>
    </xf>
    <xf numFmtId="0" fontId="57" fillId="0" borderId="25" xfId="10" applyFont="1" applyBorder="1" applyAlignment="1" applyProtection="1">
      <alignment horizontal="center" vertical="center"/>
    </xf>
    <xf numFmtId="0" fontId="57" fillId="0" borderId="26" xfId="10" applyFont="1" applyBorder="1" applyAlignment="1" applyProtection="1">
      <alignment horizontal="center" vertical="center"/>
    </xf>
    <xf numFmtId="0" fontId="0" fillId="0" borderId="27" xfId="0" applyFont="1" applyBorder="1" applyAlignment="1">
      <alignment horizontal="center" vertical="center"/>
    </xf>
    <xf numFmtId="0" fontId="0" fillId="0" borderId="28" xfId="0" applyFont="1" applyBorder="1" applyAlignment="1">
      <alignment horizontal="center" vertical="center"/>
    </xf>
    <xf numFmtId="0" fontId="0" fillId="0" borderId="29" xfId="0" applyFont="1" applyBorder="1" applyAlignment="1">
      <alignment horizontal="center" vertical="center"/>
    </xf>
    <xf numFmtId="0" fontId="0" fillId="0" borderId="12" xfId="0" applyFont="1" applyBorder="1" applyAlignment="1">
      <alignment horizontal="center" vertical="center"/>
    </xf>
    <xf numFmtId="0" fontId="0" fillId="0" borderId="30" xfId="0" applyFont="1" applyBorder="1" applyAlignment="1">
      <alignment horizontal="center" vertical="center"/>
    </xf>
    <xf numFmtId="0" fontId="0" fillId="0" borderId="31" xfId="0" applyFont="1" applyBorder="1" applyAlignment="1">
      <alignment horizontal="center" vertical="center"/>
    </xf>
    <xf numFmtId="0" fontId="58" fillId="0" borderId="32" xfId="0" applyFont="1" applyBorder="1" applyAlignment="1">
      <alignment horizontal="center" vertical="center"/>
    </xf>
    <xf numFmtId="0" fontId="0" fillId="0" borderId="15" xfId="0" applyBorder="1" applyAlignment="1">
      <alignment horizontal="center" vertical="center"/>
    </xf>
    <xf numFmtId="0" fontId="0" fillId="0" borderId="29" xfId="0" applyBorder="1" applyAlignment="1">
      <alignment horizontal="center" vertical="center"/>
    </xf>
    <xf numFmtId="0" fontId="58" fillId="0" borderId="29" xfId="0" applyFont="1" applyBorder="1" applyAlignment="1">
      <alignment horizontal="center" vertical="center"/>
    </xf>
    <xf numFmtId="0" fontId="0" fillId="0" borderId="33" xfId="0" applyBorder="1" applyAlignment="1">
      <alignment horizontal="center" vertical="center"/>
    </xf>
    <xf numFmtId="0" fontId="0" fillId="0" borderId="28" xfId="0" applyBorder="1" applyAlignment="1">
      <alignment horizontal="center" vertical="center"/>
    </xf>
    <xf numFmtId="0" fontId="0" fillId="0" borderId="31" xfId="0" applyBorder="1" applyAlignment="1">
      <alignment horizontal="center" vertical="center"/>
    </xf>
    <xf numFmtId="0" fontId="7" fillId="5" borderId="34" xfId="10" applyFill="1" applyBorder="1" applyAlignment="1" applyProtection="1">
      <alignment horizontal="center" vertical="center"/>
    </xf>
    <xf numFmtId="0" fontId="7" fillId="5" borderId="35" xfId="10" applyFill="1" applyBorder="1" applyAlignment="1" applyProtection="1">
      <alignment horizontal="center" vertical="center"/>
    </xf>
    <xf numFmtId="0" fontId="7" fillId="5" borderId="36" xfId="10" applyFill="1" applyBorder="1" applyAlignment="1" applyProtection="1">
      <alignment horizontal="center" vertical="center"/>
    </xf>
    <xf numFmtId="0" fontId="0" fillId="0" borderId="28"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Border="1" applyAlignment="1"/>
    <xf numFmtId="0" fontId="0" fillId="0" borderId="38" xfId="0" applyBorder="1" applyAlignment="1"/>
    <xf numFmtId="0" fontId="0" fillId="0" borderId="41" xfId="0" applyBorder="1" applyAlignment="1"/>
    <xf numFmtId="0" fontId="0" fillId="0" borderId="28" xfId="0" applyFill="1" applyBorder="1" applyAlignment="1">
      <alignment horizontal="center" vertical="center"/>
    </xf>
    <xf numFmtId="0" fontId="0" fillId="0" borderId="37" xfId="0" applyBorder="1" applyAlignment="1"/>
    <xf numFmtId="0" fontId="0" fillId="0" borderId="12" xfId="0" applyFill="1" applyBorder="1" applyAlignment="1">
      <alignment horizontal="center" vertical="center"/>
    </xf>
    <xf numFmtId="0" fontId="0" fillId="0" borderId="31" xfId="0" applyBorder="1" applyAlignment="1"/>
    <xf numFmtId="0" fontId="0" fillId="0" borderId="39" xfId="0" applyBorder="1" applyAlignment="1"/>
    <xf numFmtId="0" fontId="0" fillId="25" borderId="0" xfId="0" applyFill="1" applyAlignment="1">
      <alignment horizontal="center" vertical="center"/>
    </xf>
    <xf numFmtId="0" fontId="9" fillId="4" borderId="0" xfId="0" applyFont="1" applyFill="1" applyAlignment="1">
      <alignment horizontal="center" vertical="center"/>
    </xf>
    <xf numFmtId="0" fontId="59" fillId="0" borderId="12" xfId="0" applyFont="1" applyBorder="1" applyAlignment="1">
      <alignment horizontal="center" vertical="center"/>
    </xf>
    <xf numFmtId="0" fontId="60" fillId="4" borderId="0" xfId="0" applyFont="1" applyFill="1" applyAlignment="1">
      <alignment horizontal="center" vertical="center"/>
    </xf>
    <xf numFmtId="0" fontId="9" fillId="4" borderId="2" xfId="0" applyFont="1" applyFill="1"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8" xfId="0" applyBorder="1" applyAlignment="1">
      <alignment horizontal="center" vertical="center"/>
    </xf>
    <xf numFmtId="0" fontId="54" fillId="0" borderId="12" xfId="0" applyFont="1" applyBorder="1" applyAlignment="1">
      <alignment horizontal="center" vertical="center"/>
    </xf>
    <xf numFmtId="0" fontId="61" fillId="0" borderId="12" xfId="0" applyFont="1" applyBorder="1" applyAlignment="1">
      <alignment horizontal="center" vertical="center"/>
    </xf>
    <xf numFmtId="0" fontId="0" fillId="0" borderId="14" xfId="0" applyBorder="1" applyAlignment="1">
      <alignment horizontal="center" vertical="center"/>
    </xf>
    <xf numFmtId="0" fontId="9" fillId="3" borderId="0" xfId="0" applyFont="1" applyFill="1" applyAlignment="1">
      <alignment vertical="center"/>
    </xf>
    <xf numFmtId="0" fontId="9" fillId="25" borderId="0" xfId="0" applyFont="1" applyFill="1" applyAlignment="1">
      <alignment vertical="center"/>
    </xf>
    <xf numFmtId="0" fontId="0" fillId="0" borderId="9" xfId="0" applyBorder="1" applyAlignment="1">
      <alignment horizontal="center" vertical="center"/>
    </xf>
    <xf numFmtId="0" fontId="0" fillId="0" borderId="11" xfId="0" applyBorder="1" applyAlignment="1">
      <alignment horizontal="center" vertical="center"/>
    </xf>
    <xf numFmtId="0" fontId="9" fillId="4" borderId="3" xfId="0" applyFont="1" applyFill="1" applyBorder="1" applyAlignment="1">
      <alignment horizontal="center" vertical="center"/>
    </xf>
    <xf numFmtId="0" fontId="0" fillId="0" borderId="3" xfId="0" applyBorder="1" applyAlignment="1">
      <alignment horizontal="left" vertical="center"/>
    </xf>
    <xf numFmtId="0" fontId="9" fillId="4" borderId="10" xfId="0" applyFont="1" applyFill="1" applyBorder="1" applyAlignment="1">
      <alignment horizontal="center" vertical="center"/>
    </xf>
    <xf numFmtId="0" fontId="9" fillId="3" borderId="3" xfId="0" applyFont="1" applyFill="1" applyBorder="1" applyAlignment="1">
      <alignment vertical="center"/>
    </xf>
    <xf numFmtId="0" fontId="0" fillId="0" borderId="10" xfId="0" applyBorder="1" applyAlignment="1">
      <alignment horizontal="center" vertical="center"/>
    </xf>
    <xf numFmtId="0" fontId="0" fillId="0" borderId="14" xfId="0" applyBorder="1" applyAlignment="1">
      <alignment vertical="center"/>
    </xf>
    <xf numFmtId="0" fontId="0" fillId="0" borderId="15" xfId="0" applyBorder="1" applyAlignment="1">
      <alignment vertical="center"/>
    </xf>
    <xf numFmtId="0" fontId="43" fillId="0" borderId="12" xfId="0" applyFont="1" applyBorder="1" applyAlignment="1">
      <alignment horizontal="center" vertical="center"/>
    </xf>
    <xf numFmtId="0" fontId="61" fillId="18" borderId="9" xfId="0" applyFont="1" applyFill="1" applyBorder="1" applyAlignment="1">
      <alignment horizontal="center" vertical="center"/>
    </xf>
    <xf numFmtId="0" fontId="61" fillId="18" borderId="11" xfId="0" applyFont="1" applyFill="1" applyBorder="1" applyAlignment="1">
      <alignment horizontal="center" vertical="center"/>
    </xf>
    <xf numFmtId="0" fontId="54" fillId="18" borderId="12" xfId="0" applyFont="1" applyFill="1" applyBorder="1" applyAlignment="1">
      <alignment horizontal="center" vertical="center"/>
    </xf>
    <xf numFmtId="0" fontId="0" fillId="18" borderId="12" xfId="0" applyFill="1" applyBorder="1" applyAlignment="1">
      <alignment horizontal="center" vertical="center"/>
    </xf>
    <xf numFmtId="0" fontId="59" fillId="18" borderId="12" xfId="0" applyFont="1" applyFill="1" applyBorder="1" applyAlignment="1">
      <alignment horizontal="center" vertical="center"/>
    </xf>
    <xf numFmtId="0" fontId="61" fillId="18" borderId="4" xfId="0" applyFont="1" applyFill="1" applyBorder="1" applyAlignment="1">
      <alignment horizontal="center" vertical="center"/>
    </xf>
    <xf numFmtId="0" fontId="61" fillId="18" borderId="5" xfId="0" applyFont="1" applyFill="1" applyBorder="1" applyAlignment="1">
      <alignment horizontal="center" vertical="center"/>
    </xf>
    <xf numFmtId="0" fontId="61" fillId="18" borderId="1" xfId="0" applyFont="1" applyFill="1" applyBorder="1" applyAlignment="1">
      <alignment horizontal="center" vertical="center"/>
    </xf>
    <xf numFmtId="0" fontId="61" fillId="18" borderId="8" xfId="0" applyFont="1" applyFill="1" applyBorder="1" applyAlignment="1">
      <alignment horizontal="center" vertical="center"/>
    </xf>
    <xf numFmtId="0" fontId="0" fillId="18" borderId="9" xfId="0" applyFill="1" applyBorder="1" applyAlignment="1">
      <alignment horizontal="center" vertical="center"/>
    </xf>
    <xf numFmtId="0" fontId="0" fillId="18" borderId="11" xfId="0" applyFill="1" applyBorder="1" applyAlignment="1">
      <alignment horizontal="center" vertical="center"/>
    </xf>
    <xf numFmtId="0" fontId="9" fillId="25" borderId="0" xfId="0" applyFont="1" applyFill="1" applyAlignment="1">
      <alignment horizontal="center" vertical="center"/>
    </xf>
    <xf numFmtId="0" fontId="0" fillId="25" borderId="0" xfId="0" applyFill="1" applyBorder="1" applyAlignment="1">
      <alignment horizontal="center" vertical="center"/>
    </xf>
    <xf numFmtId="0" fontId="61" fillId="25" borderId="0" xfId="0" applyFont="1" applyFill="1" applyBorder="1" applyAlignment="1">
      <alignment horizontal="center" vertical="center"/>
    </xf>
    <xf numFmtId="0" fontId="54" fillId="25" borderId="0" xfId="0" applyFont="1" applyFill="1" applyBorder="1" applyAlignment="1">
      <alignment horizontal="center" vertical="center"/>
    </xf>
    <xf numFmtId="0" fontId="59" fillId="25" borderId="0" xfId="0" applyFont="1" applyFill="1" applyBorder="1" applyAlignment="1">
      <alignment horizontal="center" vertical="center"/>
    </xf>
    <xf numFmtId="0" fontId="0" fillId="4" borderId="0" xfId="0" applyFill="1" applyAlignment="1">
      <alignment vertical="center"/>
    </xf>
    <xf numFmtId="0" fontId="62" fillId="26" borderId="2" xfId="0" applyFont="1" applyFill="1" applyBorder="1" applyAlignment="1">
      <alignment horizontal="center" vertical="center"/>
    </xf>
    <xf numFmtId="0" fontId="53" fillId="4" borderId="0" xfId="0" applyFont="1" applyFill="1" applyBorder="1" applyAlignment="1">
      <alignment horizontal="center" vertical="center"/>
    </xf>
    <xf numFmtId="0" fontId="0" fillId="0" borderId="13" xfId="0" applyFill="1" applyBorder="1" applyAlignment="1">
      <alignment horizontal="center" vertical="center"/>
    </xf>
    <xf numFmtId="0" fontId="0" fillId="0" borderId="13" xfId="0" applyFont="1" applyBorder="1" applyAlignment="1">
      <alignment horizontal="center" vertical="center"/>
    </xf>
    <xf numFmtId="0" fontId="0" fillId="4" borderId="0" xfId="0" applyFill="1" applyBorder="1" applyAlignment="1">
      <alignment horizontal="center" vertical="center"/>
    </xf>
    <xf numFmtId="0" fontId="0" fillId="0" borderId="15" xfId="0" applyFill="1" applyBorder="1" applyAlignment="1">
      <alignment horizontal="center" vertical="center"/>
    </xf>
    <xf numFmtId="0" fontId="0" fillId="0" borderId="15" xfId="0" applyFont="1" applyBorder="1" applyAlignment="1">
      <alignment horizontal="center" vertical="center"/>
    </xf>
    <xf numFmtId="0" fontId="0" fillId="0" borderId="15" xfId="0" applyFont="1" applyFill="1" applyBorder="1" applyAlignment="1">
      <alignment horizontal="center" vertical="center"/>
    </xf>
    <xf numFmtId="0" fontId="0" fillId="4" borderId="0" xfId="0" applyFont="1" applyFill="1" applyBorder="1" applyAlignment="1">
      <alignment horizontal="center" vertical="center"/>
    </xf>
    <xf numFmtId="0" fontId="52" fillId="0" borderId="13" xfId="0" applyFont="1" applyBorder="1" applyAlignment="1">
      <alignment horizontal="center" vertical="center"/>
    </xf>
    <xf numFmtId="0" fontId="52" fillId="0" borderId="14" xfId="0" applyFont="1" applyBorder="1" applyAlignment="1">
      <alignment horizontal="center" vertical="center"/>
    </xf>
    <xf numFmtId="0" fontId="52" fillId="0" borderId="15" xfId="0" applyFont="1" applyBorder="1" applyAlignment="1">
      <alignment horizontal="center" vertical="center"/>
    </xf>
    <xf numFmtId="0" fontId="63" fillId="0" borderId="9" xfId="0" applyFont="1" applyFill="1" applyBorder="1" applyAlignment="1">
      <alignment horizontal="center" vertical="center"/>
    </xf>
    <xf numFmtId="0" fontId="63" fillId="0" borderId="10" xfId="0" applyFont="1" applyFill="1" applyBorder="1" applyAlignment="1">
      <alignment horizontal="center" vertical="center"/>
    </xf>
    <xf numFmtId="0" fontId="52" fillId="0" borderId="12" xfId="0" applyFont="1" applyFill="1" applyBorder="1" applyAlignment="1">
      <alignment vertical="center"/>
    </xf>
    <xf numFmtId="9" fontId="0" fillId="0" borderId="12" xfId="0" applyNumberFormat="1" applyBorder="1" applyAlignment="1">
      <alignment vertical="center"/>
    </xf>
    <xf numFmtId="0" fontId="44" fillId="5" borderId="6" xfId="10" applyFont="1" applyFill="1" applyBorder="1" applyAlignment="1" applyProtection="1">
      <alignment horizontal="center" vertical="center"/>
    </xf>
    <xf numFmtId="0" fontId="52" fillId="0" borderId="12" xfId="0" applyFont="1" applyFill="1" applyBorder="1" applyAlignment="1">
      <alignment horizontal="center" vertical="center"/>
    </xf>
    <xf numFmtId="0" fontId="64" fillId="26" borderId="6" xfId="0" applyFont="1" applyFill="1" applyBorder="1" applyAlignment="1">
      <alignment horizontal="center" vertical="center"/>
    </xf>
    <xf numFmtId="0" fontId="64" fillId="26" borderId="0" xfId="0" applyFont="1" applyFill="1" applyBorder="1" applyAlignment="1">
      <alignment horizontal="center" vertical="center"/>
    </xf>
    <xf numFmtId="0" fontId="52" fillId="0" borderId="12" xfId="0" applyFont="1" applyBorder="1" applyAlignment="1">
      <alignment horizontal="center" vertical="center"/>
    </xf>
    <xf numFmtId="0" fontId="65" fillId="0" borderId="12" xfId="0" applyFont="1" applyBorder="1" applyAlignment="1">
      <alignment horizontal="center" vertical="center"/>
    </xf>
    <xf numFmtId="0" fontId="0" fillId="3" borderId="12" xfId="0" applyFill="1" applyBorder="1" applyAlignment="1">
      <alignment horizontal="center" vertical="center"/>
    </xf>
    <xf numFmtId="0" fontId="66" fillId="26" borderId="9" xfId="0" applyFont="1" applyFill="1" applyBorder="1" applyAlignment="1">
      <alignment horizontal="center" vertical="center"/>
    </xf>
    <xf numFmtId="0" fontId="66" fillId="26" borderId="10" xfId="0" applyFont="1" applyFill="1" applyBorder="1" applyAlignment="1">
      <alignment horizontal="center" vertical="center"/>
    </xf>
    <xf numFmtId="0" fontId="67" fillId="0" borderId="3" xfId="0" applyFont="1" applyFill="1" applyBorder="1" applyAlignment="1">
      <alignment vertical="center"/>
    </xf>
    <xf numFmtId="0" fontId="65" fillId="0" borderId="12" xfId="0" applyFont="1" applyFill="1" applyBorder="1" applyAlignment="1">
      <alignment horizontal="center" vertical="center"/>
    </xf>
    <xf numFmtId="0" fontId="68" fillId="26" borderId="2" xfId="0" applyFont="1" applyFill="1" applyBorder="1" applyAlignment="1">
      <alignment horizontal="center" vertical="center"/>
    </xf>
    <xf numFmtId="0" fontId="63" fillId="4" borderId="0" xfId="0" applyFont="1" applyFill="1" applyBorder="1" applyAlignment="1">
      <alignment horizontal="center" vertical="center"/>
    </xf>
    <xf numFmtId="0" fontId="69" fillId="26" borderId="0" xfId="0" applyFont="1" applyFill="1" applyAlignment="1">
      <alignment horizontal="center" vertical="center"/>
    </xf>
    <xf numFmtId="0" fontId="52" fillId="0" borderId="0" xfId="0" applyFont="1" applyAlignment="1">
      <alignment horizontal="center" vertical="center"/>
    </xf>
    <xf numFmtId="0" fontId="0" fillId="0" borderId="13" xfId="0" applyFont="1" applyFill="1" applyBorder="1" applyAlignment="1">
      <alignment horizontal="center" vertical="center"/>
    </xf>
    <xf numFmtId="0" fontId="70" fillId="0" borderId="12" xfId="0" applyFont="1" applyBorder="1" applyAlignment="1">
      <alignment horizontal="center" vertical="center"/>
    </xf>
    <xf numFmtId="0" fontId="71" fillId="0" borderId="12" xfId="0" applyFont="1" applyBorder="1" applyAlignment="1">
      <alignment horizontal="center" vertical="center"/>
    </xf>
    <xf numFmtId="0" fontId="68" fillId="26" borderId="3" xfId="0" applyFont="1" applyFill="1" applyBorder="1" applyAlignment="1">
      <alignment horizontal="center" vertical="center"/>
    </xf>
    <xf numFmtId="0" fontId="72" fillId="0" borderId="0" xfId="0" applyFont="1" applyAlignment="1">
      <alignment horizontal="center" vertical="center"/>
    </xf>
    <xf numFmtId="0" fontId="65" fillId="0" borderId="0" xfId="0" applyFont="1" applyAlignment="1">
      <alignment horizontal="center" vertical="center"/>
    </xf>
    <xf numFmtId="0" fontId="54" fillId="22" borderId="42" xfId="0" applyFont="1" applyFill="1" applyBorder="1" applyAlignment="1">
      <alignment horizontal="center" vertical="center" wrapText="1"/>
    </xf>
    <xf numFmtId="0" fontId="54" fillId="0" borderId="43" xfId="0" applyFont="1" applyFill="1" applyBorder="1" applyAlignment="1">
      <alignment horizontal="center" vertical="center" wrapText="1"/>
    </xf>
    <xf numFmtId="0" fontId="3" fillId="2" borderId="0" xfId="0" applyFont="1" applyFill="1" applyAlignment="1">
      <alignment horizontal="center" vertical="center"/>
    </xf>
    <xf numFmtId="0" fontId="0" fillId="0" borderId="0" xfId="0" applyFont="1" applyAlignment="1">
      <alignment horizontal="center" vertical="center" wrapText="1"/>
    </xf>
    <xf numFmtId="0" fontId="73" fillId="27" borderId="0" xfId="0" applyFont="1" applyFill="1" applyAlignment="1">
      <alignment horizontal="center" vertical="center"/>
    </xf>
    <xf numFmtId="0" fontId="73" fillId="27" borderId="12" xfId="0" applyFont="1" applyFill="1" applyBorder="1" applyAlignment="1">
      <alignment horizontal="center" vertical="center"/>
    </xf>
    <xf numFmtId="0" fontId="74" fillId="27" borderId="12" xfId="0" applyFont="1" applyFill="1" applyBorder="1" applyAlignment="1">
      <alignment horizontal="center" vertical="center"/>
    </xf>
    <xf numFmtId="0" fontId="1" fillId="0" borderId="12" xfId="0" applyFont="1" applyFill="1" applyBorder="1" applyAlignment="1">
      <alignment horizontal="center" vertical="center"/>
    </xf>
    <xf numFmtId="0" fontId="75" fillId="27" borderId="15" xfId="0" applyFont="1" applyFill="1" applyBorder="1" applyAlignment="1">
      <alignment horizontal="center" vertical="center"/>
    </xf>
    <xf numFmtId="0" fontId="0" fillId="27" borderId="9" xfId="0" applyFill="1" applyBorder="1" applyAlignment="1">
      <alignment horizontal="center" vertical="center"/>
    </xf>
    <xf numFmtId="0" fontId="0" fillId="27" borderId="10" xfId="0" applyFill="1" applyBorder="1" applyAlignment="1">
      <alignment horizontal="center" vertical="center"/>
    </xf>
    <xf numFmtId="0" fontId="0" fillId="27" borderId="11" xfId="0" applyFill="1" applyBorder="1" applyAlignment="1">
      <alignment horizontal="center" vertical="center"/>
    </xf>
    <xf numFmtId="0" fontId="0" fillId="2" borderId="0" xfId="0" applyFill="1" applyAlignment="1">
      <alignment vertical="center"/>
    </xf>
    <xf numFmtId="0" fontId="0" fillId="2" borderId="0" xfId="0" applyFill="1" applyAlignment="1">
      <alignment horizontal="center" vertical="center"/>
    </xf>
    <xf numFmtId="0" fontId="7" fillId="2" borderId="0" xfId="10" applyFill="1" applyAlignment="1" applyProtection="1">
      <alignment horizontal="center" vertical="center"/>
    </xf>
    <xf numFmtId="0" fontId="0" fillId="27" borderId="9" xfId="0" applyFill="1" applyBorder="1" applyAlignment="1">
      <alignment vertical="center"/>
    </xf>
    <xf numFmtId="0" fontId="0" fillId="27" borderId="10" xfId="0" applyFill="1" applyBorder="1" applyAlignment="1">
      <alignment vertical="center"/>
    </xf>
    <xf numFmtId="0" fontId="0" fillId="2" borderId="3" xfId="0" applyFont="1" applyFill="1" applyBorder="1" applyAlignment="1">
      <alignment horizontal="center" vertical="center" wrapText="1"/>
    </xf>
    <xf numFmtId="0" fontId="0" fillId="2" borderId="0" xfId="0" applyFont="1" applyFill="1" applyAlignment="1">
      <alignment horizontal="center" vertical="center" wrapText="1"/>
    </xf>
    <xf numFmtId="0" fontId="0" fillId="0" borderId="0" xfId="0" applyFont="1" applyAlignment="1">
      <alignment vertical="center" wrapText="1"/>
    </xf>
    <xf numFmtId="0" fontId="76" fillId="0" borderId="0" xfId="0" applyFont="1" applyAlignment="1">
      <alignment horizontal="center" vertical="center"/>
    </xf>
    <xf numFmtId="0" fontId="77" fillId="0" borderId="0" xfId="0" applyFont="1" applyAlignment="1">
      <alignment horizontal="center" vertical="center"/>
    </xf>
    <xf numFmtId="0" fontId="0" fillId="0" borderId="0" xfId="0" applyAlignment="1" applyProtection="1">
      <protection locked="0"/>
    </xf>
    <xf numFmtId="0" fontId="5" fillId="0" borderId="0" xfId="0" applyFont="1" applyAlignment="1">
      <alignment horizontal="right"/>
    </xf>
    <xf numFmtId="0" fontId="0" fillId="0" borderId="2" xfId="0" applyBorder="1" applyAlignment="1"/>
    <xf numFmtId="0" fontId="0" fillId="23" borderId="13" xfId="0" applyFill="1" applyBorder="1" applyAlignment="1">
      <alignment horizontal="center" vertical="center" wrapText="1"/>
    </xf>
    <xf numFmtId="0" fontId="0" fillId="23" borderId="13" xfId="0" applyFill="1" applyBorder="1" applyAlignment="1">
      <alignment horizontal="center" vertical="center" shrinkToFit="1"/>
    </xf>
    <xf numFmtId="0" fontId="5" fillId="23" borderId="13" xfId="0" applyFont="1" applyFill="1" applyBorder="1" applyAlignment="1">
      <alignment horizontal="center" vertical="center"/>
    </xf>
    <xf numFmtId="0" fontId="0" fillId="23" borderId="9" xfId="0" applyFill="1" applyBorder="1" applyAlignment="1">
      <alignment horizontal="center" vertical="center"/>
    </xf>
    <xf numFmtId="0" fontId="0" fillId="23" borderId="15" xfId="0" applyFill="1" applyBorder="1" applyAlignment="1">
      <alignment horizontal="center" vertical="center" wrapText="1"/>
    </xf>
    <xf numFmtId="0" fontId="0" fillId="23" borderId="15" xfId="0" applyFill="1" applyBorder="1" applyAlignment="1">
      <alignment horizontal="center" vertical="center" shrinkToFit="1"/>
    </xf>
    <xf numFmtId="0" fontId="5" fillId="23" borderId="15" xfId="0" applyFont="1" applyFill="1" applyBorder="1" applyAlignment="1">
      <alignment horizontal="center" vertical="center"/>
    </xf>
    <xf numFmtId="0" fontId="5" fillId="23" borderId="12" xfId="0" applyFont="1" applyFill="1" applyBorder="1" applyAlignment="1">
      <alignment horizontal="center" vertical="center"/>
    </xf>
    <xf numFmtId="0" fontId="0" fillId="23" borderId="12" xfId="0" applyFill="1" applyBorder="1" applyAlignment="1">
      <alignment horizontal="center"/>
    </xf>
    <xf numFmtId="0" fontId="78" fillId="0" borderId="12" xfId="0" applyFont="1" applyBorder="1" applyAlignment="1" applyProtection="1">
      <alignment vertical="center" shrinkToFit="1"/>
      <protection locked="0"/>
    </xf>
    <xf numFmtId="0" fontId="0" fillId="0" borderId="12" xfId="0" applyBorder="1" applyAlignment="1" applyProtection="1">
      <alignment vertical="center" shrinkToFit="1"/>
      <protection locked="0"/>
    </xf>
    <xf numFmtId="0" fontId="0" fillId="28" borderId="12" xfId="0" applyFill="1" applyBorder="1" applyAlignment="1" applyProtection="1">
      <alignment horizontal="center" shrinkToFit="1"/>
      <protection locked="0"/>
    </xf>
    <xf numFmtId="0" fontId="0" fillId="28" borderId="12" xfId="0" applyNumberFormat="1" applyFill="1" applyBorder="1" applyAlignment="1" applyProtection="1">
      <alignment horizontal="center"/>
      <protection locked="0"/>
    </xf>
    <xf numFmtId="0" fontId="0" fillId="29" borderId="12" xfId="0" applyNumberFormat="1" applyFill="1" applyBorder="1" applyAlignment="1">
      <alignment horizontal="center"/>
    </xf>
    <xf numFmtId="179" fontId="0" fillId="29" borderId="12" xfId="0" applyNumberFormat="1" applyFill="1" applyBorder="1" applyAlignment="1">
      <alignment horizontal="center" shrinkToFit="1"/>
    </xf>
    <xf numFmtId="0" fontId="79" fillId="0" borderId="12" xfId="0" applyFont="1" applyBorder="1" applyAlignment="1" applyProtection="1">
      <alignment vertical="center" shrinkToFit="1"/>
      <protection locked="0"/>
    </xf>
    <xf numFmtId="0" fontId="0" fillId="28" borderId="13" xfId="0" applyFill="1" applyBorder="1" applyAlignment="1" applyProtection="1">
      <alignment horizontal="center" shrinkToFit="1"/>
      <protection locked="0"/>
    </xf>
    <xf numFmtId="0" fontId="0" fillId="28" borderId="13" xfId="0" applyNumberFormat="1" applyFill="1" applyBorder="1" applyAlignment="1" applyProtection="1">
      <alignment horizontal="center"/>
      <protection locked="0"/>
    </xf>
    <xf numFmtId="0" fontId="0" fillId="29" borderId="13" xfId="0" applyNumberFormat="1" applyFill="1" applyBorder="1" applyAlignment="1">
      <alignment horizontal="center"/>
    </xf>
    <xf numFmtId="179" fontId="0" fillId="29" borderId="13" xfId="0" applyNumberFormat="1" applyFill="1" applyBorder="1" applyAlignment="1">
      <alignment horizontal="center" shrinkToFit="1"/>
    </xf>
    <xf numFmtId="0" fontId="0" fillId="0" borderId="12" xfId="0" applyBorder="1" applyAlignment="1" applyProtection="1">
      <alignment horizontal="left" vertical="center" shrinkToFit="1"/>
      <protection locked="0"/>
    </xf>
    <xf numFmtId="0" fontId="0" fillId="19" borderId="9" xfId="0" applyFill="1" applyBorder="1" applyAlignment="1" applyProtection="1">
      <alignment horizontal="center" vertical="center" shrinkToFit="1"/>
      <protection locked="0"/>
    </xf>
    <xf numFmtId="0" fontId="0" fillId="0" borderId="9" xfId="0" applyBorder="1" applyAlignment="1" applyProtection="1">
      <alignment shrinkToFit="1"/>
    </xf>
    <xf numFmtId="0" fontId="0" fillId="0" borderId="10" xfId="0" applyBorder="1" applyAlignment="1" applyProtection="1">
      <alignment shrinkToFit="1"/>
    </xf>
    <xf numFmtId="0" fontId="0" fillId="19" borderId="12" xfId="0" applyFill="1" applyBorder="1" applyAlignment="1" applyProtection="1">
      <alignment horizontal="center" vertical="center" shrinkToFit="1"/>
      <protection locked="0"/>
    </xf>
    <xf numFmtId="0" fontId="0" fillId="23" borderId="1" xfId="0" applyFill="1" applyBorder="1" applyAlignment="1">
      <alignment horizontal="center" vertical="center"/>
    </xf>
    <xf numFmtId="0" fontId="0" fillId="0" borderId="2" xfId="0" applyBorder="1" applyAlignment="1">
      <alignment horizontal="center"/>
    </xf>
    <xf numFmtId="0" fontId="0" fillId="0" borderId="8" xfId="0" applyBorder="1" applyAlignment="1">
      <alignment horizontal="center"/>
    </xf>
    <xf numFmtId="0" fontId="0" fillId="29" borderId="15" xfId="0" applyFill="1" applyBorder="1" applyAlignment="1" applyProtection="1">
      <alignment horizontal="center" vertical="center" shrinkToFit="1"/>
    </xf>
    <xf numFmtId="0" fontId="0" fillId="0" borderId="15" xfId="0" applyFill="1" applyBorder="1" applyAlignment="1">
      <alignment horizontal="center" shrinkToFit="1"/>
    </xf>
    <xf numFmtId="0" fontId="0" fillId="29" borderId="15" xfId="0" applyNumberFormat="1" applyFill="1" applyBorder="1" applyAlignment="1" applyProtection="1">
      <alignment horizontal="center" vertical="center"/>
    </xf>
    <xf numFmtId="0" fontId="0" fillId="29" borderId="15" xfId="0" applyFill="1" applyBorder="1" applyAlignment="1" applyProtection="1">
      <alignment horizontal="center" vertical="center"/>
    </xf>
    <xf numFmtId="179" fontId="0" fillId="29" borderId="15" xfId="0" applyNumberFormat="1" applyFill="1" applyBorder="1" applyAlignment="1" applyProtection="1">
      <alignment horizontal="center" vertical="center" shrinkToFit="1"/>
    </xf>
    <xf numFmtId="0" fontId="0" fillId="0" borderId="12" xfId="0" applyFill="1" applyBorder="1" applyAlignment="1">
      <alignment shrinkToFit="1"/>
    </xf>
    <xf numFmtId="0" fontId="0" fillId="28" borderId="12" xfId="0" applyFill="1" applyBorder="1" applyAlignment="1" applyProtection="1">
      <alignment horizontal="center" vertical="center"/>
      <protection locked="0"/>
    </xf>
    <xf numFmtId="0" fontId="0" fillId="29" borderId="12" xfId="0" applyFill="1" applyBorder="1" applyAlignment="1" applyProtection="1">
      <alignment horizontal="center" vertical="center"/>
    </xf>
    <xf numFmtId="0" fontId="0" fillId="0" borderId="12" xfId="0" applyFill="1" applyBorder="1" applyAlignment="1">
      <alignment horizontal="center" vertical="center" shrinkToFit="1"/>
    </xf>
    <xf numFmtId="0" fontId="0" fillId="0" borderId="12" xfId="0" applyFill="1" applyBorder="1" applyAlignment="1" applyProtection="1">
      <alignment horizontal="center" vertical="center"/>
      <protection locked="0"/>
    </xf>
    <xf numFmtId="179" fontId="0" fillId="0" borderId="12" xfId="0" applyNumberFormat="1" applyFill="1" applyBorder="1" applyAlignment="1">
      <alignment horizontal="center" vertical="center" shrinkToFit="1"/>
    </xf>
    <xf numFmtId="31" fontId="5" fillId="0" borderId="0" xfId="0" applyNumberFormat="1" applyFont="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0" fontId="0" fillId="0" borderId="0" xfId="0" applyAlignment="1">
      <alignment horizontal="right"/>
    </xf>
    <xf numFmtId="0" fontId="0" fillId="23" borderId="10" xfId="0" applyFill="1" applyBorder="1" applyAlignment="1">
      <alignment horizontal="center" vertical="center"/>
    </xf>
    <xf numFmtId="0" fontId="0" fillId="23" borderId="11" xfId="0" applyFill="1" applyBorder="1" applyAlignment="1">
      <alignment horizontal="center" vertical="center"/>
    </xf>
    <xf numFmtId="0" fontId="80" fillId="23" borderId="12" xfId="0" applyFont="1" applyFill="1" applyBorder="1" applyAlignment="1">
      <alignment horizontal="center" vertical="center"/>
    </xf>
    <xf numFmtId="0" fontId="0" fillId="0" borderId="11" xfId="0" applyBorder="1" applyAlignment="1" applyProtection="1">
      <alignment shrinkToFit="1"/>
    </xf>
    <xf numFmtId="179" fontId="0" fillId="29" borderId="15" xfId="0" applyNumberFormat="1" applyFill="1" applyBorder="1" applyAlignment="1" applyProtection="1">
      <alignment horizontal="center" shrinkToFit="1"/>
    </xf>
    <xf numFmtId="179" fontId="0" fillId="29" borderId="12" xfId="0" applyNumberFormat="1" applyFill="1" applyBorder="1" applyAlignment="1" applyProtection="1">
      <alignment horizontal="center" shrinkToFit="1"/>
    </xf>
    <xf numFmtId="179" fontId="0" fillId="29" borderId="12" xfId="0" applyNumberFormat="1" applyFill="1" applyBorder="1" applyAlignment="1" applyProtection="1">
      <alignment horizontal="center" vertical="center" shrinkToFit="1"/>
    </xf>
    <xf numFmtId="179" fontId="0" fillId="0" borderId="12" xfId="0" applyNumberFormat="1" applyFill="1" applyBorder="1" applyAlignment="1">
      <alignment horizontal="center" shrinkToFit="1"/>
    </xf>
    <xf numFmtId="195" fontId="0" fillId="29" borderId="12" xfId="0" applyNumberFormat="1" applyFill="1" applyBorder="1" applyAlignment="1" applyProtection="1">
      <alignment horizontal="center" vertical="center" shrinkToFit="1"/>
    </xf>
    <xf numFmtId="0" fontId="81" fillId="0" borderId="2" xfId="0" applyFont="1" applyBorder="1" applyAlignment="1">
      <alignment horizontal="center" vertical="center"/>
    </xf>
    <xf numFmtId="0" fontId="7" fillId="5" borderId="2" xfId="10" applyFill="1" applyBorder="1" applyAlignment="1" applyProtection="1">
      <alignment horizontal="center" vertical="center"/>
    </xf>
    <xf numFmtId="0" fontId="39" fillId="0" borderId="9" xfId="0" applyFont="1" applyBorder="1" applyAlignment="1">
      <alignment vertical="center"/>
    </xf>
    <xf numFmtId="0" fontId="82" fillId="0" borderId="10" xfId="0" applyFont="1" applyBorder="1" applyAlignment="1">
      <alignment horizontal="left" vertical="center"/>
    </xf>
    <xf numFmtId="0" fontId="39" fillId="0" borderId="10" xfId="0" applyFont="1" applyBorder="1" applyAlignment="1">
      <alignment horizontal="left" vertical="center"/>
    </xf>
    <xf numFmtId="0" fontId="39" fillId="0" borderId="15" xfId="0" applyFont="1" applyBorder="1" applyAlignment="1">
      <alignment horizontal="left" vertical="center"/>
    </xf>
    <xf numFmtId="0" fontId="83" fillId="0" borderId="15" xfId="0" applyFont="1" applyBorder="1" applyAlignment="1">
      <alignment horizontal="left" vertical="center"/>
    </xf>
    <xf numFmtId="0" fontId="83" fillId="0" borderId="15" xfId="0" applyFont="1" applyBorder="1" applyAlignment="1">
      <alignment horizontal="center" vertical="center"/>
    </xf>
    <xf numFmtId="0" fontId="39" fillId="0" borderId="9" xfId="0" applyFont="1" applyBorder="1" applyAlignment="1">
      <alignment horizontal="left" vertical="center"/>
    </xf>
    <xf numFmtId="0" fontId="39" fillId="0" borderId="11" xfId="0" applyFont="1" applyBorder="1" applyAlignment="1">
      <alignment horizontal="left" vertical="center"/>
    </xf>
    <xf numFmtId="0" fontId="82" fillId="0" borderId="9" xfId="0" applyFont="1" applyBorder="1" applyAlignment="1">
      <alignment horizontal="left" vertical="center"/>
    </xf>
    <xf numFmtId="0" fontId="82" fillId="0" borderId="9" xfId="0" applyFont="1" applyBorder="1" applyAlignment="1">
      <alignment horizontal="center" vertical="center"/>
    </xf>
    <xf numFmtId="0" fontId="82" fillId="0" borderId="10" xfId="0" applyFont="1" applyBorder="1" applyAlignment="1">
      <alignment horizontal="center" vertical="center"/>
    </xf>
    <xf numFmtId="0" fontId="39" fillId="0" borderId="9" xfId="0" applyFont="1" applyBorder="1" applyAlignment="1">
      <alignment horizontal="center" vertical="center"/>
    </xf>
    <xf numFmtId="0" fontId="39" fillId="0" borderId="10" xfId="0" applyFont="1" applyBorder="1" applyAlignment="1">
      <alignment horizontal="center" vertical="center"/>
    </xf>
    <xf numFmtId="185" fontId="39" fillId="0" borderId="9" xfId="0" applyNumberFormat="1" applyFont="1" applyBorder="1" applyAlignment="1">
      <alignment horizontal="left" vertical="center"/>
    </xf>
    <xf numFmtId="185" fontId="39" fillId="0" borderId="9" xfId="0" applyNumberFormat="1" applyFont="1" applyBorder="1" applyAlignment="1">
      <alignment horizontal="center" vertical="center"/>
    </xf>
    <xf numFmtId="185" fontId="39" fillId="0" borderId="10" xfId="0" applyNumberFormat="1" applyFont="1" applyBorder="1" applyAlignment="1">
      <alignment horizontal="center" vertical="center"/>
    </xf>
    <xf numFmtId="0" fontId="39" fillId="0" borderId="9" xfId="0" applyFont="1" applyBorder="1" applyAlignment="1">
      <alignment horizontal="left" vertical="center" wrapText="1"/>
    </xf>
    <xf numFmtId="0" fontId="39" fillId="0" borderId="10" xfId="0" applyFont="1" applyBorder="1" applyAlignment="1">
      <alignment horizontal="left" vertical="center" wrapText="1"/>
    </xf>
    <xf numFmtId="0" fontId="39" fillId="0" borderId="11" xfId="0" applyFont="1" applyBorder="1" applyAlignment="1">
      <alignment horizontal="left" vertical="center" wrapText="1"/>
    </xf>
    <xf numFmtId="0" fontId="39" fillId="0" borderId="13" xfId="0" applyFont="1" applyBorder="1" applyAlignment="1">
      <alignment horizontal="center" vertical="center" wrapText="1"/>
    </xf>
    <xf numFmtId="196" fontId="39" fillId="0" borderId="9" xfId="0" applyNumberFormat="1" applyFont="1" applyBorder="1" applyAlignment="1">
      <alignment horizontal="left" vertical="center"/>
    </xf>
    <xf numFmtId="196" fontId="39" fillId="0" borderId="11" xfId="0" applyNumberFormat="1" applyFont="1" applyBorder="1" applyAlignment="1">
      <alignment horizontal="left" vertical="center"/>
    </xf>
    <xf numFmtId="0" fontId="83" fillId="7" borderId="4" xfId="0" applyFont="1" applyFill="1" applyBorder="1" applyAlignment="1">
      <alignment horizontal="left" vertical="center"/>
    </xf>
    <xf numFmtId="0" fontId="83" fillId="7" borderId="3" xfId="0" applyFont="1" applyFill="1" applyBorder="1" applyAlignment="1">
      <alignment horizontal="left" vertical="center"/>
    </xf>
    <xf numFmtId="0" fontId="39" fillId="0" borderId="14" xfId="0" applyFont="1" applyBorder="1" applyAlignment="1">
      <alignment horizontal="center" vertical="center" wrapText="1"/>
    </xf>
    <xf numFmtId="0" fontId="83" fillId="7" borderId="6" xfId="0" applyFont="1" applyFill="1" applyBorder="1" applyAlignment="1">
      <alignment horizontal="left" vertical="center"/>
    </xf>
    <xf numFmtId="0" fontId="83" fillId="7" borderId="0" xfId="0" applyFont="1" applyFill="1" applyBorder="1" applyAlignment="1">
      <alignment horizontal="left" vertical="center"/>
    </xf>
    <xf numFmtId="0" fontId="39" fillId="0" borderId="15" xfId="0" applyFont="1" applyBorder="1" applyAlignment="1">
      <alignment horizontal="center" vertical="center" wrapText="1"/>
    </xf>
    <xf numFmtId="0" fontId="83" fillId="7" borderId="1" xfId="0" applyFont="1" applyFill="1" applyBorder="1" applyAlignment="1">
      <alignment horizontal="left" vertical="center"/>
    </xf>
    <xf numFmtId="0" fontId="83" fillId="7" borderId="2" xfId="0" applyFont="1" applyFill="1" applyBorder="1" applyAlignment="1">
      <alignment horizontal="left" vertical="center"/>
    </xf>
    <xf numFmtId="0" fontId="39" fillId="0" borderId="13" xfId="0" applyFont="1" applyFill="1" applyBorder="1" applyAlignment="1">
      <alignment horizontal="center" vertical="center" wrapText="1"/>
    </xf>
    <xf numFmtId="0" fontId="39" fillId="0" borderId="9" xfId="0" applyFont="1" applyFill="1" applyBorder="1" applyAlignment="1">
      <alignment horizontal="left" vertical="center" wrapText="1"/>
    </xf>
    <xf numFmtId="0" fontId="39" fillId="0" borderId="11" xfId="0" applyFont="1" applyFill="1" applyBorder="1" applyAlignment="1">
      <alignment horizontal="left" vertical="center" wrapText="1"/>
    </xf>
    <xf numFmtId="0" fontId="83" fillId="7" borderId="9" xfId="0" applyFont="1" applyFill="1" applyBorder="1" applyAlignment="1">
      <alignment horizontal="left" vertical="center"/>
    </xf>
    <xf numFmtId="0" fontId="83" fillId="7" borderId="10" xfId="0" applyFont="1" applyFill="1" applyBorder="1" applyAlignment="1">
      <alignment horizontal="left" vertical="center"/>
    </xf>
    <xf numFmtId="183" fontId="84" fillId="7" borderId="3" xfId="0" applyNumberFormat="1" applyFont="1" applyFill="1" applyBorder="1" applyAlignment="1">
      <alignment vertical="center"/>
    </xf>
    <xf numFmtId="49" fontId="84" fillId="7" borderId="3" xfId="0" applyNumberFormat="1" applyFont="1" applyFill="1" applyBorder="1" applyAlignment="1">
      <alignment vertical="center"/>
    </xf>
    <xf numFmtId="0" fontId="39" fillId="0" borderId="14" xfId="0" applyFont="1" applyFill="1" applyBorder="1" applyAlignment="1">
      <alignment horizontal="center" vertical="center" wrapText="1"/>
    </xf>
    <xf numFmtId="0" fontId="39" fillId="0" borderId="12" xfId="0" applyFont="1" applyFill="1" applyBorder="1" applyAlignment="1">
      <alignment horizontal="left" vertical="center" wrapText="1"/>
    </xf>
    <xf numFmtId="185" fontId="39" fillId="0" borderId="4" xfId="0" applyNumberFormat="1" applyFont="1" applyBorder="1" applyAlignment="1">
      <alignment horizontal="right" vertical="center"/>
    </xf>
    <xf numFmtId="185" fontId="39" fillId="0" borderId="6" xfId="0" applyNumberFormat="1" applyFont="1" applyBorder="1" applyAlignment="1">
      <alignment horizontal="right" vertical="center"/>
    </xf>
    <xf numFmtId="0" fontId="39" fillId="0" borderId="15" xfId="0" applyFont="1" applyFill="1" applyBorder="1" applyAlignment="1">
      <alignment horizontal="center" vertical="center" wrapText="1"/>
    </xf>
    <xf numFmtId="185" fontId="39" fillId="0" borderId="1" xfId="0" applyNumberFormat="1" applyFont="1" applyBorder="1" applyAlignment="1">
      <alignment horizontal="right" vertical="center"/>
    </xf>
    <xf numFmtId="0" fontId="39" fillId="0" borderId="12" xfId="0" applyFont="1" applyBorder="1" applyAlignment="1">
      <alignment horizontal="left" vertical="center"/>
    </xf>
    <xf numFmtId="183" fontId="84" fillId="7" borderId="10" xfId="0" applyNumberFormat="1" applyFont="1" applyFill="1" applyBorder="1" applyAlignment="1">
      <alignment vertical="center"/>
    </xf>
    <xf numFmtId="49" fontId="84" fillId="7" borderId="10" xfId="0" applyNumberFormat="1" applyFont="1" applyFill="1" applyBorder="1" applyAlignment="1">
      <alignment vertical="center"/>
    </xf>
    <xf numFmtId="0" fontId="39" fillId="0" borderId="12" xfId="0" applyFont="1" applyFill="1" applyBorder="1" applyAlignment="1">
      <alignment horizontal="center" vertical="center" wrapText="1"/>
    </xf>
    <xf numFmtId="0" fontId="39" fillId="0" borderId="12" xfId="0" applyFont="1" applyFill="1" applyBorder="1" applyAlignment="1">
      <alignment vertical="center" wrapText="1"/>
    </xf>
    <xf numFmtId="185" fontId="39" fillId="0" borderId="12" xfId="0" applyNumberFormat="1" applyFont="1" applyBorder="1" applyAlignment="1">
      <alignment horizontal="left" vertical="center"/>
    </xf>
    <xf numFmtId="0" fontId="83" fillId="0" borderId="4" xfId="0" applyFont="1" applyBorder="1" applyAlignment="1">
      <alignment horizontal="left" vertical="center" wrapText="1"/>
    </xf>
    <xf numFmtId="0" fontId="83" fillId="0" borderId="3" xfId="0" applyFont="1" applyBorder="1" applyAlignment="1">
      <alignment horizontal="left" vertical="center" wrapText="1"/>
    </xf>
    <xf numFmtId="0" fontId="83" fillId="0" borderId="6" xfId="0" applyFont="1" applyBorder="1" applyAlignment="1">
      <alignment horizontal="left" vertical="center" wrapText="1"/>
    </xf>
    <xf numFmtId="0" fontId="83" fillId="0" borderId="0" xfId="0" applyFont="1" applyBorder="1" applyAlignment="1">
      <alignment horizontal="left" vertical="center" wrapText="1"/>
    </xf>
    <xf numFmtId="0" fontId="83" fillId="0" borderId="1" xfId="0" applyFont="1" applyBorder="1" applyAlignment="1">
      <alignment horizontal="left" vertical="center" wrapText="1"/>
    </xf>
    <xf numFmtId="0" fontId="83" fillId="0" borderId="2" xfId="0" applyFont="1" applyBorder="1" applyAlignment="1">
      <alignment horizontal="left" vertical="center" wrapText="1"/>
    </xf>
    <xf numFmtId="0" fontId="83" fillId="0" borderId="9" xfId="0" applyFont="1" applyBorder="1" applyAlignment="1">
      <alignment horizontal="left" vertical="center"/>
    </xf>
    <xf numFmtId="0" fontId="83" fillId="0" borderId="10" xfId="0" applyFont="1" applyBorder="1" applyAlignment="1">
      <alignment horizontal="left" vertical="center"/>
    </xf>
    <xf numFmtId="0" fontId="82" fillId="0" borderId="11" xfId="0" applyFont="1" applyBorder="1" applyAlignment="1">
      <alignment horizontal="center" vertical="center"/>
    </xf>
    <xf numFmtId="0" fontId="39" fillId="0" borderId="11" xfId="0" applyFont="1" applyBorder="1" applyAlignment="1">
      <alignment horizontal="center" vertical="center"/>
    </xf>
    <xf numFmtId="185" fontId="39" fillId="0" borderId="11" xfId="0" applyNumberFormat="1" applyFont="1" applyBorder="1" applyAlignment="1">
      <alignment horizontal="center" vertical="center"/>
    </xf>
    <xf numFmtId="0" fontId="83" fillId="7" borderId="5" xfId="0" applyFont="1" applyFill="1" applyBorder="1" applyAlignment="1">
      <alignment horizontal="left" vertical="center"/>
    </xf>
    <xf numFmtId="0" fontId="83" fillId="7" borderId="7" xfId="0" applyFont="1" applyFill="1" applyBorder="1" applyAlignment="1">
      <alignment horizontal="left" vertical="center"/>
    </xf>
    <xf numFmtId="0" fontId="83" fillId="7" borderId="8" xfId="0" applyFont="1" applyFill="1" applyBorder="1" applyAlignment="1">
      <alignment horizontal="left" vertical="center"/>
    </xf>
    <xf numFmtId="0" fontId="84" fillId="7" borderId="5" xfId="0" applyFont="1" applyFill="1" applyBorder="1" applyAlignment="1">
      <alignment vertical="center"/>
    </xf>
    <xf numFmtId="0" fontId="83" fillId="7" borderId="11" xfId="0" applyFont="1" applyFill="1" applyBorder="1" applyAlignment="1">
      <alignment horizontal="left" vertical="center"/>
    </xf>
    <xf numFmtId="0" fontId="84" fillId="7" borderId="11" xfId="0" applyFont="1" applyFill="1" applyBorder="1" applyAlignment="1">
      <alignment vertical="center"/>
    </xf>
    <xf numFmtId="0" fontId="83" fillId="0" borderId="5" xfId="0" applyFont="1" applyBorder="1" applyAlignment="1">
      <alignment horizontal="left" vertical="center" wrapText="1"/>
    </xf>
    <xf numFmtId="0" fontId="83" fillId="0" borderId="7" xfId="0" applyFont="1" applyBorder="1" applyAlignment="1">
      <alignment horizontal="left" vertical="center" wrapText="1"/>
    </xf>
    <xf numFmtId="0" fontId="83" fillId="0" borderId="8" xfId="0" applyFont="1" applyBorder="1" applyAlignment="1">
      <alignment horizontal="left" vertical="center" wrapText="1"/>
    </xf>
    <xf numFmtId="0" fontId="83" fillId="0" borderId="11" xfId="0" applyFont="1" applyBorder="1" applyAlignment="1">
      <alignment horizontal="left" vertical="center"/>
    </xf>
    <xf numFmtId="0" fontId="85" fillId="0" borderId="0" xfId="0" applyFont="1"/>
    <xf numFmtId="0" fontId="86" fillId="0" borderId="0" xfId="0" applyFont="1"/>
    <xf numFmtId="0" fontId="85" fillId="0" borderId="0" xfId="0" applyFont="1" applyAlignment="1">
      <alignment horizontal="right"/>
    </xf>
    <xf numFmtId="0" fontId="87" fillId="0" borderId="0" xfId="0" applyFont="1"/>
    <xf numFmtId="0" fontId="85" fillId="0" borderId="0" xfId="0" applyFont="1" applyBorder="1"/>
    <xf numFmtId="38" fontId="88" fillId="0" borderId="0" xfId="5" applyNumberFormat="1" applyFont="1" applyFill="1" applyBorder="1" applyAlignment="1">
      <alignment horizontal="center"/>
    </xf>
    <xf numFmtId="0" fontId="88" fillId="0" borderId="0" xfId="0" applyFont="1" applyFill="1" applyBorder="1" applyAlignment="1">
      <alignment horizontal="left" vertical="center"/>
    </xf>
    <xf numFmtId="0" fontId="88" fillId="0" borderId="0" xfId="0" applyFont="1" applyFill="1" applyBorder="1" applyAlignment="1">
      <alignment horizontal="right" vertical="center"/>
    </xf>
    <xf numFmtId="193" fontId="85" fillId="0" borderId="0" xfId="0" applyNumberFormat="1" applyFont="1" applyFill="1" applyBorder="1"/>
    <xf numFmtId="0" fontId="89" fillId="0" borderId="0" xfId="0" applyFont="1" applyBorder="1" applyAlignment="1">
      <alignment horizontal="center"/>
    </xf>
    <xf numFmtId="0" fontId="85" fillId="0" borderId="0" xfId="0" applyFont="1" applyBorder="1" applyAlignment="1">
      <alignment horizontal="center"/>
    </xf>
    <xf numFmtId="0" fontId="85" fillId="0" borderId="0" xfId="0" applyFont="1" applyBorder="1" applyAlignment="1">
      <alignment horizontal="right"/>
    </xf>
    <xf numFmtId="0" fontId="85" fillId="0" borderId="0" xfId="0" applyFont="1" applyFill="1" applyBorder="1" applyAlignment="1">
      <alignment horizontal="center" vertical="center"/>
    </xf>
    <xf numFmtId="0" fontId="88" fillId="0" borderId="44" xfId="0" applyFont="1" applyBorder="1" applyAlignment="1">
      <alignment horizontal="center"/>
    </xf>
    <xf numFmtId="0" fontId="88" fillId="0" borderId="44" xfId="0" applyFont="1" applyBorder="1" applyAlignment="1">
      <alignment horizontal="left"/>
    </xf>
    <xf numFmtId="192" fontId="88" fillId="0" borderId="44" xfId="0" applyNumberFormat="1" applyFont="1" applyBorder="1" applyAlignment="1">
      <alignment horizontal="right"/>
    </xf>
    <xf numFmtId="0" fontId="90" fillId="0" borderId="44" xfId="0" applyFont="1" applyBorder="1" applyAlignment="1">
      <alignment horizontal="right"/>
    </xf>
    <xf numFmtId="193" fontId="85" fillId="0" borderId="44" xfId="0" applyNumberFormat="1" applyFont="1" applyBorder="1"/>
    <xf numFmtId="38" fontId="88" fillId="0" borderId="44" xfId="5" applyNumberFormat="1" applyFont="1" applyFill="1" applyBorder="1" applyAlignment="1">
      <alignment horizontal="center"/>
    </xf>
    <xf numFmtId="0" fontId="88" fillId="0" borderId="44" xfId="0" applyFont="1" applyFill="1" applyBorder="1" applyAlignment="1">
      <alignment horizontal="left" vertical="center"/>
    </xf>
    <xf numFmtId="192" fontId="88" fillId="0" borderId="44" xfId="0" applyNumberFormat="1" applyFont="1" applyFill="1" applyBorder="1" applyAlignment="1">
      <alignment horizontal="right" vertical="center"/>
    </xf>
    <xf numFmtId="0" fontId="88" fillId="0" borderId="44" xfId="0" applyFont="1" applyFill="1" applyBorder="1" applyAlignment="1">
      <alignment horizontal="right" vertical="center"/>
    </xf>
    <xf numFmtId="193" fontId="85" fillId="0" borderId="44" xfId="0" applyNumberFormat="1" applyFont="1" applyFill="1" applyBorder="1"/>
    <xf numFmtId="0" fontId="85" fillId="0" borderId="0" xfId="0" applyFont="1" applyAlignment="1">
      <alignment horizontal="center"/>
    </xf>
    <xf numFmtId="0" fontId="91" fillId="0" borderId="0" xfId="0" applyFont="1" applyAlignment="1">
      <alignment horizontal="left"/>
    </xf>
    <xf numFmtId="0" fontId="88" fillId="0" borderId="0" xfId="0" applyFont="1"/>
    <xf numFmtId="0" fontId="90" fillId="4" borderId="45" xfId="0" applyFont="1" applyFill="1" applyBorder="1"/>
    <xf numFmtId="2" fontId="89" fillId="4" borderId="45" xfId="0" applyNumberFormat="1" applyFont="1" applyFill="1" applyBorder="1"/>
    <xf numFmtId="2" fontId="85" fillId="0" borderId="0" xfId="0" applyNumberFormat="1" applyFont="1" applyAlignment="1">
      <alignment horizontal="left"/>
    </xf>
    <xf numFmtId="0" fontId="85" fillId="0" borderId="0" xfId="0" applyFont="1" applyAlignment="1">
      <alignment horizontal="left"/>
    </xf>
    <xf numFmtId="0" fontId="3" fillId="0" borderId="12" xfId="0" applyFont="1" applyBorder="1" applyAlignment="1">
      <alignment horizontal="center" vertical="center"/>
    </xf>
    <xf numFmtId="0" fontId="7" fillId="5" borderId="6" xfId="10" applyFill="1" applyBorder="1" applyAlignment="1" applyProtection="1">
      <alignment horizontal="center" vertical="center"/>
    </xf>
    <xf numFmtId="0" fontId="46" fillId="0" borderId="0" xfId="0" applyFont="1" applyAlignment="1">
      <alignment horizontal="center" vertical="center"/>
    </xf>
    <xf numFmtId="183" fontId="0" fillId="0" borderId="12" xfId="0" applyNumberFormat="1" applyBorder="1" applyAlignment="1">
      <alignment horizontal="center" vertical="center"/>
    </xf>
    <xf numFmtId="0" fontId="0" fillId="0" borderId="0" xfId="0" applyFont="1" applyAlignment="1">
      <alignment horizontal="center" vertical="center"/>
    </xf>
    <xf numFmtId="0" fontId="0" fillId="0" borderId="0" xfId="0" applyFont="1" applyBorder="1" applyAlignment="1">
      <alignment horizontal="center" vertical="center"/>
    </xf>
    <xf numFmtId="183" fontId="0" fillId="0" borderId="0" xfId="0" applyNumberFormat="1" applyBorder="1" applyAlignment="1">
      <alignment horizontal="center" vertical="center"/>
    </xf>
    <xf numFmtId="0" fontId="5" fillId="0" borderId="0" xfId="0" applyFont="1" applyAlignment="1">
      <alignment horizontal="center" vertical="center"/>
    </xf>
    <xf numFmtId="0" fontId="0" fillId="0" borderId="0" xfId="0" applyBorder="1" applyAlignment="1">
      <alignment horizontal="center" vertical="center"/>
    </xf>
    <xf numFmtId="183" fontId="0" fillId="0" borderId="12" xfId="0" applyNumberFormat="1" applyFont="1" applyBorder="1" applyAlignment="1">
      <alignment horizontal="center" vertical="center"/>
    </xf>
    <xf numFmtId="0" fontId="0" fillId="0" borderId="0" xfId="0" applyFont="1" applyAlignment="1">
      <alignment vertical="center"/>
    </xf>
    <xf numFmtId="0" fontId="20" fillId="0" borderId="0" xfId="0" applyFont="1" applyAlignment="1">
      <alignment vertical="center"/>
    </xf>
    <xf numFmtId="0" fontId="92" fillId="0" borderId="0" xfId="0" applyFont="1" applyAlignment="1">
      <alignment vertical="center"/>
    </xf>
    <xf numFmtId="198" fontId="0" fillId="0" borderId="0" xfId="0" applyNumberFormat="1" applyFont="1" applyBorder="1" applyAlignment="1">
      <alignment horizontal="center" vertical="center"/>
    </xf>
    <xf numFmtId="189" fontId="0" fillId="0" borderId="0" xfId="0" applyNumberFormat="1" applyFont="1" applyAlignment="1">
      <alignment horizontal="center" vertical="center"/>
    </xf>
    <xf numFmtId="0" fontId="40" fillId="0" borderId="0" xfId="0" applyFont="1"/>
    <xf numFmtId="0" fontId="1" fillId="0" borderId="2" xfId="0" applyFont="1" applyBorder="1" applyAlignment="1">
      <alignment horizontal="center"/>
    </xf>
    <xf numFmtId="0" fontId="6" fillId="0" borderId="12" xfId="0" applyFont="1" applyBorder="1" applyAlignment="1">
      <alignment horizontal="center" vertical="center" wrapText="1"/>
    </xf>
    <xf numFmtId="183" fontId="0" fillId="0" borderId="12" xfId="0" applyNumberFormat="1" applyFont="1" applyBorder="1" applyAlignment="1">
      <alignment horizontal="center" vertical="center" wrapText="1"/>
    </xf>
    <xf numFmtId="0" fontId="0" fillId="0" borderId="14" xfId="0" applyFont="1" applyBorder="1" applyAlignment="1">
      <alignment horizontal="center" vertical="center"/>
    </xf>
    <xf numFmtId="0" fontId="7" fillId="5" borderId="2" xfId="10" applyFill="1" applyBorder="1" applyAlignment="1" applyProtection="1">
      <alignment horizontal="center"/>
    </xf>
    <xf numFmtId="187" fontId="0" fillId="0" borderId="12" xfId="0" applyNumberFormat="1" applyFont="1" applyBorder="1" applyAlignment="1">
      <alignment horizontal="center" vertical="center" wrapText="1"/>
    </xf>
    <xf numFmtId="0" fontId="93" fillId="0" borderId="0" xfId="0" applyFont="1" applyBorder="1" applyAlignment="1">
      <alignment horizontal="center"/>
    </xf>
    <xf numFmtId="183" fontId="0" fillId="0" borderId="13" xfId="0" applyNumberFormat="1" applyFont="1" applyBorder="1" applyAlignment="1">
      <alignment horizontal="center" vertical="center" wrapText="1"/>
    </xf>
    <xf numFmtId="183" fontId="0" fillId="0" borderId="15" xfId="0" applyNumberFormat="1" applyFont="1" applyBorder="1" applyAlignment="1">
      <alignment horizontal="center" vertical="center" wrapText="1"/>
    </xf>
    <xf numFmtId="185" fontId="0" fillId="0" borderId="12" xfId="0" applyNumberFormat="1" applyFont="1" applyBorder="1" applyAlignment="1">
      <alignment horizontal="center" vertical="center"/>
    </xf>
    <xf numFmtId="0" fontId="93" fillId="0" borderId="0" xfId="0" applyFont="1" applyAlignment="1">
      <alignment horizontal="center" vertical="center"/>
    </xf>
    <xf numFmtId="0" fontId="0" fillId="0" borderId="13" xfId="0" applyBorder="1" applyAlignment="1">
      <alignment horizontal="center" vertical="center" wrapText="1"/>
    </xf>
    <xf numFmtId="0" fontId="0" fillId="0" borderId="15" xfId="0" applyBorder="1" applyAlignment="1">
      <alignment horizontal="center" vertical="center" wrapText="1"/>
    </xf>
    <xf numFmtId="0" fontId="0" fillId="0" borderId="14" xfId="0" applyFont="1" applyBorder="1"/>
    <xf numFmtId="0" fontId="0" fillId="0" borderId="15" xfId="0" applyFont="1" applyBorder="1"/>
    <xf numFmtId="0" fontId="0" fillId="0" borderId="12" xfId="0" applyBorder="1" applyAlignment="1">
      <alignment horizontal="center" vertical="top" wrapText="1"/>
    </xf>
    <xf numFmtId="0" fontId="6" fillId="0" borderId="12" xfId="0" applyFont="1" applyBorder="1" applyAlignment="1">
      <alignment horizontal="center" vertical="top" wrapText="1"/>
    </xf>
    <xf numFmtId="187" fontId="0" fillId="0" borderId="12" xfId="0" applyNumberFormat="1" applyFont="1" applyBorder="1" applyAlignment="1">
      <alignment horizontal="center" vertical="center"/>
    </xf>
    <xf numFmtId="0" fontId="45" fillId="0" borderId="12" xfId="0" applyFont="1" applyBorder="1" applyAlignment="1">
      <alignment horizontal="center" vertical="center" wrapText="1"/>
    </xf>
    <xf numFmtId="0" fontId="45" fillId="0" borderId="15" xfId="0" applyFont="1" applyBorder="1" applyAlignment="1">
      <alignment horizontal="center" vertical="center" wrapText="1"/>
    </xf>
    <xf numFmtId="189" fontId="45" fillId="0" borderId="12" xfId="0" applyNumberFormat="1" applyFont="1" applyBorder="1" applyAlignment="1">
      <alignment horizontal="center" vertical="center"/>
    </xf>
    <xf numFmtId="0" fontId="45" fillId="0" borderId="15" xfId="0" applyFont="1" applyBorder="1" applyAlignment="1">
      <alignment horizontal="center" vertical="center"/>
    </xf>
    <xf numFmtId="0" fontId="45" fillId="0" borderId="13" xfId="0" applyFont="1" applyBorder="1" applyAlignment="1">
      <alignment horizontal="center" vertical="top" wrapText="1"/>
    </xf>
    <xf numFmtId="0" fontId="45" fillId="0" borderId="12" xfId="0" applyFont="1" applyBorder="1" applyAlignment="1">
      <alignment horizontal="center" vertical="top" wrapText="1"/>
    </xf>
    <xf numFmtId="185" fontId="45" fillId="0" borderId="12" xfId="0" applyNumberFormat="1" applyFont="1" applyBorder="1" applyAlignment="1">
      <alignment horizontal="center" vertical="center"/>
    </xf>
    <xf numFmtId="182" fontId="45" fillId="0" borderId="15" xfId="0" applyNumberFormat="1" applyFont="1" applyBorder="1" applyAlignment="1">
      <alignment horizontal="center" vertical="center"/>
    </xf>
    <xf numFmtId="183" fontId="45" fillId="0" borderId="15" xfId="0" applyNumberFormat="1" applyFont="1" applyBorder="1" applyAlignment="1">
      <alignment horizontal="center" vertical="center"/>
    </xf>
    <xf numFmtId="0" fontId="45" fillId="0" borderId="15" xfId="0" applyFont="1" applyBorder="1" applyAlignment="1">
      <alignment horizontal="center" vertical="top" wrapText="1"/>
    </xf>
    <xf numFmtId="0" fontId="45" fillId="0" borderId="15" xfId="0" applyFont="1" applyFill="1" applyBorder="1" applyAlignment="1">
      <alignment horizontal="center" vertical="center"/>
    </xf>
    <xf numFmtId="0" fontId="45" fillId="0" borderId="12" xfId="0" applyFont="1" applyBorder="1" applyAlignment="1">
      <alignment vertical="center" wrapText="1"/>
    </xf>
    <xf numFmtId="185" fontId="45" fillId="0" borderId="15" xfId="0" applyNumberFormat="1" applyFont="1" applyBorder="1" applyAlignment="1">
      <alignment horizontal="center" vertical="center"/>
    </xf>
    <xf numFmtId="0" fontId="45" fillId="0" borderId="12" xfId="0" applyFont="1" applyFill="1" applyBorder="1" applyAlignment="1">
      <alignment horizontal="center" vertical="center"/>
    </xf>
    <xf numFmtId="0" fontId="45" fillId="0" borderId="12" xfId="0" applyFont="1" applyFill="1" applyBorder="1" applyAlignment="1">
      <alignment horizontal="center" vertical="top" wrapText="1"/>
    </xf>
    <xf numFmtId="187" fontId="45" fillId="0" borderId="15" xfId="0" applyNumberFormat="1" applyFont="1" applyBorder="1" applyAlignment="1">
      <alignment horizontal="center" vertical="center"/>
    </xf>
    <xf numFmtId="0" fontId="45" fillId="0" borderId="0" xfId="0" applyFont="1" applyBorder="1" applyAlignment="1">
      <alignment vertical="top" wrapText="1"/>
    </xf>
    <xf numFmtId="0" fontId="45" fillId="0" borderId="15" xfId="0" applyFont="1" applyBorder="1" applyAlignment="1">
      <alignment horizontal="center" vertical="top"/>
    </xf>
    <xf numFmtId="183" fontId="45" fillId="0" borderId="12" xfId="0" applyNumberFormat="1" applyFont="1" applyBorder="1" applyAlignment="1">
      <alignment horizontal="center" vertical="center"/>
    </xf>
    <xf numFmtId="0" fontId="0" fillId="0" borderId="0" xfId="0" applyFont="1" applyBorder="1"/>
    <xf numFmtId="0" fontId="93" fillId="0" borderId="2" xfId="0" applyFont="1" applyBorder="1" applyAlignment="1">
      <alignment horizontal="center" vertical="center"/>
    </xf>
    <xf numFmtId="0" fontId="0" fillId="0" borderId="0" xfId="0" applyBorder="1" applyAlignment="1">
      <alignment horizontal="center" vertical="center" wrapText="1"/>
    </xf>
    <xf numFmtId="185" fontId="0" fillId="0" borderId="0" xfId="0" applyNumberFormat="1"/>
    <xf numFmtId="198" fontId="0" fillId="0" borderId="0" xfId="0" applyNumberFormat="1"/>
    <xf numFmtId="185" fontId="0" fillId="0" borderId="0" xfId="0" applyNumberFormat="1" applyAlignment="1">
      <alignment horizontal="left"/>
    </xf>
    <xf numFmtId="0" fontId="81" fillId="0" borderId="2" xfId="53" applyFont="1" applyBorder="1" applyAlignment="1">
      <alignment horizontal="center" vertical="center" wrapText="1"/>
    </xf>
    <xf numFmtId="0" fontId="0" fillId="0" borderId="12" xfId="47" applyFont="1" applyBorder="1" applyAlignment="1">
      <alignment horizontal="center" vertical="top" wrapText="1"/>
    </xf>
    <xf numFmtId="0" fontId="0" fillId="23" borderId="12" xfId="0" applyFont="1" applyFill="1" applyBorder="1" applyAlignment="1">
      <alignment horizontal="center" vertical="top" wrapText="1"/>
    </xf>
    <xf numFmtId="0" fontId="0" fillId="30" borderId="9" xfId="0" applyFont="1" applyFill="1" applyBorder="1" applyAlignment="1">
      <alignment horizontal="center" vertical="top" wrapText="1"/>
    </xf>
    <xf numFmtId="0" fontId="0" fillId="30" borderId="12" xfId="0" applyFont="1" applyFill="1" applyBorder="1" applyAlignment="1">
      <alignment horizontal="center" vertical="top" wrapText="1"/>
    </xf>
    <xf numFmtId="185" fontId="0" fillId="28" borderId="9" xfId="0" applyNumberFormat="1" applyFont="1" applyFill="1" applyBorder="1" applyAlignment="1">
      <alignment vertical="top" wrapText="1"/>
    </xf>
    <xf numFmtId="0" fontId="0" fillId="0" borderId="12" xfId="47" applyFont="1" applyBorder="1" applyAlignment="1">
      <alignment horizontal="center" vertical="center" wrapText="1"/>
    </xf>
    <xf numFmtId="0" fontId="0" fillId="0" borderId="9" xfId="47" applyFont="1" applyBorder="1" applyAlignment="1">
      <alignment horizontal="center" vertical="center" wrapText="1"/>
    </xf>
    <xf numFmtId="185" fontId="0" fillId="0" borderId="12" xfId="47" applyNumberFormat="1" applyFont="1" applyBorder="1" applyAlignment="1">
      <alignment horizontal="center" vertical="center" wrapText="1"/>
    </xf>
    <xf numFmtId="0" fontId="94" fillId="0" borderId="12" xfId="47" applyFont="1" applyBorder="1" applyAlignment="1">
      <alignment horizontal="center" vertical="center" wrapText="1"/>
    </xf>
    <xf numFmtId="0" fontId="94" fillId="0" borderId="9" xfId="47" applyFont="1" applyBorder="1" applyAlignment="1">
      <alignment horizontal="left" vertical="center" wrapText="1"/>
    </xf>
    <xf numFmtId="0" fontId="94" fillId="0" borderId="11" xfId="47" applyFont="1" applyBorder="1" applyAlignment="1">
      <alignment horizontal="left" vertical="center" wrapText="1"/>
    </xf>
    <xf numFmtId="0" fontId="94" fillId="0" borderId="9" xfId="0" applyFont="1" applyBorder="1" applyAlignment="1">
      <alignment horizontal="left" vertical="center" wrapText="1"/>
    </xf>
    <xf numFmtId="0" fontId="94" fillId="0" borderId="11" xfId="0" applyFont="1" applyBorder="1" applyAlignment="1">
      <alignment horizontal="left" vertical="center" wrapText="1"/>
    </xf>
    <xf numFmtId="0" fontId="94" fillId="0" borderId="12" xfId="0" applyFont="1" applyBorder="1" applyAlignment="1">
      <alignment horizontal="left" vertical="center" wrapText="1"/>
    </xf>
    <xf numFmtId="0" fontId="95" fillId="0" borderId="9" xfId="47" applyFont="1" applyBorder="1" applyAlignment="1">
      <alignment horizontal="right" vertical="center" wrapText="1"/>
    </xf>
    <xf numFmtId="185" fontId="94" fillId="0" borderId="11" xfId="47" applyNumberFormat="1" applyFont="1" applyBorder="1" applyAlignment="1">
      <alignment horizontal="left" vertical="center" wrapText="1"/>
    </xf>
    <xf numFmtId="0" fontId="96" fillId="0" borderId="0" xfId="54" applyAlignment="1">
      <alignment horizontal="center" vertical="center"/>
    </xf>
    <xf numFmtId="185" fontId="96" fillId="0" borderId="0" xfId="54" applyNumberFormat="1" applyAlignment="1">
      <alignment horizontal="center" vertical="center"/>
    </xf>
    <xf numFmtId="0" fontId="7" fillId="5" borderId="2" xfId="10" applyFill="1" applyBorder="1" applyAlignment="1" applyProtection="1">
      <alignment vertical="center" wrapText="1"/>
    </xf>
    <xf numFmtId="185" fontId="0" fillId="28" borderId="12" xfId="0" applyNumberFormat="1" applyFont="1" applyFill="1" applyBorder="1" applyAlignment="1">
      <alignment horizontal="center" vertical="top" wrapText="1"/>
    </xf>
    <xf numFmtId="198" fontId="0" fillId="23" borderId="12" xfId="0" applyNumberFormat="1" applyFont="1" applyFill="1" applyBorder="1" applyAlignment="1">
      <alignment horizontal="center" vertical="top" wrapText="1"/>
    </xf>
    <xf numFmtId="185" fontId="0" fillId="28" borderId="12" xfId="0" applyNumberFormat="1" applyFont="1" applyFill="1" applyBorder="1" applyAlignment="1">
      <alignment horizontal="left" vertical="top" wrapText="1"/>
    </xf>
    <xf numFmtId="185" fontId="0" fillId="0" borderId="9" xfId="47" applyNumberFormat="1" applyFont="1" applyBorder="1" applyAlignment="1">
      <alignment vertical="center" wrapText="1"/>
    </xf>
    <xf numFmtId="198" fontId="0" fillId="0" borderId="12" xfId="0" applyNumberFormat="1" applyFont="1" applyBorder="1" applyAlignment="1">
      <alignment horizontal="center" vertical="center" wrapText="1"/>
    </xf>
    <xf numFmtId="10" fontId="0" fillId="0" borderId="12" xfId="0" applyNumberFormat="1" applyFont="1" applyBorder="1" applyAlignment="1">
      <alignment horizontal="left" vertical="center" wrapText="1"/>
    </xf>
    <xf numFmtId="185" fontId="94" fillId="0" borderId="9" xfId="47" applyNumberFormat="1" applyFont="1" applyBorder="1" applyAlignment="1">
      <alignment horizontal="left" vertical="center" wrapText="1"/>
    </xf>
    <xf numFmtId="199" fontId="94" fillId="0" borderId="9" xfId="47" applyNumberFormat="1" applyFont="1" applyBorder="1" applyAlignment="1">
      <alignment horizontal="left" vertical="center" wrapText="1"/>
    </xf>
    <xf numFmtId="185" fontId="94" fillId="0" borderId="12" xfId="47" applyNumberFormat="1" applyFont="1" applyBorder="1" applyAlignment="1">
      <alignment horizontal="left" vertical="center" wrapText="1"/>
    </xf>
    <xf numFmtId="198" fontId="94" fillId="0" borderId="12" xfId="0" applyNumberFormat="1" applyFont="1" applyBorder="1" applyAlignment="1">
      <alignment horizontal="center" vertical="center" wrapText="1"/>
    </xf>
    <xf numFmtId="10" fontId="0" fillId="0" borderId="0" xfId="0" applyNumberFormat="1" applyAlignment="1">
      <alignment horizontal="left"/>
    </xf>
    <xf numFmtId="9" fontId="0" fillId="0" borderId="0" xfId="0" applyNumberFormat="1" applyAlignment="1">
      <alignment horizontal="left"/>
    </xf>
    <xf numFmtId="198" fontId="0" fillId="0" borderId="0" xfId="0" applyNumberFormat="1" applyBorder="1" applyAlignment="1">
      <alignment horizontal="center" vertical="center" wrapText="1"/>
    </xf>
    <xf numFmtId="0" fontId="3" fillId="31" borderId="12" xfId="0" applyFont="1" applyFill="1" applyBorder="1" applyAlignment="1">
      <alignment horizontal="center" vertical="center" wrapText="1"/>
    </xf>
    <xf numFmtId="0" fontId="0" fillId="31" borderId="12" xfId="0" applyFill="1" applyBorder="1" applyAlignment="1">
      <alignment horizontal="center" vertical="center" wrapText="1"/>
    </xf>
    <xf numFmtId="0" fontId="0" fillId="30" borderId="13" xfId="0" applyFill="1" applyBorder="1" applyAlignment="1">
      <alignment horizontal="center" vertical="center" wrapText="1"/>
    </xf>
    <xf numFmtId="0" fontId="0" fillId="28" borderId="13" xfId="0" applyFont="1" applyFill="1" applyBorder="1" applyAlignment="1">
      <alignment horizontal="center" vertical="center" wrapText="1"/>
    </xf>
    <xf numFmtId="0" fontId="7" fillId="5" borderId="0" xfId="10" applyFill="1" applyBorder="1" applyAlignment="1" applyProtection="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185" fontId="0" fillId="0" borderId="47" xfId="0" applyNumberFormat="1" applyBorder="1" applyAlignment="1">
      <alignment horizontal="center" vertical="center" wrapText="1"/>
    </xf>
    <xf numFmtId="185" fontId="0" fillId="0" borderId="48" xfId="0" applyNumberFormat="1" applyBorder="1" applyAlignment="1">
      <alignment horizontal="center" vertical="center" wrapText="1"/>
    </xf>
    <xf numFmtId="0" fontId="97" fillId="0" borderId="46" xfId="0" applyFont="1" applyBorder="1" applyAlignment="1">
      <alignment horizontal="center" vertical="center" wrapText="1"/>
    </xf>
    <xf numFmtId="0" fontId="97" fillId="0" borderId="47" xfId="0" applyFont="1" applyBorder="1" applyAlignment="1">
      <alignment horizontal="center" vertical="center" wrapText="1"/>
    </xf>
    <xf numFmtId="0" fontId="97" fillId="0" borderId="48" xfId="0" applyFont="1" applyBorder="1" applyAlignment="1">
      <alignment horizontal="center" vertical="center" wrapText="1"/>
    </xf>
    <xf numFmtId="0" fontId="0" fillId="0" borderId="49" xfId="0" applyBorder="1" applyAlignment="1">
      <alignment horizontal="center" vertical="center" wrapText="1"/>
    </xf>
    <xf numFmtId="185" fontId="0" fillId="0" borderId="12" xfId="0" applyNumberFormat="1" applyBorder="1" applyAlignment="1">
      <alignment horizontal="center" vertical="center" wrapText="1"/>
    </xf>
    <xf numFmtId="185" fontId="0" fillId="0" borderId="50" xfId="0" applyNumberFormat="1" applyBorder="1" applyAlignment="1">
      <alignment horizontal="center" vertical="center" wrapText="1"/>
    </xf>
    <xf numFmtId="0" fontId="97" fillId="30" borderId="49"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50" xfId="0" applyFont="1" applyBorder="1" applyAlignment="1">
      <alignment horizontal="center" vertical="center" wrapText="1"/>
    </xf>
    <xf numFmtId="0" fontId="97" fillId="23" borderId="51" xfId="0" applyFont="1" applyFill="1" applyBorder="1" applyAlignment="1">
      <alignment horizontal="center" vertical="center" wrapText="1"/>
    </xf>
    <xf numFmtId="0" fontId="97" fillId="0" borderId="4" xfId="0" applyFont="1" applyBorder="1" applyAlignment="1">
      <alignment horizontal="center" vertical="center" wrapText="1"/>
    </xf>
    <xf numFmtId="0" fontId="97" fillId="0" borderId="52" xfId="0" applyFont="1" applyBorder="1" applyAlignment="1">
      <alignment horizontal="center" vertical="center" wrapText="1"/>
    </xf>
    <xf numFmtId="0" fontId="97" fillId="23" borderId="53" xfId="0" applyFont="1" applyFill="1" applyBorder="1" applyAlignment="1">
      <alignment horizontal="center" vertical="center" wrapText="1"/>
    </xf>
    <xf numFmtId="0" fontId="97" fillId="0" borderId="6" xfId="0" applyFont="1" applyBorder="1" applyAlignment="1">
      <alignment horizontal="center" vertical="center" wrapText="1"/>
    </xf>
    <xf numFmtId="0" fontId="97" fillId="0" borderId="54" xfId="0" applyFont="1" applyBorder="1" applyAlignment="1">
      <alignment horizontal="center" vertical="center" wrapText="1"/>
    </xf>
    <xf numFmtId="0" fontId="97" fillId="23" borderId="55" xfId="0" applyFont="1" applyFill="1" applyBorder="1" applyAlignment="1">
      <alignment horizontal="center" vertical="center" wrapText="1"/>
    </xf>
    <xf numFmtId="0" fontId="97" fillId="0" borderId="1" xfId="0" applyFont="1" applyBorder="1" applyAlignment="1">
      <alignment horizontal="center" vertical="center" wrapText="1"/>
    </xf>
    <xf numFmtId="0" fontId="97" fillId="0" borderId="56" xfId="0" applyFont="1" applyBorder="1" applyAlignment="1">
      <alignment horizontal="center" vertical="center" wrapText="1"/>
    </xf>
    <xf numFmtId="0" fontId="97" fillId="28" borderId="51" xfId="0" applyFont="1" applyFill="1" applyBorder="1" applyAlignment="1">
      <alignment horizontal="center" vertical="center" wrapText="1"/>
    </xf>
    <xf numFmtId="0" fontId="97" fillId="28" borderId="53" xfId="0" applyFont="1" applyFill="1" applyBorder="1" applyAlignment="1">
      <alignment horizontal="center" vertical="center" wrapText="1"/>
    </xf>
    <xf numFmtId="0" fontId="97" fillId="28" borderId="57" xfId="0" applyFont="1" applyFill="1" applyBorder="1" applyAlignment="1">
      <alignment horizontal="center" vertical="center" wrapText="1"/>
    </xf>
    <xf numFmtId="0" fontId="97" fillId="0" borderId="58" xfId="0" applyFont="1" applyBorder="1" applyAlignment="1">
      <alignment horizontal="center" vertical="center" wrapText="1"/>
    </xf>
    <xf numFmtId="0" fontId="97" fillId="0" borderId="59" xfId="0" applyFont="1" applyBorder="1" applyAlignment="1">
      <alignment horizontal="center" vertical="center" wrapText="1"/>
    </xf>
    <xf numFmtId="0" fontId="0" fillId="0" borderId="60" xfId="0" applyBorder="1" applyAlignment="1">
      <alignment horizontal="center" vertical="center" wrapText="1"/>
    </xf>
    <xf numFmtId="0" fontId="0" fillId="0" borderId="58" xfId="0" applyBorder="1" applyAlignment="1">
      <alignment horizontal="center" vertical="center" wrapText="1"/>
    </xf>
    <xf numFmtId="185" fontId="0" fillId="0" borderId="58" xfId="0" applyNumberFormat="1" applyBorder="1" applyAlignment="1">
      <alignment horizontal="center" vertical="center" wrapText="1"/>
    </xf>
    <xf numFmtId="185" fontId="0" fillId="0" borderId="59" xfId="0" applyNumberFormat="1" applyBorder="1" applyAlignment="1">
      <alignment horizontal="center" vertical="center" wrapText="1"/>
    </xf>
    <xf numFmtId="0" fontId="0" fillId="0" borderId="61" xfId="0" applyBorder="1" applyAlignment="1">
      <alignment horizontal="center" vertical="center" wrapText="1"/>
    </xf>
    <xf numFmtId="0" fontId="81" fillId="32" borderId="2" xfId="53" applyFont="1" applyFill="1" applyBorder="1" applyAlignment="1">
      <alignment horizontal="center" vertical="center" wrapText="1"/>
    </xf>
    <xf numFmtId="0" fontId="6" fillId="32" borderId="12" xfId="47" applyFont="1" applyFill="1" applyBorder="1" applyAlignment="1">
      <alignment horizontal="center" vertical="center" wrapText="1"/>
    </xf>
    <xf numFmtId="0" fontId="0" fillId="32" borderId="12" xfId="0" applyFont="1" applyFill="1" applyBorder="1" applyAlignment="1">
      <alignment horizontal="center" vertical="center" wrapText="1"/>
    </xf>
    <xf numFmtId="0" fontId="45" fillId="32" borderId="12" xfId="47" applyFont="1" applyFill="1" applyBorder="1" applyAlignment="1">
      <alignment horizontal="center" vertical="center" wrapText="1"/>
    </xf>
    <xf numFmtId="0" fontId="45" fillId="32" borderId="12" xfId="47" applyFont="1" applyFill="1" applyBorder="1" applyAlignment="1">
      <alignment horizontal="left" vertical="center" wrapText="1"/>
    </xf>
    <xf numFmtId="0" fontId="45" fillId="32" borderId="12" xfId="0" applyFont="1" applyFill="1" applyBorder="1" applyAlignment="1">
      <alignment horizontal="left" vertical="center" wrapText="1"/>
    </xf>
    <xf numFmtId="0" fontId="45" fillId="32" borderId="9" xfId="47" applyFont="1" applyFill="1" applyBorder="1" applyAlignment="1">
      <alignment horizontal="left" vertical="center" wrapText="1"/>
    </xf>
    <xf numFmtId="0" fontId="45" fillId="32" borderId="11" xfId="47" applyFont="1" applyFill="1" applyBorder="1" applyAlignment="1">
      <alignment horizontal="left" vertical="center" wrapText="1"/>
    </xf>
    <xf numFmtId="0" fontId="81" fillId="0" borderId="10" xfId="53" applyFont="1" applyBorder="1" applyAlignment="1">
      <alignment horizontal="center" vertical="center" wrapText="1"/>
    </xf>
    <xf numFmtId="0" fontId="6" fillId="0" borderId="12" xfId="47" applyFont="1" applyBorder="1" applyAlignment="1">
      <alignment horizontal="center" vertical="center" wrapText="1"/>
    </xf>
    <xf numFmtId="0" fontId="0" fillId="30" borderId="12" xfId="0" applyFill="1" applyBorder="1" applyAlignment="1">
      <alignment horizontal="center" vertical="center" wrapText="1"/>
    </xf>
    <xf numFmtId="0" fontId="0" fillId="23" borderId="12" xfId="0" applyFill="1" applyBorder="1" applyAlignment="1">
      <alignment horizontal="center" vertical="center" wrapText="1"/>
    </xf>
    <xf numFmtId="0" fontId="0" fillId="28" borderId="9" xfId="0" applyFill="1" applyBorder="1" applyAlignment="1">
      <alignment horizontal="center" vertical="center" wrapText="1"/>
    </xf>
    <xf numFmtId="0" fontId="0" fillId="28" borderId="11" xfId="0" applyFill="1" applyBorder="1" applyAlignment="1">
      <alignment horizontal="center" vertical="center" wrapText="1"/>
    </xf>
    <xf numFmtId="0" fontId="98" fillId="0" borderId="12" xfId="0" applyFont="1" applyBorder="1" applyAlignment="1">
      <alignment horizontal="center" vertical="center" wrapText="1"/>
    </xf>
    <xf numFmtId="0" fontId="6" fillId="0" borderId="1" xfId="47" applyFont="1" applyBorder="1" applyAlignment="1">
      <alignment horizontal="center" vertical="center" wrapText="1"/>
    </xf>
    <xf numFmtId="0" fontId="6" fillId="0" borderId="2" xfId="47" applyFont="1" applyBorder="1" applyAlignment="1">
      <alignment horizontal="center" vertical="center" wrapText="1"/>
    </xf>
    <xf numFmtId="0" fontId="0" fillId="0" borderId="2" xfId="0" applyBorder="1" applyAlignment="1">
      <alignment horizontal="center" vertical="center" wrapText="1"/>
    </xf>
    <xf numFmtId="0" fontId="3" fillId="31" borderId="1" xfId="0" applyFont="1" applyFill="1" applyBorder="1" applyAlignment="1">
      <alignment horizontal="center" vertical="center" wrapText="1"/>
    </xf>
    <xf numFmtId="0" fontId="3" fillId="31" borderId="2" xfId="0" applyFont="1" applyFill="1" applyBorder="1" applyAlignment="1">
      <alignment horizontal="center" vertical="center" wrapText="1"/>
    </xf>
    <xf numFmtId="0" fontId="0" fillId="28" borderId="12" xfId="0" applyFill="1" applyBorder="1" applyAlignment="1">
      <alignment horizontal="center" vertical="center" wrapText="1"/>
    </xf>
    <xf numFmtId="10" fontId="0" fillId="0" borderId="12" xfId="0" applyNumberFormat="1" applyBorder="1" applyAlignment="1">
      <alignment horizontal="center" vertical="center" wrapText="1"/>
    </xf>
    <xf numFmtId="0" fontId="6" fillId="32" borderId="12" xfId="47" applyFont="1" applyFill="1" applyBorder="1" applyAlignment="1">
      <alignment vertical="center" wrapText="1"/>
    </xf>
    <xf numFmtId="0" fontId="45" fillId="32" borderId="12" xfId="47" applyFont="1" applyFill="1" applyBorder="1" applyAlignment="1">
      <alignment vertical="center" wrapText="1"/>
    </xf>
    <xf numFmtId="0" fontId="6" fillId="0" borderId="0" xfId="47" applyFont="1" applyBorder="1" applyAlignment="1">
      <alignment horizontal="center" vertical="center" wrapText="1"/>
    </xf>
    <xf numFmtId="0" fontId="4" fillId="0" borderId="12" xfId="0" applyFont="1" applyBorder="1" applyAlignment="1">
      <alignment horizontal="center" vertical="center" wrapText="1"/>
    </xf>
    <xf numFmtId="0" fontId="32" fillId="0" borderId="12" xfId="0" applyFont="1" applyBorder="1" applyAlignment="1">
      <alignment horizontal="center" vertical="center" wrapText="1"/>
    </xf>
    <xf numFmtId="0" fontId="0" fillId="23" borderId="13" xfId="0" applyFill="1" applyBorder="1" applyAlignment="1">
      <alignment vertical="center" wrapText="1"/>
    </xf>
    <xf numFmtId="0" fontId="32" fillId="0" borderId="13" xfId="0" applyFont="1" applyBorder="1" applyAlignment="1">
      <alignment horizontal="center" vertical="center" wrapText="1"/>
    </xf>
    <xf numFmtId="0" fontId="0" fillId="23" borderId="14" xfId="0" applyFill="1" applyBorder="1" applyAlignment="1">
      <alignment vertical="center" wrapText="1"/>
    </xf>
    <xf numFmtId="0" fontId="32" fillId="0" borderId="14" xfId="0" applyFont="1" applyBorder="1" applyAlignment="1">
      <alignment horizontal="center" vertical="center" wrapText="1"/>
    </xf>
    <xf numFmtId="0" fontId="32" fillId="0" borderId="15" xfId="0" applyFont="1" applyBorder="1" applyAlignment="1">
      <alignment horizontal="center" vertical="center" wrapText="1"/>
    </xf>
    <xf numFmtId="0" fontId="0" fillId="28" borderId="13" xfId="0" applyFill="1" applyBorder="1" applyAlignment="1">
      <alignment horizontal="center" vertical="center" wrapText="1"/>
    </xf>
    <xf numFmtId="0" fontId="0" fillId="28" borderId="14" xfId="0" applyFill="1" applyBorder="1" applyAlignment="1">
      <alignment horizontal="center" vertical="center" wrapText="1"/>
    </xf>
    <xf numFmtId="0" fontId="0" fillId="28" borderId="15" xfId="0" applyFill="1" applyBorder="1" applyAlignment="1">
      <alignment horizontal="center" vertical="center" wrapText="1"/>
    </xf>
    <xf numFmtId="0" fontId="94" fillId="0" borderId="9" xfId="47" applyFont="1" applyBorder="1" applyAlignment="1">
      <alignment horizontal="right" vertical="center" wrapText="1"/>
    </xf>
    <xf numFmtId="0" fontId="3" fillId="33" borderId="12" xfId="0" applyFont="1" applyFill="1" applyBorder="1" applyAlignment="1">
      <alignment horizontal="center" vertical="center" wrapText="1"/>
    </xf>
    <xf numFmtId="0" fontId="0" fillId="33" borderId="12" xfId="0" applyFill="1" applyBorder="1" applyAlignment="1">
      <alignment horizontal="center" vertical="center" wrapText="1"/>
    </xf>
    <xf numFmtId="0" fontId="0" fillId="23" borderId="12" xfId="0" applyFont="1" applyFill="1" applyBorder="1" applyAlignment="1">
      <alignment horizontal="center" vertical="center" wrapText="1"/>
    </xf>
    <xf numFmtId="0" fontId="99" fillId="0" borderId="0" xfId="0" applyFont="1" applyAlignment="1">
      <alignment horizontal="left" wrapText="1"/>
    </xf>
    <xf numFmtId="0" fontId="100" fillId="0" borderId="0" xfId="0" applyFont="1"/>
    <xf numFmtId="0" fontId="0" fillId="0" borderId="12" xfId="0" applyFill="1" applyBorder="1" applyAlignment="1">
      <alignment horizontal="center" vertical="center" wrapText="1"/>
    </xf>
    <xf numFmtId="0" fontId="101" fillId="0" borderId="62" xfId="0" applyFont="1" applyBorder="1" applyAlignment="1">
      <alignment horizontal="center" vertical="center" wrapText="1"/>
    </xf>
    <xf numFmtId="0" fontId="101" fillId="0" borderId="63" xfId="0" applyFont="1" applyBorder="1" applyAlignment="1">
      <alignment horizontal="center" vertical="center" wrapText="1"/>
    </xf>
    <xf numFmtId="0" fontId="3" fillId="0" borderId="64" xfId="0" applyFont="1" applyBorder="1" applyAlignment="1">
      <alignment horizontal="center" vertical="center" wrapText="1"/>
    </xf>
    <xf numFmtId="0" fontId="3" fillId="0" borderId="12" xfId="0" applyFont="1" applyBorder="1" applyAlignment="1">
      <alignment horizontal="center" vertical="center" wrapText="1"/>
    </xf>
    <xf numFmtId="198" fontId="3" fillId="0" borderId="64" xfId="0" applyNumberFormat="1" applyFont="1" applyBorder="1" applyAlignment="1">
      <alignment horizontal="center" vertical="center"/>
    </xf>
    <xf numFmtId="198" fontId="3" fillId="0" borderId="12" xfId="0" applyNumberFormat="1" applyFont="1" applyBorder="1" applyAlignment="1">
      <alignment horizontal="center" vertical="center"/>
    </xf>
    <xf numFmtId="198" fontId="3" fillId="0" borderId="12" xfId="0" applyNumberFormat="1" applyFont="1" applyBorder="1" applyAlignment="1">
      <alignment horizontal="center" vertical="center" wrapText="1"/>
    </xf>
    <xf numFmtId="0" fontId="3" fillId="0" borderId="12" xfId="0" applyNumberFormat="1" applyFont="1" applyBorder="1" applyAlignment="1">
      <alignment horizontal="center" vertical="center"/>
    </xf>
    <xf numFmtId="0" fontId="2" fillId="0" borderId="12" xfId="0" applyFont="1" applyBorder="1" applyAlignment="1">
      <alignment horizontal="center" vertical="center"/>
    </xf>
    <xf numFmtId="0" fontId="3" fillId="0" borderId="64" xfId="0" applyFont="1" applyBorder="1" applyAlignment="1">
      <alignment horizontal="center" vertical="center"/>
    </xf>
    <xf numFmtId="0" fontId="3" fillId="0" borderId="65" xfId="0" applyFont="1" applyBorder="1" applyAlignment="1">
      <alignment horizontal="center" vertical="center"/>
    </xf>
    <xf numFmtId="0" fontId="3" fillId="0" borderId="66" xfId="0" applyFont="1" applyBorder="1" applyAlignment="1">
      <alignment horizontal="center" vertical="center"/>
    </xf>
    <xf numFmtId="0" fontId="2" fillId="0" borderId="66" xfId="0" applyFont="1" applyBorder="1" applyAlignment="1">
      <alignment horizontal="center" vertical="center"/>
    </xf>
    <xf numFmtId="198" fontId="3" fillId="0" borderId="66" xfId="0" applyNumberFormat="1" applyFont="1" applyBorder="1" applyAlignment="1">
      <alignment horizontal="center" vertical="center" wrapText="1"/>
    </xf>
    <xf numFmtId="198" fontId="3" fillId="0" borderId="66" xfId="0" applyNumberFormat="1" applyFont="1" applyBorder="1" applyAlignment="1">
      <alignment horizontal="center" vertical="center"/>
    </xf>
    <xf numFmtId="0" fontId="3" fillId="0" borderId="66" xfId="0" applyNumberFormat="1" applyFont="1" applyBorder="1" applyAlignment="1">
      <alignment horizontal="center" vertical="center"/>
    </xf>
    <xf numFmtId="0" fontId="7" fillId="5" borderId="67" xfId="10" applyFill="1" applyBorder="1" applyAlignment="1" applyProtection="1">
      <alignment vertical="center" wrapText="1"/>
    </xf>
    <xf numFmtId="0" fontId="3" fillId="0" borderId="68" xfId="0" applyFont="1" applyBorder="1" applyAlignment="1">
      <alignment horizontal="center" vertical="center"/>
    </xf>
    <xf numFmtId="0" fontId="0" fillId="0" borderId="68" xfId="0" applyBorder="1" applyAlignment="1">
      <alignment horizontal="center" vertical="center"/>
    </xf>
    <xf numFmtId="181" fontId="2" fillId="0" borderId="12" xfId="0" applyNumberFormat="1" applyFont="1" applyBorder="1" applyAlignment="1">
      <alignment horizontal="center" vertical="center"/>
    </xf>
    <xf numFmtId="185" fontId="3" fillId="0" borderId="68" xfId="0" applyNumberFormat="1" applyFont="1" applyBorder="1" applyAlignment="1">
      <alignment horizontal="center" vertical="center"/>
    </xf>
    <xf numFmtId="0" fontId="3" fillId="0" borderId="68" xfId="0" applyNumberFormat="1" applyFont="1" applyBorder="1" applyAlignment="1">
      <alignment horizontal="center" vertical="center"/>
    </xf>
    <xf numFmtId="181" fontId="2" fillId="0" borderId="66" xfId="0" applyNumberFormat="1" applyFont="1" applyBorder="1" applyAlignment="1">
      <alignment horizontal="center" vertical="center"/>
    </xf>
    <xf numFmtId="0" fontId="3" fillId="0" borderId="69" xfId="0" applyNumberFormat="1" applyFont="1" applyBorder="1" applyAlignment="1">
      <alignment horizontal="center" vertical="center"/>
    </xf>
    <xf numFmtId="0" fontId="45" fillId="0" borderId="2" xfId="0" applyFont="1" applyBorder="1" applyAlignment="1">
      <alignment horizontal="center"/>
    </xf>
    <xf numFmtId="2" fontId="0" fillId="0" borderId="12" xfId="0" applyNumberFormat="1" applyBorder="1"/>
    <xf numFmtId="193" fontId="0" fillId="0" borderId="12" xfId="0" applyNumberFormat="1" applyBorder="1"/>
    <xf numFmtId="0" fontId="7" fillId="5" borderId="2" xfId="10" applyFill="1" applyBorder="1" applyAlignment="1" applyProtection="1"/>
    <xf numFmtId="0" fontId="97" fillId="0" borderId="0" xfId="0" applyFont="1" applyAlignment="1">
      <alignment horizontal="center"/>
    </xf>
    <xf numFmtId="0" fontId="5" fillId="0" borderId="0" xfId="0" applyFont="1"/>
    <xf numFmtId="0" fontId="0" fillId="0" borderId="26" xfId="0" applyBorder="1" applyAlignment="1">
      <alignment horizontal="center"/>
    </xf>
    <xf numFmtId="0" fontId="0" fillId="0" borderId="27" xfId="0" applyBorder="1" applyAlignment="1">
      <alignment vertical="center" wrapText="1"/>
    </xf>
    <xf numFmtId="0" fontId="0" fillId="0" borderId="28" xfId="0" applyFont="1" applyBorder="1" applyAlignment="1">
      <alignment vertical="center" wrapText="1"/>
    </xf>
    <xf numFmtId="0" fontId="0" fillId="0" borderId="28" xfId="0" applyBorder="1" applyAlignment="1">
      <alignment vertical="center" wrapText="1"/>
    </xf>
    <xf numFmtId="0" fontId="0" fillId="0" borderId="37" xfId="0" applyBorder="1" applyAlignment="1">
      <alignment vertical="center" wrapText="1"/>
    </xf>
    <xf numFmtId="0" fontId="0" fillId="2" borderId="29" xfId="0" applyFill="1" applyBorder="1" applyAlignment="1">
      <alignment horizontal="center"/>
    </xf>
    <xf numFmtId="0" fontId="0" fillId="27" borderId="12" xfId="0" applyFill="1" applyBorder="1" applyAlignment="1">
      <alignment horizontal="center"/>
    </xf>
    <xf numFmtId="192" fontId="0" fillId="27" borderId="38" xfId="0" applyNumberFormat="1" applyFill="1" applyBorder="1" applyAlignment="1">
      <alignment horizontal="center"/>
    </xf>
    <xf numFmtId="0" fontId="0" fillId="0" borderId="29" xfId="0" applyBorder="1"/>
    <xf numFmtId="0" fontId="0" fillId="0" borderId="38" xfId="0" applyBorder="1"/>
    <xf numFmtId="0" fontId="0" fillId="4" borderId="29" xfId="0" applyFill="1" applyBorder="1"/>
    <xf numFmtId="0" fontId="45" fillId="0" borderId="12" xfId="0" applyFont="1" applyBorder="1" applyAlignment="1">
      <alignment horizontal="center"/>
    </xf>
    <xf numFmtId="0" fontId="0" fillId="2" borderId="29" xfId="0" applyFill="1" applyBorder="1"/>
    <xf numFmtId="0" fontId="0" fillId="27" borderId="30" xfId="0" applyFill="1" applyBorder="1"/>
    <xf numFmtId="0" fontId="45" fillId="0" borderId="31" xfId="0" applyFont="1" applyBorder="1" applyAlignment="1">
      <alignment horizontal="center"/>
    </xf>
    <xf numFmtId="0" fontId="0" fillId="0" borderId="31" xfId="0" applyBorder="1"/>
    <xf numFmtId="0" fontId="0" fillId="0" borderId="39" xfId="0" applyBorder="1"/>
    <xf numFmtId="0" fontId="0" fillId="3" borderId="29" xfId="0" applyFill="1" applyBorder="1" applyAlignment="1">
      <alignment horizontal="center"/>
    </xf>
    <xf numFmtId="0" fontId="0" fillId="3" borderId="12" xfId="0" applyFill="1" applyBorder="1" applyAlignment="1">
      <alignment horizontal="center"/>
    </xf>
    <xf numFmtId="192" fontId="0" fillId="3" borderId="38" xfId="0" applyNumberFormat="1" applyFill="1" applyBorder="1" applyAlignment="1">
      <alignment horizontal="center"/>
    </xf>
    <xf numFmtId="0" fontId="0" fillId="0" borderId="29" xfId="0" applyFont="1" applyBorder="1" applyAlignment="1">
      <alignment vertical="center" wrapText="1"/>
    </xf>
    <xf numFmtId="0" fontId="0" fillId="0" borderId="12" xfId="0" applyFont="1" applyBorder="1" applyAlignment="1">
      <alignment vertical="center" wrapText="1"/>
    </xf>
    <xf numFmtId="0" fontId="97" fillId="0" borderId="0" xfId="0" applyFont="1" applyAlignment="1">
      <alignment horizontal="center" vertical="center"/>
    </xf>
    <xf numFmtId="0" fontId="0" fillId="0" borderId="70" xfId="0" applyBorder="1" applyAlignment="1">
      <alignment vertical="center" wrapText="1"/>
    </xf>
    <xf numFmtId="0" fontId="0" fillId="0" borderId="71" xfId="0" applyBorder="1" applyAlignment="1">
      <alignment vertical="center" wrapText="1"/>
    </xf>
    <xf numFmtId="0" fontId="0" fillId="0" borderId="72" xfId="0" applyBorder="1" applyAlignment="1">
      <alignment vertical="center" wrapText="1"/>
    </xf>
    <xf numFmtId="0" fontId="0" fillId="4" borderId="32" xfId="0" applyFill="1" applyBorder="1" applyAlignment="1">
      <alignment horizontal="center" vertical="center"/>
    </xf>
    <xf numFmtId="0" fontId="0" fillId="4" borderId="15" xfId="0" applyFill="1" applyBorder="1" applyAlignment="1">
      <alignment horizontal="center" vertical="center"/>
    </xf>
    <xf numFmtId="200" fontId="52" fillId="2" borderId="15" xfId="0" applyNumberFormat="1" applyFont="1" applyFill="1" applyBorder="1" applyAlignment="1">
      <alignment horizontal="center" vertical="center"/>
    </xf>
    <xf numFmtId="192" fontId="0" fillId="27" borderId="40" xfId="0" applyNumberFormat="1" applyFill="1" applyBorder="1" applyAlignment="1">
      <alignment horizontal="center" vertical="center"/>
    </xf>
    <xf numFmtId="0" fontId="0" fillId="0" borderId="30" xfId="0" applyBorder="1" applyAlignment="1">
      <alignment vertical="center"/>
    </xf>
    <xf numFmtId="0" fontId="0" fillId="0" borderId="31" xfId="0" applyBorder="1" applyAlignment="1">
      <alignment vertical="center"/>
    </xf>
    <xf numFmtId="0" fontId="0" fillId="0" borderId="39" xfId="0" applyBorder="1" applyAlignment="1">
      <alignment vertical="center"/>
    </xf>
    <xf numFmtId="0" fontId="0" fillId="3" borderId="0" xfId="0" applyFill="1" applyBorder="1" applyAlignment="1">
      <alignment vertical="center"/>
    </xf>
    <xf numFmtId="0" fontId="7" fillId="5" borderId="23" xfId="10" applyFill="1" applyBorder="1" applyAlignment="1" applyProtection="1">
      <alignment horizontal="center" vertical="center"/>
    </xf>
    <xf numFmtId="0" fontId="0" fillId="3" borderId="0" xfId="0" applyFill="1" applyAlignment="1">
      <alignment vertical="center"/>
    </xf>
    <xf numFmtId="0" fontId="0" fillId="3" borderId="0" xfId="0" applyFill="1" applyAlignment="1">
      <alignment horizontal="left" vertical="center" wrapText="1"/>
    </xf>
    <xf numFmtId="0" fontId="0" fillId="3" borderId="0" xfId="0" applyFill="1" applyAlignment="1">
      <alignment horizontal="left" vertical="center"/>
    </xf>
    <xf numFmtId="0" fontId="102" fillId="0" borderId="12" xfId="0" applyFont="1" applyBorder="1" applyAlignment="1">
      <alignment horizontal="center"/>
    </xf>
    <xf numFmtId="0" fontId="97" fillId="0" borderId="12" xfId="0" applyFont="1" applyBorder="1" applyAlignment="1">
      <alignment horizontal="center"/>
    </xf>
    <xf numFmtId="0" fontId="5" fillId="0" borderId="12" xfId="0" applyFont="1" applyBorder="1" applyAlignment="1">
      <alignment horizontal="center" vertical="center" wrapText="1"/>
    </xf>
    <xf numFmtId="0" fontId="5" fillId="0" borderId="12" xfId="0" applyFont="1" applyBorder="1" applyAlignment="1">
      <alignment horizontal="center" wrapText="1"/>
    </xf>
    <xf numFmtId="0" fontId="0" fillId="16" borderId="12" xfId="0" applyFill="1" applyBorder="1" applyAlignment="1">
      <alignment horizontal="center"/>
    </xf>
    <xf numFmtId="192" fontId="0" fillId="4" borderId="12" xfId="0" applyNumberFormat="1" applyFill="1" applyBorder="1" applyAlignment="1">
      <alignment horizontal="center"/>
    </xf>
    <xf numFmtId="0" fontId="0" fillId="4" borderId="12" xfId="0" applyFill="1" applyBorder="1"/>
    <xf numFmtId="0" fontId="0" fillId="2" borderId="12" xfId="0" applyFill="1" applyBorder="1"/>
    <xf numFmtId="0" fontId="40" fillId="27" borderId="12" xfId="0" applyFont="1" applyFill="1" applyBorder="1"/>
    <xf numFmtId="0" fontId="7" fillId="0" borderId="10" xfId="10" applyBorder="1" applyAlignment="1" applyProtection="1">
      <alignment horizontal="center"/>
    </xf>
    <xf numFmtId="192" fontId="0" fillId="27" borderId="12" xfId="0" applyNumberFormat="1" applyFill="1" applyBorder="1" applyAlignment="1">
      <alignment horizontal="center"/>
    </xf>
    <xf numFmtId="0" fontId="103" fillId="0" borderId="2" xfId="0" applyFont="1" applyBorder="1" applyAlignment="1">
      <alignment horizontal="center"/>
    </xf>
    <xf numFmtId="0" fontId="5" fillId="0" borderId="12" xfId="0" applyFont="1" applyBorder="1"/>
    <xf numFmtId="0" fontId="5" fillId="0" borderId="12" xfId="0" applyFont="1" applyFill="1" applyBorder="1" applyAlignment="1">
      <alignment horizontal="center"/>
    </xf>
    <xf numFmtId="0" fontId="0" fillId="0" borderId="44" xfId="0" applyBorder="1" applyAlignment="1">
      <alignment horizontal="center"/>
    </xf>
    <xf numFmtId="0" fontId="5" fillId="0" borderId="44" xfId="0" applyFont="1" applyBorder="1" applyAlignment="1">
      <alignment horizontal="center"/>
    </xf>
    <xf numFmtId="0" fontId="104" fillId="0" borderId="44" xfId="0" applyFont="1" applyBorder="1" applyAlignment="1">
      <alignment horizontal="left"/>
    </xf>
    <xf numFmtId="0" fontId="7" fillId="5" borderId="73" xfId="10" applyFill="1" applyBorder="1" applyAlignment="1" applyProtection="1">
      <alignment horizontal="center"/>
    </xf>
    <xf numFmtId="0" fontId="7" fillId="5" borderId="74" xfId="10" applyFill="1" applyBorder="1" applyAlignment="1" applyProtection="1">
      <alignment horizontal="center"/>
    </xf>
    <xf numFmtId="0" fontId="7" fillId="5" borderId="75" xfId="10" applyFill="1" applyBorder="1" applyAlignment="1" applyProtection="1">
      <alignment horizontal="center"/>
    </xf>
    <xf numFmtId="0" fontId="0" fillId="0" borderId="44" xfId="0" applyBorder="1" applyAlignment="1">
      <alignment horizontal="left"/>
    </xf>
    <xf numFmtId="0" fontId="5" fillId="0" borderId="44" xfId="0" applyFont="1" applyBorder="1" applyAlignment="1">
      <alignment horizontal="left"/>
    </xf>
    <xf numFmtId="0" fontId="0" fillId="0" borderId="44" xfId="0" applyFont="1" applyBorder="1" applyAlignment="1">
      <alignment horizontal="left"/>
    </xf>
    <xf numFmtId="0" fontId="0" fillId="0" borderId="44" xfId="0" applyBorder="1"/>
    <xf numFmtId="181" fontId="0" fillId="0" borderId="0" xfId="0" applyNumberFormat="1"/>
    <xf numFmtId="0" fontId="105" fillId="0" borderId="76" xfId="0" applyFont="1" applyBorder="1" applyAlignment="1">
      <alignment horizontal="center"/>
    </xf>
    <xf numFmtId="0" fontId="79" fillId="0" borderId="77" xfId="0" applyFont="1" applyBorder="1" applyAlignment="1">
      <alignment vertical="center" wrapText="1"/>
    </xf>
    <xf numFmtId="0" fontId="106" fillId="0" borderId="78" xfId="0" applyFont="1" applyBorder="1" applyAlignment="1">
      <alignment horizontal="center" vertical="center" wrapText="1"/>
    </xf>
    <xf numFmtId="0" fontId="107" fillId="0" borderId="78" xfId="0" applyFont="1" applyBorder="1"/>
    <xf numFmtId="0" fontId="104" fillId="0" borderId="78" xfId="0" applyFont="1" applyBorder="1" applyAlignment="1">
      <alignment horizontal="center"/>
    </xf>
    <xf numFmtId="0" fontId="104" fillId="31" borderId="78" xfId="0" applyFont="1" applyFill="1" applyBorder="1" applyAlignment="1">
      <alignment horizontal="center"/>
    </xf>
    <xf numFmtId="0" fontId="104" fillId="19" borderId="78" xfId="0" applyFont="1" applyFill="1" applyBorder="1" applyAlignment="1">
      <alignment horizontal="center"/>
    </xf>
    <xf numFmtId="181" fontId="104" fillId="29" borderId="78" xfId="0" applyNumberFormat="1" applyFont="1" applyFill="1" applyBorder="1" applyAlignment="1">
      <alignment horizontal="center"/>
    </xf>
    <xf numFmtId="181" fontId="104" fillId="0" borderId="78" xfId="0" applyNumberFormat="1" applyFont="1" applyBorder="1" applyAlignment="1">
      <alignment horizontal="center"/>
    </xf>
    <xf numFmtId="198" fontId="104" fillId="0" borderId="78" xfId="0" applyNumberFormat="1" applyFont="1" applyBorder="1" applyAlignment="1">
      <alignment horizontal="center"/>
    </xf>
    <xf numFmtId="181" fontId="108" fillId="31" borderId="78" xfId="0" applyNumberFormat="1" applyFont="1" applyFill="1" applyBorder="1" applyAlignment="1">
      <alignment horizontal="center"/>
    </xf>
    <xf numFmtId="181" fontId="109" fillId="19" borderId="78" xfId="0" applyNumberFormat="1" applyFont="1" applyFill="1" applyBorder="1" applyAlignment="1">
      <alignment horizontal="center"/>
    </xf>
    <xf numFmtId="181" fontId="110" fillId="29" borderId="78" xfId="0" applyNumberFormat="1" applyFont="1" applyFill="1" applyBorder="1" applyAlignment="1">
      <alignment horizontal="center"/>
    </xf>
    <xf numFmtId="0" fontId="107" fillId="0" borderId="78" xfId="0" applyFont="1" applyBorder="1" applyProtection="1">
      <protection hidden="1"/>
    </xf>
    <xf numFmtId="181" fontId="104" fillId="28" borderId="78" xfId="0" applyNumberFormat="1" applyFont="1" applyFill="1" applyBorder="1" applyAlignment="1" applyProtection="1">
      <alignment horizontal="center"/>
      <protection hidden="1"/>
    </xf>
    <xf numFmtId="198" fontId="104" fillId="28" borderId="78" xfId="0" applyNumberFormat="1" applyFont="1" applyFill="1" applyBorder="1" applyAlignment="1" applyProtection="1">
      <alignment horizontal="center"/>
      <protection hidden="1"/>
    </xf>
    <xf numFmtId="181" fontId="104" fillId="29" borderId="78" xfId="0" applyNumberFormat="1" applyFont="1" applyFill="1" applyBorder="1" applyAlignment="1" applyProtection="1">
      <alignment horizontal="center"/>
      <protection hidden="1"/>
    </xf>
    <xf numFmtId="198" fontId="104" fillId="29" borderId="78" xfId="0" applyNumberFormat="1" applyFont="1" applyFill="1" applyBorder="1" applyAlignment="1" applyProtection="1">
      <alignment horizontal="center"/>
      <protection hidden="1"/>
    </xf>
    <xf numFmtId="181" fontId="104" fillId="19" borderId="78" xfId="0" applyNumberFormat="1" applyFont="1" applyFill="1" applyBorder="1" applyAlignment="1" applyProtection="1">
      <alignment horizontal="center"/>
      <protection hidden="1"/>
    </xf>
    <xf numFmtId="198" fontId="104" fillId="19" borderId="78" xfId="0" applyNumberFormat="1" applyFont="1" applyFill="1" applyBorder="1" applyAlignment="1" applyProtection="1">
      <alignment horizontal="center"/>
      <protection hidden="1"/>
    </xf>
    <xf numFmtId="181" fontId="111" fillId="19" borderId="78" xfId="0" applyNumberFormat="1" applyFont="1" applyFill="1" applyBorder="1" applyAlignment="1" applyProtection="1">
      <alignment horizontal="center"/>
      <protection hidden="1"/>
    </xf>
    <xf numFmtId="181" fontId="104" fillId="34" borderId="78" xfId="0" applyNumberFormat="1" applyFont="1" applyFill="1" applyBorder="1" applyAlignment="1" applyProtection="1">
      <alignment horizontal="center"/>
      <protection hidden="1"/>
    </xf>
    <xf numFmtId="198" fontId="104" fillId="34" borderId="78" xfId="0" applyNumberFormat="1" applyFont="1" applyFill="1" applyBorder="1" applyAlignment="1" applyProtection="1">
      <alignment horizontal="center"/>
      <protection hidden="1"/>
    </xf>
    <xf numFmtId="181" fontId="104" fillId="22" borderId="78" xfId="0" applyNumberFormat="1" applyFont="1" applyFill="1" applyBorder="1" applyAlignment="1" applyProtection="1">
      <alignment horizontal="center"/>
      <protection hidden="1"/>
    </xf>
    <xf numFmtId="198" fontId="104" fillId="22" borderId="78" xfId="0" applyNumberFormat="1" applyFont="1" applyFill="1" applyBorder="1" applyAlignment="1" applyProtection="1">
      <alignment horizontal="center"/>
      <protection hidden="1"/>
    </xf>
    <xf numFmtId="181" fontId="104" fillId="16" borderId="78" xfId="0" applyNumberFormat="1" applyFont="1" applyFill="1" applyBorder="1" applyAlignment="1" applyProtection="1">
      <alignment horizontal="center"/>
      <protection hidden="1"/>
    </xf>
    <xf numFmtId="198" fontId="104" fillId="16" borderId="78" xfId="0" applyNumberFormat="1" applyFont="1" applyFill="1" applyBorder="1" applyAlignment="1" applyProtection="1">
      <alignment horizontal="center"/>
      <protection hidden="1"/>
    </xf>
    <xf numFmtId="0" fontId="104" fillId="0" borderId="78" xfId="0" applyFont="1" applyBorder="1" applyProtection="1">
      <protection hidden="1"/>
    </xf>
    <xf numFmtId="181" fontId="104" fillId="0" borderId="78" xfId="0" applyNumberFormat="1" applyFont="1" applyBorder="1" applyAlignment="1" applyProtection="1">
      <alignment horizontal="center"/>
      <protection hidden="1"/>
    </xf>
    <xf numFmtId="198" fontId="104" fillId="0" borderId="78" xfId="0" applyNumberFormat="1" applyFont="1" applyBorder="1" applyAlignment="1" applyProtection="1">
      <alignment horizontal="center"/>
      <protection hidden="1"/>
    </xf>
    <xf numFmtId="0" fontId="5" fillId="0" borderId="78" xfId="0" applyFont="1" applyBorder="1" applyAlignment="1" applyProtection="1">
      <alignment horizontal="center"/>
      <protection hidden="1"/>
    </xf>
    <xf numFmtId="0" fontId="107" fillId="0" borderId="78" xfId="0" applyFont="1" applyBorder="1" applyAlignment="1" applyProtection="1">
      <alignment horizontal="center"/>
      <protection hidden="1"/>
    </xf>
    <xf numFmtId="198" fontId="5" fillId="28" borderId="78" xfId="0" applyNumberFormat="1" applyFont="1" applyFill="1" applyBorder="1" applyAlignment="1" applyProtection="1">
      <alignment horizontal="center"/>
      <protection hidden="1"/>
    </xf>
    <xf numFmtId="181" fontId="104" fillId="0" borderId="78" xfId="0" applyNumberFormat="1" applyFont="1" applyFill="1" applyBorder="1" applyAlignment="1" applyProtection="1">
      <alignment horizontal="center"/>
      <protection hidden="1"/>
    </xf>
    <xf numFmtId="0" fontId="107" fillId="0" borderId="78" xfId="0" applyFont="1" applyBorder="1" applyAlignment="1" applyProtection="1">
      <alignment horizontal="center" vertical="center" wrapText="1"/>
      <protection hidden="1"/>
    </xf>
    <xf numFmtId="181" fontId="104" fillId="16" borderId="78" xfId="0" applyNumberFormat="1" applyFont="1" applyFill="1" applyBorder="1" applyAlignment="1" applyProtection="1">
      <alignment horizontal="center" vertical="center"/>
      <protection hidden="1"/>
    </xf>
    <xf numFmtId="181" fontId="104" fillId="0" borderId="78" xfId="0" applyNumberFormat="1" applyFont="1" applyFill="1" applyBorder="1" applyAlignment="1" applyProtection="1">
      <alignment horizontal="center" vertical="center"/>
      <protection hidden="1"/>
    </xf>
    <xf numFmtId="0" fontId="103" fillId="0" borderId="79" xfId="0" applyFont="1" applyBorder="1" applyAlignment="1" applyProtection="1">
      <alignment horizontal="center"/>
      <protection hidden="1"/>
    </xf>
    <xf numFmtId="198" fontId="112" fillId="0" borderId="79" xfId="0" applyNumberFormat="1" applyFont="1" applyBorder="1" applyAlignment="1" applyProtection="1">
      <alignment horizontal="center"/>
      <protection hidden="1"/>
    </xf>
    <xf numFmtId="0" fontId="112" fillId="0" borderId="79" xfId="0" applyFont="1" applyBorder="1" applyAlignment="1" applyProtection="1">
      <alignment horizontal="center"/>
      <protection hidden="1"/>
    </xf>
    <xf numFmtId="0" fontId="103" fillId="0" borderId="0" xfId="0" applyFont="1" applyProtection="1">
      <protection hidden="1"/>
    </xf>
    <xf numFmtId="0" fontId="0" fillId="0" borderId="0" xfId="0" applyProtection="1">
      <protection hidden="1"/>
    </xf>
    <xf numFmtId="0" fontId="5" fillId="0" borderId="0" xfId="0" applyFont="1" applyFill="1" applyBorder="1"/>
    <xf numFmtId="0" fontId="7" fillId="5" borderId="76" xfId="10" applyFill="1" applyBorder="1" applyAlignment="1" applyProtection="1">
      <alignment horizontal="center" vertical="center"/>
    </xf>
    <xf numFmtId="0" fontId="7" fillId="0" borderId="76" xfId="10" applyBorder="1" applyAlignment="1" applyProtection="1">
      <alignment horizontal="center" vertical="center"/>
    </xf>
    <xf numFmtId="0" fontId="79" fillId="0" borderId="78" xfId="0" applyFont="1" applyBorder="1" applyAlignment="1">
      <alignment horizontal="center" vertical="center" wrapText="1"/>
    </xf>
    <xf numFmtId="0" fontId="104" fillId="28" borderId="78" xfId="0" applyFont="1" applyFill="1" applyBorder="1" applyAlignment="1">
      <alignment horizontal="center"/>
    </xf>
    <xf numFmtId="0" fontId="5" fillId="0" borderId="78" xfId="0" applyFont="1" applyBorder="1" applyAlignment="1">
      <alignment horizontal="center"/>
    </xf>
    <xf numFmtId="181" fontId="113" fillId="28" borderId="78" xfId="0" applyNumberFormat="1" applyFont="1" applyFill="1" applyBorder="1" applyAlignment="1">
      <alignment horizontal="center"/>
    </xf>
    <xf numFmtId="181" fontId="104" fillId="0" borderId="78" xfId="0" applyNumberFormat="1" applyFont="1" applyBorder="1" applyAlignment="1">
      <alignment horizontal="center" vertical="center"/>
    </xf>
    <xf numFmtId="198" fontId="112" fillId="0" borderId="0" xfId="0" applyNumberFormat="1" applyFont="1" applyProtection="1">
      <protection hidden="1"/>
    </xf>
    <xf numFmtId="0" fontId="101" fillId="0" borderId="0" xfId="0" applyFont="1" applyProtection="1">
      <protection hidden="1"/>
    </xf>
    <xf numFmtId="0" fontId="114" fillId="0" borderId="2" xfId="0" applyFont="1" applyBorder="1" applyAlignment="1">
      <alignment horizontal="center" vertical="center"/>
    </xf>
    <xf numFmtId="0" fontId="0" fillId="8" borderId="12" xfId="0" applyFill="1" applyBorder="1" applyAlignment="1">
      <alignment horizontal="center" vertical="center"/>
    </xf>
    <xf numFmtId="0" fontId="0" fillId="8" borderId="12" xfId="0" applyFill="1" applyBorder="1" applyAlignment="1">
      <alignment horizontal="center" vertical="center" wrapText="1"/>
    </xf>
    <xf numFmtId="0" fontId="0" fillId="35" borderId="12" xfId="0" applyFill="1" applyBorder="1" applyAlignment="1">
      <alignment horizontal="center" vertical="center"/>
    </xf>
    <xf numFmtId="0" fontId="0" fillId="36" borderId="12" xfId="0" applyFill="1" applyBorder="1" applyAlignment="1">
      <alignment horizontal="center" vertical="center"/>
    </xf>
    <xf numFmtId="9" fontId="0" fillId="35" borderId="12" xfId="0" applyNumberFormat="1" applyFill="1" applyBorder="1" applyAlignment="1">
      <alignment horizontal="center" vertical="center"/>
    </xf>
    <xf numFmtId="0" fontId="0" fillId="0" borderId="0" xfId="0" applyAlignment="1">
      <alignment horizontal="center" vertical="center" wrapText="1"/>
    </xf>
    <xf numFmtId="0" fontId="115" fillId="0" borderId="0" xfId="0" applyFont="1"/>
    <xf numFmtId="0" fontId="0" fillId="0" borderId="0" xfId="0" applyFont="1" applyAlignment="1">
      <alignment horizontal="right" vertical="center"/>
    </xf>
    <xf numFmtId="201" fontId="0" fillId="0" borderId="0" xfId="0" applyNumberFormat="1" applyFont="1" applyAlignment="1">
      <alignment vertical="center"/>
    </xf>
    <xf numFmtId="0" fontId="0" fillId="23" borderId="0" xfId="0" applyNumberFormat="1" applyFont="1" applyFill="1" applyAlignment="1">
      <alignment vertical="center"/>
    </xf>
    <xf numFmtId="191" fontId="0" fillId="0" borderId="0" xfId="0" applyNumberFormat="1" applyFont="1" applyAlignment="1">
      <alignment vertical="center"/>
    </xf>
    <xf numFmtId="184" fontId="0" fillId="23" borderId="0" xfId="0" applyNumberFormat="1" applyFont="1" applyFill="1" applyAlignment="1">
      <alignment vertical="center"/>
    </xf>
    <xf numFmtId="202" fontId="0" fillId="0" borderId="0" xfId="0" applyNumberFormat="1" applyFont="1" applyAlignment="1">
      <alignment vertical="center"/>
    </xf>
    <xf numFmtId="0" fontId="97" fillId="0" borderId="0" xfId="0" applyFont="1" applyAlignment="1">
      <alignment vertical="center"/>
    </xf>
    <xf numFmtId="0" fontId="0" fillId="24" borderId="0" xfId="0" applyFont="1" applyFill="1" applyAlignment="1">
      <alignment horizontal="left" vertical="center"/>
    </xf>
    <xf numFmtId="201" fontId="0" fillId="23" borderId="0" xfId="0" applyNumberFormat="1" applyFont="1" applyFill="1" applyAlignment="1">
      <alignment vertical="center"/>
    </xf>
    <xf numFmtId="0" fontId="116" fillId="0" borderId="0" xfId="0" applyFont="1" applyAlignment="1">
      <alignment horizontal="left" vertical="center" indent="1"/>
    </xf>
    <xf numFmtId="0" fontId="0" fillId="22" borderId="0" xfId="0" applyFont="1" applyFill="1" applyAlignment="1">
      <alignment horizontal="right" vertical="center"/>
    </xf>
    <xf numFmtId="201" fontId="0" fillId="0" borderId="0" xfId="0" applyNumberFormat="1" applyFont="1" applyFill="1" applyAlignment="1">
      <alignment vertical="center"/>
    </xf>
    <xf numFmtId="195" fontId="0" fillId="0" borderId="0" xfId="0" applyNumberFormat="1" applyFont="1" applyAlignment="1">
      <alignment vertical="center"/>
    </xf>
    <xf numFmtId="0" fontId="116" fillId="0" borderId="0" xfId="0" applyFont="1" applyAlignment="1">
      <alignment vertical="center"/>
    </xf>
    <xf numFmtId="0" fontId="117" fillId="0" borderId="0" xfId="0" applyFont="1" applyFill="1" applyAlignment="1">
      <alignment vertical="center"/>
    </xf>
    <xf numFmtId="0" fontId="0" fillId="0" borderId="0" xfId="0" applyFill="1" applyAlignment="1">
      <alignment vertical="center"/>
    </xf>
    <xf numFmtId="0" fontId="118" fillId="0" borderId="24" xfId="0" applyFont="1" applyFill="1" applyBorder="1" applyAlignment="1" applyProtection="1">
      <alignment horizontal="center" vertical="center"/>
    </xf>
    <xf numFmtId="0" fontId="118" fillId="0" borderId="0" xfId="0" applyFont="1" applyFill="1" applyBorder="1" applyAlignment="1" applyProtection="1">
      <alignment horizontal="center" vertical="center"/>
    </xf>
    <xf numFmtId="0" fontId="0" fillId="20" borderId="12" xfId="0" applyFill="1" applyBorder="1" applyAlignment="1" applyProtection="1">
      <alignment horizontal="center" vertical="center"/>
    </xf>
    <xf numFmtId="0" fontId="119" fillId="37" borderId="12" xfId="0" applyFont="1" applyFill="1" applyBorder="1" applyAlignment="1" applyProtection="1">
      <alignment horizontal="center" vertical="center"/>
    </xf>
    <xf numFmtId="0" fontId="120" fillId="17" borderId="12" xfId="0" applyFont="1" applyFill="1" applyBorder="1" applyAlignment="1" applyProtection="1">
      <alignment horizontal="center" vertical="center"/>
    </xf>
    <xf numFmtId="0" fontId="121" fillId="0" borderId="12" xfId="0" applyFont="1" applyFill="1" applyBorder="1" applyAlignment="1">
      <alignment vertical="center"/>
    </xf>
    <xf numFmtId="0" fontId="117" fillId="0" borderId="12" xfId="0" applyFont="1" applyFill="1" applyBorder="1" applyAlignment="1">
      <alignment vertical="center"/>
    </xf>
    <xf numFmtId="0" fontId="122" fillId="0" borderId="12" xfId="0" applyFont="1" applyFill="1" applyBorder="1" applyAlignment="1">
      <alignment horizontal="center" vertical="center"/>
    </xf>
    <xf numFmtId="0" fontId="121" fillId="3" borderId="12" xfId="0" applyFont="1" applyFill="1" applyBorder="1" applyAlignment="1" applyProtection="1">
      <alignment horizontal="center" vertical="center"/>
    </xf>
    <xf numFmtId="0" fontId="123" fillId="0" borderId="12" xfId="0" applyFont="1" applyFill="1" applyBorder="1" applyAlignment="1">
      <alignment horizontal="center" vertical="center"/>
    </xf>
    <xf numFmtId="0" fontId="124" fillId="3" borderId="12" xfId="0" applyFont="1" applyFill="1" applyBorder="1" applyAlignment="1" applyProtection="1">
      <alignment horizontal="center" vertical="center"/>
    </xf>
    <xf numFmtId="0" fontId="121" fillId="0" borderId="12" xfId="0" applyFont="1" applyFill="1" applyBorder="1" applyAlignment="1">
      <alignment horizontal="center" vertical="center"/>
    </xf>
    <xf numFmtId="0" fontId="124" fillId="3" borderId="12" xfId="0" applyFont="1" applyFill="1" applyBorder="1" applyAlignment="1">
      <alignment horizontal="center" vertical="center"/>
    </xf>
    <xf numFmtId="0" fontId="125" fillId="0" borderId="0" xfId="0" applyFont="1" applyFill="1" applyBorder="1" applyAlignment="1">
      <alignment horizontal="center" vertical="center" wrapText="1"/>
    </xf>
    <xf numFmtId="0" fontId="0" fillId="3" borderId="0" xfId="0" applyFill="1" applyBorder="1" applyAlignment="1">
      <alignment horizontal="center" vertical="center"/>
    </xf>
    <xf numFmtId="0" fontId="1" fillId="0" borderId="9" xfId="0" applyFont="1" applyBorder="1" applyAlignment="1">
      <alignment horizontal="center"/>
    </xf>
    <xf numFmtId="0" fontId="2" fillId="0" borderId="9" xfId="0" applyFont="1" applyBorder="1" applyAlignment="1">
      <alignment horizontal="left"/>
    </xf>
    <xf numFmtId="0" fontId="2" fillId="0" borderId="10" xfId="0" applyFont="1" applyBorder="1" applyAlignment="1">
      <alignment horizontal="left"/>
    </xf>
    <xf numFmtId="0" fontId="2" fillId="0" borderId="11" xfId="0" applyFont="1" applyBorder="1" applyAlignment="1">
      <alignment horizontal="left"/>
    </xf>
    <xf numFmtId="0" fontId="5" fillId="0" borderId="9" xfId="0" applyFont="1" applyBorder="1" applyAlignment="1">
      <alignment horizontal="left"/>
    </xf>
    <xf numFmtId="0" fontId="5" fillId="0" borderId="10" xfId="0" applyFont="1" applyBorder="1" applyAlignment="1">
      <alignment horizontal="left"/>
    </xf>
    <xf numFmtId="0" fontId="5" fillId="0" borderId="11" xfId="0" applyFont="1"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7" fillId="5" borderId="1" xfId="10" applyFill="1" applyBorder="1" applyAlignment="1" applyProtection="1">
      <alignment horizontal="center" vertical="center"/>
    </xf>
    <xf numFmtId="0" fontId="126" fillId="0" borderId="0" xfId="0" applyFont="1"/>
    <xf numFmtId="0" fontId="0" fillId="0" borderId="12" xfId="0" applyBorder="1" applyAlignment="1">
      <alignment horizontal="left"/>
    </xf>
    <xf numFmtId="0" fontId="0" fillId="38" borderId="12" xfId="0" applyFill="1" applyBorder="1"/>
    <xf numFmtId="0" fontId="0" fillId="8" borderId="12" xfId="0" applyFill="1" applyBorder="1"/>
    <xf numFmtId="0" fontId="0" fillId="0" borderId="9" xfId="0" applyBorder="1" applyAlignment="1">
      <alignment horizontal="center"/>
    </xf>
    <xf numFmtId="0" fontId="115" fillId="0" borderId="0" xfId="0" applyFont="1" applyAlignment="1">
      <alignment horizontal="center" vertical="center"/>
    </xf>
    <xf numFmtId="0" fontId="93" fillId="0" borderId="27" xfId="0" applyFont="1" applyBorder="1" applyAlignment="1">
      <alignment horizontal="center" vertical="center"/>
    </xf>
    <xf numFmtId="0" fontId="93" fillId="0" borderId="28" xfId="0" applyFont="1" applyBorder="1" applyAlignment="1">
      <alignment horizontal="left" vertical="center"/>
    </xf>
    <xf numFmtId="0" fontId="93" fillId="0" borderId="80" xfId="0" applyFont="1" applyBorder="1" applyAlignment="1">
      <alignment horizontal="left" vertical="center"/>
    </xf>
    <xf numFmtId="0" fontId="3" fillId="3" borderId="45" xfId="0" applyFont="1" applyFill="1" applyBorder="1" applyAlignment="1">
      <alignment horizontal="center" vertical="center"/>
    </xf>
    <xf numFmtId="0" fontId="3" fillId="0" borderId="81" xfId="0" applyFont="1" applyBorder="1" applyAlignment="1">
      <alignment horizontal="center" vertical="center"/>
    </xf>
    <xf numFmtId="0" fontId="3" fillId="0" borderId="28" xfId="0" applyFont="1" applyBorder="1" applyAlignment="1">
      <alignment horizontal="center" vertical="center"/>
    </xf>
    <xf numFmtId="0" fontId="0" fillId="0" borderId="12" xfId="0" applyBorder="1" applyAlignment="1">
      <alignment horizontal="left" vertical="center"/>
    </xf>
    <xf numFmtId="0" fontId="0" fillId="0" borderId="9" xfId="0" applyBorder="1" applyAlignment="1">
      <alignment horizontal="left" vertical="center"/>
    </xf>
    <xf numFmtId="0" fontId="0" fillId="4" borderId="82" xfId="0" applyFill="1" applyBorder="1" applyAlignment="1">
      <alignment horizontal="center" vertical="center"/>
    </xf>
    <xf numFmtId="0" fontId="0" fillId="39" borderId="83" xfId="0" applyFill="1" applyBorder="1" applyAlignment="1">
      <alignment horizontal="center" vertical="center"/>
    </xf>
    <xf numFmtId="0" fontId="0" fillId="4" borderId="83" xfId="0" applyFill="1" applyBorder="1" applyAlignment="1">
      <alignment horizontal="center" vertical="center"/>
    </xf>
    <xf numFmtId="0" fontId="0" fillId="0" borderId="13" xfId="0" applyBorder="1" applyAlignment="1">
      <alignment horizontal="left" vertical="center"/>
    </xf>
    <xf numFmtId="0" fontId="0" fillId="0" borderId="4" xfId="0" applyBorder="1" applyAlignment="1">
      <alignment horizontal="left" vertical="center"/>
    </xf>
    <xf numFmtId="0" fontId="0" fillId="0" borderId="9" xfId="0" applyBorder="1" applyAlignment="1">
      <alignment horizontal="center" vertical="center" wrapText="1"/>
    </xf>
    <xf numFmtId="0" fontId="0" fillId="0" borderId="4" xfId="0" applyBorder="1" applyAlignment="1">
      <alignment horizontal="center" vertical="center" wrapText="1"/>
    </xf>
    <xf numFmtId="0" fontId="0" fillId="39" borderId="84" xfId="0" applyFill="1" applyBorder="1" applyAlignment="1">
      <alignment horizontal="center" vertical="center"/>
    </xf>
    <xf numFmtId="0" fontId="0" fillId="4" borderId="84" xfId="0" applyFill="1" applyBorder="1" applyAlignment="1">
      <alignment horizontal="center" vertical="center"/>
    </xf>
    <xf numFmtId="0" fontId="0" fillId="0" borderId="33" xfId="0" applyBorder="1" applyAlignment="1">
      <alignment vertical="center"/>
    </xf>
    <xf numFmtId="0" fontId="0" fillId="39" borderId="85" xfId="0" applyFill="1" applyBorder="1" applyAlignment="1">
      <alignment horizontal="center" vertical="center"/>
    </xf>
    <xf numFmtId="0" fontId="6" fillId="0" borderId="27" xfId="0" applyFont="1" applyBorder="1" applyAlignment="1">
      <alignment horizontal="center" vertical="center"/>
    </xf>
    <xf numFmtId="0" fontId="6" fillId="0" borderId="28" xfId="0" applyFont="1" applyBorder="1" applyAlignment="1">
      <alignment horizontal="center" vertical="center"/>
    </xf>
    <xf numFmtId="0" fontId="6" fillId="0" borderId="28" xfId="0" applyFont="1" applyBorder="1" applyAlignment="1">
      <alignment vertical="center"/>
    </xf>
    <xf numFmtId="0" fontId="6" fillId="26" borderId="28" xfId="0" applyFont="1" applyFill="1" applyBorder="1" applyAlignment="1">
      <alignment horizontal="right" vertical="center"/>
    </xf>
    <xf numFmtId="0" fontId="6" fillId="26" borderId="1" xfId="0" applyFont="1" applyFill="1" applyBorder="1" applyAlignment="1">
      <alignment horizontal="right" vertical="center"/>
    </xf>
    <xf numFmtId="0" fontId="6" fillId="0" borderId="29" xfId="0" applyFont="1" applyBorder="1" applyAlignment="1">
      <alignment horizontal="center" vertical="center"/>
    </xf>
    <xf numFmtId="0" fontId="6" fillId="0" borderId="12" xfId="0" applyFont="1" applyBorder="1" applyAlignment="1">
      <alignment horizontal="center" vertical="center"/>
    </xf>
    <xf numFmtId="0" fontId="6" fillId="0" borderId="12" xfId="0" applyFont="1" applyBorder="1" applyAlignment="1">
      <alignment vertical="center"/>
    </xf>
    <xf numFmtId="0" fontId="6" fillId="26" borderId="12" xfId="0" applyFont="1" applyFill="1" applyBorder="1" applyAlignment="1">
      <alignment horizontal="right" vertical="center"/>
    </xf>
    <xf numFmtId="0" fontId="6" fillId="26" borderId="9" xfId="0" applyFont="1" applyFill="1" applyBorder="1" applyAlignment="1">
      <alignment horizontal="right" vertical="center"/>
    </xf>
    <xf numFmtId="0" fontId="3" fillId="0" borderId="27" xfId="0" applyFont="1" applyBorder="1" applyAlignment="1">
      <alignment horizontal="center" vertical="center"/>
    </xf>
    <xf numFmtId="0" fontId="6" fillId="25" borderId="12" xfId="0" applyFont="1" applyFill="1" applyBorder="1" applyAlignment="1">
      <alignment horizontal="right" vertical="center"/>
    </xf>
    <xf numFmtId="0" fontId="6" fillId="25" borderId="9" xfId="0" applyFont="1" applyFill="1" applyBorder="1" applyAlignment="1">
      <alignment horizontal="right" vertical="center"/>
    </xf>
    <xf numFmtId="0" fontId="0" fillId="0" borderId="29" xfId="0" applyBorder="1" applyAlignment="1">
      <alignment vertical="center"/>
    </xf>
    <xf numFmtId="0" fontId="6" fillId="0" borderId="33" xfId="0" applyFont="1" applyBorder="1" applyAlignment="1">
      <alignment horizontal="center" vertical="center"/>
    </xf>
    <xf numFmtId="0" fontId="6" fillId="0" borderId="13" xfId="0" applyFont="1" applyBorder="1" applyAlignment="1">
      <alignment horizontal="center" vertical="center"/>
    </xf>
    <xf numFmtId="0" fontId="6" fillId="0" borderId="13" xfId="0" applyFont="1" applyBorder="1" applyAlignment="1">
      <alignment vertical="center"/>
    </xf>
    <xf numFmtId="0" fontId="6" fillId="25" borderId="13" xfId="0" applyFont="1" applyFill="1" applyBorder="1" applyAlignment="1">
      <alignment horizontal="right" vertical="center"/>
    </xf>
    <xf numFmtId="0" fontId="6" fillId="25" borderId="4" xfId="0" applyFont="1" applyFill="1" applyBorder="1" applyAlignment="1">
      <alignment horizontal="right" vertical="center"/>
    </xf>
    <xf numFmtId="0" fontId="0" fillId="0" borderId="22" xfId="0" applyBorder="1" applyAlignment="1">
      <alignment horizontal="center" vertical="center"/>
    </xf>
    <xf numFmtId="0" fontId="6" fillId="26" borderId="23" xfId="0" applyFont="1" applyFill="1" applyBorder="1" applyAlignment="1">
      <alignment horizontal="center" vertical="center"/>
    </xf>
    <xf numFmtId="0" fontId="6" fillId="32" borderId="22" xfId="0" applyFont="1" applyFill="1" applyBorder="1" applyAlignment="1">
      <alignment horizontal="center" vertical="center" wrapText="1"/>
    </xf>
    <xf numFmtId="0" fontId="6" fillId="32" borderId="23" xfId="0" applyFont="1" applyFill="1" applyBorder="1" applyAlignment="1">
      <alignment horizontal="center" vertical="center" wrapText="1"/>
    </xf>
    <xf numFmtId="0" fontId="0" fillId="0" borderId="25" xfId="0" applyBorder="1" applyAlignment="1">
      <alignment horizontal="center" vertical="center"/>
    </xf>
    <xf numFmtId="0" fontId="6" fillId="0" borderId="31" xfId="0" applyFont="1" applyBorder="1" applyAlignment="1">
      <alignment horizontal="center" vertical="center"/>
    </xf>
    <xf numFmtId="0" fontId="6" fillId="0" borderId="31" xfId="0" applyFont="1" applyBorder="1" applyAlignment="1">
      <alignment vertical="center"/>
    </xf>
    <xf numFmtId="0" fontId="6" fillId="26" borderId="26" xfId="0" applyFont="1" applyFill="1" applyBorder="1" applyAlignment="1">
      <alignment horizontal="center" vertical="center"/>
    </xf>
    <xf numFmtId="0" fontId="6" fillId="32" borderId="24" xfId="0" applyFont="1" applyFill="1" applyBorder="1" applyAlignment="1">
      <alignment horizontal="center" vertical="center" wrapText="1"/>
    </xf>
    <xf numFmtId="0" fontId="6" fillId="32" borderId="0" xfId="0" applyFont="1" applyFill="1" applyBorder="1" applyAlignment="1">
      <alignment horizontal="center" vertical="center" wrapText="1"/>
    </xf>
    <xf numFmtId="0" fontId="0" fillId="0" borderId="24" xfId="0" applyBorder="1" applyAlignment="1">
      <alignment horizontal="center" vertical="center"/>
    </xf>
    <xf numFmtId="0" fontId="6" fillId="0" borderId="15" xfId="0" applyFont="1" applyBorder="1" applyAlignment="1">
      <alignment horizontal="center" vertical="center"/>
    </xf>
    <xf numFmtId="0" fontId="6" fillId="0" borderId="15" xfId="0" applyFont="1" applyBorder="1" applyAlignment="1">
      <alignment vertical="center"/>
    </xf>
    <xf numFmtId="0" fontId="6" fillId="25" borderId="0" xfId="0" applyFont="1" applyFill="1" applyAlignment="1">
      <alignment horizontal="center" vertical="center"/>
    </xf>
    <xf numFmtId="0" fontId="6" fillId="25" borderId="0" xfId="0" applyFont="1" applyFill="1" applyBorder="1" applyAlignment="1">
      <alignment horizontal="center" vertical="center"/>
    </xf>
    <xf numFmtId="0" fontId="6" fillId="25" borderId="26" xfId="0" applyFont="1" applyFill="1" applyBorder="1" applyAlignment="1">
      <alignment horizontal="center" vertical="center"/>
    </xf>
    <xf numFmtId="0" fontId="6" fillId="32" borderId="25" xfId="0" applyFont="1" applyFill="1" applyBorder="1" applyAlignment="1">
      <alignment horizontal="center" vertical="center" wrapText="1"/>
    </xf>
    <xf numFmtId="0" fontId="6" fillId="32" borderId="26" xfId="0" applyFont="1" applyFill="1" applyBorder="1" applyAlignment="1">
      <alignment horizontal="center" vertical="center" wrapText="1"/>
    </xf>
    <xf numFmtId="0" fontId="3" fillId="0" borderId="37" xfId="0" applyFont="1" applyBorder="1" applyAlignment="1">
      <alignment horizontal="center" vertical="center"/>
    </xf>
    <xf numFmtId="0" fontId="0" fillId="0" borderId="38" xfId="0" applyBorder="1" applyAlignment="1">
      <alignment horizontal="center" vertical="center"/>
    </xf>
    <xf numFmtId="0" fontId="0" fillId="0" borderId="38" xfId="0" applyBorder="1" applyAlignment="1">
      <alignment vertical="center"/>
    </xf>
    <xf numFmtId="0" fontId="0" fillId="0" borderId="41" xfId="0" applyBorder="1" applyAlignment="1">
      <alignment vertical="center"/>
    </xf>
    <xf numFmtId="0" fontId="0" fillId="0" borderId="86" xfId="0" applyBorder="1" applyAlignment="1">
      <alignment vertical="center"/>
    </xf>
    <xf numFmtId="0" fontId="0" fillId="0" borderId="35" xfId="0" applyBorder="1" applyAlignment="1">
      <alignment vertical="center"/>
    </xf>
    <xf numFmtId="0" fontId="7" fillId="27" borderId="34" xfId="10" applyFill="1" applyBorder="1" applyAlignment="1" applyProtection="1">
      <alignment horizontal="center" vertical="center"/>
    </xf>
    <xf numFmtId="0" fontId="97" fillId="0" borderId="26" xfId="0" applyFont="1" applyBorder="1" applyAlignment="1">
      <alignment horizontal="center" vertical="center"/>
    </xf>
    <xf numFmtId="0" fontId="127" fillId="0" borderId="27" xfId="53" applyFont="1" applyFill="1" applyBorder="1" applyAlignment="1">
      <alignment horizontal="center" vertical="center"/>
    </xf>
    <xf numFmtId="0" fontId="127" fillId="0" borderId="28" xfId="53" applyFont="1" applyFill="1" applyBorder="1" applyAlignment="1">
      <alignment horizontal="center" vertical="center"/>
    </xf>
    <xf numFmtId="0" fontId="127" fillId="0" borderId="37" xfId="53" applyFont="1" applyFill="1" applyBorder="1" applyAlignment="1">
      <alignment horizontal="center" vertical="center"/>
    </xf>
    <xf numFmtId="0" fontId="128" fillId="20" borderId="29" xfId="53" applyFont="1" applyFill="1" applyBorder="1" applyAlignment="1">
      <alignment horizontal="center" vertical="center"/>
    </xf>
    <xf numFmtId="0" fontId="127" fillId="20" borderId="12" xfId="53" applyFont="1" applyFill="1" applyBorder="1" applyAlignment="1">
      <alignment horizontal="center" vertical="center"/>
    </xf>
    <xf numFmtId="0" fontId="128" fillId="20" borderId="12" xfId="53" applyFont="1" applyFill="1" applyBorder="1" applyAlignment="1">
      <alignment horizontal="center" vertical="center"/>
    </xf>
    <xf numFmtId="0" fontId="128" fillId="20" borderId="38" xfId="53" applyFont="1" applyFill="1" applyBorder="1" applyAlignment="1">
      <alignment horizontal="center" vertical="center"/>
    </xf>
    <xf numFmtId="0" fontId="99" fillId="0" borderId="29" xfId="0" applyFont="1" applyFill="1" applyBorder="1" applyAlignment="1">
      <alignment horizontal="center" vertical="center" wrapText="1"/>
    </xf>
    <xf numFmtId="0" fontId="129" fillId="0" borderId="15" xfId="0" applyFont="1" applyFill="1" applyBorder="1" applyAlignment="1">
      <alignment horizontal="center" vertical="center" wrapText="1"/>
    </xf>
    <xf numFmtId="0" fontId="130" fillId="0" borderId="15" xfId="0" applyFont="1" applyFill="1" applyBorder="1" applyAlignment="1">
      <alignment horizontal="center" vertical="center" wrapText="1"/>
    </xf>
    <xf numFmtId="0" fontId="99" fillId="0" borderId="15" xfId="0" applyFont="1" applyFill="1" applyBorder="1" applyAlignment="1">
      <alignment horizontal="center" vertical="center" wrapText="1"/>
    </xf>
    <xf numFmtId="0" fontId="99" fillId="0" borderId="40" xfId="0" applyFont="1" applyFill="1" applyBorder="1" applyAlignment="1">
      <alignment horizontal="center" vertical="center" wrapText="1"/>
    </xf>
    <xf numFmtId="0" fontId="20" fillId="20" borderId="29" xfId="53" applyFont="1" applyFill="1" applyBorder="1" applyAlignment="1">
      <alignment horizontal="center" vertical="center"/>
    </xf>
    <xf numFmtId="0" fontId="131" fillId="20" borderId="12" xfId="53" applyFont="1" applyFill="1" applyBorder="1" applyAlignment="1">
      <alignment horizontal="center" vertical="center"/>
    </xf>
    <xf numFmtId="0" fontId="20" fillId="20" borderId="9" xfId="53" applyFont="1" applyFill="1" applyBorder="1" applyAlignment="1">
      <alignment horizontal="center" vertical="center"/>
    </xf>
    <xf numFmtId="0" fontId="20" fillId="20" borderId="10" xfId="53" applyFont="1" applyFill="1" applyBorder="1" applyAlignment="1">
      <alignment horizontal="center" vertical="center"/>
    </xf>
    <xf numFmtId="0" fontId="20" fillId="20" borderId="87" xfId="53" applyFont="1" applyFill="1" applyBorder="1" applyAlignment="1">
      <alignment horizontal="center" vertical="center"/>
    </xf>
    <xf numFmtId="0" fontId="5" fillId="0" borderId="0" xfId="0" applyFont="1" applyAlignment="1" applyProtection="1">
      <alignment horizontal="left" vertical="center"/>
      <protection hidden="1"/>
    </xf>
    <xf numFmtId="0" fontId="5" fillId="0" borderId="0" xfId="0" applyFont="1" applyAlignment="1" applyProtection="1">
      <alignment vertical="center"/>
      <protection hidden="1"/>
    </xf>
    <xf numFmtId="0" fontId="7" fillId="5" borderId="0" xfId="10" applyFill="1" applyAlignment="1" applyProtection="1">
      <alignment horizontal="center" vertical="center"/>
      <protection hidden="1"/>
    </xf>
    <xf numFmtId="0" fontId="0" fillId="0" borderId="0" xfId="0" applyAlignment="1" applyProtection="1">
      <alignment horizontal="center" vertical="center"/>
      <protection hidden="1"/>
    </xf>
    <xf numFmtId="0" fontId="0" fillId="19" borderId="0" xfId="0" applyFill="1" applyAlignment="1" applyProtection="1">
      <alignment horizontal="center" vertical="center"/>
      <protection locked="0"/>
    </xf>
    <xf numFmtId="0" fontId="0" fillId="0" borderId="0" xfId="0" applyFill="1" applyAlignment="1">
      <alignment horizontal="center" vertical="center"/>
    </xf>
    <xf numFmtId="0" fontId="132" fillId="0" borderId="0" xfId="0" applyFont="1" applyFill="1" applyAlignment="1">
      <alignment vertical="center"/>
    </xf>
    <xf numFmtId="0" fontId="133" fillId="0" borderId="0" xfId="0" applyFont="1" applyFill="1" applyAlignment="1">
      <alignment vertical="center"/>
    </xf>
    <xf numFmtId="204" fontId="132" fillId="0" borderId="0" xfId="0" applyNumberFormat="1" applyFont="1" applyFill="1" applyAlignment="1">
      <alignment vertical="center"/>
    </xf>
    <xf numFmtId="0" fontId="7" fillId="0" borderId="0" xfId="10" applyFill="1" applyBorder="1" applyAlignment="1" applyProtection="1">
      <alignment horizontal="center" vertical="center"/>
    </xf>
    <xf numFmtId="0" fontId="134" fillId="0" borderId="0" xfId="0" applyFont="1" applyFill="1" applyBorder="1" applyAlignment="1">
      <alignment horizontal="center" vertical="center"/>
    </xf>
    <xf numFmtId="0" fontId="135" fillId="0" borderId="22" xfId="0" applyFont="1" applyFill="1" applyBorder="1" applyAlignment="1">
      <alignment horizontal="center" vertical="center"/>
    </xf>
    <xf numFmtId="0" fontId="135" fillId="0" borderId="23" xfId="0" applyFont="1" applyFill="1" applyBorder="1" applyAlignment="1">
      <alignment horizontal="center" vertical="center"/>
    </xf>
    <xf numFmtId="0" fontId="135" fillId="0" borderId="34" xfId="0" applyFont="1" applyFill="1" applyBorder="1" applyAlignment="1">
      <alignment horizontal="center" vertical="center"/>
    </xf>
    <xf numFmtId="0" fontId="135" fillId="0" borderId="25" xfId="0" applyFont="1" applyFill="1" applyBorder="1" applyAlignment="1">
      <alignment horizontal="center" vertical="center"/>
    </xf>
    <xf numFmtId="0" fontId="135" fillId="0" borderId="26" xfId="0" applyFont="1" applyFill="1" applyBorder="1" applyAlignment="1">
      <alignment horizontal="center" vertical="center"/>
    </xf>
    <xf numFmtId="0" fontId="135" fillId="0" borderId="36" xfId="0" applyFont="1" applyFill="1" applyBorder="1" applyAlignment="1">
      <alignment horizontal="center" vertical="center"/>
    </xf>
    <xf numFmtId="0" fontId="132" fillId="40" borderId="27" xfId="0" applyFont="1" applyFill="1" applyBorder="1" applyAlignment="1">
      <alignment horizontal="center" vertical="center"/>
    </xf>
    <xf numFmtId="0" fontId="136" fillId="40" borderId="88" xfId="0" applyFont="1" applyFill="1" applyBorder="1" applyAlignment="1">
      <alignment horizontal="center" vertical="center"/>
    </xf>
    <xf numFmtId="0" fontId="132" fillId="40" borderId="89" xfId="0" applyFont="1" applyFill="1" applyBorder="1" applyAlignment="1">
      <alignment horizontal="center" vertical="center"/>
    </xf>
    <xf numFmtId="0" fontId="132" fillId="41" borderId="90" xfId="0" applyFont="1" applyFill="1" applyBorder="1" applyAlignment="1">
      <alignment horizontal="center" vertical="center"/>
    </xf>
    <xf numFmtId="0" fontId="132" fillId="41" borderId="81" xfId="0" applyFont="1" applyFill="1" applyBorder="1" applyAlignment="1">
      <alignment horizontal="center" vertical="center"/>
    </xf>
    <xf numFmtId="204" fontId="136" fillId="41" borderId="88" xfId="0" applyNumberFormat="1" applyFont="1" applyFill="1" applyBorder="1" applyAlignment="1">
      <alignment horizontal="center" vertical="center"/>
    </xf>
    <xf numFmtId="0" fontId="132" fillId="41" borderId="37" xfId="0" applyFont="1" applyFill="1" applyBorder="1" applyAlignment="1">
      <alignment horizontal="center" vertical="center"/>
    </xf>
    <xf numFmtId="0" fontId="132" fillId="40" borderId="33" xfId="0" applyFont="1" applyFill="1" applyBorder="1" applyAlignment="1">
      <alignment horizontal="center" vertical="center"/>
    </xf>
    <xf numFmtId="0" fontId="136" fillId="40" borderId="14" xfId="0" applyFont="1" applyFill="1" applyBorder="1" applyAlignment="1">
      <alignment horizontal="center" vertical="center"/>
    </xf>
    <xf numFmtId="0" fontId="132" fillId="40" borderId="91" xfId="0" applyFont="1" applyFill="1" applyBorder="1" applyAlignment="1">
      <alignment horizontal="center" vertical="center"/>
    </xf>
    <xf numFmtId="0" fontId="132" fillId="41" borderId="92" xfId="0" applyFont="1" applyFill="1" applyBorder="1" applyAlignment="1">
      <alignment horizontal="center" vertical="center"/>
    </xf>
    <xf numFmtId="0" fontId="132" fillId="41" borderId="5" xfId="0" applyFont="1" applyFill="1" applyBorder="1" applyAlignment="1">
      <alignment horizontal="center" vertical="center"/>
    </xf>
    <xf numFmtId="204" fontId="136" fillId="41" borderId="14" xfId="0" applyNumberFormat="1" applyFont="1" applyFill="1" applyBorder="1" applyAlignment="1">
      <alignment horizontal="center" vertical="center"/>
    </xf>
    <xf numFmtId="0" fontId="132" fillId="41" borderId="41" xfId="0" applyFont="1" applyFill="1" applyBorder="1" applyAlignment="1">
      <alignment horizontal="center" vertical="center"/>
    </xf>
    <xf numFmtId="0" fontId="132" fillId="0" borderId="27" xfId="0" applyFont="1" applyFill="1" applyBorder="1" applyAlignment="1">
      <alignment horizontal="center" vertical="center"/>
    </xf>
    <xf numFmtId="0" fontId="137" fillId="0" borderId="28" xfId="0" applyFont="1" applyFill="1" applyBorder="1" applyAlignment="1">
      <alignment horizontal="center" vertical="center"/>
    </xf>
    <xf numFmtId="0" fontId="132" fillId="0" borderId="28" xfId="0" applyFont="1" applyFill="1" applyBorder="1" applyAlignment="1">
      <alignment vertical="center"/>
    </xf>
    <xf numFmtId="0" fontId="132" fillId="0" borderId="88" xfId="0" applyFont="1" applyFill="1" applyBorder="1" applyAlignment="1">
      <alignment horizontal="center" vertical="center"/>
    </xf>
    <xf numFmtId="0" fontId="132" fillId="0" borderId="28" xfId="0" applyFont="1" applyFill="1" applyBorder="1" applyAlignment="1">
      <alignment horizontal="center" vertical="center"/>
    </xf>
    <xf numFmtId="204" fontId="137" fillId="0" borderId="28" xfId="0" applyNumberFormat="1" applyFont="1" applyFill="1" applyBorder="1" applyAlignment="1">
      <alignment horizontal="center" vertical="center"/>
    </xf>
    <xf numFmtId="0" fontId="132" fillId="0" borderId="37" xfId="0" applyFont="1" applyFill="1" applyBorder="1" applyAlignment="1">
      <alignment horizontal="center" vertical="center"/>
    </xf>
    <xf numFmtId="0" fontId="132" fillId="0" borderId="29" xfId="0" applyFont="1" applyFill="1" applyBorder="1" applyAlignment="1">
      <alignment horizontal="center" vertical="center"/>
    </xf>
    <xf numFmtId="0" fontId="137" fillId="0" borderId="12" xfId="0" applyFont="1" applyFill="1" applyBorder="1" applyAlignment="1">
      <alignment horizontal="center" vertical="center"/>
    </xf>
    <xf numFmtId="0" fontId="132" fillId="0" borderId="15" xfId="0" applyFont="1" applyFill="1" applyBorder="1" applyAlignment="1">
      <alignment vertical="center"/>
    </xf>
    <xf numFmtId="0" fontId="132" fillId="0" borderId="14" xfId="0" applyFont="1" applyFill="1" applyBorder="1" applyAlignment="1">
      <alignment horizontal="center" vertical="center"/>
    </xf>
    <xf numFmtId="0" fontId="132" fillId="0" borderId="12" xfId="0" applyFont="1" applyFill="1" applyBorder="1" applyAlignment="1">
      <alignment horizontal="center" vertical="center"/>
    </xf>
    <xf numFmtId="204" fontId="137" fillId="0" borderId="12" xfId="0" applyNumberFormat="1" applyFont="1" applyFill="1" applyBorder="1" applyAlignment="1">
      <alignment horizontal="center" vertical="center"/>
    </xf>
    <xf numFmtId="0" fontId="132" fillId="0" borderId="38" xfId="0" applyFont="1" applyFill="1" applyBorder="1" applyAlignment="1">
      <alignment horizontal="center" vertical="center"/>
    </xf>
    <xf numFmtId="0" fontId="132" fillId="0" borderId="30" xfId="0" applyFont="1" applyFill="1" applyBorder="1" applyAlignment="1">
      <alignment horizontal="center" vertical="center"/>
    </xf>
    <xf numFmtId="189" fontId="138" fillId="0" borderId="31" xfId="0" applyNumberFormat="1" applyFont="1" applyFill="1" applyBorder="1" applyAlignment="1">
      <alignment horizontal="center" vertical="center"/>
    </xf>
    <xf numFmtId="0" fontId="132" fillId="0" borderId="31" xfId="0" applyFont="1" applyFill="1" applyBorder="1" applyAlignment="1">
      <alignment horizontal="center" vertical="center"/>
    </xf>
    <xf numFmtId="0" fontId="132" fillId="0" borderId="93" xfId="0" applyFont="1" applyFill="1" applyBorder="1" applyAlignment="1">
      <alignment horizontal="center" vertical="center"/>
    </xf>
    <xf numFmtId="204" fontId="137" fillId="0" borderId="31" xfId="0" applyNumberFormat="1" applyFont="1" applyFill="1" applyBorder="1" applyAlignment="1">
      <alignment horizontal="center" vertical="center"/>
    </xf>
    <xf numFmtId="0" fontId="132" fillId="0" borderId="39" xfId="0" applyFont="1" applyFill="1" applyBorder="1" applyAlignment="1">
      <alignment horizontal="center" vertical="center"/>
    </xf>
    <xf numFmtId="0" fontId="137" fillId="0" borderId="0" xfId="0" applyFont="1" applyFill="1" applyAlignment="1">
      <alignment vertical="center"/>
    </xf>
    <xf numFmtId="204" fontId="137" fillId="0" borderId="88" xfId="0" applyNumberFormat="1" applyFont="1" applyFill="1" applyBorder="1" applyAlignment="1">
      <alignment horizontal="center" vertical="center"/>
    </xf>
    <xf numFmtId="0" fontId="132" fillId="0" borderId="89" xfId="0" applyFont="1" applyFill="1" applyBorder="1" applyAlignment="1">
      <alignment horizontal="center" vertical="center" wrapText="1"/>
    </xf>
    <xf numFmtId="204" fontId="137" fillId="0" borderId="14" xfId="0" applyNumberFormat="1" applyFont="1" applyFill="1" applyBorder="1" applyAlignment="1">
      <alignment horizontal="center" vertical="center"/>
    </xf>
    <xf numFmtId="0" fontId="132" fillId="0" borderId="91" xfId="0" applyFont="1" applyFill="1" applyBorder="1" applyAlignment="1">
      <alignment horizontal="center" vertical="center" wrapText="1"/>
    </xf>
    <xf numFmtId="0" fontId="137" fillId="0" borderId="31" xfId="0" applyFont="1" applyFill="1" applyBorder="1" applyAlignment="1">
      <alignment horizontal="center" vertical="center"/>
    </xf>
    <xf numFmtId="204" fontId="137" fillId="0" borderId="93" xfId="0" applyNumberFormat="1" applyFont="1" applyFill="1" applyBorder="1" applyAlignment="1">
      <alignment horizontal="center" vertical="center"/>
    </xf>
    <xf numFmtId="0" fontId="132" fillId="0" borderId="94" xfId="0" applyFont="1" applyFill="1" applyBorder="1" applyAlignment="1">
      <alignment horizontal="center" vertical="center"/>
    </xf>
    <xf numFmtId="0" fontId="132" fillId="0" borderId="32" xfId="0" applyFont="1" applyFill="1" applyBorder="1" applyAlignment="1">
      <alignment horizontal="center" vertical="center"/>
    </xf>
    <xf numFmtId="0" fontId="137" fillId="0" borderId="15" xfId="0" applyFont="1" applyFill="1" applyBorder="1" applyAlignment="1">
      <alignment horizontal="center" vertical="center"/>
    </xf>
    <xf numFmtId="0" fontId="132" fillId="0" borderId="91" xfId="0" applyFont="1" applyFill="1" applyBorder="1" applyAlignment="1">
      <alignment horizontal="center" vertical="center"/>
    </xf>
    <xf numFmtId="0" fontId="132" fillId="0" borderId="92" xfId="0" applyFont="1" applyFill="1" applyBorder="1" applyAlignment="1">
      <alignment horizontal="center" vertical="center"/>
    </xf>
    <xf numFmtId="0" fontId="137" fillId="0" borderId="14" xfId="0" applyFont="1" applyFill="1" applyBorder="1" applyAlignment="1">
      <alignment horizontal="center" vertical="center"/>
    </xf>
    <xf numFmtId="0" fontId="132" fillId="0" borderId="27" xfId="11" applyNumberFormat="1" applyFont="1" applyFill="1" applyBorder="1" applyAlignment="1">
      <alignment horizontal="center" vertical="center"/>
    </xf>
    <xf numFmtId="0" fontId="132" fillId="0" borderId="89" xfId="0" applyFont="1" applyFill="1" applyBorder="1" applyAlignment="1">
      <alignment horizontal="center" vertical="center"/>
    </xf>
    <xf numFmtId="0" fontId="132" fillId="0" borderId="29" xfId="11" applyNumberFormat="1" applyFont="1" applyFill="1" applyBorder="1" applyAlignment="1">
      <alignment horizontal="center" vertical="center"/>
    </xf>
    <xf numFmtId="0" fontId="132" fillId="0" borderId="30" xfId="11" applyNumberFormat="1" applyFont="1" applyFill="1" applyBorder="1" applyAlignment="1">
      <alignment horizontal="center" vertical="center"/>
    </xf>
    <xf numFmtId="0" fontId="139" fillId="0" borderId="0" xfId="0" applyFont="1" applyFill="1" applyAlignment="1">
      <alignment vertical="center"/>
    </xf>
    <xf numFmtId="0" fontId="132" fillId="0" borderId="27" xfId="0" applyFont="1" applyFill="1" applyBorder="1" applyAlignment="1">
      <alignment horizontal="center" vertical="center" wrapText="1"/>
    </xf>
    <xf numFmtId="0" fontId="132" fillId="0" borderId="92" xfId="0" applyFont="1" applyFill="1" applyBorder="1" applyAlignment="1">
      <alignment horizontal="center" vertical="center" wrapText="1"/>
    </xf>
    <xf numFmtId="0" fontId="132" fillId="0" borderId="12" xfId="0" applyFont="1" applyFill="1" applyBorder="1" applyAlignment="1">
      <alignment vertical="center"/>
    </xf>
    <xf numFmtId="0" fontId="132" fillId="0" borderId="93" xfId="0" applyFont="1" applyFill="1" applyBorder="1" applyAlignment="1">
      <alignment vertical="center"/>
    </xf>
    <xf numFmtId="0" fontId="140" fillId="0" borderId="2" xfId="0" applyFont="1" applyBorder="1" applyAlignment="1">
      <alignment horizontal="center" vertical="center"/>
    </xf>
    <xf numFmtId="0" fontId="3" fillId="0" borderId="12" xfId="0" applyFont="1" applyFill="1" applyBorder="1" applyAlignment="1">
      <alignment horizontal="center" vertical="center"/>
    </xf>
    <xf numFmtId="0" fontId="3" fillId="0" borderId="12" xfId="0" applyFont="1" applyFill="1" applyBorder="1" applyAlignment="1">
      <alignment horizontal="center" vertical="center" wrapText="1"/>
    </xf>
    <xf numFmtId="0" fontId="0" fillId="0" borderId="32" xfId="0" applyFill="1" applyBorder="1" applyAlignment="1">
      <alignment horizontal="center" vertical="center"/>
    </xf>
    <xf numFmtId="0" fontId="3" fillId="0" borderId="15" xfId="0" applyFont="1" applyFill="1" applyBorder="1" applyAlignment="1">
      <alignment horizontal="center" vertical="center"/>
    </xf>
    <xf numFmtId="0" fontId="0" fillId="0" borderId="29" xfId="0" applyFill="1" applyBorder="1" applyAlignment="1">
      <alignment horizontal="center" vertical="center"/>
    </xf>
    <xf numFmtId="0" fontId="0" fillId="0" borderId="30" xfId="0" applyFill="1" applyBorder="1" applyAlignment="1">
      <alignment horizontal="center" vertical="center"/>
    </xf>
    <xf numFmtId="0" fontId="3" fillId="0" borderId="31" xfId="0" applyFont="1" applyFill="1" applyBorder="1" applyAlignment="1">
      <alignment horizontal="center" vertical="center"/>
    </xf>
    <xf numFmtId="0" fontId="0" fillId="0" borderId="31" xfId="0" applyFill="1" applyBorder="1" applyAlignment="1">
      <alignment horizontal="center" vertical="center"/>
    </xf>
    <xf numFmtId="0" fontId="3" fillId="0" borderId="14" xfId="0" applyFont="1" applyFill="1" applyBorder="1" applyAlignment="1">
      <alignment horizontal="center" vertical="center" wrapText="1"/>
    </xf>
    <xf numFmtId="0" fontId="0" fillId="0" borderId="40" xfId="0" applyFill="1" applyBorder="1" applyAlignment="1">
      <alignment horizontal="center" vertical="center"/>
    </xf>
    <xf numFmtId="0" fontId="0" fillId="0" borderId="38" xfId="0" applyFill="1" applyBorder="1" applyAlignment="1">
      <alignment horizontal="center" vertical="center"/>
    </xf>
    <xf numFmtId="0" fontId="0" fillId="0" borderId="39" xfId="0" applyFill="1" applyBorder="1" applyAlignment="1">
      <alignment horizontal="center" vertical="center"/>
    </xf>
    <xf numFmtId="0" fontId="0" fillId="0" borderId="14" xfId="0" applyFill="1" applyBorder="1" applyAlignment="1">
      <alignment horizontal="center" vertical="center"/>
    </xf>
    <xf numFmtId="0" fontId="7" fillId="0" borderId="0" xfId="10" applyFill="1" applyAlignment="1" applyProtection="1">
      <alignment vertical="top"/>
    </xf>
    <xf numFmtId="0" fontId="7" fillId="0" borderId="0" xfId="10" applyAlignment="1" applyProtection="1">
      <alignment horizontal="left" vertical="top"/>
    </xf>
    <xf numFmtId="0" fontId="141" fillId="0" borderId="0" xfId="0" applyFont="1" applyAlignment="1">
      <alignment vertical="center"/>
    </xf>
    <xf numFmtId="0" fontId="5" fillId="0" borderId="0" xfId="0" applyFont="1" applyAlignment="1">
      <alignment vertical="center"/>
    </xf>
    <xf numFmtId="0" fontId="142" fillId="0" borderId="0" xfId="0" applyFont="1" applyAlignment="1">
      <alignment vertical="center"/>
    </xf>
    <xf numFmtId="0" fontId="143" fillId="0" borderId="0" xfId="0" applyFont="1" applyAlignment="1">
      <alignment horizontal="center" vertical="center"/>
    </xf>
    <xf numFmtId="0" fontId="144" fillId="0" borderId="0" xfId="0" applyFont="1" applyAlignment="1">
      <alignment horizontal="center" vertical="center"/>
    </xf>
    <xf numFmtId="0" fontId="142" fillId="0" borderId="0" xfId="0" applyFont="1" applyBorder="1" applyAlignment="1" applyProtection="1">
      <alignment vertical="center"/>
    </xf>
    <xf numFmtId="0" fontId="142" fillId="0" borderId="0" xfId="0" applyFont="1" applyBorder="1" applyAlignment="1" applyProtection="1">
      <alignment horizontal="center" vertical="center" wrapText="1"/>
    </xf>
    <xf numFmtId="0" fontId="5" fillId="0" borderId="0" xfId="0" applyFont="1" applyBorder="1" applyAlignment="1">
      <alignment vertical="center"/>
    </xf>
    <xf numFmtId="0" fontId="5" fillId="0" borderId="0" xfId="0" applyFont="1" applyBorder="1" applyAlignment="1">
      <alignment horizontal="left" vertical="center"/>
    </xf>
    <xf numFmtId="0" fontId="5" fillId="0" borderId="0" xfId="0" applyFont="1" applyBorder="1" applyAlignment="1">
      <alignment horizontal="center" vertical="center"/>
    </xf>
    <xf numFmtId="0" fontId="142" fillId="0" borderId="0" xfId="0" applyFont="1" applyBorder="1" applyAlignment="1" applyProtection="1">
      <alignment horizontal="left" vertical="center" wrapText="1"/>
    </xf>
    <xf numFmtId="0" fontId="145" fillId="0" borderId="0" xfId="0" applyFont="1" applyBorder="1" applyAlignment="1">
      <alignment horizontal="center" vertical="center"/>
    </xf>
    <xf numFmtId="0" fontId="146" fillId="0" borderId="0" xfId="0" applyFont="1" applyBorder="1" applyAlignment="1">
      <alignment horizontal="center" vertical="center"/>
    </xf>
    <xf numFmtId="0" fontId="2" fillId="0" borderId="0" xfId="0" applyFont="1" applyBorder="1" applyAlignment="1">
      <alignment horizontal="center" vertical="center"/>
    </xf>
    <xf numFmtId="0" fontId="2" fillId="0" borderId="0" xfId="0" applyFont="1" applyBorder="1" applyAlignment="1">
      <alignment horizontal="left" vertical="center"/>
    </xf>
    <xf numFmtId="0" fontId="147" fillId="0" borderId="0" xfId="0" applyFont="1" applyBorder="1" applyAlignment="1">
      <alignment horizontal="left" vertical="center"/>
    </xf>
    <xf numFmtId="0" fontId="148" fillId="0" borderId="0" xfId="0" applyFont="1" applyBorder="1" applyAlignment="1">
      <alignment horizontal="center" vertical="center"/>
    </xf>
    <xf numFmtId="0" fontId="79" fillId="0" borderId="0" xfId="0" applyFont="1" applyBorder="1" applyAlignment="1">
      <alignment horizontal="center" vertical="center" wrapText="1"/>
    </xf>
    <xf numFmtId="0" fontId="149" fillId="0" borderId="0" xfId="0" applyFont="1" applyBorder="1" applyAlignment="1">
      <alignment horizontal="center" vertical="center"/>
    </xf>
    <xf numFmtId="0" fontId="150" fillId="0" borderId="0" xfId="0" applyFont="1" applyAlignment="1">
      <alignment horizontal="center" vertical="center"/>
    </xf>
    <xf numFmtId="197" fontId="148" fillId="0" borderId="0" xfId="0" applyNumberFormat="1" applyFont="1" applyBorder="1" applyAlignment="1">
      <alignment horizontal="center" vertical="center"/>
    </xf>
    <xf numFmtId="0" fontId="148" fillId="0" borderId="0" xfId="0" applyFont="1" applyAlignment="1">
      <alignment horizontal="center" vertical="center"/>
    </xf>
    <xf numFmtId="0" fontId="149" fillId="0" borderId="0" xfId="0" applyFont="1" applyAlignment="1">
      <alignment horizontal="center" vertical="center"/>
    </xf>
    <xf numFmtId="0" fontId="147" fillId="0" borderId="0" xfId="0" applyFont="1" applyBorder="1" applyAlignment="1">
      <alignment horizontal="left" vertical="center" wrapText="1"/>
    </xf>
    <xf numFmtId="0" fontId="147" fillId="0" borderId="0" xfId="0" applyFont="1" applyBorder="1" applyAlignment="1">
      <alignment horizontal="justify" vertical="center"/>
    </xf>
    <xf numFmtId="0" fontId="147" fillId="0" borderId="0" xfId="0" applyFont="1" applyBorder="1" applyAlignment="1">
      <alignment horizontal="justify" vertical="center" wrapText="1"/>
    </xf>
    <xf numFmtId="0" fontId="151" fillId="0" borderId="0" xfId="0" applyFont="1" applyAlignment="1">
      <alignment horizontal="center" vertical="center"/>
    </xf>
    <xf numFmtId="0" fontId="152" fillId="0" borderId="0" xfId="0" applyFont="1" applyBorder="1" applyAlignment="1">
      <alignment horizontal="center" vertical="center" wrapText="1"/>
    </xf>
    <xf numFmtId="189" fontId="142" fillId="0" borderId="0" xfId="0" applyNumberFormat="1" applyFont="1" applyAlignment="1">
      <alignment vertical="center"/>
    </xf>
    <xf numFmtId="0" fontId="5" fillId="0" borderId="0" xfId="0" applyFont="1" applyBorder="1" applyAlignment="1">
      <alignment horizontal="left" vertical="center" wrapText="1"/>
    </xf>
    <xf numFmtId="0" fontId="142" fillId="0" borderId="0" xfId="0" applyFont="1" applyFill="1" applyBorder="1" applyAlignment="1">
      <alignment vertical="center" wrapText="1"/>
    </xf>
    <xf numFmtId="0" fontId="142" fillId="0" borderId="0" xfId="0" applyFont="1" applyFill="1" applyAlignment="1">
      <alignment vertical="center"/>
    </xf>
    <xf numFmtId="0" fontId="5" fillId="0" borderId="0" xfId="0" applyFont="1" applyBorder="1" applyAlignment="1">
      <alignment horizontal="justify" vertical="center"/>
    </xf>
    <xf numFmtId="0" fontId="152" fillId="0" borderId="0" xfId="0" applyFont="1" applyAlignment="1">
      <alignment vertical="center"/>
    </xf>
    <xf numFmtId="0" fontId="147" fillId="0" borderId="0" xfId="0" applyFont="1" applyBorder="1" applyAlignment="1">
      <alignment vertical="center"/>
    </xf>
    <xf numFmtId="0" fontId="153" fillId="0" borderId="0" xfId="0" applyFont="1" applyBorder="1" applyAlignment="1">
      <alignment vertical="center"/>
    </xf>
    <xf numFmtId="0" fontId="152" fillId="0" borderId="0" xfId="0" applyFont="1" applyAlignment="1">
      <alignment horizontal="center" vertical="center"/>
    </xf>
    <xf numFmtId="178" fontId="148" fillId="0" borderId="0" xfId="4" applyFont="1" applyBorder="1" applyAlignment="1">
      <alignment horizontal="left" vertical="center"/>
    </xf>
    <xf numFmtId="178" fontId="149" fillId="0" borderId="0" xfId="4" applyFont="1" applyBorder="1" applyAlignment="1">
      <alignment horizontal="left" vertical="center"/>
    </xf>
    <xf numFmtId="0" fontId="147" fillId="0" borderId="0" xfId="0" applyFont="1" applyBorder="1" applyAlignment="1">
      <alignment horizontal="center" vertical="center" wrapText="1"/>
    </xf>
    <xf numFmtId="0" fontId="5" fillId="0" borderId="0" xfId="0" applyFont="1" applyBorder="1" applyAlignment="1">
      <alignment horizontal="center" vertical="center" wrapText="1"/>
    </xf>
    <xf numFmtId="0" fontId="5" fillId="0" borderId="0" xfId="0" applyFont="1" applyBorder="1" applyAlignment="1">
      <alignment horizontal="justify" vertical="center" wrapText="1"/>
    </xf>
    <xf numFmtId="0" fontId="148" fillId="0" borderId="0" xfId="0" applyFont="1" applyBorder="1" applyAlignment="1">
      <alignment horizontal="center" vertical="center" wrapText="1"/>
    </xf>
    <xf numFmtId="0" fontId="151" fillId="0" borderId="0" xfId="0" applyFont="1" applyBorder="1" applyAlignment="1">
      <alignment horizontal="center" vertical="center" wrapText="1"/>
    </xf>
    <xf numFmtId="205" fontId="152" fillId="0" borderId="0" xfId="0" applyNumberFormat="1" applyFont="1" applyBorder="1" applyAlignment="1">
      <alignment horizontal="center" vertical="center"/>
    </xf>
    <xf numFmtId="194" fontId="152" fillId="0" borderId="0" xfId="0" applyNumberFormat="1" applyFont="1" applyBorder="1" applyAlignment="1">
      <alignment horizontal="center" vertical="center"/>
    </xf>
    <xf numFmtId="0" fontId="153" fillId="0" borderId="0" xfId="0" applyFont="1" applyAlignment="1">
      <alignment vertical="center"/>
    </xf>
    <xf numFmtId="0" fontId="149" fillId="0" borderId="0" xfId="0" applyFont="1" applyBorder="1" applyAlignment="1">
      <alignment horizontal="center" vertical="center" wrapText="1"/>
    </xf>
    <xf numFmtId="185" fontId="152" fillId="0" borderId="0" xfId="0" applyNumberFormat="1" applyFont="1" applyAlignment="1">
      <alignment horizontal="center" vertical="center"/>
    </xf>
    <xf numFmtId="188" fontId="152" fillId="0" borderId="0" xfId="0" applyNumberFormat="1" applyFont="1" applyBorder="1" applyAlignment="1">
      <alignment horizontal="center" vertical="center"/>
    </xf>
    <xf numFmtId="185" fontId="142" fillId="0" borderId="0" xfId="0" applyNumberFormat="1" applyFont="1" applyAlignment="1">
      <alignment vertical="center"/>
    </xf>
    <xf numFmtId="0" fontId="5" fillId="0" borderId="0" xfId="0" applyFont="1" applyAlignment="1" applyProtection="1">
      <alignment vertical="center"/>
    </xf>
    <xf numFmtId="0" fontId="2" fillId="0" borderId="0" xfId="0" applyFont="1" applyBorder="1" applyAlignment="1">
      <alignment horizontal="center" vertical="center" wrapText="1"/>
    </xf>
    <xf numFmtId="188" fontId="151" fillId="0" borderId="0" xfId="0" applyNumberFormat="1" applyFont="1" applyBorder="1" applyAlignment="1">
      <alignment horizontal="center" vertical="center"/>
    </xf>
    <xf numFmtId="0" fontId="153" fillId="0" borderId="0" xfId="0" applyFont="1" applyBorder="1" applyAlignment="1">
      <alignment horizontal="justify" vertical="center" wrapText="1"/>
    </xf>
    <xf numFmtId="187" fontId="151" fillId="0" borderId="0" xfId="0" applyNumberFormat="1" applyFont="1" applyBorder="1" applyAlignment="1">
      <alignment horizontal="center" vertical="center" wrapText="1"/>
    </xf>
    <xf numFmtId="206" fontId="152" fillId="0" borderId="0" xfId="0" applyNumberFormat="1" applyFont="1" applyBorder="1" applyAlignment="1">
      <alignment horizontal="center" vertical="center"/>
    </xf>
    <xf numFmtId="0" fontId="142" fillId="0" borderId="0" xfId="0" applyFont="1" applyBorder="1" applyAlignment="1">
      <alignment horizontal="center" vertical="center" wrapText="1"/>
    </xf>
    <xf numFmtId="0" fontId="150" fillId="3" borderId="0" xfId="0" applyFont="1" applyFill="1" applyBorder="1" applyAlignment="1">
      <alignment horizontal="center" vertical="center" wrapText="1"/>
    </xf>
    <xf numFmtId="0" fontId="153" fillId="0" borderId="0" xfId="0" applyFont="1" applyBorder="1" applyAlignment="1">
      <alignment horizontal="left" vertical="center"/>
    </xf>
    <xf numFmtId="0" fontId="150" fillId="0" borderId="0" xfId="0" applyFont="1" applyFill="1" applyBorder="1" applyAlignment="1">
      <alignment horizontal="center" vertical="center" wrapText="1"/>
    </xf>
    <xf numFmtId="0" fontId="150" fillId="0" borderId="0" xfId="0" applyFont="1" applyFill="1" applyAlignment="1">
      <alignment horizontal="center" vertical="center"/>
    </xf>
    <xf numFmtId="0" fontId="153" fillId="0" borderId="0" xfId="0" applyFont="1" applyBorder="1" applyAlignment="1">
      <alignment horizontal="justify" vertical="center"/>
    </xf>
    <xf numFmtId="0" fontId="147" fillId="0" borderId="0" xfId="0" applyFont="1" applyBorder="1" applyAlignment="1">
      <alignment horizontal="center" vertical="center"/>
    </xf>
    <xf numFmtId="0" fontId="149" fillId="0" borderId="0" xfId="0" applyFont="1" applyBorder="1" applyAlignment="1">
      <alignment horizontal="left" vertical="center" wrapText="1"/>
    </xf>
    <xf numFmtId="185" fontId="5" fillId="0" borderId="0" xfId="0" applyNumberFormat="1" applyFont="1" applyAlignment="1">
      <alignment horizontal="center" vertical="center"/>
    </xf>
    <xf numFmtId="194" fontId="151" fillId="0" borderId="0" xfId="0" applyNumberFormat="1" applyFont="1" applyBorder="1" applyAlignment="1">
      <alignment horizontal="center" vertical="center"/>
    </xf>
    <xf numFmtId="185" fontId="152" fillId="0" borderId="0" xfId="0" applyNumberFormat="1" applyFont="1" applyBorder="1" applyAlignment="1">
      <alignment horizontal="center" vertical="center" wrapText="1"/>
    </xf>
    <xf numFmtId="187" fontId="152" fillId="0" borderId="0" xfId="0" applyNumberFormat="1" applyFont="1" applyBorder="1" applyAlignment="1">
      <alignment horizontal="center" vertical="center" wrapText="1"/>
    </xf>
    <xf numFmtId="183" fontId="152" fillId="0" borderId="0" xfId="0" applyNumberFormat="1" applyFont="1" applyBorder="1" applyAlignment="1">
      <alignment horizontal="center" vertical="center" wrapText="1"/>
    </xf>
    <xf numFmtId="0" fontId="151" fillId="0" borderId="0" xfId="0" applyFont="1" applyBorder="1" applyAlignment="1">
      <alignment horizontal="center" vertical="center"/>
    </xf>
    <xf numFmtId="0" fontId="0" fillId="0" borderId="0" xfId="0" applyFill="1" applyAlignment="1">
      <alignment vertical="center" wrapText="1"/>
    </xf>
    <xf numFmtId="0" fontId="0" fillId="4" borderId="0" xfId="0" applyFill="1" applyAlignment="1">
      <alignment vertical="center" wrapText="1"/>
    </xf>
    <xf numFmtId="0" fontId="0" fillId="27" borderId="0" xfId="0" applyFill="1" applyAlignment="1">
      <alignment vertical="center" wrapText="1"/>
    </xf>
    <xf numFmtId="0" fontId="0" fillId="27" borderId="0" xfId="0" applyFill="1" applyAlignment="1">
      <alignment vertical="center"/>
    </xf>
    <xf numFmtId="0" fontId="0" fillId="34" borderId="0" xfId="0" applyFill="1" applyAlignment="1">
      <alignment vertical="center"/>
    </xf>
    <xf numFmtId="0" fontId="0" fillId="0" borderId="0" xfId="0" applyAlignment="1">
      <alignment vertical="center" wrapText="1"/>
    </xf>
    <xf numFmtId="0" fontId="0" fillId="42" borderId="0" xfId="0" applyFill="1" applyAlignment="1">
      <alignment vertical="center"/>
    </xf>
    <xf numFmtId="0" fontId="0" fillId="37" borderId="0" xfId="0" applyFill="1" applyAlignment="1">
      <alignment horizontal="center" vertical="center"/>
    </xf>
    <xf numFmtId="0" fontId="0" fillId="42" borderId="0" xfId="0" applyFill="1" applyAlignment="1">
      <alignment horizontal="left" vertical="center" wrapText="1"/>
    </xf>
    <xf numFmtId="0" fontId="0" fillId="42" borderId="0" xfId="0" applyFill="1" applyAlignment="1">
      <alignment horizontal="left" vertical="center"/>
    </xf>
    <xf numFmtId="0" fontId="0" fillId="0" borderId="0" xfId="0" applyAlignment="1">
      <alignment horizontal="left" vertical="center" wrapText="1"/>
    </xf>
    <xf numFmtId="0" fontId="0" fillId="42" borderId="0" xfId="0" applyFill="1" applyAlignment="1">
      <alignment horizontal="center" vertical="center" wrapText="1"/>
    </xf>
    <xf numFmtId="0" fontId="0" fillId="42" borderId="0" xfId="0" applyFill="1" applyAlignment="1">
      <alignment horizontal="center" vertical="center"/>
    </xf>
    <xf numFmtId="0" fontId="0" fillId="34" borderId="0" xfId="0" applyFill="1" applyAlignment="1">
      <alignment horizontal="center" vertical="center"/>
    </xf>
    <xf numFmtId="0" fontId="154" fillId="0" borderId="0" xfId="0" applyFont="1" applyAlignment="1">
      <alignment vertical="center"/>
    </xf>
    <xf numFmtId="0" fontId="115" fillId="0" borderId="0" xfId="0" applyFont="1" applyAlignment="1">
      <alignment vertical="center"/>
    </xf>
    <xf numFmtId="0" fontId="115" fillId="0" borderId="4" xfId="0" applyFont="1" applyBorder="1" applyAlignment="1">
      <alignment vertical="center"/>
    </xf>
    <xf numFmtId="0" fontId="115" fillId="0" borderId="3" xfId="0" applyFont="1" applyBorder="1" applyAlignment="1">
      <alignment vertical="center"/>
    </xf>
    <xf numFmtId="0" fontId="155" fillId="29" borderId="3" xfId="0" applyFont="1" applyFill="1" applyBorder="1" applyAlignment="1">
      <alignment vertical="center"/>
    </xf>
    <xf numFmtId="0" fontId="115" fillId="0" borderId="6" xfId="0" applyFont="1" applyBorder="1" applyAlignment="1">
      <alignment vertical="center"/>
    </xf>
    <xf numFmtId="0" fontId="115" fillId="0" borderId="0" xfId="0" applyFont="1" applyBorder="1" applyAlignment="1">
      <alignment vertical="center"/>
    </xf>
    <xf numFmtId="0" fontId="155" fillId="29" borderId="0" xfId="0" applyFont="1" applyFill="1" applyBorder="1" applyAlignment="1">
      <alignment vertical="center"/>
    </xf>
    <xf numFmtId="0" fontId="115" fillId="0" borderId="1" xfId="0" applyFont="1" applyBorder="1" applyAlignment="1">
      <alignment vertical="center"/>
    </xf>
    <xf numFmtId="0" fontId="115" fillId="0" borderId="2" xfId="0" applyFont="1" applyBorder="1" applyAlignment="1">
      <alignment vertical="center"/>
    </xf>
    <xf numFmtId="0" fontId="155" fillId="29" borderId="2" xfId="0" applyFont="1" applyFill="1" applyBorder="1" applyAlignment="1">
      <alignment vertical="center"/>
    </xf>
    <xf numFmtId="0" fontId="155" fillId="0" borderId="0" xfId="0" applyFont="1" applyFill="1" applyAlignment="1">
      <alignment vertical="center"/>
    </xf>
    <xf numFmtId="0" fontId="156" fillId="29" borderId="0" xfId="0" applyFont="1" applyFill="1" applyBorder="1" applyAlignment="1">
      <alignment vertical="center"/>
    </xf>
    <xf numFmtId="0" fontId="115" fillId="29" borderId="0" xfId="0" applyFont="1" applyFill="1" applyBorder="1" applyAlignment="1">
      <alignment vertical="center"/>
    </xf>
    <xf numFmtId="0" fontId="115" fillId="29" borderId="2" xfId="0" applyFont="1" applyFill="1" applyBorder="1" applyAlignment="1">
      <alignment vertical="center"/>
    </xf>
    <xf numFmtId="11" fontId="154" fillId="43" borderId="3" xfId="0" applyNumberFormat="1" applyFont="1" applyFill="1" applyBorder="1" applyAlignment="1">
      <alignment vertical="center"/>
    </xf>
    <xf numFmtId="11" fontId="154" fillId="43" borderId="0" xfId="0" applyNumberFormat="1" applyFont="1" applyFill="1" applyBorder="1" applyAlignment="1">
      <alignment vertical="center"/>
    </xf>
    <xf numFmtId="186" fontId="115" fillId="0" borderId="0" xfId="0" applyNumberFormat="1" applyFont="1" applyBorder="1" applyAlignment="1">
      <alignment vertical="center"/>
    </xf>
    <xf numFmtId="11" fontId="154" fillId="43" borderId="2" xfId="0" applyNumberFormat="1" applyFont="1" applyFill="1" applyBorder="1" applyAlignment="1">
      <alignment vertical="center"/>
    </xf>
    <xf numFmtId="186" fontId="115" fillId="0" borderId="2" xfId="0" applyNumberFormat="1" applyFont="1" applyBorder="1" applyAlignment="1">
      <alignment vertical="center"/>
    </xf>
    <xf numFmtId="0" fontId="115" fillId="0" borderId="9" xfId="0" applyFont="1" applyBorder="1" applyAlignment="1">
      <alignment vertical="center"/>
    </xf>
    <xf numFmtId="0" fontId="115" fillId="0" borderId="10" xfId="0" applyFont="1" applyBorder="1" applyAlignment="1">
      <alignment vertical="center"/>
    </xf>
    <xf numFmtId="0" fontId="154" fillId="43" borderId="10" xfId="0" applyFont="1" applyFill="1" applyBorder="1" applyAlignment="1">
      <alignment vertical="center"/>
    </xf>
    <xf numFmtId="0" fontId="115" fillId="0" borderId="3" xfId="0" applyFont="1" applyBorder="1" applyAlignment="1">
      <alignment vertical="center" wrapText="1"/>
    </xf>
    <xf numFmtId="0" fontId="115" fillId="0" borderId="3" xfId="0" applyFont="1" applyBorder="1" applyAlignment="1">
      <alignment horizontal="center" vertical="center"/>
    </xf>
    <xf numFmtId="0" fontId="9" fillId="0" borderId="3" xfId="0" applyFont="1" applyBorder="1" applyAlignment="1">
      <alignment vertical="center"/>
    </xf>
    <xf numFmtId="0" fontId="115" fillId="0" borderId="2" xfId="0" applyFont="1" applyBorder="1" applyAlignment="1">
      <alignment vertical="center" wrapText="1"/>
    </xf>
    <xf numFmtId="0" fontId="154" fillId="43" borderId="2" xfId="0" applyFont="1" applyFill="1" applyBorder="1" applyAlignment="1">
      <alignment vertical="center"/>
    </xf>
    <xf numFmtId="0" fontId="115" fillId="0" borderId="2" xfId="0" applyFont="1" applyBorder="1" applyAlignment="1">
      <alignment horizontal="center" vertical="center"/>
    </xf>
    <xf numFmtId="186" fontId="115" fillId="0" borderId="2" xfId="0" applyNumberFormat="1" applyFont="1" applyBorder="1" applyAlignment="1">
      <alignment horizontal="center" vertical="center"/>
    </xf>
    <xf numFmtId="49" fontId="9" fillId="0" borderId="2" xfId="0" applyNumberFormat="1" applyFont="1" applyBorder="1" applyAlignment="1">
      <alignment vertical="center"/>
    </xf>
    <xf numFmtId="182" fontId="154" fillId="43" borderId="10" xfId="0" applyNumberFormat="1" applyFont="1" applyFill="1" applyBorder="1" applyAlignment="1">
      <alignment vertical="center"/>
    </xf>
    <xf numFmtId="189" fontId="154" fillId="43" borderId="10" xfId="0" applyNumberFormat="1" applyFont="1" applyFill="1" applyBorder="1" applyAlignment="1">
      <alignment vertical="center"/>
    </xf>
    <xf numFmtId="11" fontId="157" fillId="0" borderId="3" xfId="0" applyNumberFormat="1" applyFont="1" applyFill="1" applyBorder="1" applyAlignment="1">
      <alignment vertical="center"/>
    </xf>
    <xf numFmtId="0" fontId="115" fillId="0" borderId="5" xfId="0" applyFont="1" applyBorder="1" applyAlignment="1">
      <alignment vertical="center"/>
    </xf>
    <xf numFmtId="0" fontId="115" fillId="0" borderId="7" xfId="0" applyFont="1" applyBorder="1" applyAlignment="1">
      <alignment vertical="center"/>
    </xf>
    <xf numFmtId="0" fontId="115" fillId="0" borderId="8" xfId="0" applyFont="1" applyBorder="1" applyAlignment="1">
      <alignment vertical="center"/>
    </xf>
    <xf numFmtId="0" fontId="156" fillId="29" borderId="0" xfId="0" applyFont="1" applyFill="1" applyBorder="1" applyAlignment="1">
      <alignment horizontal="center" vertical="center"/>
    </xf>
    <xf numFmtId="0" fontId="115" fillId="0" borderId="0" xfId="0" applyFont="1" applyFill="1" applyBorder="1" applyAlignment="1">
      <alignment vertical="center"/>
    </xf>
    <xf numFmtId="11" fontId="115" fillId="0" borderId="0" xfId="0" applyNumberFormat="1" applyFont="1" applyAlignment="1">
      <alignment vertical="center"/>
    </xf>
    <xf numFmtId="0" fontId="115" fillId="0" borderId="11" xfId="0" applyFont="1" applyBorder="1" applyAlignment="1">
      <alignment vertical="center"/>
    </xf>
    <xf numFmtId="11" fontId="115" fillId="0" borderId="3" xfId="0" applyNumberFormat="1" applyFont="1" applyBorder="1" applyAlignment="1">
      <alignment horizontal="center" vertical="center"/>
    </xf>
    <xf numFmtId="11" fontId="115" fillId="0" borderId="3" xfId="0" applyNumberFormat="1" applyFont="1" applyBorder="1" applyAlignment="1">
      <alignment vertical="center"/>
    </xf>
    <xf numFmtId="182" fontId="157" fillId="0" borderId="0" xfId="0" applyNumberFormat="1" applyFont="1" applyFill="1" applyBorder="1" applyAlignment="1">
      <alignment vertical="center"/>
    </xf>
    <xf numFmtId="189" fontId="157" fillId="0" borderId="0" xfId="0" applyNumberFormat="1" applyFont="1" applyFill="1" applyBorder="1" applyAlignment="1">
      <alignment vertical="center"/>
    </xf>
    <xf numFmtId="0" fontId="157" fillId="0" borderId="0" xfId="0" applyFont="1" applyFill="1" applyBorder="1" applyAlignment="1">
      <alignment vertical="center"/>
    </xf>
    <xf numFmtId="0" fontId="157" fillId="0" borderId="2" xfId="0" applyFont="1" applyFill="1" applyBorder="1" applyAlignment="1">
      <alignment vertical="center"/>
    </xf>
    <xf numFmtId="0" fontId="158" fillId="0" borderId="0" xfId="0" applyFont="1" applyFill="1" applyAlignment="1" applyProtection="1">
      <alignment horizontal="center" vertical="center"/>
      <protection locked="0"/>
    </xf>
    <xf numFmtId="0" fontId="159" fillId="0" borderId="0" xfId="0" applyFont="1" applyAlignment="1" applyProtection="1">
      <alignment horizontal="center" vertical="center"/>
      <protection locked="0"/>
    </xf>
    <xf numFmtId="0" fontId="0" fillId="0" borderId="0" xfId="0" applyAlignment="1" applyProtection="1">
      <alignment horizontal="center" vertical="center" wrapText="1"/>
      <protection locked="0"/>
    </xf>
    <xf numFmtId="0" fontId="23" fillId="0" borderId="0" xfId="0" applyFont="1" applyAlignment="1" applyProtection="1">
      <alignment horizontal="center" vertical="center" wrapText="1"/>
      <protection locked="0"/>
    </xf>
    <xf numFmtId="0" fontId="160" fillId="0" borderId="95" xfId="0" applyNumberFormat="1" applyFont="1" applyFill="1" applyBorder="1" applyAlignment="1" applyProtection="1">
      <alignment horizontal="center" vertical="center"/>
      <protection locked="0"/>
    </xf>
    <xf numFmtId="0" fontId="160" fillId="0" borderId="96" xfId="0" applyNumberFormat="1" applyFont="1" applyFill="1" applyBorder="1" applyAlignment="1" applyProtection="1">
      <alignment horizontal="center" vertical="center"/>
      <protection locked="0"/>
    </xf>
    <xf numFmtId="0" fontId="0" fillId="0" borderId="49" xfId="0" applyNumberFormat="1" applyFont="1" applyFill="1" applyBorder="1" applyAlignment="1" applyProtection="1">
      <alignment horizontal="center" vertical="center"/>
      <protection locked="0"/>
    </xf>
    <xf numFmtId="0" fontId="158" fillId="0" borderId="12" xfId="0" applyNumberFormat="1" applyFont="1" applyFill="1" applyBorder="1" applyAlignment="1" applyProtection="1">
      <alignment horizontal="center" vertical="center"/>
      <protection locked="0"/>
    </xf>
    <xf numFmtId="183" fontId="159" fillId="0" borderId="12" xfId="0" applyNumberFormat="1" applyFont="1" applyBorder="1" applyAlignment="1" applyProtection="1">
      <alignment horizontal="center" vertical="center"/>
      <protection locked="0"/>
    </xf>
    <xf numFmtId="0" fontId="0" fillId="0" borderId="12" xfId="0" applyNumberFormat="1" applyBorder="1" applyAlignment="1" applyProtection="1">
      <alignment horizontal="center" vertical="center" wrapText="1"/>
      <protection locked="0"/>
    </xf>
    <xf numFmtId="0" fontId="23" fillId="0" borderId="12" xfId="0" applyNumberFormat="1" applyFont="1" applyBorder="1" applyAlignment="1" applyProtection="1">
      <alignment horizontal="center" vertical="center" wrapText="1"/>
      <protection locked="0"/>
    </xf>
    <xf numFmtId="0" fontId="0" fillId="0" borderId="4" xfId="0" applyNumberFormat="1" applyFont="1" applyBorder="1" applyAlignment="1" applyProtection="1">
      <alignment horizontal="left" vertical="center" wrapText="1"/>
      <protection locked="0"/>
    </xf>
    <xf numFmtId="0" fontId="0" fillId="0" borderId="3" xfId="0" applyNumberFormat="1" applyBorder="1" applyAlignment="1" applyProtection="1">
      <alignment horizontal="left" vertical="center" wrapText="1"/>
      <protection locked="0"/>
    </xf>
    <xf numFmtId="0" fontId="158" fillId="0" borderId="49" xfId="0" applyNumberFormat="1" applyFont="1" applyFill="1" applyBorder="1" applyAlignment="1" applyProtection="1">
      <alignment horizontal="center" vertical="center"/>
      <protection locked="0"/>
    </xf>
    <xf numFmtId="0" fontId="159" fillId="0" borderId="12" xfId="0" applyNumberFormat="1" applyFont="1" applyBorder="1" applyAlignment="1" applyProtection="1">
      <alignment horizontal="center" vertical="center"/>
      <protection locked="0"/>
    </xf>
    <xf numFmtId="0" fontId="161" fillId="0" borderId="12" xfId="0" applyNumberFormat="1" applyFont="1" applyBorder="1" applyAlignment="1" applyProtection="1">
      <alignment horizontal="center" vertical="center" wrapText="1"/>
    </xf>
    <xf numFmtId="0" fontId="0" fillId="0" borderId="6" xfId="0" applyNumberFormat="1" applyBorder="1" applyAlignment="1" applyProtection="1">
      <alignment horizontal="left" vertical="center" wrapText="1"/>
      <protection locked="0"/>
    </xf>
    <xf numFmtId="0" fontId="0" fillId="0" borderId="0" xfId="0" applyNumberFormat="1" applyBorder="1" applyAlignment="1" applyProtection="1">
      <alignment horizontal="left" vertical="center" wrapText="1"/>
      <protection locked="0"/>
    </xf>
    <xf numFmtId="0" fontId="0" fillId="0" borderId="97" xfId="0" applyNumberFormat="1" applyFont="1" applyFill="1" applyBorder="1" applyAlignment="1" applyProtection="1">
      <alignment horizontal="center" vertical="center" wrapText="1"/>
      <protection locked="0"/>
    </xf>
    <xf numFmtId="0" fontId="158" fillId="0" borderId="11" xfId="0" applyNumberFormat="1" applyFont="1" applyFill="1" applyBorder="1" applyAlignment="1" applyProtection="1">
      <alignment horizontal="center" vertical="center" wrapText="1"/>
      <protection locked="0"/>
    </xf>
    <xf numFmtId="0" fontId="159" fillId="0" borderId="12" xfId="0" applyNumberFormat="1" applyFont="1" applyBorder="1" applyAlignment="1" applyProtection="1">
      <alignment horizontal="center" vertical="center" wrapText="1"/>
      <protection locked="0"/>
    </xf>
    <xf numFmtId="0" fontId="0" fillId="0" borderId="12" xfId="0" applyNumberFormat="1" applyFont="1" applyFill="1" applyBorder="1" applyAlignment="1" applyProtection="1">
      <alignment horizontal="center" vertical="center" wrapText="1"/>
      <protection locked="0"/>
    </xf>
    <xf numFmtId="0" fontId="0" fillId="0" borderId="1" xfId="0" applyNumberFormat="1" applyBorder="1" applyAlignment="1" applyProtection="1">
      <alignment horizontal="left" vertical="center" wrapText="1"/>
      <protection locked="0"/>
    </xf>
    <xf numFmtId="0" fontId="0" fillId="0" borderId="2" xfId="0" applyNumberFormat="1" applyBorder="1" applyAlignment="1" applyProtection="1">
      <alignment horizontal="left" vertical="center" wrapText="1"/>
      <protection locked="0"/>
    </xf>
    <xf numFmtId="0" fontId="158" fillId="0" borderId="49" xfId="0" applyNumberFormat="1" applyFont="1" applyFill="1" applyBorder="1" applyAlignment="1" applyProtection="1">
      <alignment horizontal="center" vertical="center" wrapText="1"/>
      <protection locked="0"/>
    </xf>
    <xf numFmtId="0" fontId="158" fillId="0" borderId="12" xfId="0" applyNumberFormat="1" applyFont="1" applyFill="1" applyBorder="1" applyAlignment="1" applyProtection="1">
      <alignment horizontal="center" vertical="center" wrapText="1"/>
      <protection locked="0"/>
    </xf>
    <xf numFmtId="0" fontId="20" fillId="0" borderId="4" xfId="0" applyNumberFormat="1" applyFont="1" applyBorder="1" applyAlignment="1" applyProtection="1">
      <alignment horizontal="left" vertical="center" wrapText="1"/>
      <protection locked="0"/>
    </xf>
    <xf numFmtId="0" fontId="20" fillId="0" borderId="3" xfId="0" applyNumberFormat="1" applyFont="1" applyBorder="1" applyAlignment="1" applyProtection="1">
      <alignment horizontal="left" vertical="center" wrapText="1"/>
      <protection locked="0"/>
    </xf>
    <xf numFmtId="0" fontId="159" fillId="0" borderId="12" xfId="0" applyNumberFormat="1" applyFont="1" applyFill="1" applyBorder="1" applyAlignment="1" applyProtection="1">
      <alignment horizontal="center" vertical="center" wrapText="1"/>
      <protection locked="0"/>
    </xf>
    <xf numFmtId="0" fontId="159" fillId="0" borderId="12" xfId="0" applyNumberFormat="1" applyFont="1" applyBorder="1" applyAlignment="1" applyProtection="1">
      <alignment horizontal="center" vertical="center"/>
    </xf>
    <xf numFmtId="0" fontId="20" fillId="0" borderId="1" xfId="0" applyNumberFormat="1" applyFont="1" applyBorder="1" applyAlignment="1" applyProtection="1">
      <alignment horizontal="left" vertical="center" wrapText="1"/>
      <protection locked="0"/>
    </xf>
    <xf numFmtId="0" fontId="20" fillId="0" borderId="2" xfId="0" applyNumberFormat="1" applyFont="1" applyBorder="1" applyAlignment="1" applyProtection="1">
      <alignment horizontal="left" vertical="center" wrapText="1"/>
      <protection locked="0"/>
    </xf>
    <xf numFmtId="0" fontId="162" fillId="0" borderId="12" xfId="0" applyNumberFormat="1" applyFont="1" applyBorder="1" applyAlignment="1" applyProtection="1">
      <alignment horizontal="center" vertical="center"/>
    </xf>
    <xf numFmtId="0" fontId="162" fillId="0" borderId="12" xfId="0" applyNumberFormat="1" applyFont="1" applyFill="1" applyBorder="1" applyAlignment="1" applyProtection="1">
      <alignment horizontal="center" vertical="center"/>
    </xf>
    <xf numFmtId="0" fontId="162" fillId="4" borderId="12" xfId="0" applyNumberFormat="1" applyFont="1" applyFill="1" applyBorder="1" applyAlignment="1" applyProtection="1">
      <alignment horizontal="center" vertical="center"/>
    </xf>
    <xf numFmtId="0" fontId="23" fillId="0" borderId="13" xfId="0" applyNumberFormat="1" applyFont="1" applyBorder="1" applyAlignment="1" applyProtection="1">
      <alignment horizontal="center" vertical="center" wrapText="1"/>
      <protection locked="0"/>
    </xf>
    <xf numFmtId="0" fontId="0" fillId="0" borderId="3" xfId="0" applyNumberFormat="1" applyFont="1" applyBorder="1" applyAlignment="1" applyProtection="1">
      <alignment horizontal="left" vertical="center" wrapText="1"/>
      <protection locked="0"/>
    </xf>
    <xf numFmtId="0" fontId="23" fillId="0" borderId="15" xfId="0" applyNumberFormat="1" applyFont="1" applyBorder="1" applyAlignment="1" applyProtection="1">
      <alignment horizontal="center" vertical="center" wrapText="1"/>
      <protection locked="0"/>
    </xf>
    <xf numFmtId="0" fontId="0" fillId="0" borderId="1" xfId="0" applyNumberFormat="1" applyFont="1" applyBorder="1" applyAlignment="1" applyProtection="1">
      <alignment horizontal="left" vertical="center" wrapText="1"/>
      <protection locked="0"/>
    </xf>
    <xf numFmtId="0" fontId="0" fillId="0" borderId="2" xfId="0" applyNumberFormat="1" applyFont="1" applyBorder="1" applyAlignment="1" applyProtection="1">
      <alignment horizontal="left" vertical="center" wrapText="1"/>
      <protection locked="0"/>
    </xf>
    <xf numFmtId="0" fontId="0" fillId="0" borderId="49" xfId="0" applyNumberFormat="1" applyFont="1" applyFill="1" applyBorder="1" applyAlignment="1" applyProtection="1">
      <alignment horizontal="center" vertical="center" wrapText="1"/>
      <protection locked="0"/>
    </xf>
    <xf numFmtId="0" fontId="158" fillId="29" borderId="98" xfId="0" applyNumberFormat="1" applyFont="1" applyFill="1" applyBorder="1" applyAlignment="1" applyProtection="1">
      <alignment horizontal="center" wrapText="1"/>
      <protection locked="0"/>
    </xf>
    <xf numFmtId="0" fontId="0" fillId="0" borderId="4" xfId="0" applyNumberFormat="1" applyFont="1" applyBorder="1" applyAlignment="1" applyProtection="1">
      <alignment horizontal="center" vertical="center" wrapText="1"/>
      <protection locked="0"/>
    </xf>
    <xf numFmtId="0" fontId="20" fillId="0" borderId="3" xfId="0" applyNumberFormat="1" applyFont="1" applyBorder="1" applyAlignment="1" applyProtection="1">
      <alignment horizontal="center" vertical="center" wrapText="1"/>
      <protection locked="0"/>
    </xf>
    <xf numFmtId="0" fontId="20" fillId="0" borderId="6" xfId="0" applyNumberFormat="1" applyFont="1" applyBorder="1" applyAlignment="1" applyProtection="1">
      <alignment horizontal="center" vertical="center" wrapText="1"/>
      <protection locked="0"/>
    </xf>
    <xf numFmtId="0" fontId="20" fillId="0" borderId="0" xfId="0" applyNumberFormat="1" applyFont="1" applyAlignment="1" applyProtection="1">
      <alignment horizontal="center" vertical="center" wrapText="1"/>
      <protection locked="0"/>
    </xf>
    <xf numFmtId="0" fontId="20" fillId="0" borderId="1" xfId="0" applyNumberFormat="1" applyFont="1" applyBorder="1" applyAlignment="1" applyProtection="1">
      <alignment horizontal="center" vertical="center" wrapText="1"/>
      <protection locked="0"/>
    </xf>
    <xf numFmtId="0" fontId="20" fillId="0" borderId="2" xfId="0" applyNumberFormat="1" applyFont="1" applyBorder="1" applyAlignment="1" applyProtection="1">
      <alignment horizontal="center" vertical="center" wrapText="1"/>
      <protection locked="0"/>
    </xf>
    <xf numFmtId="0" fontId="0" fillId="0" borderId="49" xfId="0" applyNumberFormat="1" applyFont="1" applyFill="1" applyBorder="1" applyAlignment="1" applyProtection="1">
      <alignment horizontal="left" vertical="center" wrapText="1"/>
      <protection locked="0"/>
    </xf>
    <xf numFmtId="0" fontId="158" fillId="0" borderId="12" xfId="0" applyNumberFormat="1" applyFont="1" applyFill="1" applyBorder="1" applyAlignment="1" applyProtection="1">
      <alignment horizontal="left" vertical="center" wrapText="1"/>
      <protection locked="0"/>
    </xf>
    <xf numFmtId="0" fontId="163" fillId="0" borderId="9" xfId="0" applyNumberFormat="1" applyFont="1" applyBorder="1" applyAlignment="1" applyProtection="1">
      <alignment horizontal="center" vertical="center" wrapText="1"/>
    </xf>
    <xf numFmtId="0" fontId="0" fillId="0" borderId="9" xfId="0" applyNumberFormat="1" applyBorder="1" applyAlignment="1" applyProtection="1">
      <alignment horizontal="center" vertical="center" wrapText="1"/>
      <protection locked="0"/>
    </xf>
    <xf numFmtId="0" fontId="0" fillId="0" borderId="9" xfId="0" applyNumberFormat="1" applyFont="1" applyBorder="1" applyAlignment="1" applyProtection="1">
      <alignment horizontal="center" vertical="center" wrapText="1"/>
      <protection locked="0"/>
    </xf>
    <xf numFmtId="0" fontId="0" fillId="0" borderId="51" xfId="0" applyNumberFormat="1" applyFont="1" applyFill="1" applyBorder="1" applyAlignment="1" applyProtection="1">
      <alignment horizontal="center" vertical="center" wrapText="1"/>
      <protection locked="0"/>
    </xf>
    <xf numFmtId="0" fontId="162" fillId="0" borderId="13" xfId="0" applyNumberFormat="1" applyFont="1" applyBorder="1" applyAlignment="1" applyProtection="1">
      <alignment horizontal="center" vertical="center"/>
    </xf>
    <xf numFmtId="0" fontId="0" fillId="0" borderId="13" xfId="0" applyNumberFormat="1" applyBorder="1" applyAlignment="1" applyProtection="1">
      <alignment horizontal="center" vertical="center" wrapText="1"/>
      <protection locked="0"/>
    </xf>
    <xf numFmtId="0" fontId="20" fillId="0" borderId="4" xfId="0" applyNumberFormat="1" applyFont="1" applyBorder="1" applyAlignment="1" applyProtection="1">
      <alignment horizontal="left" vertical="center" wrapText="1"/>
    </xf>
    <xf numFmtId="0" fontId="161" fillId="0" borderId="3" xfId="0" applyNumberFormat="1" applyFont="1" applyBorder="1" applyAlignment="1" applyProtection="1">
      <alignment horizontal="left" vertical="center" wrapText="1"/>
    </xf>
    <xf numFmtId="0" fontId="158" fillId="0" borderId="53" xfId="0" applyNumberFormat="1" applyFont="1" applyFill="1" applyBorder="1" applyAlignment="1" applyProtection="1">
      <alignment horizontal="center" vertical="center" wrapText="1"/>
      <protection locked="0"/>
    </xf>
    <xf numFmtId="0" fontId="161" fillId="0" borderId="6" xfId="0" applyNumberFormat="1" applyFont="1" applyBorder="1" applyAlignment="1" applyProtection="1">
      <alignment horizontal="left" vertical="center" wrapText="1"/>
    </xf>
    <xf numFmtId="0" fontId="161" fillId="0" borderId="0" xfId="0" applyNumberFormat="1" applyFont="1" applyBorder="1" applyAlignment="1" applyProtection="1">
      <alignment horizontal="left" vertical="center" wrapText="1"/>
    </xf>
    <xf numFmtId="0" fontId="158" fillId="0" borderId="55" xfId="0" applyNumberFormat="1" applyFont="1" applyFill="1" applyBorder="1" applyAlignment="1" applyProtection="1">
      <alignment horizontal="center" vertical="center" wrapText="1"/>
      <protection locked="0"/>
    </xf>
    <xf numFmtId="0" fontId="0" fillId="0" borderId="11" xfId="0" applyNumberFormat="1" applyFont="1" applyFill="1" applyBorder="1" applyAlignment="1" applyProtection="1">
      <alignment horizontal="center" vertical="center" wrapText="1"/>
      <protection locked="0"/>
    </xf>
    <xf numFmtId="0" fontId="161" fillId="0" borderId="1" xfId="0" applyNumberFormat="1" applyFont="1" applyBorder="1" applyAlignment="1" applyProtection="1">
      <alignment horizontal="left" vertical="center" wrapText="1"/>
    </xf>
    <xf numFmtId="0" fontId="161" fillId="0" borderId="2" xfId="0" applyNumberFormat="1" applyFont="1" applyBorder="1" applyAlignment="1" applyProtection="1">
      <alignment horizontal="left" vertical="center" wrapText="1"/>
    </xf>
    <xf numFmtId="0" fontId="7" fillId="5" borderId="99" xfId="10" applyNumberFormat="1" applyFill="1" applyBorder="1" applyAlignment="1" applyProtection="1">
      <alignment horizontal="center" vertical="center"/>
      <protection locked="0"/>
    </xf>
    <xf numFmtId="0" fontId="0" fillId="0" borderId="12" xfId="0" applyBorder="1" applyAlignment="1" applyProtection="1">
      <alignment horizontal="center" vertical="center" wrapText="1"/>
      <protection locked="0"/>
    </xf>
    <xf numFmtId="0" fontId="0" fillId="0" borderId="56" xfId="0" applyNumberFormat="1" applyFont="1" applyBorder="1" applyAlignment="1" applyProtection="1">
      <alignment horizontal="left" vertical="center" wrapText="1"/>
      <protection locked="0"/>
    </xf>
    <xf numFmtId="0" fontId="0" fillId="0" borderId="52" xfId="0" applyNumberFormat="1" applyFont="1" applyBorder="1" applyAlignment="1" applyProtection="1">
      <alignment horizontal="left" vertical="center" wrapText="1"/>
      <protection locked="0"/>
    </xf>
    <xf numFmtId="0" fontId="20" fillId="0" borderId="52" xfId="0" applyNumberFormat="1" applyFont="1" applyBorder="1" applyAlignment="1" applyProtection="1">
      <alignment horizontal="center" vertical="center" wrapText="1"/>
      <protection locked="0"/>
    </xf>
    <xf numFmtId="0" fontId="20" fillId="0" borderId="54" xfId="0" applyNumberFormat="1" applyFont="1" applyBorder="1" applyAlignment="1" applyProtection="1">
      <alignment horizontal="center" vertical="center" wrapText="1"/>
      <protection locked="0"/>
    </xf>
    <xf numFmtId="0" fontId="20" fillId="0" borderId="56" xfId="0" applyNumberFormat="1" applyFont="1" applyBorder="1" applyAlignment="1" applyProtection="1">
      <alignment horizontal="center" vertical="center" wrapText="1"/>
      <protection locked="0"/>
    </xf>
    <xf numFmtId="0" fontId="0" fillId="0" borderId="50" xfId="0" applyNumberFormat="1" applyBorder="1" applyAlignment="1" applyProtection="1">
      <alignment horizontal="center" vertical="center" wrapText="1"/>
      <protection locked="0"/>
    </xf>
    <xf numFmtId="0" fontId="164" fillId="0" borderId="9" xfId="0" applyNumberFormat="1" applyFont="1" applyBorder="1" applyAlignment="1" applyProtection="1">
      <alignment horizontal="center" vertical="center" wrapText="1"/>
      <protection locked="0"/>
    </xf>
    <xf numFmtId="0" fontId="161" fillId="0" borderId="52" xfId="0" applyNumberFormat="1" applyFont="1" applyBorder="1" applyAlignment="1" applyProtection="1">
      <alignment horizontal="left" vertical="center" wrapText="1"/>
    </xf>
    <xf numFmtId="0" fontId="161" fillId="0" borderId="54" xfId="0" applyNumberFormat="1" applyFont="1" applyBorder="1" applyAlignment="1" applyProtection="1">
      <alignment horizontal="left" vertical="center" wrapText="1"/>
    </xf>
    <xf numFmtId="0" fontId="161" fillId="0" borderId="56" xfId="0" applyNumberFormat="1" applyFont="1" applyBorder="1" applyAlignment="1" applyProtection="1">
      <alignment horizontal="left" vertical="center" wrapText="1"/>
    </xf>
    <xf numFmtId="0" fontId="165" fillId="0" borderId="0" xfId="0" applyFont="1" applyAlignment="1">
      <alignment horizontal="center" vertical="center"/>
    </xf>
    <xf numFmtId="0" fontId="165" fillId="0" borderId="0" xfId="0" applyFont="1" applyAlignment="1">
      <alignment horizontal="left" vertical="center"/>
    </xf>
    <xf numFmtId="0" fontId="166" fillId="0" borderId="0" xfId="0" applyFont="1" applyAlignment="1">
      <alignment horizontal="center" vertical="center"/>
    </xf>
    <xf numFmtId="0" fontId="167" fillId="0" borderId="35" xfId="0" applyFont="1" applyBorder="1" applyAlignment="1">
      <alignment horizontal="center" vertical="center"/>
    </xf>
    <xf numFmtId="0" fontId="168" fillId="0" borderId="27" xfId="0" applyFont="1" applyBorder="1" applyAlignment="1">
      <alignment horizontal="center" vertical="center"/>
    </xf>
    <xf numFmtId="0" fontId="168" fillId="0" borderId="28" xfId="0" applyFont="1" applyBorder="1" applyAlignment="1">
      <alignment horizontal="center" vertical="center"/>
    </xf>
    <xf numFmtId="0" fontId="168" fillId="0" borderId="37" xfId="0" applyFont="1" applyBorder="1" applyAlignment="1">
      <alignment horizontal="center" vertical="center"/>
    </xf>
    <xf numFmtId="0" fontId="165" fillId="0" borderId="29" xfId="0" applyFont="1" applyBorder="1" applyAlignment="1">
      <alignment horizontal="left" vertical="center"/>
    </xf>
    <xf numFmtId="0" fontId="165" fillId="0" borderId="12" xfId="0" applyFont="1" applyBorder="1" applyAlignment="1">
      <alignment horizontal="center" vertical="center"/>
    </xf>
    <xf numFmtId="0" fontId="165" fillId="0" borderId="38" xfId="0" applyFont="1" applyBorder="1" applyAlignment="1">
      <alignment horizontal="center" vertical="center"/>
    </xf>
    <xf numFmtId="0" fontId="165" fillId="0" borderId="35" xfId="0" applyFont="1" applyBorder="1" applyAlignment="1">
      <alignment vertical="center"/>
    </xf>
    <xf numFmtId="0" fontId="165" fillId="0" borderId="29" xfId="0" applyFont="1" applyBorder="1" applyAlignment="1">
      <alignment horizontal="center" vertical="center"/>
    </xf>
    <xf numFmtId="0" fontId="165" fillId="44" borderId="12" xfId="0" applyFont="1" applyFill="1" applyBorder="1" applyAlignment="1">
      <alignment horizontal="center" vertical="center"/>
    </xf>
    <xf numFmtId="0" fontId="169" fillId="0" borderId="38" xfId="0" applyFont="1" applyBorder="1" applyAlignment="1">
      <alignment horizontal="center" vertical="center"/>
    </xf>
    <xf numFmtId="0" fontId="169" fillId="0" borderId="38" xfId="0" applyFont="1" applyBorder="1" applyAlignment="1" applyProtection="1">
      <alignment horizontal="center" vertical="center"/>
      <protection hidden="1"/>
    </xf>
    <xf numFmtId="0" fontId="165" fillId="0" borderId="30" xfId="0" applyFont="1" applyBorder="1" applyAlignment="1">
      <alignment horizontal="left" vertical="center"/>
    </xf>
    <xf numFmtId="0" fontId="165" fillId="0" borderId="31" xfId="0" applyFont="1" applyBorder="1" applyAlignment="1">
      <alignment horizontal="center" vertical="center"/>
    </xf>
    <xf numFmtId="0" fontId="165" fillId="44" borderId="31" xfId="0" applyFont="1" applyFill="1" applyBorder="1" applyAlignment="1">
      <alignment horizontal="center" vertical="center"/>
    </xf>
    <xf numFmtId="0" fontId="169" fillId="0" borderId="39" xfId="0" applyFont="1" applyBorder="1" applyAlignment="1">
      <alignment horizontal="center" vertical="center"/>
    </xf>
    <xf numFmtId="0" fontId="165" fillId="45" borderId="12" xfId="0" applyFont="1" applyFill="1" applyBorder="1" applyAlignment="1" applyProtection="1">
      <alignment horizontal="center" vertical="center"/>
      <protection hidden="1"/>
    </xf>
    <xf numFmtId="0" fontId="165" fillId="45" borderId="31" xfId="0" applyFont="1" applyFill="1" applyBorder="1" applyAlignment="1" applyProtection="1">
      <alignment horizontal="center" vertical="center"/>
      <protection hidden="1"/>
    </xf>
    <xf numFmtId="0" fontId="165" fillId="0" borderId="39" xfId="0" applyFont="1" applyBorder="1" applyAlignment="1">
      <alignment horizontal="center" vertical="center"/>
    </xf>
    <xf numFmtId="0" fontId="168" fillId="0" borderId="22" xfId="0" applyFont="1" applyBorder="1" applyAlignment="1">
      <alignment horizontal="center" vertical="center"/>
    </xf>
    <xf numFmtId="0" fontId="168" fillId="0" borderId="23" xfId="0" applyFont="1" applyBorder="1" applyAlignment="1">
      <alignment horizontal="center" vertical="center"/>
    </xf>
    <xf numFmtId="0" fontId="168" fillId="0" borderId="34" xfId="0" applyFont="1" applyBorder="1" applyAlignment="1">
      <alignment horizontal="center" vertical="center"/>
    </xf>
    <xf numFmtId="0" fontId="165" fillId="44" borderId="9" xfId="0" applyFont="1" applyFill="1" applyBorder="1" applyAlignment="1">
      <alignment horizontal="center" vertical="center"/>
    </xf>
    <xf numFmtId="0" fontId="165" fillId="44" borderId="87" xfId="0" applyFont="1" applyFill="1" applyBorder="1" applyAlignment="1">
      <alignment horizontal="center" vertical="center"/>
    </xf>
    <xf numFmtId="0" fontId="165" fillId="44" borderId="38" xfId="0" applyFont="1" applyFill="1" applyBorder="1" applyAlignment="1">
      <alignment horizontal="center" vertical="center"/>
    </xf>
    <xf numFmtId="0" fontId="165" fillId="0" borderId="0" xfId="0" applyFont="1" applyAlignment="1" applyProtection="1">
      <alignment horizontal="center" vertical="center"/>
      <protection hidden="1"/>
    </xf>
    <xf numFmtId="0" fontId="165" fillId="44" borderId="39" xfId="0" applyFont="1" applyFill="1" applyBorder="1" applyAlignment="1">
      <alignment horizontal="center" vertical="center"/>
    </xf>
    <xf numFmtId="0" fontId="165" fillId="0" borderId="32" xfId="0" applyFont="1" applyBorder="1" applyAlignment="1">
      <alignment horizontal="center" vertical="center"/>
    </xf>
    <xf numFmtId="0" fontId="165" fillId="0" borderId="15" xfId="0" applyFont="1" applyBorder="1" applyAlignment="1">
      <alignment horizontal="center" vertical="center"/>
    </xf>
    <xf numFmtId="0" fontId="165" fillId="0" borderId="0" xfId="0" applyFont="1" applyBorder="1" applyAlignment="1">
      <alignment horizontal="center" vertical="center"/>
    </xf>
    <xf numFmtId="0" fontId="165" fillId="0" borderId="40" xfId="0" applyFont="1" applyBorder="1" applyAlignment="1">
      <alignment horizontal="center" vertical="center"/>
    </xf>
    <xf numFmtId="9" fontId="165" fillId="0" borderId="12" xfId="0" applyNumberFormat="1" applyFont="1" applyBorder="1" applyAlignment="1" applyProtection="1">
      <alignment horizontal="center" vertical="center"/>
      <protection hidden="1"/>
    </xf>
    <xf numFmtId="0" fontId="165" fillId="0" borderId="0" xfId="0" applyFont="1" applyBorder="1" applyAlignment="1" applyProtection="1">
      <alignment horizontal="center" vertical="center"/>
      <protection hidden="1"/>
    </xf>
    <xf numFmtId="0" fontId="165" fillId="0" borderId="38" xfId="0" applyFont="1" applyBorder="1" applyAlignment="1" applyProtection="1">
      <alignment horizontal="center" vertical="center"/>
      <protection hidden="1"/>
    </xf>
    <xf numFmtId="0" fontId="165" fillId="0" borderId="12" xfId="0" applyFont="1" applyBorder="1" applyAlignment="1" applyProtection="1">
      <alignment horizontal="center" vertical="center"/>
      <protection hidden="1"/>
    </xf>
    <xf numFmtId="0" fontId="165" fillId="0" borderId="31" xfId="0" applyFont="1" applyBorder="1" applyAlignment="1" applyProtection="1">
      <alignment horizontal="center" vertical="center"/>
      <protection hidden="1"/>
    </xf>
    <xf numFmtId="0" fontId="165" fillId="0" borderId="26" xfId="0" applyFont="1" applyBorder="1" applyAlignment="1" applyProtection="1">
      <alignment horizontal="center" vertical="center"/>
      <protection hidden="1"/>
    </xf>
    <xf numFmtId="0" fontId="165" fillId="0" borderId="39" xfId="0" applyFont="1" applyBorder="1" applyAlignment="1" applyProtection="1">
      <alignment horizontal="center" vertical="center"/>
      <protection hidden="1"/>
    </xf>
    <xf numFmtId="0" fontId="0" fillId="46" borderId="12" xfId="0" applyFont="1" applyFill="1" applyBorder="1" applyAlignment="1">
      <alignment vertical="center"/>
    </xf>
    <xf numFmtId="0" fontId="0" fillId="46" borderId="12" xfId="0" applyFill="1" applyBorder="1" applyAlignment="1">
      <alignment vertical="center"/>
    </xf>
    <xf numFmtId="0" fontId="0" fillId="3" borderId="12" xfId="0" applyFill="1" applyBorder="1" applyAlignment="1">
      <alignment vertical="center"/>
    </xf>
    <xf numFmtId="0" fontId="0" fillId="8" borderId="12" xfId="0" applyFill="1" applyBorder="1" applyAlignment="1">
      <alignment vertical="center"/>
    </xf>
    <xf numFmtId="0" fontId="3" fillId="3" borderId="12" xfId="0" applyFont="1" applyFill="1" applyBorder="1" applyAlignment="1">
      <alignment horizontal="center" vertical="center"/>
    </xf>
    <xf numFmtId="0" fontId="0" fillId="3" borderId="12" xfId="0" applyFont="1" applyFill="1" applyBorder="1" applyAlignment="1">
      <alignment vertical="center"/>
    </xf>
    <xf numFmtId="0" fontId="0" fillId="8" borderId="12" xfId="0" applyFont="1" applyFill="1" applyBorder="1" applyAlignment="1">
      <alignment vertical="center"/>
    </xf>
    <xf numFmtId="0" fontId="0" fillId="46" borderId="0" xfId="0" applyFill="1" applyAlignment="1">
      <alignment horizontal="center" vertical="center"/>
    </xf>
    <xf numFmtId="0" fontId="0" fillId="8" borderId="0" xfId="0" applyFill="1" applyAlignment="1">
      <alignment horizontal="center" vertical="center"/>
    </xf>
    <xf numFmtId="0" fontId="0" fillId="8" borderId="12" xfId="0" applyFont="1" applyFill="1" applyBorder="1" applyAlignment="1">
      <alignment horizontal="center" vertical="center" wrapText="1"/>
    </xf>
    <xf numFmtId="0" fontId="40" fillId="0" borderId="0" xfId="0" applyFont="1" applyAlignment="1">
      <alignment vertical="center"/>
    </xf>
    <xf numFmtId="0" fontId="170" fillId="0" borderId="0" xfId="19" applyProtection="1"/>
    <xf numFmtId="0" fontId="3" fillId="0" borderId="0" xfId="19" applyFont="1" applyAlignment="1" applyProtection="1">
      <alignment horizontal="center"/>
    </xf>
    <xf numFmtId="0" fontId="0" fillId="0" borderId="0" xfId="19" applyFont="1" applyProtection="1"/>
    <xf numFmtId="185" fontId="20" fillId="29" borderId="0" xfId="19" applyNumberFormat="1" applyFont="1" applyFill="1" applyAlignment="1" applyProtection="1">
      <alignment horizontal="right"/>
      <protection locked="0"/>
    </xf>
    <xf numFmtId="0" fontId="40" fillId="0" borderId="0" xfId="44" applyFont="1" applyProtection="1"/>
    <xf numFmtId="189" fontId="20" fillId="29" borderId="0" xfId="19" applyNumberFormat="1" applyFont="1" applyFill="1" applyAlignment="1" applyProtection="1">
      <alignment horizontal="right"/>
      <protection locked="0"/>
    </xf>
    <xf numFmtId="190" fontId="20" fillId="29" borderId="0" xfId="19" applyNumberFormat="1" applyFont="1" applyFill="1" applyAlignment="1" applyProtection="1">
      <alignment horizontal="right"/>
      <protection locked="0"/>
    </xf>
    <xf numFmtId="0" fontId="45" fillId="0" borderId="0" xfId="19" applyFont="1" applyProtection="1"/>
    <xf numFmtId="185" fontId="0" fillId="29" borderId="0" xfId="19" applyNumberFormat="1" applyFont="1" applyFill="1" applyAlignment="1" applyProtection="1">
      <alignment horizontal="right"/>
      <protection locked="0"/>
    </xf>
    <xf numFmtId="0" fontId="3" fillId="0" borderId="0" xfId="19" applyFont="1" applyProtection="1"/>
    <xf numFmtId="185" fontId="20" fillId="0" borderId="0" xfId="19" applyNumberFormat="1" applyFont="1" applyAlignment="1" applyProtection="1">
      <alignment horizontal="right"/>
    </xf>
    <xf numFmtId="0" fontId="0" fillId="0" borderId="100" xfId="19" applyFont="1" applyBorder="1" applyProtection="1"/>
    <xf numFmtId="185" fontId="20" fillId="0" borderId="101" xfId="19" applyNumberFormat="1" applyFont="1" applyBorder="1" applyAlignment="1" applyProtection="1">
      <alignment horizontal="right"/>
    </xf>
    <xf numFmtId="0" fontId="170" fillId="2" borderId="101" xfId="19" applyFill="1" applyBorder="1" applyProtection="1"/>
    <xf numFmtId="0" fontId="170" fillId="0" borderId="102" xfId="19" applyFont="1" applyBorder="1" applyProtection="1"/>
    <xf numFmtId="0" fontId="0" fillId="0" borderId="103" xfId="19" applyFont="1" applyBorder="1" applyProtection="1"/>
    <xf numFmtId="185" fontId="20" fillId="0" borderId="0" xfId="19" applyNumberFormat="1" applyFont="1" applyFill="1" applyBorder="1" applyAlignment="1" applyProtection="1">
      <alignment horizontal="right"/>
    </xf>
    <xf numFmtId="0" fontId="170" fillId="2" borderId="0" xfId="19" applyFill="1" applyBorder="1" applyProtection="1"/>
    <xf numFmtId="0" fontId="171" fillId="0" borderId="104" xfId="19" applyFont="1" applyBorder="1" applyProtection="1"/>
    <xf numFmtId="185" fontId="20" fillId="0" borderId="0" xfId="19" applyNumberFormat="1" applyFont="1" applyBorder="1" applyAlignment="1" applyProtection="1">
      <alignment horizontal="right"/>
    </xf>
    <xf numFmtId="0" fontId="170" fillId="0" borderId="104" xfId="19" applyBorder="1" applyProtection="1"/>
    <xf numFmtId="185" fontId="0" fillId="29" borderId="0" xfId="19" applyNumberFormat="1" applyFont="1" applyFill="1" applyBorder="1" applyAlignment="1" applyProtection="1">
      <alignment horizontal="right"/>
      <protection locked="0"/>
    </xf>
    <xf numFmtId="0" fontId="0" fillId="0" borderId="103" xfId="19" applyFont="1" applyFill="1" applyBorder="1" applyProtection="1"/>
    <xf numFmtId="198" fontId="0" fillId="29" borderId="0" xfId="0" applyNumberFormat="1" applyFill="1" applyBorder="1" applyAlignment="1">
      <alignment vertical="center"/>
    </xf>
    <xf numFmtId="0" fontId="45" fillId="0" borderId="104" xfId="19" applyFont="1" applyBorder="1" applyProtection="1"/>
    <xf numFmtId="195" fontId="0" fillId="29" borderId="0" xfId="0" applyNumberFormat="1" applyFill="1" applyBorder="1" applyAlignment="1">
      <alignment vertical="center"/>
    </xf>
    <xf numFmtId="0" fontId="0" fillId="0" borderId="104" xfId="0" applyBorder="1" applyAlignment="1">
      <alignment vertical="center"/>
    </xf>
    <xf numFmtId="181" fontId="0" fillId="0" borderId="0" xfId="0" applyNumberFormat="1" applyBorder="1" applyAlignment="1">
      <alignment vertical="center"/>
    </xf>
    <xf numFmtId="0" fontId="0" fillId="47" borderId="0" xfId="0" applyFill="1" applyBorder="1" applyAlignment="1">
      <alignment vertical="center"/>
    </xf>
    <xf numFmtId="176" fontId="0" fillId="29" borderId="0" xfId="0" applyNumberFormat="1" applyFill="1" applyBorder="1" applyAlignment="1">
      <alignment vertical="center"/>
    </xf>
    <xf numFmtId="181" fontId="0" fillId="0" borderId="0" xfId="0" applyNumberFormat="1" applyFill="1" applyBorder="1" applyAlignment="1">
      <alignment vertical="center"/>
    </xf>
    <xf numFmtId="0" fontId="0" fillId="0" borderId="105" xfId="19" applyFont="1" applyBorder="1" applyProtection="1"/>
    <xf numFmtId="181" fontId="0" fillId="0" borderId="106" xfId="0" applyNumberFormat="1" applyBorder="1" applyAlignment="1">
      <alignment vertical="center"/>
    </xf>
    <xf numFmtId="0" fontId="0" fillId="2" borderId="106" xfId="0" applyFill="1" applyBorder="1" applyAlignment="1">
      <alignment vertical="center"/>
    </xf>
    <xf numFmtId="0" fontId="45" fillId="0" borderId="107" xfId="19" applyFont="1" applyBorder="1" applyProtection="1"/>
    <xf numFmtId="0" fontId="170" fillId="0" borderId="0" xfId="19" applyFill="1" applyProtection="1"/>
    <xf numFmtId="0" fontId="170" fillId="0" borderId="101" xfId="19" applyFill="1" applyBorder="1" applyProtection="1"/>
    <xf numFmtId="0" fontId="170" fillId="0" borderId="102" xfId="19" applyBorder="1" applyProtection="1"/>
    <xf numFmtId="0" fontId="0" fillId="0" borderId="103" xfId="0" applyBorder="1" applyAlignment="1">
      <alignment vertical="center"/>
    </xf>
    <xf numFmtId="0" fontId="0" fillId="0" borderId="105" xfId="0" applyFill="1" applyBorder="1" applyAlignment="1">
      <alignment vertical="center"/>
    </xf>
    <xf numFmtId="0" fontId="0" fillId="0" borderId="106" xfId="0" applyBorder="1" applyAlignment="1">
      <alignment vertical="center"/>
    </xf>
    <xf numFmtId="0" fontId="0" fillId="0" borderId="107" xfId="0" applyBorder="1" applyAlignment="1">
      <alignment vertical="center"/>
    </xf>
    <xf numFmtId="0" fontId="124" fillId="0" borderId="100" xfId="0" applyFont="1" applyBorder="1" applyAlignment="1">
      <alignment vertical="center"/>
    </xf>
    <xf numFmtId="0" fontId="172" fillId="0" borderId="0" xfId="0" applyFont="1" applyAlignment="1">
      <alignment vertical="center"/>
    </xf>
    <xf numFmtId="0" fontId="45" fillId="0" borderId="0" xfId="19" applyFont="1" applyFill="1" applyBorder="1" applyProtection="1"/>
    <xf numFmtId="0" fontId="6" fillId="0" borderId="103" xfId="0" applyFont="1" applyBorder="1" applyAlignment="1">
      <alignment vertical="center"/>
    </xf>
    <xf numFmtId="0" fontId="170" fillId="0" borderId="0" xfId="19" applyFill="1" applyBorder="1" applyProtection="1"/>
    <xf numFmtId="0" fontId="20" fillId="0" borderId="0" xfId="19" applyFont="1" applyBorder="1" applyAlignment="1" applyProtection="1">
      <alignment horizontal="right"/>
    </xf>
    <xf numFmtId="0" fontId="20" fillId="4" borderId="0" xfId="19" applyFont="1" applyFill="1" applyBorder="1" applyAlignment="1" applyProtection="1">
      <alignment horizontal="right"/>
    </xf>
    <xf numFmtId="0" fontId="6" fillId="0" borderId="104" xfId="0" applyFont="1" applyBorder="1" applyAlignment="1">
      <alignment vertical="center"/>
    </xf>
    <xf numFmtId="0" fontId="6" fillId="0" borderId="105" xfId="0" applyFont="1" applyBorder="1" applyAlignment="1">
      <alignment vertical="center"/>
    </xf>
    <xf numFmtId="185" fontId="20" fillId="0" borderId="106" xfId="19" applyNumberFormat="1" applyFont="1" applyBorder="1" applyAlignment="1" applyProtection="1">
      <alignment horizontal="right"/>
    </xf>
    <xf numFmtId="0" fontId="170" fillId="0" borderId="106" xfId="19" applyFill="1" applyBorder="1" applyProtection="1"/>
    <xf numFmtId="0" fontId="6" fillId="0" borderId="107" xfId="0" applyFont="1" applyBorder="1" applyAlignment="1">
      <alignment vertical="center"/>
    </xf>
    <xf numFmtId="0" fontId="6" fillId="0" borderId="0" xfId="0" applyFont="1" applyAlignment="1">
      <alignment vertical="center"/>
    </xf>
    <xf numFmtId="0" fontId="20" fillId="0" borderId="0" xfId="19" applyFont="1" applyAlignment="1" applyProtection="1">
      <alignment horizontal="right"/>
    </xf>
    <xf numFmtId="0" fontId="0" fillId="0" borderId="0" xfId="19" applyFont="1" applyAlignment="1" applyProtection="1">
      <alignment horizontal="right"/>
    </xf>
    <xf numFmtId="0" fontId="0" fillId="0" borderId="0" xfId="19" applyFont="1" applyFill="1" applyAlignment="1" applyProtection="1">
      <alignment horizontal="right"/>
    </xf>
    <xf numFmtId="0" fontId="0" fillId="0" borderId="100" xfId="19" applyFont="1" applyFill="1" applyBorder="1" applyProtection="1"/>
    <xf numFmtId="195" fontId="3" fillId="48" borderId="108" xfId="0" applyNumberFormat="1" applyFont="1" applyFill="1" applyBorder="1" applyAlignment="1">
      <alignment horizontal="center" vertical="center"/>
    </xf>
    <xf numFmtId="0" fontId="3" fillId="48" borderId="109" xfId="0" applyFont="1" applyFill="1" applyBorder="1" applyAlignment="1">
      <alignment horizontal="center" vertical="center"/>
    </xf>
    <xf numFmtId="0" fontId="3" fillId="48" borderId="110" xfId="0" applyFont="1" applyFill="1" applyBorder="1" applyAlignment="1">
      <alignment horizontal="center" vertical="center"/>
    </xf>
    <xf numFmtId="0" fontId="20" fillId="0" borderId="0" xfId="19" applyFont="1" applyFill="1" applyBorder="1" applyAlignment="1" applyProtection="1">
      <alignment horizontal="right"/>
    </xf>
    <xf numFmtId="9" fontId="173" fillId="0" borderId="104" xfId="19" applyNumberFormat="1" applyFont="1" applyBorder="1" applyProtection="1"/>
    <xf numFmtId="9" fontId="174" fillId="0" borderId="104" xfId="19" applyNumberFormat="1" applyFont="1" applyBorder="1" applyProtection="1"/>
    <xf numFmtId="181" fontId="20" fillId="0" borderId="0" xfId="19" applyNumberFormat="1" applyFont="1" applyBorder="1" applyAlignment="1" applyProtection="1">
      <alignment horizontal="right"/>
    </xf>
    <xf numFmtId="181" fontId="20" fillId="0" borderId="106" xfId="19" applyNumberFormat="1" applyFont="1" applyBorder="1" applyAlignment="1" applyProtection="1">
      <alignment horizontal="right"/>
    </xf>
    <xf numFmtId="0" fontId="20" fillId="0" borderId="106" xfId="19" applyFont="1" applyFill="1" applyBorder="1" applyAlignment="1" applyProtection="1">
      <alignment horizontal="right"/>
    </xf>
    <xf numFmtId="9" fontId="173" fillId="0" borderId="107" xfId="19" applyNumberFormat="1" applyFont="1" applyBorder="1" applyProtection="1"/>
    <xf numFmtId="195" fontId="0" fillId="0" borderId="0" xfId="0" applyNumberFormat="1" applyAlignment="1">
      <alignment vertical="center"/>
    </xf>
    <xf numFmtId="0" fontId="0" fillId="0" borderId="111" xfId="0" applyBorder="1" applyAlignment="1">
      <alignment vertical="center"/>
    </xf>
    <xf numFmtId="0" fontId="0" fillId="0" borderId="112" xfId="0" applyBorder="1" applyAlignment="1">
      <alignment vertical="center"/>
    </xf>
    <xf numFmtId="195" fontId="0" fillId="0" borderId="12" xfId="0" applyNumberFormat="1" applyBorder="1" applyAlignment="1">
      <alignment vertical="center"/>
    </xf>
    <xf numFmtId="0" fontId="0" fillId="0" borderId="113" xfId="0" applyBorder="1" applyAlignment="1">
      <alignment vertical="center"/>
    </xf>
    <xf numFmtId="9" fontId="175" fillId="0" borderId="113" xfId="0" applyNumberFormat="1" applyFont="1" applyBorder="1" applyAlignment="1">
      <alignment vertical="center"/>
    </xf>
    <xf numFmtId="0" fontId="0" fillId="0" borderId="112" xfId="19" applyFont="1" applyBorder="1" applyProtection="1"/>
    <xf numFmtId="0" fontId="0" fillId="0" borderId="114" xfId="19" applyFont="1" applyBorder="1" applyProtection="1"/>
    <xf numFmtId="195" fontId="0" fillId="0" borderId="115" xfId="0" applyNumberFormat="1" applyBorder="1" applyAlignment="1">
      <alignment vertical="center"/>
    </xf>
    <xf numFmtId="0" fontId="0" fillId="0" borderId="115" xfId="0" applyBorder="1" applyAlignment="1">
      <alignment vertical="center"/>
    </xf>
    <xf numFmtId="9" fontId="175" fillId="0" borderId="116" xfId="0" applyNumberFormat="1" applyFont="1" applyBorder="1" applyAlignment="1">
      <alignment vertical="center"/>
    </xf>
    <xf numFmtId="0" fontId="0" fillId="0" borderId="0" xfId="19" applyFont="1" applyBorder="1" applyProtection="1"/>
    <xf numFmtId="195" fontId="0" fillId="0" borderId="0" xfId="0" applyNumberFormat="1" applyBorder="1" applyAlignment="1">
      <alignment vertical="center"/>
    </xf>
    <xf numFmtId="9" fontId="175" fillId="0" borderId="0" xfId="0" applyNumberFormat="1" applyFont="1" applyBorder="1" applyAlignment="1">
      <alignment vertical="center"/>
    </xf>
    <xf numFmtId="176" fontId="0" fillId="0" borderId="101" xfId="0" applyNumberFormat="1" applyBorder="1" applyAlignment="1">
      <alignment vertical="center"/>
    </xf>
    <xf numFmtId="0" fontId="0" fillId="0" borderId="101" xfId="0" applyBorder="1" applyAlignment="1">
      <alignment vertical="center"/>
    </xf>
    <xf numFmtId="0" fontId="0" fillId="0" borderId="102" xfId="0" applyBorder="1" applyAlignment="1">
      <alignment vertical="center"/>
    </xf>
    <xf numFmtId="207" fontId="0" fillId="29" borderId="0" xfId="0" applyNumberFormat="1" applyFill="1" applyBorder="1" applyAlignment="1">
      <alignment vertical="center"/>
    </xf>
    <xf numFmtId="203" fontId="0" fillId="0" borderId="0" xfId="0" applyNumberFormat="1" applyBorder="1" applyAlignment="1">
      <alignment vertical="center"/>
    </xf>
    <xf numFmtId="198" fontId="0" fillId="0" borderId="0" xfId="0" applyNumberFormat="1" applyFill="1" applyBorder="1" applyAlignment="1">
      <alignment vertical="center"/>
    </xf>
    <xf numFmtId="207" fontId="0" fillId="0" borderId="0" xfId="0" applyNumberFormat="1" applyBorder="1" applyAlignment="1">
      <alignment vertical="center"/>
    </xf>
    <xf numFmtId="0" fontId="0" fillId="0" borderId="105" xfId="19" applyFont="1" applyFill="1" applyBorder="1" applyProtection="1"/>
    <xf numFmtId="195" fontId="0" fillId="0" borderId="106" xfId="0" applyNumberFormat="1" applyBorder="1" applyAlignment="1">
      <alignment vertical="center"/>
    </xf>
    <xf numFmtId="0" fontId="20" fillId="0" borderId="0" xfId="19" applyFont="1" applyProtection="1"/>
    <xf numFmtId="0" fontId="176" fillId="0" borderId="0" xfId="0" applyFont="1"/>
    <xf numFmtId="0" fontId="93" fillId="0" borderId="0" xfId="0" applyFont="1"/>
    <xf numFmtId="0" fontId="6" fillId="0" borderId="0" xfId="0" applyFont="1"/>
    <xf numFmtId="0" fontId="176" fillId="0" borderId="0" xfId="0" applyFont="1" applyAlignment="1">
      <alignment horizontal="center"/>
    </xf>
    <xf numFmtId="0" fontId="93" fillId="0" borderId="0" xfId="0" applyFont="1" applyAlignment="1">
      <alignment horizontal="center"/>
    </xf>
    <xf numFmtId="0" fontId="177" fillId="0" borderId="0" xfId="0" applyFont="1" applyAlignment="1">
      <alignment horizontal="center"/>
    </xf>
    <xf numFmtId="0" fontId="6" fillId="0" borderId="0" xfId="0" applyFont="1" applyAlignment="1">
      <alignment horizontal="left"/>
    </xf>
    <xf numFmtId="0" fontId="6" fillId="0" borderId="0" xfId="0" applyFont="1" applyBorder="1" applyAlignment="1">
      <alignment horizontal="center"/>
    </xf>
    <xf numFmtId="0" fontId="6" fillId="0" borderId="2" xfId="0" applyFont="1" applyBorder="1" applyAlignment="1">
      <alignment horizontal="center"/>
    </xf>
    <xf numFmtId="0" fontId="6" fillId="0" borderId="0" xfId="0" applyFont="1" applyBorder="1"/>
    <xf numFmtId="0" fontId="6" fillId="0" borderId="12" xfId="0" applyFont="1" applyBorder="1" applyAlignment="1">
      <alignment horizontal="center"/>
    </xf>
    <xf numFmtId="0" fontId="17" fillId="0" borderId="12" xfId="0" applyFont="1" applyBorder="1" applyAlignment="1">
      <alignment horizontal="center"/>
    </xf>
    <xf numFmtId="0" fontId="172" fillId="0" borderId="12" xfId="0" applyFont="1" applyBorder="1" applyAlignment="1">
      <alignment horizontal="center"/>
    </xf>
    <xf numFmtId="0" fontId="6" fillId="0" borderId="12" xfId="0" applyFont="1" applyBorder="1"/>
    <xf numFmtId="0" fontId="172" fillId="0" borderId="0" xfId="0" applyFont="1" applyFill="1" applyBorder="1" applyAlignment="1">
      <alignment horizontal="center"/>
    </xf>
    <xf numFmtId="0" fontId="172" fillId="0" borderId="0" xfId="0" applyFont="1" applyAlignment="1">
      <alignment horizontal="right"/>
    </xf>
    <xf numFmtId="0" fontId="172" fillId="0" borderId="0" xfId="0" applyFont="1" applyAlignment="1">
      <alignment horizontal="left"/>
    </xf>
    <xf numFmtId="0" fontId="172" fillId="0" borderId="0" xfId="0" applyFont="1"/>
    <xf numFmtId="189" fontId="6" fillId="0" borderId="0" xfId="0" applyNumberFormat="1" applyFont="1" applyAlignment="1">
      <alignment horizontal="center"/>
    </xf>
    <xf numFmtId="189" fontId="172" fillId="0" borderId="0" xfId="0" applyNumberFormat="1" applyFont="1" applyAlignment="1">
      <alignment horizontal="center"/>
    </xf>
    <xf numFmtId="189" fontId="172" fillId="0" borderId="0" xfId="0" applyNumberFormat="1" applyFont="1"/>
    <xf numFmtId="189" fontId="6" fillId="0" borderId="0" xfId="0" applyNumberFormat="1" applyFont="1"/>
    <xf numFmtId="0" fontId="6" fillId="0" borderId="0" xfId="0" applyFont="1" applyAlignment="1">
      <alignment horizontal="center"/>
    </xf>
    <xf numFmtId="0" fontId="178" fillId="0" borderId="0" xfId="0" applyFont="1"/>
    <xf numFmtId="0" fontId="6" fillId="0" borderId="0" xfId="0" applyFont="1" applyAlignment="1">
      <alignment horizontal="right"/>
    </xf>
    <xf numFmtId="185" fontId="6" fillId="0" borderId="0" xfId="0" applyNumberFormat="1" applyFont="1"/>
    <xf numFmtId="185" fontId="172" fillId="0" borderId="0" xfId="0" applyNumberFormat="1" applyFont="1"/>
    <xf numFmtId="0" fontId="17" fillId="0" borderId="0" xfId="0" applyFont="1"/>
    <xf numFmtId="183" fontId="17" fillId="0" borderId="0" xfId="0" applyNumberFormat="1" applyFont="1"/>
    <xf numFmtId="0" fontId="17" fillId="0" borderId="0" xfId="0" applyFont="1" applyAlignment="1">
      <alignment horizontal="right"/>
    </xf>
    <xf numFmtId="183" fontId="6" fillId="0" borderId="0" xfId="0" applyNumberFormat="1" applyFont="1"/>
    <xf numFmtId="0" fontId="17" fillId="4" borderId="0" xfId="0" applyFont="1" applyFill="1"/>
    <xf numFmtId="9" fontId="178" fillId="0" borderId="0" xfId="0" applyNumberFormat="1" applyFont="1" applyAlignment="1">
      <alignment horizontal="right"/>
    </xf>
    <xf numFmtId="0" fontId="17" fillId="0" borderId="0" xfId="0" applyFont="1" applyAlignment="1">
      <alignment horizontal="center"/>
    </xf>
    <xf numFmtId="187" fontId="6" fillId="0" borderId="0" xfId="0" applyNumberFormat="1" applyFont="1"/>
    <xf numFmtId="187" fontId="172" fillId="0" borderId="0" xfId="0" applyNumberFormat="1" applyFont="1"/>
    <xf numFmtId="185" fontId="17" fillId="0" borderId="0" xfId="0" applyNumberFormat="1" applyFont="1" applyAlignment="1">
      <alignment horizontal="right"/>
    </xf>
    <xf numFmtId="0" fontId="93" fillId="34" borderId="0" xfId="0" applyFont="1" applyFill="1" applyAlignment="1">
      <alignment horizontal="center" vertical="center"/>
    </xf>
    <xf numFmtId="0" fontId="179" fillId="34" borderId="0" xfId="0" applyFont="1" applyFill="1" applyAlignment="1">
      <alignment horizontal="center" vertical="center"/>
    </xf>
    <xf numFmtId="0" fontId="180" fillId="0" borderId="0" xfId="0" applyFont="1" applyAlignment="1">
      <alignment horizontal="center" vertical="center"/>
    </xf>
    <xf numFmtId="0" fontId="180" fillId="19" borderId="12" xfId="0" applyFont="1" applyFill="1" applyBorder="1" applyAlignment="1">
      <alignment horizontal="center" vertical="center"/>
    </xf>
    <xf numFmtId="0" fontId="180" fillId="0" borderId="12" xfId="0" applyFont="1" applyBorder="1" applyAlignment="1">
      <alignment horizontal="center" vertical="center"/>
    </xf>
    <xf numFmtId="0" fontId="180" fillId="16" borderId="12" xfId="0" applyFont="1" applyFill="1" applyBorder="1" applyAlignment="1">
      <alignment horizontal="center" vertical="center"/>
    </xf>
    <xf numFmtId="0" fontId="180" fillId="0" borderId="12" xfId="0" applyFont="1" applyFill="1" applyBorder="1" applyAlignment="1">
      <alignment horizontal="center" vertical="center"/>
    </xf>
    <xf numFmtId="0" fontId="5" fillId="16" borderId="12" xfId="0" applyFont="1" applyFill="1" applyBorder="1" applyAlignment="1">
      <alignment horizontal="center" vertical="center"/>
    </xf>
    <xf numFmtId="183" fontId="180" fillId="23" borderId="12" xfId="0" applyNumberFormat="1" applyFont="1" applyFill="1" applyBorder="1" applyAlignment="1">
      <alignment horizontal="center" vertical="center"/>
    </xf>
    <xf numFmtId="182" fontId="180" fillId="23" borderId="12" xfId="0" applyNumberFormat="1" applyFont="1" applyFill="1" applyBorder="1" applyAlignment="1">
      <alignment horizontal="center" vertical="center"/>
    </xf>
    <xf numFmtId="0" fontId="181" fillId="16" borderId="12" xfId="0" applyFont="1" applyFill="1" applyBorder="1" applyAlignment="1">
      <alignment horizontal="center" vertical="center"/>
    </xf>
    <xf numFmtId="0" fontId="180" fillId="23" borderId="12" xfId="0" applyFont="1" applyFill="1" applyBorder="1" applyAlignment="1">
      <alignment horizontal="center" vertical="center"/>
    </xf>
    <xf numFmtId="0" fontId="107" fillId="0" borderId="0" xfId="0" applyFont="1" applyAlignment="1">
      <alignment horizontal="center" vertical="center"/>
    </xf>
    <xf numFmtId="187" fontId="180" fillId="23" borderId="12" xfId="0" applyNumberFormat="1" applyFont="1" applyFill="1" applyBorder="1" applyAlignment="1">
      <alignment horizontal="center" vertical="center"/>
    </xf>
    <xf numFmtId="182" fontId="182" fillId="23" borderId="12" xfId="0" applyNumberFormat="1" applyFont="1" applyFill="1" applyBorder="1" applyAlignment="1">
      <alignment horizontal="center" vertical="center"/>
    </xf>
    <xf numFmtId="0" fontId="182" fillId="0" borderId="12" xfId="0" applyFont="1" applyBorder="1" applyAlignment="1">
      <alignment horizontal="center" vertical="center"/>
    </xf>
    <xf numFmtId="0" fontId="0" fillId="19" borderId="12" xfId="0" applyFill="1" applyBorder="1" applyAlignment="1">
      <alignment horizontal="right" vertical="center"/>
    </xf>
    <xf numFmtId="0" fontId="0" fillId="19" borderId="12" xfId="0" applyFill="1" applyBorder="1" applyAlignment="1">
      <alignment horizontal="center" vertical="center"/>
    </xf>
    <xf numFmtId="185" fontId="0" fillId="19" borderId="12" xfId="0" applyNumberFormat="1" applyFill="1" applyBorder="1" applyAlignment="1">
      <alignment horizontal="center" vertical="center"/>
    </xf>
    <xf numFmtId="183" fontId="180" fillId="0" borderId="12" xfId="0" applyNumberFormat="1" applyFont="1" applyBorder="1" applyAlignment="1">
      <alignment horizontal="center" vertical="center"/>
    </xf>
    <xf numFmtId="185" fontId="180" fillId="0" borderId="12" xfId="0" applyNumberFormat="1" applyFont="1" applyBorder="1" applyAlignment="1">
      <alignment horizontal="center" vertical="center"/>
    </xf>
    <xf numFmtId="183" fontId="180" fillId="4" borderId="12" xfId="0" applyNumberFormat="1" applyFont="1" applyFill="1" applyBorder="1" applyAlignment="1">
      <alignment horizontal="center" vertical="center"/>
    </xf>
    <xf numFmtId="0" fontId="180" fillId="4" borderId="12" xfId="0" applyFont="1" applyFill="1" applyBorder="1" applyAlignment="1">
      <alignment horizontal="center" vertical="center"/>
    </xf>
    <xf numFmtId="185" fontId="180" fillId="4" borderId="12" xfId="0" applyNumberFormat="1" applyFont="1" applyFill="1" applyBorder="1" applyAlignment="1">
      <alignment horizontal="center" vertical="center"/>
    </xf>
    <xf numFmtId="58" fontId="0" fillId="0" borderId="0" xfId="0" applyNumberFormat="1" applyAlignment="1">
      <alignment horizontal="center" vertical="center"/>
    </xf>
    <xf numFmtId="198" fontId="0" fillId="0" borderId="0" xfId="0" applyNumberFormat="1" applyAlignment="1">
      <alignment horizontal="center" vertical="center"/>
    </xf>
    <xf numFmtId="0" fontId="180" fillId="19" borderId="0" xfId="0" applyFont="1" applyFill="1" applyAlignment="1">
      <alignment horizontal="center" vertical="center"/>
    </xf>
    <xf numFmtId="0" fontId="180" fillId="23" borderId="0" xfId="0" applyFont="1" applyFill="1" applyAlignment="1">
      <alignment horizontal="center" vertical="center"/>
    </xf>
    <xf numFmtId="0" fontId="180" fillId="16" borderId="0" xfId="0" applyFont="1" applyFill="1" applyAlignment="1">
      <alignment horizontal="center" vertical="center"/>
    </xf>
    <xf numFmtId="0" fontId="0" fillId="19" borderId="12" xfId="0" applyFill="1" applyBorder="1" applyAlignment="1">
      <alignment horizontal="center" vertical="center" wrapText="1"/>
    </xf>
    <xf numFmtId="0" fontId="0" fillId="19" borderId="12" xfId="0" applyFill="1" applyBorder="1" applyAlignment="1">
      <alignment vertical="center"/>
    </xf>
    <xf numFmtId="198" fontId="5" fillId="0" borderId="0" xfId="0" applyNumberFormat="1" applyFont="1" applyAlignment="1">
      <alignment horizontal="center" vertical="center"/>
    </xf>
    <xf numFmtId="0" fontId="45" fillId="0" borderId="0" xfId="0" applyFont="1"/>
    <xf numFmtId="0" fontId="45" fillId="0" borderId="0" xfId="0" applyFont="1" applyAlignment="1">
      <alignment horizontal="left"/>
    </xf>
    <xf numFmtId="0" fontId="125" fillId="0" borderId="12" xfId="0" applyFont="1" applyBorder="1" applyAlignment="1">
      <alignment horizontal="center" vertical="center" wrapText="1"/>
    </xf>
    <xf numFmtId="0" fontId="125" fillId="0" borderId="9" xfId="0" applyFont="1" applyBorder="1" applyAlignment="1">
      <alignment horizontal="center" vertical="center" wrapText="1"/>
    </xf>
    <xf numFmtId="0" fontId="128" fillId="0" borderId="10" xfId="0" applyFont="1" applyBorder="1" applyAlignment="1">
      <alignment horizontal="center" vertical="center" wrapText="1"/>
    </xf>
    <xf numFmtId="0" fontId="128" fillId="0" borderId="12" xfId="0" applyFont="1" applyBorder="1" applyAlignment="1">
      <alignment horizontal="center" vertical="center" wrapText="1"/>
    </xf>
    <xf numFmtId="0" fontId="128" fillId="0" borderId="12" xfId="0" applyFont="1" applyBorder="1" applyAlignment="1">
      <alignment horizontal="left" vertical="center" wrapText="1"/>
    </xf>
    <xf numFmtId="0" fontId="125" fillId="0" borderId="12" xfId="0" applyFont="1" applyBorder="1" applyAlignment="1">
      <alignment vertical="center" wrapText="1"/>
    </xf>
    <xf numFmtId="0" fontId="44" fillId="0" borderId="12" xfId="10" applyFont="1" applyBorder="1" applyAlignment="1" applyProtection="1">
      <alignment horizontal="left" vertical="center" wrapText="1"/>
    </xf>
    <xf numFmtId="0" fontId="128" fillId="30" borderId="12" xfId="0" applyFont="1" applyFill="1" applyBorder="1" applyAlignment="1">
      <alignment horizontal="center" vertical="center" wrapText="1"/>
    </xf>
    <xf numFmtId="0" fontId="125" fillId="0" borderId="12" xfId="0" applyFont="1" applyBorder="1" applyAlignment="1">
      <alignment horizontal="left" vertical="center" wrapText="1"/>
    </xf>
    <xf numFmtId="0" fontId="128" fillId="2" borderId="12" xfId="0" applyFont="1" applyFill="1" applyBorder="1" applyAlignment="1">
      <alignment horizontal="center" vertical="center" wrapText="1"/>
    </xf>
    <xf numFmtId="183" fontId="128" fillId="0" borderId="12" xfId="0" applyNumberFormat="1" applyFont="1" applyBorder="1" applyAlignment="1">
      <alignment horizontal="center" vertical="center" wrapText="1"/>
    </xf>
    <xf numFmtId="0" fontId="183" fillId="0" borderId="12" xfId="0" applyFont="1" applyBorder="1" applyAlignment="1">
      <alignment vertical="center" wrapText="1"/>
    </xf>
    <xf numFmtId="0" fontId="125" fillId="0" borderId="12" xfId="0" applyFont="1" applyBorder="1" applyAlignment="1">
      <alignment vertical="center"/>
    </xf>
    <xf numFmtId="0" fontId="125" fillId="0" borderId="12" xfId="0" applyFont="1" applyBorder="1" applyAlignment="1">
      <alignment horizontal="center" vertical="center"/>
    </xf>
    <xf numFmtId="0" fontId="128" fillId="0" borderId="12" xfId="0" applyFont="1" applyBorder="1" applyAlignment="1">
      <alignment horizontal="center" vertical="center"/>
    </xf>
    <xf numFmtId="0" fontId="128" fillId="0" borderId="12" xfId="0" applyFont="1" applyBorder="1" applyAlignment="1">
      <alignment horizontal="left" vertical="center"/>
    </xf>
    <xf numFmtId="0" fontId="128" fillId="30" borderId="12" xfId="0" applyFont="1" applyFill="1" applyBorder="1" applyAlignment="1">
      <alignment horizontal="center" vertical="center"/>
    </xf>
    <xf numFmtId="0" fontId="125" fillId="0" borderId="12" xfId="0" applyFont="1" applyBorder="1" applyAlignment="1">
      <alignment horizontal="left" vertical="center"/>
    </xf>
    <xf numFmtId="0" fontId="128" fillId="2" borderId="12" xfId="0" applyNumberFormat="1" applyFont="1" applyFill="1" applyBorder="1" applyAlignment="1">
      <alignment horizontal="center" vertical="center"/>
    </xf>
    <xf numFmtId="0" fontId="128" fillId="0" borderId="0" xfId="0" applyFont="1" applyAlignment="1">
      <alignment horizontal="center" vertical="center"/>
    </xf>
    <xf numFmtId="0" fontId="125" fillId="0" borderId="9" xfId="0" applyFont="1" applyBorder="1" applyAlignment="1">
      <alignment vertical="center" wrapText="1"/>
    </xf>
    <xf numFmtId="0" fontId="20" fillId="0" borderId="10" xfId="0" applyFont="1" applyBorder="1" applyAlignment="1">
      <alignment vertical="center" wrapText="1"/>
    </xf>
    <xf numFmtId="0" fontId="125" fillId="0" borderId="12" xfId="0" applyFont="1" applyBorder="1" applyAlignment="1"/>
    <xf numFmtId="0" fontId="128" fillId="0" borderId="12" xfId="0" applyFont="1" applyBorder="1" applyAlignment="1">
      <alignment vertical="center"/>
    </xf>
    <xf numFmtId="0" fontId="128" fillId="0" borderId="11" xfId="0" applyFont="1" applyBorder="1" applyAlignment="1">
      <alignment horizontal="center" vertical="center" wrapText="1"/>
    </xf>
    <xf numFmtId="0" fontId="7" fillId="5" borderId="12" xfId="10" applyFill="1" applyBorder="1" applyAlignment="1" applyProtection="1">
      <alignment horizontal="center" vertical="center" wrapText="1"/>
    </xf>
    <xf numFmtId="0" fontId="128" fillId="0" borderId="12" xfId="0" applyFont="1" applyBorder="1" applyAlignment="1">
      <alignment vertical="center" wrapText="1"/>
    </xf>
    <xf numFmtId="0" fontId="128" fillId="2" borderId="12" xfId="0" applyFont="1" applyFill="1" applyBorder="1" applyAlignment="1">
      <alignment horizontal="center" vertical="center"/>
    </xf>
    <xf numFmtId="0" fontId="20" fillId="0" borderId="11" xfId="0" applyFont="1" applyBorder="1" applyAlignment="1">
      <alignment vertical="center" wrapText="1"/>
    </xf>
    <xf numFmtId="0" fontId="128" fillId="0" borderId="0" xfId="0" applyFont="1" applyBorder="1" applyAlignment="1">
      <alignment vertical="center" wrapText="1"/>
    </xf>
    <xf numFmtId="0" fontId="184" fillId="0" borderId="12" xfId="0" applyFont="1" applyFill="1" applyBorder="1" applyAlignment="1">
      <alignment horizontal="center" vertical="center"/>
    </xf>
    <xf numFmtId="0" fontId="128" fillId="30" borderId="12" xfId="0" applyNumberFormat="1" applyFont="1" applyFill="1" applyBorder="1" applyAlignment="1">
      <alignment horizontal="center" vertical="center"/>
    </xf>
    <xf numFmtId="183" fontId="128" fillId="0" borderId="12" xfId="0" applyNumberFormat="1" applyFont="1" applyBorder="1" applyAlignment="1">
      <alignment horizontal="center" vertical="center"/>
    </xf>
    <xf numFmtId="0" fontId="128" fillId="0" borderId="12" xfId="0" applyFont="1" applyFill="1" applyBorder="1" applyAlignment="1">
      <alignment horizontal="center" vertical="center"/>
    </xf>
    <xf numFmtId="0" fontId="0" fillId="0" borderId="0" xfId="0" applyFont="1" applyAlignment="1">
      <alignment horizontal="left"/>
    </xf>
    <xf numFmtId="0" fontId="7" fillId="5" borderId="117" xfId="10" applyFill="1" applyBorder="1" applyAlignment="1" applyProtection="1">
      <alignment horizontal="center" vertical="center" wrapText="1"/>
    </xf>
    <xf numFmtId="0" fontId="185" fillId="0" borderId="117" xfId="0" applyFont="1" applyBorder="1" applyAlignment="1">
      <alignment horizontal="center" vertical="center" wrapText="1"/>
    </xf>
    <xf numFmtId="0" fontId="186" fillId="0" borderId="117" xfId="0" applyFont="1" applyBorder="1" applyAlignment="1">
      <alignment horizontal="center" vertical="center" wrapText="1"/>
    </xf>
    <xf numFmtId="0" fontId="187" fillId="0" borderId="0" xfId="10" applyFont="1" applyAlignment="1" applyProtection="1">
      <alignment horizontal="center" vertical="center"/>
    </xf>
    <xf numFmtId="0" fontId="188" fillId="0" borderId="118" xfId="0" applyFont="1" applyBorder="1" applyAlignment="1">
      <alignment horizontal="center" vertical="center" wrapText="1"/>
    </xf>
    <xf numFmtId="0" fontId="186" fillId="0" borderId="118" xfId="0" applyFont="1" applyBorder="1" applyAlignment="1">
      <alignment horizontal="center" vertical="center" wrapText="1"/>
    </xf>
    <xf numFmtId="0" fontId="189" fillId="0" borderId="118" xfId="0" applyFont="1" applyBorder="1" applyAlignment="1">
      <alignment horizontal="center" vertical="center" wrapText="1"/>
    </xf>
    <xf numFmtId="0" fontId="0" fillId="0" borderId="118" xfId="0" applyBorder="1" applyAlignment="1">
      <alignment horizontal="center" vertical="center" wrapText="1"/>
    </xf>
    <xf numFmtId="0" fontId="188" fillId="0" borderId="118" xfId="0" applyFont="1" applyBorder="1" applyAlignment="1">
      <alignment horizontal="left" vertical="center" wrapText="1"/>
    </xf>
    <xf numFmtId="0" fontId="189" fillId="0" borderId="118" xfId="0" applyFont="1" applyBorder="1" applyAlignment="1">
      <alignment horizontal="left" vertical="center" wrapText="1"/>
    </xf>
    <xf numFmtId="0" fontId="0" fillId="49" borderId="118" xfId="0" applyFill="1" applyBorder="1" applyAlignment="1">
      <alignment horizontal="center" vertical="center" wrapText="1"/>
    </xf>
    <xf numFmtId="0" fontId="188" fillId="49" borderId="118" xfId="0" applyFont="1" applyFill="1" applyBorder="1" applyAlignment="1">
      <alignment horizontal="left" vertical="center" wrapText="1"/>
    </xf>
    <xf numFmtId="0" fontId="185" fillId="49" borderId="118" xfId="0" applyFont="1" applyFill="1" applyBorder="1" applyAlignment="1">
      <alignment horizontal="left" vertical="center" wrapText="1"/>
    </xf>
    <xf numFmtId="0" fontId="189" fillId="49" borderId="118" xfId="0" applyFont="1" applyFill="1" applyBorder="1" applyAlignment="1">
      <alignment horizontal="left" vertical="center" wrapText="1"/>
    </xf>
    <xf numFmtId="0" fontId="186" fillId="49" borderId="118" xfId="0" applyFont="1" applyFill="1" applyBorder="1" applyAlignment="1">
      <alignment horizontal="left" vertical="center" wrapText="1"/>
    </xf>
    <xf numFmtId="0" fontId="186" fillId="0" borderId="118" xfId="0" applyFont="1" applyBorder="1" applyAlignment="1">
      <alignment horizontal="left" vertical="center" wrapText="1"/>
    </xf>
    <xf numFmtId="0" fontId="0" fillId="39" borderId="118" xfId="0" applyFill="1" applyBorder="1" applyAlignment="1">
      <alignment horizontal="center" vertical="center" wrapText="1"/>
    </xf>
    <xf numFmtId="0" fontId="188" fillId="39" borderId="118" xfId="0" applyFont="1" applyFill="1" applyBorder="1" applyAlignment="1">
      <alignment horizontal="left" vertical="center" wrapText="1"/>
    </xf>
    <xf numFmtId="0" fontId="189" fillId="39" borderId="118" xfId="0" applyFont="1" applyFill="1" applyBorder="1" applyAlignment="1">
      <alignment horizontal="left" vertical="center" wrapText="1"/>
    </xf>
    <xf numFmtId="0" fontId="104" fillId="0" borderId="0" xfId="0" applyFont="1" applyBorder="1" applyAlignment="1">
      <alignment horizontal="center" vertical="center"/>
    </xf>
    <xf numFmtId="0" fontId="0" fillId="0" borderId="7" xfId="0" applyBorder="1" applyAlignment="1">
      <alignment horizontal="center" vertical="center" wrapText="1"/>
    </xf>
    <xf numFmtId="185" fontId="0" fillId="47" borderId="12" xfId="0" applyNumberFormat="1" applyFill="1" applyBorder="1" applyProtection="1"/>
    <xf numFmtId="0" fontId="0" fillId="6" borderId="12" xfId="0" applyFill="1" applyBorder="1" applyAlignment="1">
      <alignment horizontal="center" vertical="center"/>
    </xf>
    <xf numFmtId="0" fontId="0" fillId="0" borderId="12" xfId="0" applyBorder="1" applyAlignment="1"/>
    <xf numFmtId="183" fontId="0" fillId="47" borderId="12" xfId="0" applyNumberFormat="1" applyFill="1" applyBorder="1" applyProtection="1"/>
    <xf numFmtId="182" fontId="5" fillId="47" borderId="12" xfId="0" applyNumberFormat="1" applyFont="1" applyFill="1" applyBorder="1" applyProtection="1"/>
    <xf numFmtId="0" fontId="190" fillId="0" borderId="12" xfId="0" applyFont="1" applyBorder="1"/>
    <xf numFmtId="0" fontId="190" fillId="0" borderId="12" xfId="0" applyFont="1" applyFill="1" applyBorder="1"/>
    <xf numFmtId="183" fontId="191" fillId="0" borderId="12" xfId="0" applyNumberFormat="1" applyFont="1" applyBorder="1" applyAlignment="1">
      <alignment horizontal="left"/>
    </xf>
    <xf numFmtId="195" fontId="191" fillId="0" borderId="12" xfId="0" applyNumberFormat="1" applyFont="1" applyBorder="1" applyAlignment="1">
      <alignment horizontal="left"/>
    </xf>
    <xf numFmtId="182" fontId="191" fillId="0" borderId="12" xfId="0" applyNumberFormat="1" applyFont="1" applyBorder="1" applyAlignment="1">
      <alignment horizontal="center"/>
    </xf>
    <xf numFmtId="183" fontId="192" fillId="3" borderId="12" xfId="0" applyNumberFormat="1" applyFont="1" applyFill="1" applyBorder="1" applyAlignment="1">
      <alignment horizontal="left"/>
    </xf>
    <xf numFmtId="185" fontId="192" fillId="0" borderId="12" xfId="0" applyNumberFormat="1" applyFont="1" applyBorder="1"/>
    <xf numFmtId="183" fontId="0" fillId="0" borderId="12" xfId="0" applyNumberFormat="1" applyBorder="1" applyAlignment="1">
      <alignment horizontal="left"/>
    </xf>
    <xf numFmtId="195" fontId="0" fillId="0" borderId="12" xfId="0" applyNumberFormat="1" applyBorder="1" applyAlignment="1">
      <alignment horizontal="left"/>
    </xf>
    <xf numFmtId="182" fontId="0" fillId="0" borderId="12" xfId="0" applyNumberFormat="1" applyBorder="1" applyAlignment="1">
      <alignment horizontal="center"/>
    </xf>
    <xf numFmtId="183" fontId="29" fillId="3" borderId="12" xfId="0" applyNumberFormat="1" applyFont="1" applyFill="1" applyBorder="1" applyAlignment="1">
      <alignment horizontal="left"/>
    </xf>
    <xf numFmtId="185" fontId="193" fillId="0" borderId="12" xfId="0" applyNumberFormat="1" applyFont="1" applyBorder="1"/>
    <xf numFmtId="183" fontId="194" fillId="0" borderId="14" xfId="0" applyNumberFormat="1" applyFont="1" applyFill="1" applyBorder="1" applyAlignment="1">
      <alignment horizontal="left"/>
    </xf>
    <xf numFmtId="195" fontId="0" fillId="0" borderId="0" xfId="0" applyNumberFormat="1" applyAlignment="1">
      <alignment horizontal="left"/>
    </xf>
    <xf numFmtId="195" fontId="5" fillId="0" borderId="0" xfId="0" applyNumberFormat="1" applyFont="1" applyBorder="1" applyAlignment="1">
      <alignment horizontal="left"/>
    </xf>
    <xf numFmtId="195" fontId="0" fillId="0" borderId="0" xfId="0" applyNumberFormat="1" applyBorder="1" applyAlignment="1">
      <alignment horizontal="left"/>
    </xf>
    <xf numFmtId="0" fontId="195" fillId="0" borderId="2" xfId="0" applyFont="1" applyBorder="1" applyAlignment="1">
      <alignment horizontal="center" vertical="center"/>
    </xf>
    <xf numFmtId="0" fontId="83" fillId="50" borderId="9" xfId="0" applyFont="1" applyFill="1" applyBorder="1" applyAlignment="1">
      <alignment horizontal="left" vertical="center"/>
    </xf>
    <xf numFmtId="0" fontId="0" fillId="50" borderId="10" xfId="0" applyFill="1" applyBorder="1" applyAlignment="1">
      <alignment horizontal="left" vertical="center"/>
    </xf>
    <xf numFmtId="0" fontId="0" fillId="50" borderId="11" xfId="0" applyFill="1" applyBorder="1" applyAlignment="1">
      <alignment horizontal="left" vertical="center"/>
    </xf>
    <xf numFmtId="0" fontId="45" fillId="50" borderId="12" xfId="0" applyFont="1" applyFill="1" applyBorder="1" applyAlignment="1">
      <alignment horizontal="right"/>
    </xf>
    <xf numFmtId="0" fontId="0" fillId="50" borderId="12" xfId="0" applyFill="1" applyBorder="1" applyAlignment="1">
      <alignment horizontal="left"/>
    </xf>
    <xf numFmtId="196" fontId="0" fillId="51" borderId="12" xfId="0" applyNumberFormat="1" applyFill="1" applyBorder="1" applyAlignment="1">
      <alignment horizontal="center" vertical="center"/>
    </xf>
    <xf numFmtId="0" fontId="196" fillId="50" borderId="12" xfId="0" applyFont="1" applyFill="1" applyBorder="1" applyAlignment="1">
      <alignment horizontal="right"/>
    </xf>
    <xf numFmtId="0" fontId="0" fillId="50" borderId="12" xfId="0" applyFill="1" applyBorder="1" applyAlignment="1"/>
    <xf numFmtId="0" fontId="0" fillId="47" borderId="12" xfId="0" applyFill="1" applyBorder="1" applyAlignment="1">
      <alignment horizontal="center" vertical="center"/>
    </xf>
    <xf numFmtId="0" fontId="0" fillId="50" borderId="12" xfId="0" applyFont="1" applyFill="1" applyBorder="1" applyAlignment="1">
      <alignment horizontal="right" wrapText="1"/>
    </xf>
    <xf numFmtId="0" fontId="0" fillId="50" borderId="4" xfId="0" applyFill="1" applyBorder="1" applyAlignment="1"/>
    <xf numFmtId="0" fontId="0" fillId="50" borderId="12" xfId="0" applyFill="1" applyBorder="1" applyAlignment="1">
      <alignment horizontal="right"/>
    </xf>
    <xf numFmtId="0" fontId="0" fillId="50" borderId="12" xfId="0" applyFill="1" applyBorder="1" applyAlignment="1">
      <alignment horizontal="center" vertical="center"/>
    </xf>
    <xf numFmtId="0" fontId="0" fillId="50" borderId="6" xfId="0" applyFill="1" applyBorder="1" applyAlignment="1"/>
    <xf numFmtId="0" fontId="83" fillId="50" borderId="1" xfId="0" applyFont="1" applyFill="1" applyBorder="1" applyAlignment="1"/>
    <xf numFmtId="0" fontId="0" fillId="50" borderId="9" xfId="0" applyFill="1" applyBorder="1" applyAlignment="1"/>
    <xf numFmtId="0" fontId="0" fillId="50" borderId="11" xfId="0" applyFill="1" applyBorder="1" applyAlignment="1"/>
    <xf numFmtId="0" fontId="0" fillId="50" borderId="12" xfId="0" applyFont="1" applyFill="1" applyBorder="1" applyAlignment="1">
      <alignment horizontal="right"/>
    </xf>
    <xf numFmtId="0" fontId="0" fillId="50" borderId="12" xfId="0" applyFill="1" applyBorder="1"/>
    <xf numFmtId="0" fontId="0" fillId="0" borderId="0" xfId="0" applyFont="1" applyFill="1" applyAlignment="1">
      <alignment horizontal="left"/>
    </xf>
    <xf numFmtId="0" fontId="45" fillId="0" borderId="0" xfId="0" applyFont="1" applyFill="1" applyAlignment="1">
      <alignment horizontal="right"/>
    </xf>
    <xf numFmtId="0" fontId="83" fillId="5" borderId="0" xfId="0" applyFont="1" applyFill="1"/>
    <xf numFmtId="0" fontId="83" fillId="8" borderId="0" xfId="0" applyFont="1" applyFill="1" applyAlignment="1">
      <alignment horizontal="center"/>
    </xf>
    <xf numFmtId="0" fontId="0" fillId="8" borderId="12" xfId="0" applyFill="1" applyBorder="1" applyAlignment="1">
      <alignment horizontal="center"/>
    </xf>
    <xf numFmtId="0" fontId="83" fillId="5" borderId="0" xfId="0" applyFont="1" applyFill="1" applyAlignment="1">
      <alignment horizontal="left"/>
    </xf>
    <xf numFmtId="0" fontId="0" fillId="5" borderId="0" xfId="0" applyFill="1"/>
    <xf numFmtId="0" fontId="0" fillId="0" borderId="0" xfId="0" applyFill="1"/>
    <xf numFmtId="0" fontId="0" fillId="47" borderId="12" xfId="0" applyFill="1" applyBorder="1" applyAlignment="1">
      <alignment horizontal="center"/>
    </xf>
    <xf numFmtId="0" fontId="0" fillId="0" borderId="0" xfId="0" applyFill="1" applyBorder="1" applyAlignment="1">
      <alignment horizontal="center"/>
    </xf>
    <xf numFmtId="0" fontId="0" fillId="47" borderId="0" xfId="0" applyFill="1" applyAlignment="1">
      <alignment vertical="center"/>
    </xf>
    <xf numFmtId="0" fontId="0" fillId="8" borderId="0" xfId="0" applyFill="1" applyAlignment="1">
      <alignment vertical="center"/>
    </xf>
    <xf numFmtId="0" fontId="44" fillId="5" borderId="0" xfId="10" applyFont="1" applyFill="1" applyAlignment="1" applyProtection="1">
      <alignment horizontal="center" vertical="center"/>
    </xf>
    <xf numFmtId="0" fontId="115" fillId="0" borderId="0" xfId="0" applyFont="1" applyAlignment="1">
      <alignment horizontal="center"/>
    </xf>
    <xf numFmtId="0" fontId="0" fillId="0" borderId="22" xfId="0" applyBorder="1"/>
    <xf numFmtId="0" fontId="0" fillId="0" borderId="23" xfId="0" applyBorder="1"/>
    <xf numFmtId="0" fontId="0" fillId="0" borderId="24" xfId="0" applyBorder="1"/>
    <xf numFmtId="0" fontId="0" fillId="19" borderId="0" xfId="0" applyFill="1" applyBorder="1"/>
    <xf numFmtId="0" fontId="5" fillId="19" borderId="0" xfId="0" applyFont="1" applyFill="1" applyBorder="1" applyAlignment="1">
      <alignment horizontal="right"/>
    </xf>
    <xf numFmtId="0" fontId="0" fillId="2" borderId="0" xfId="0" applyFill="1" applyBorder="1"/>
    <xf numFmtId="0" fontId="5" fillId="19" borderId="0" xfId="0" applyFont="1" applyFill="1" applyBorder="1"/>
    <xf numFmtId="0" fontId="172" fillId="19" borderId="0" xfId="0" applyFont="1" applyFill="1" applyBorder="1" applyAlignment="1">
      <alignment horizontal="right"/>
    </xf>
    <xf numFmtId="0" fontId="0" fillId="2" borderId="0" xfId="0" applyNumberFormat="1" applyFill="1" applyBorder="1"/>
    <xf numFmtId="9" fontId="0" fillId="2" borderId="0" xfId="0" applyNumberFormat="1" applyFill="1" applyBorder="1"/>
    <xf numFmtId="0" fontId="0" fillId="0" borderId="25" xfId="0" applyBorder="1"/>
    <xf numFmtId="0" fontId="0" fillId="52" borderId="26" xfId="0" applyFill="1" applyBorder="1"/>
    <xf numFmtId="0" fontId="172" fillId="52" borderId="26" xfId="0" applyFont="1" applyFill="1" applyBorder="1" applyAlignment="1">
      <alignment horizontal="right"/>
    </xf>
    <xf numFmtId="0" fontId="0" fillId="52" borderId="26" xfId="0" applyNumberFormat="1" applyFill="1" applyBorder="1"/>
    <xf numFmtId="0" fontId="0" fillId="0" borderId="26" xfId="0" applyBorder="1"/>
    <xf numFmtId="0" fontId="172" fillId="0" borderId="0" xfId="0" applyFont="1" applyFill="1" applyAlignment="1">
      <alignment horizontal="right"/>
    </xf>
    <xf numFmtId="0" fontId="0" fillId="0" borderId="0" xfId="0" applyNumberFormat="1" applyFill="1"/>
    <xf numFmtId="0" fontId="0" fillId="0" borderId="0" xfId="0" applyFont="1" applyAlignment="1">
      <alignment horizontal="right"/>
    </xf>
    <xf numFmtId="0" fontId="0" fillId="0" borderId="0" xfId="0" applyFont="1" applyFill="1" applyBorder="1"/>
    <xf numFmtId="0" fontId="0" fillId="8" borderId="0" xfId="0" applyFont="1" applyFill="1" applyBorder="1" applyAlignment="1">
      <alignment horizontal="left"/>
    </xf>
    <xf numFmtId="0" fontId="6" fillId="8" borderId="0" xfId="0" applyFont="1" applyFill="1"/>
    <xf numFmtId="0" fontId="0" fillId="8" borderId="0" xfId="0" applyFont="1" applyFill="1"/>
    <xf numFmtId="0" fontId="0" fillId="0" borderId="0" xfId="0" applyAlignment="1">
      <alignment horizontal="right" vertical="center"/>
    </xf>
    <xf numFmtId="0" fontId="0" fillId="8" borderId="0" xfId="0" applyFill="1"/>
    <xf numFmtId="0" fontId="0" fillId="0" borderId="34" xfId="0" applyBorder="1"/>
    <xf numFmtId="0" fontId="0" fillId="0" borderId="35" xfId="0" applyBorder="1"/>
    <xf numFmtId="0" fontId="0" fillId="0" borderId="36" xfId="0" applyBorder="1"/>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7" fillId="5" borderId="10" xfId="10" applyFill="1" applyBorder="1" applyAlignment="1" applyProtection="1">
      <alignment horizontal="center" vertical="center"/>
    </xf>
    <xf numFmtId="0" fontId="3" fillId="19" borderId="12" xfId="0" applyFont="1" applyFill="1" applyBorder="1" applyAlignment="1">
      <alignment horizontal="center" vertical="center"/>
    </xf>
    <xf numFmtId="0" fontId="197" fillId="0" borderId="12" xfId="0" applyFont="1" applyFill="1" applyBorder="1" applyAlignment="1">
      <alignment horizontal="center" vertical="center"/>
    </xf>
    <xf numFmtId="0" fontId="0" fillId="29" borderId="12" xfId="0" applyFont="1" applyFill="1" applyBorder="1" applyAlignment="1">
      <alignment horizontal="left" vertical="center"/>
    </xf>
    <xf numFmtId="0" fontId="0" fillId="29" borderId="12" xfId="0" applyFont="1" applyFill="1" applyBorder="1" applyAlignment="1">
      <alignment horizontal="right" vertical="center"/>
    </xf>
    <xf numFmtId="0" fontId="3" fillId="29" borderId="12" xfId="0" applyFont="1" applyFill="1" applyBorder="1" applyAlignment="1">
      <alignment horizontal="center" vertical="center"/>
    </xf>
    <xf numFmtId="0" fontId="3" fillId="42" borderId="12" xfId="0" applyFont="1" applyFill="1" applyBorder="1" applyAlignment="1">
      <alignment horizontal="center" vertical="center"/>
    </xf>
    <xf numFmtId="0" fontId="0" fillId="29" borderId="12" xfId="0" applyFont="1" applyFill="1" applyBorder="1" applyAlignment="1">
      <alignment vertical="center"/>
    </xf>
    <xf numFmtId="0" fontId="0" fillId="29" borderId="12" xfId="0" applyFont="1" applyFill="1" applyBorder="1" applyAlignment="1">
      <alignment horizontal="center" vertical="center"/>
    </xf>
    <xf numFmtId="0" fontId="0" fillId="0" borderId="12" xfId="0" applyFont="1" applyBorder="1" applyAlignment="1">
      <alignment vertical="center"/>
    </xf>
    <xf numFmtId="0" fontId="0" fillId="53" borderId="12" xfId="0" applyFont="1" applyFill="1" applyBorder="1" applyAlignment="1">
      <alignment vertical="center"/>
    </xf>
    <xf numFmtId="0" fontId="0" fillId="2" borderId="12" xfId="0" applyFont="1" applyFill="1" applyBorder="1" applyAlignment="1">
      <alignment vertical="center"/>
    </xf>
    <xf numFmtId="185" fontId="0" fillId="2" borderId="12" xfId="0" applyNumberFormat="1" applyFont="1" applyFill="1" applyBorder="1" applyAlignment="1">
      <alignment vertical="center"/>
    </xf>
    <xf numFmtId="0" fontId="0" fillId="0" borderId="12" xfId="0" applyFont="1" applyFill="1" applyBorder="1" applyAlignment="1">
      <alignment vertical="center"/>
    </xf>
    <xf numFmtId="0" fontId="0" fillId="19" borderId="12" xfId="0" applyFont="1" applyFill="1" applyBorder="1" applyAlignment="1">
      <alignment vertical="center"/>
    </xf>
    <xf numFmtId="0" fontId="0" fillId="19" borderId="12" xfId="0" applyFont="1" applyFill="1" applyBorder="1" applyAlignment="1">
      <alignment horizontal="center" vertical="center"/>
    </xf>
    <xf numFmtId="0" fontId="0" fillId="0" borderId="12" xfId="0" applyFont="1" applyFill="1" applyBorder="1" applyAlignment="1">
      <alignment horizontal="center" vertical="center"/>
    </xf>
    <xf numFmtId="0" fontId="0" fillId="0" borderId="12" xfId="0" applyFont="1" applyFill="1" applyBorder="1" applyAlignment="1">
      <alignment horizontal="right" vertical="center"/>
    </xf>
    <xf numFmtId="0" fontId="198" fillId="0" borderId="12" xfId="0" applyFont="1" applyFill="1" applyBorder="1" applyAlignment="1">
      <alignment horizontal="right" vertical="center"/>
    </xf>
    <xf numFmtId="0" fontId="40" fillId="29" borderId="12" xfId="0" applyFont="1" applyFill="1" applyBorder="1" applyAlignment="1">
      <alignment vertical="center"/>
    </xf>
    <xf numFmtId="0" fontId="40" fillId="29" borderId="12" xfId="0" applyFont="1" applyFill="1" applyBorder="1" applyAlignment="1">
      <alignment horizontal="center" vertical="center"/>
    </xf>
    <xf numFmtId="0" fontId="0" fillId="2" borderId="12" xfId="0" applyFill="1" applyBorder="1" applyAlignment="1">
      <alignment vertical="center"/>
    </xf>
    <xf numFmtId="0" fontId="0" fillId="2" borderId="12" xfId="0" applyFont="1" applyFill="1" applyBorder="1" applyAlignment="1">
      <alignment horizontal="center" vertical="center"/>
    </xf>
    <xf numFmtId="0" fontId="40" fillId="0" borderId="12" xfId="0" applyFont="1" applyFill="1" applyBorder="1" applyAlignment="1">
      <alignment vertical="center"/>
    </xf>
    <xf numFmtId="0" fontId="3" fillId="0" borderId="12" xfId="0" applyFont="1" applyFill="1" applyBorder="1" applyAlignment="1">
      <alignment vertical="center"/>
    </xf>
    <xf numFmtId="0" fontId="7" fillId="5" borderId="11" xfId="10" applyFill="1" applyBorder="1" applyAlignment="1" applyProtection="1">
      <alignment horizontal="center" vertical="center"/>
    </xf>
    <xf numFmtId="0" fontId="0" fillId="0" borderId="22" xfId="0" applyBorder="1" applyAlignment="1">
      <alignment horizontal="center"/>
    </xf>
    <xf numFmtId="0" fontId="0" fillId="0" borderId="23" xfId="0" applyBorder="1" applyAlignment="1">
      <alignment horizontal="center"/>
    </xf>
    <xf numFmtId="0" fontId="0" fillId="47" borderId="0" xfId="0" applyFill="1" applyBorder="1" applyAlignment="1">
      <alignment horizontal="left"/>
    </xf>
    <xf numFmtId="0" fontId="0" fillId="47" borderId="35" xfId="0" applyFill="1" applyBorder="1"/>
    <xf numFmtId="0" fontId="0" fillId="8" borderId="0" xfId="0" applyFill="1" applyBorder="1" applyAlignment="1">
      <alignment horizontal="left"/>
    </xf>
    <xf numFmtId="0" fontId="0" fillId="8" borderId="35" xfId="0" applyFill="1" applyBorder="1"/>
    <xf numFmtId="0" fontId="0" fillId="47" borderId="0" xfId="0" applyFill="1" applyBorder="1" applyAlignment="1">
      <alignment horizontal="center"/>
    </xf>
    <xf numFmtId="0" fontId="0" fillId="53" borderId="26" xfId="0" applyFill="1" applyBorder="1" applyAlignment="1">
      <alignment horizontal="center"/>
    </xf>
    <xf numFmtId="0" fontId="0" fillId="0" borderId="24" xfId="0" applyFill="1" applyBorder="1"/>
    <xf numFmtId="0" fontId="0" fillId="0" borderId="35" xfId="0" applyFill="1" applyBorder="1"/>
    <xf numFmtId="0" fontId="0" fillId="8" borderId="0" xfId="0" applyFill="1" applyBorder="1" applyAlignment="1">
      <alignment horizontal="center"/>
    </xf>
    <xf numFmtId="0" fontId="0" fillId="8" borderId="26" xfId="0" applyFill="1" applyBorder="1" applyAlignment="1">
      <alignment horizontal="center"/>
    </xf>
    <xf numFmtId="0" fontId="0" fillId="0" borderId="26" xfId="0" applyBorder="1" applyAlignment="1">
      <alignment horizontal="center" vertical="center"/>
    </xf>
    <xf numFmtId="0" fontId="7" fillId="5" borderId="26" xfId="10" applyFill="1" applyBorder="1" applyAlignment="1" applyProtection="1">
      <alignment horizontal="center" vertical="center"/>
    </xf>
    <xf numFmtId="0" fontId="0" fillId="2" borderId="29" xfId="0" applyFill="1" applyBorder="1" applyAlignment="1">
      <alignment horizontal="center" vertical="center"/>
    </xf>
    <xf numFmtId="0" fontId="0" fillId="54" borderId="12" xfId="0" applyFill="1" applyBorder="1" applyAlignment="1">
      <alignment horizontal="center" vertical="center"/>
    </xf>
    <xf numFmtId="192" fontId="0" fillId="8" borderId="38" xfId="0" applyNumberFormat="1" applyFill="1" applyBorder="1" applyAlignment="1">
      <alignment horizontal="center" vertical="center"/>
    </xf>
    <xf numFmtId="0" fontId="0" fillId="3" borderId="119" xfId="0" applyFill="1" applyBorder="1" applyAlignment="1">
      <alignment horizontal="center" vertical="center"/>
    </xf>
    <xf numFmtId="0" fontId="0" fillId="3" borderId="10" xfId="0" applyFill="1" applyBorder="1" applyAlignment="1">
      <alignment horizontal="center" vertical="center"/>
    </xf>
    <xf numFmtId="0" fontId="0" fillId="3" borderId="87" xfId="0" applyFill="1" applyBorder="1" applyAlignment="1">
      <alignment horizontal="center" vertical="center"/>
    </xf>
    <xf numFmtId="192" fontId="0" fillId="3" borderId="38" xfId="0" applyNumberFormat="1" applyFill="1" applyBorder="1" applyAlignment="1">
      <alignment horizontal="center" vertical="center"/>
    </xf>
    <xf numFmtId="0" fontId="0" fillId="0" borderId="119" xfId="0" applyBorder="1" applyAlignment="1">
      <alignment horizontal="left" vertical="center"/>
    </xf>
    <xf numFmtId="0" fontId="0" fillId="0" borderId="10" xfId="0" applyBorder="1" applyAlignment="1">
      <alignment horizontal="left" vertical="center"/>
    </xf>
    <xf numFmtId="0" fontId="0" fillId="0" borderId="87" xfId="0" applyBorder="1" applyAlignment="1">
      <alignment horizontal="left" vertical="center"/>
    </xf>
    <xf numFmtId="0" fontId="0" fillId="54" borderId="29" xfId="0" applyFill="1" applyBorder="1"/>
    <xf numFmtId="0" fontId="0" fillId="8" borderId="30" xfId="0" applyFill="1" applyBorder="1"/>
    <xf numFmtId="0" fontId="0" fillId="19" borderId="0" xfId="0" applyFill="1"/>
    <xf numFmtId="0" fontId="5" fillId="19" borderId="0" xfId="0" applyFont="1" applyFill="1" applyAlignment="1">
      <alignment horizontal="right"/>
    </xf>
    <xf numFmtId="0" fontId="0" fillId="2" borderId="0" xfId="0" applyFill="1"/>
    <xf numFmtId="0" fontId="5" fillId="19" borderId="0" xfId="0" applyFont="1" applyFill="1"/>
    <xf numFmtId="0" fontId="0" fillId="19" borderId="0" xfId="0" applyFill="1" applyAlignment="1">
      <alignment vertical="center"/>
    </xf>
    <xf numFmtId="0" fontId="5" fillId="19" borderId="0" xfId="0" applyFont="1" applyFill="1" applyAlignment="1">
      <alignment horizontal="right" vertical="center"/>
    </xf>
    <xf numFmtId="0" fontId="0" fillId="19" borderId="0" xfId="0" applyFill="1" applyAlignment="1">
      <alignment vertical="center" wrapText="1"/>
    </xf>
    <xf numFmtId="0" fontId="0" fillId="19" borderId="0" xfId="0" applyFill="1" applyAlignment="1">
      <alignment wrapText="1"/>
    </xf>
    <xf numFmtId="0" fontId="152" fillId="19" borderId="0" xfId="0" applyFont="1" applyFill="1" applyAlignment="1">
      <alignment horizontal="right" vertical="center"/>
    </xf>
    <xf numFmtId="0" fontId="172" fillId="19" borderId="0" xfId="0" applyFont="1" applyFill="1" applyAlignment="1">
      <alignment horizontal="right"/>
    </xf>
    <xf numFmtId="0" fontId="0" fillId="2" borderId="0" xfId="0" applyNumberFormat="1" applyFill="1"/>
    <xf numFmtId="9" fontId="0" fillId="2" borderId="0" xfId="0" applyNumberFormat="1" applyFill="1"/>
    <xf numFmtId="0" fontId="172" fillId="0" borderId="0" xfId="0" applyFont="1" applyFill="1"/>
    <xf numFmtId="0" fontId="0" fillId="0" borderId="0" xfId="0" applyAlignment="1">
      <alignment wrapText="1"/>
    </xf>
    <xf numFmtId="0" fontId="0" fillId="47" borderId="0" xfId="0" applyFill="1" applyAlignment="1">
      <alignment horizontal="left"/>
    </xf>
    <xf numFmtId="0" fontId="45" fillId="0" borderId="0" xfId="0" applyFont="1" applyAlignment="1">
      <alignment vertical="top" wrapText="1"/>
    </xf>
    <xf numFmtId="0" fontId="45" fillId="0" borderId="0" xfId="0" applyFont="1" applyAlignment="1"/>
    <xf numFmtId="0" fontId="6" fillId="0" borderId="0" xfId="0" applyFont="1" applyAlignment="1">
      <alignment horizontal="right" vertical="center"/>
    </xf>
    <xf numFmtId="0" fontId="0" fillId="47" borderId="0" xfId="0" applyFill="1"/>
    <xf numFmtId="0" fontId="0" fillId="0" borderId="0" xfId="0" applyFill="1" applyBorder="1"/>
    <xf numFmtId="0" fontId="0" fillId="0" borderId="0" xfId="0" applyAlignment="1">
      <alignment horizontal="right" vertical="center" wrapText="1"/>
    </xf>
    <xf numFmtId="0" fontId="5" fillId="0" borderId="0" xfId="0" applyFont="1" applyAlignment="1">
      <alignment horizontal="right" vertical="center"/>
    </xf>
    <xf numFmtId="0" fontId="53" fillId="0" borderId="0" xfId="0" applyFont="1" applyFill="1" applyBorder="1"/>
    <xf numFmtId="0" fontId="0" fillId="0" borderId="0" xfId="0" applyFont="1" applyFill="1" applyBorder="1" applyAlignment="1">
      <alignment horizontal="left"/>
    </xf>
    <xf numFmtId="0" fontId="172" fillId="0" borderId="0" xfId="0" applyFont="1" applyAlignment="1">
      <alignment horizontal="right" vertical="center"/>
    </xf>
    <xf numFmtId="0" fontId="172" fillId="19" borderId="0" xfId="0" applyFont="1" applyFill="1"/>
    <xf numFmtId="0" fontId="102" fillId="0" borderId="0" xfId="0" applyFont="1" applyAlignment="1">
      <alignment horizontal="right"/>
    </xf>
    <xf numFmtId="0" fontId="102" fillId="0" borderId="0" xfId="0" applyFont="1" applyFill="1" applyBorder="1"/>
    <xf numFmtId="0" fontId="52" fillId="0" borderId="0" xfId="0" applyFont="1"/>
    <xf numFmtId="0" fontId="52" fillId="0" borderId="0" xfId="0" applyFont="1" applyFill="1" applyBorder="1"/>
    <xf numFmtId="0" fontId="52" fillId="0" borderId="0" xfId="0" applyFont="1" applyFill="1" applyBorder="1" applyAlignment="1">
      <alignment horizontal="left"/>
    </xf>
    <xf numFmtId="0" fontId="198" fillId="3" borderId="0" xfId="0" applyFont="1" applyFill="1"/>
    <xf numFmtId="0" fontId="102" fillId="19" borderId="0" xfId="0" applyFont="1" applyFill="1"/>
    <xf numFmtId="0" fontId="45" fillId="0" borderId="0" xfId="0" applyFont="1" applyAlignment="1">
      <alignment horizontal="right"/>
    </xf>
    <xf numFmtId="0" fontId="3" fillId="0" borderId="0" xfId="0" applyFont="1" applyAlignment="1">
      <alignment horizontal="center" vertical="center" wrapText="1"/>
    </xf>
    <xf numFmtId="0" fontId="3" fillId="0" borderId="26" xfId="0" applyFont="1" applyBorder="1" applyAlignment="1">
      <alignment horizontal="center" vertical="center" wrapText="1"/>
    </xf>
    <xf numFmtId="0" fontId="45" fillId="55" borderId="22" xfId="0" applyFont="1" applyFill="1" applyBorder="1" applyAlignment="1">
      <alignment horizontal="right" wrapText="1"/>
    </xf>
    <xf numFmtId="0" fontId="0" fillId="56" borderId="23" xfId="0" applyFont="1" applyFill="1" applyBorder="1" applyAlignment="1">
      <alignment vertical="center"/>
    </xf>
    <xf numFmtId="0" fontId="0" fillId="56" borderId="23" xfId="0" applyFill="1" applyBorder="1" applyAlignment="1"/>
    <xf numFmtId="0" fontId="0" fillId="56" borderId="23" xfId="0" applyFill="1" applyBorder="1"/>
    <xf numFmtId="0" fontId="0" fillId="55" borderId="23" xfId="0" applyFill="1" applyBorder="1" applyAlignment="1">
      <alignment horizontal="right"/>
    </xf>
    <xf numFmtId="0" fontId="45" fillId="55" borderId="24" xfId="0" applyFont="1" applyFill="1" applyBorder="1" applyAlignment="1">
      <alignment horizontal="right" wrapText="1"/>
    </xf>
    <xf numFmtId="0" fontId="0" fillId="56" borderId="0" xfId="0" applyFont="1" applyFill="1" applyBorder="1" applyAlignment="1"/>
    <xf numFmtId="0" fontId="0" fillId="56" borderId="0" xfId="0" applyFill="1" applyBorder="1"/>
    <xf numFmtId="0" fontId="0" fillId="55" borderId="0" xfId="0" applyFill="1" applyBorder="1" applyAlignment="1">
      <alignment horizontal="right"/>
    </xf>
    <xf numFmtId="0" fontId="0" fillId="56" borderId="0" xfId="0" applyFill="1" applyBorder="1" applyAlignment="1"/>
    <xf numFmtId="0" fontId="45" fillId="55" borderId="24" xfId="0" applyFont="1" applyFill="1" applyBorder="1" applyAlignment="1">
      <alignment horizontal="right"/>
    </xf>
    <xf numFmtId="0" fontId="45" fillId="55" borderId="25" xfId="0" applyFont="1" applyFill="1" applyBorder="1" applyAlignment="1">
      <alignment horizontal="right"/>
    </xf>
    <xf numFmtId="0" fontId="0" fillId="56" borderId="26" xfId="0" applyFill="1" applyBorder="1"/>
    <xf numFmtId="0" fontId="163" fillId="55" borderId="26" xfId="0" applyFont="1" applyFill="1" applyBorder="1" applyAlignment="1">
      <alignment horizontal="right"/>
    </xf>
    <xf numFmtId="0" fontId="163" fillId="56" borderId="26" xfId="0" applyFont="1" applyFill="1" applyBorder="1" applyAlignment="1"/>
    <xf numFmtId="0" fontId="46" fillId="22" borderId="22" xfId="0" applyFont="1" applyFill="1" applyBorder="1" applyAlignment="1">
      <alignment horizontal="left" wrapText="1"/>
    </xf>
    <xf numFmtId="0" fontId="40" fillId="22" borderId="23" xfId="0" applyFont="1" applyFill="1" applyBorder="1" applyAlignment="1">
      <alignment horizontal="left" wrapText="1"/>
    </xf>
    <xf numFmtId="0" fontId="45" fillId="0" borderId="24" xfId="0" applyFont="1" applyBorder="1" applyAlignment="1">
      <alignment horizontal="right"/>
    </xf>
    <xf numFmtId="0" fontId="0" fillId="47" borderId="0" xfId="0" applyFill="1" applyBorder="1"/>
    <xf numFmtId="0" fontId="199" fillId="0" borderId="0" xfId="0" applyFont="1" applyBorder="1"/>
    <xf numFmtId="0" fontId="45" fillId="0" borderId="24" xfId="0" applyFont="1" applyBorder="1" applyAlignment="1">
      <alignment horizontal="right" wrapText="1"/>
    </xf>
    <xf numFmtId="0" fontId="0" fillId="8" borderId="0" xfId="0" applyFill="1" applyBorder="1"/>
    <xf numFmtId="0" fontId="45" fillId="0" borderId="25" xfId="0" applyFont="1" applyBorder="1" applyAlignment="1">
      <alignment horizontal="right"/>
    </xf>
    <xf numFmtId="0" fontId="0" fillId="8" borderId="26" xfId="0" applyFill="1" applyBorder="1"/>
    <xf numFmtId="0" fontId="7" fillId="5" borderId="26" xfId="10" applyFill="1" applyBorder="1" applyAlignment="1" applyProtection="1">
      <alignment horizontal="center" vertical="center" wrapText="1"/>
    </xf>
    <xf numFmtId="0" fontId="0" fillId="56" borderId="34" xfId="0" applyFill="1" applyBorder="1" applyAlignment="1"/>
    <xf numFmtId="0" fontId="0" fillId="0" borderId="0" xfId="0" applyFill="1" applyAlignment="1"/>
    <xf numFmtId="0" fontId="0" fillId="56" borderId="35" xfId="0" applyFill="1" applyBorder="1" applyAlignment="1"/>
    <xf numFmtId="0" fontId="0" fillId="0" borderId="0" xfId="0" applyFill="1" applyBorder="1" applyAlignment="1"/>
    <xf numFmtId="0" fontId="163" fillId="56" borderId="36" xfId="0" applyFont="1" applyFill="1" applyBorder="1" applyAlignment="1"/>
    <xf numFmtId="0" fontId="40" fillId="22" borderId="34" xfId="0" applyFont="1" applyFill="1" applyBorder="1" applyAlignment="1">
      <alignment horizontal="left" wrapText="1"/>
    </xf>
    <xf numFmtId="0" fontId="199" fillId="0" borderId="0" xfId="0" applyFont="1" applyBorder="1" applyAlignment="1">
      <alignment vertical="center"/>
    </xf>
    <xf numFmtId="0" fontId="0" fillId="0" borderId="0" xfId="0" applyBorder="1" applyAlignment="1"/>
    <xf numFmtId="0" fontId="200" fillId="4" borderId="0" xfId="0" applyFont="1" applyFill="1" applyAlignment="1">
      <alignment horizontal="center" vertical="center"/>
    </xf>
    <xf numFmtId="0" fontId="53" fillId="0" borderId="0" xfId="0" applyFont="1" applyAlignment="1">
      <alignment vertical="center"/>
    </xf>
    <xf numFmtId="0" fontId="63" fillId="0" borderId="0" xfId="0" applyFont="1" applyAlignment="1">
      <alignment horizontal="center" vertical="center"/>
    </xf>
    <xf numFmtId="0" fontId="63" fillId="4" borderId="0" xfId="0" applyFont="1" applyFill="1" applyAlignment="1">
      <alignment horizontal="center" vertical="center"/>
    </xf>
    <xf numFmtId="0" fontId="43" fillId="0" borderId="0" xfId="0" applyFont="1" applyAlignment="1">
      <alignment vertical="center"/>
    </xf>
    <xf numFmtId="0" fontId="43" fillId="0" borderId="0" xfId="0" applyFont="1" applyAlignment="1">
      <alignment horizontal="center" vertical="center"/>
    </xf>
    <xf numFmtId="0" fontId="63" fillId="0" borderId="0" xfId="0" applyFont="1" applyAlignment="1">
      <alignment vertical="center"/>
    </xf>
    <xf numFmtId="0" fontId="70" fillId="0" borderId="0" xfId="0" applyFont="1" applyAlignment="1">
      <alignment horizontal="center" vertical="center"/>
    </xf>
    <xf numFmtId="0" fontId="68" fillId="0" borderId="0" xfId="0" applyFont="1" applyAlignment="1">
      <alignment vertical="center"/>
    </xf>
    <xf numFmtId="0" fontId="0" fillId="0" borderId="0" xfId="0" applyFill="1" applyBorder="1" applyAlignment="1">
      <alignment horizontal="center" vertical="center"/>
    </xf>
    <xf numFmtId="0" fontId="0" fillId="0" borderId="0" xfId="0" applyFont="1" applyFill="1" applyBorder="1" applyAlignment="1">
      <alignment horizontal="center" vertical="center"/>
    </xf>
    <xf numFmtId="0" fontId="52" fillId="0" borderId="0" xfId="0" applyFont="1" applyBorder="1" applyAlignment="1">
      <alignment horizontal="center" vertical="center"/>
    </xf>
    <xf numFmtId="0" fontId="35" fillId="0" borderId="0" xfId="0" applyFont="1" applyBorder="1" applyAlignment="1">
      <alignment horizontal="center" vertical="center"/>
    </xf>
    <xf numFmtId="0" fontId="33" fillId="0" borderId="0" xfId="0" applyFont="1" applyAlignment="1">
      <alignment vertical="center"/>
    </xf>
    <xf numFmtId="0" fontId="43" fillId="0" borderId="0" xfId="0" applyFont="1" applyBorder="1" applyAlignment="1">
      <alignment horizontal="center" vertical="center"/>
    </xf>
    <xf numFmtId="0" fontId="63" fillId="0" borderId="0" xfId="0" applyFont="1" applyBorder="1" applyAlignment="1">
      <alignment horizontal="center" vertical="center"/>
    </xf>
    <xf numFmtId="0" fontId="33" fillId="0" borderId="0" xfId="0" applyFont="1" applyAlignment="1">
      <alignment horizontal="center" vertical="center"/>
    </xf>
    <xf numFmtId="0" fontId="33" fillId="0" borderId="0" xfId="0" applyFont="1" applyFill="1" applyBorder="1" applyAlignment="1">
      <alignment horizontal="center" vertical="center"/>
    </xf>
    <xf numFmtId="0" fontId="43" fillId="0" borderId="0" xfId="0" applyFont="1" applyBorder="1" applyAlignment="1">
      <alignment vertical="center"/>
    </xf>
    <xf numFmtId="0" fontId="201" fillId="0" borderId="0" xfId="0" applyFont="1" applyAlignment="1">
      <alignment vertical="center"/>
    </xf>
    <xf numFmtId="0" fontId="53" fillId="0" borderId="0" xfId="0" applyFont="1" applyAlignment="1">
      <alignment horizontal="center" vertical="center"/>
    </xf>
    <xf numFmtId="0" fontId="202" fillId="4" borderId="0" xfId="0" applyFont="1" applyFill="1" applyAlignment="1">
      <alignment horizontal="center" vertical="center"/>
    </xf>
    <xf numFmtId="0" fontId="33" fillId="0" borderId="0" xfId="0" applyNumberFormat="1" applyFont="1" applyAlignment="1">
      <alignment horizontal="center" vertical="center"/>
    </xf>
    <xf numFmtId="0" fontId="52" fillId="0" borderId="0" xfId="0" applyFont="1" applyAlignment="1">
      <alignment vertical="center"/>
    </xf>
    <xf numFmtId="0" fontId="68" fillId="0" borderId="0" xfId="0" applyNumberFormat="1" applyFont="1" applyAlignment="1">
      <alignment horizontal="center" vertical="center"/>
    </xf>
    <xf numFmtId="0" fontId="68" fillId="3" borderId="0" xfId="0" applyFont="1" applyFill="1" applyAlignment="1">
      <alignment horizontal="center" vertical="center"/>
    </xf>
    <xf numFmtId="0" fontId="33" fillId="4" borderId="0" xfId="0" applyFont="1" applyFill="1" applyAlignment="1">
      <alignment horizontal="center" vertical="center"/>
    </xf>
    <xf numFmtId="0" fontId="68" fillId="0" borderId="0" xfId="0" applyFont="1" applyAlignment="1">
      <alignment horizontal="center" vertical="center"/>
    </xf>
    <xf numFmtId="0" fontId="69" fillId="3" borderId="0" xfId="0" applyFont="1" applyFill="1" applyAlignment="1">
      <alignment vertical="center"/>
    </xf>
    <xf numFmtId="0" fontId="0" fillId="0" borderId="0" xfId="0" applyFont="1" applyAlignment="1">
      <alignment horizontal="left" vertical="center"/>
    </xf>
    <xf numFmtId="0" fontId="203" fillId="4" borderId="0" xfId="0" applyFont="1" applyFill="1" applyAlignment="1">
      <alignment horizontal="center" vertical="center"/>
    </xf>
    <xf numFmtId="0" fontId="63" fillId="3" borderId="0" xfId="0" applyFont="1" applyFill="1" applyAlignment="1">
      <alignment horizontal="center" vertical="center"/>
    </xf>
    <xf numFmtId="0" fontId="52" fillId="0" borderId="0" xfId="0" applyFont="1" applyAlignment="1">
      <alignment horizontal="left" vertical="center"/>
    </xf>
    <xf numFmtId="0" fontId="72" fillId="0" borderId="0" xfId="0" applyFont="1" applyAlignment="1">
      <alignment horizontal="centerContinuous" vertical="center"/>
    </xf>
    <xf numFmtId="0" fontId="204" fillId="0" borderId="0" xfId="0" applyFont="1" applyAlignment="1">
      <alignment horizontal="center" vertical="center"/>
    </xf>
    <xf numFmtId="0" fontId="205" fillId="0" borderId="0" xfId="0" applyFont="1" applyAlignment="1">
      <alignment horizontal="left" vertical="center" textRotation="90"/>
    </xf>
    <xf numFmtId="0" fontId="206" fillId="0" borderId="0" xfId="0" applyFont="1" applyAlignment="1">
      <alignment vertical="center"/>
    </xf>
    <xf numFmtId="0" fontId="65" fillId="0" borderId="0" xfId="0" applyFont="1" applyBorder="1" applyAlignment="1">
      <alignment horizontal="right" vertical="center"/>
    </xf>
    <xf numFmtId="0" fontId="205" fillId="0" borderId="0" xfId="0" applyFont="1" applyAlignment="1">
      <alignment horizontal="center" vertical="center"/>
    </xf>
    <xf numFmtId="0" fontId="207" fillId="0" borderId="0" xfId="0" applyFont="1" applyAlignment="1">
      <alignment horizontal="left" vertical="center"/>
    </xf>
    <xf numFmtId="0" fontId="65" fillId="0" borderId="0" xfId="0" applyFont="1" applyBorder="1" applyAlignment="1">
      <alignment horizontal="center" vertical="center"/>
    </xf>
    <xf numFmtId="0" fontId="63" fillId="0" borderId="0" xfId="0" applyFont="1" applyAlignment="1">
      <alignment horizontal="left" vertical="center"/>
    </xf>
    <xf numFmtId="0" fontId="61" fillId="0" borderId="0" xfId="0" applyFont="1" applyAlignment="1">
      <alignment vertical="center"/>
    </xf>
    <xf numFmtId="0" fontId="63" fillId="0" borderId="0" xfId="0" applyFont="1" applyBorder="1" applyAlignment="1">
      <alignment vertical="center"/>
    </xf>
    <xf numFmtId="0" fontId="33" fillId="3" borderId="0" xfId="0" applyFont="1" applyFill="1" applyAlignment="1">
      <alignment horizontal="center" vertical="center"/>
    </xf>
    <xf numFmtId="0" fontId="208" fillId="0" borderId="0" xfId="0" applyFont="1" applyAlignment="1">
      <alignment horizontal="left" vertical="center"/>
    </xf>
    <xf numFmtId="0" fontId="3" fillId="0" borderId="0" xfId="0" applyFont="1" applyAlignment="1">
      <alignment horizontal="center" vertical="center"/>
    </xf>
    <xf numFmtId="0" fontId="0" fillId="0" borderId="26" xfId="0" applyBorder="1" applyAlignment="1">
      <alignment horizontal="left" vertical="center"/>
    </xf>
    <xf numFmtId="0" fontId="81" fillId="0" borderId="0" xfId="0" applyFont="1" applyAlignment="1">
      <alignment horizontal="center" vertical="center" textRotation="255"/>
    </xf>
    <xf numFmtId="0" fontId="166" fillId="0" borderId="45" xfId="0" applyFont="1" applyBorder="1"/>
    <xf numFmtId="0" fontId="166" fillId="0" borderId="120" xfId="0" applyFont="1" applyBorder="1" applyAlignment="1">
      <alignment horizontal="center" vertical="center"/>
    </xf>
    <xf numFmtId="0" fontId="166" fillId="0" borderId="45" xfId="0" applyFont="1" applyBorder="1" applyAlignment="1">
      <alignment horizontal="center" vertical="center"/>
    </xf>
    <xf numFmtId="0" fontId="0" fillId="0" borderId="82" xfId="0" applyBorder="1" applyAlignment="1">
      <alignment horizontal="center" vertical="center"/>
    </xf>
    <xf numFmtId="0" fontId="7" fillId="0" borderId="120" xfId="10" applyFont="1" applyFill="1" applyBorder="1" applyAlignment="1" applyProtection="1">
      <alignment horizontal="left" vertical="center"/>
    </xf>
    <xf numFmtId="0" fontId="7" fillId="0" borderId="36" xfId="10" applyFont="1" applyBorder="1" applyAlignment="1" applyProtection="1">
      <alignment horizontal="left" vertical="center"/>
    </xf>
    <xf numFmtId="0" fontId="0" fillId="0" borderId="83" xfId="0" applyBorder="1" applyAlignment="1">
      <alignment horizontal="center" vertical="center"/>
    </xf>
    <xf numFmtId="0" fontId="44" fillId="0" borderId="120" xfId="10" applyFont="1" applyBorder="1" applyAlignment="1" applyProtection="1">
      <alignment horizontal="left" vertical="center"/>
    </xf>
    <xf numFmtId="0" fontId="7" fillId="0" borderId="120" xfId="10" applyBorder="1" applyAlignment="1" applyProtection="1">
      <alignment horizontal="left" vertical="center"/>
    </xf>
    <xf numFmtId="0" fontId="7" fillId="0" borderId="35" xfId="10" applyFont="1" applyBorder="1" applyAlignment="1" applyProtection="1">
      <alignment horizontal="left" vertical="center"/>
    </xf>
    <xf numFmtId="0" fontId="7" fillId="0" borderId="35" xfId="10" applyBorder="1" applyAlignment="1" applyProtection="1">
      <alignment horizontal="left" vertical="center"/>
    </xf>
    <xf numFmtId="0" fontId="7" fillId="0" borderId="120" xfId="10" applyFont="1" applyBorder="1" applyAlignment="1" applyProtection="1">
      <alignment horizontal="left" vertical="center"/>
    </xf>
    <xf numFmtId="0" fontId="7" fillId="0" borderId="45" xfId="10" applyFont="1" applyBorder="1" applyAlignment="1" applyProtection="1">
      <alignment horizontal="left" vertical="center"/>
    </xf>
    <xf numFmtId="0" fontId="7" fillId="0" borderId="121" xfId="10" applyBorder="1" applyAlignment="1" applyProtection="1">
      <alignment vertical="center"/>
    </xf>
    <xf numFmtId="0" fontId="7" fillId="0" borderId="45" xfId="10" applyBorder="1" applyAlignment="1" applyProtection="1">
      <alignment vertical="center"/>
    </xf>
    <xf numFmtId="0" fontId="0" fillId="0" borderId="121" xfId="0" applyBorder="1"/>
    <xf numFmtId="0" fontId="0" fillId="0" borderId="45" xfId="0" applyBorder="1"/>
    <xf numFmtId="0" fontId="0" fillId="0" borderId="122" xfId="0" applyBorder="1"/>
    <xf numFmtId="0" fontId="92" fillId="0" borderId="45" xfId="10" applyFont="1" applyBorder="1" applyAlignment="1" applyProtection="1">
      <alignment horizontal="left" vertical="center"/>
    </xf>
    <xf numFmtId="0" fontId="92" fillId="0" borderId="120" xfId="10" applyFont="1" applyBorder="1" applyAlignment="1" applyProtection="1">
      <alignment horizontal="left" vertical="center"/>
    </xf>
    <xf numFmtId="0" fontId="92" fillId="0" borderId="35" xfId="10" applyFont="1" applyBorder="1" applyAlignment="1" applyProtection="1">
      <alignment horizontal="left" vertical="center"/>
    </xf>
    <xf numFmtId="0" fontId="0" fillId="0" borderId="85" xfId="0" applyBorder="1" applyAlignment="1">
      <alignment horizontal="center" vertical="center"/>
    </xf>
    <xf numFmtId="0" fontId="7" fillId="0" borderId="26" xfId="10" applyFont="1" applyBorder="1" applyAlignment="1" applyProtection="1">
      <alignment horizontal="left" vertical="center"/>
    </xf>
    <xf numFmtId="0" fontId="7" fillId="0" borderId="120" xfId="10" applyFill="1" applyBorder="1" applyAlignment="1" applyProtection="1">
      <alignment horizontal="left" vertical="center"/>
    </xf>
    <xf numFmtId="0" fontId="208" fillId="0" borderId="0" xfId="0" applyFont="1" applyAlignment="1">
      <alignment vertical="center" wrapText="1"/>
    </xf>
    <xf numFmtId="0" fontId="92" fillId="0" borderId="122" xfId="10" applyFont="1" applyBorder="1" applyAlignment="1" applyProtection="1">
      <alignment vertical="center"/>
    </xf>
    <xf numFmtId="0" fontId="44" fillId="0" borderId="45" xfId="10" applyFont="1" applyBorder="1" applyAlignment="1" applyProtection="1">
      <alignment horizontal="left" vertical="center"/>
    </xf>
    <xf numFmtId="0" fontId="0" fillId="0" borderId="45" xfId="0" applyBorder="1" applyAlignment="1">
      <alignment vertical="center"/>
    </xf>
    <xf numFmtId="0" fontId="209" fillId="0" borderId="122" xfId="0" applyFont="1" applyBorder="1" applyAlignment="1">
      <alignment vertical="center"/>
    </xf>
    <xf numFmtId="0" fontId="209" fillId="0" borderId="45" xfId="10" applyFont="1" applyBorder="1" applyAlignment="1" applyProtection="1">
      <alignment horizontal="left" vertical="center"/>
    </xf>
    <xf numFmtId="0" fontId="209" fillId="0" borderId="120" xfId="10" applyFont="1" applyBorder="1" applyAlignment="1" applyProtection="1">
      <alignment horizontal="left" vertical="center"/>
    </xf>
    <xf numFmtId="0" fontId="7" fillId="0" borderId="45" xfId="10" applyBorder="1" applyAlignment="1" applyProtection="1">
      <alignment horizontal="left" vertical="center"/>
    </xf>
    <xf numFmtId="0" fontId="209" fillId="0" borderId="35" xfId="10" applyFont="1" applyBorder="1" applyAlignment="1" applyProtection="1">
      <alignment horizontal="left" vertical="center"/>
    </xf>
    <xf numFmtId="198" fontId="0" fillId="0" borderId="0" xfId="0" applyNumberFormat="1" applyAlignment="1" quotePrefix="1">
      <alignment horizontal="center" vertical="center"/>
    </xf>
    <xf numFmtId="0" fontId="180" fillId="0" borderId="12" xfId="0" applyFont="1" applyBorder="1" applyAlignment="1" quotePrefix="1">
      <alignment horizontal="center" vertical="center"/>
    </xf>
    <xf numFmtId="198" fontId="5" fillId="0" borderId="0" xfId="0" applyNumberFormat="1" applyFont="1" applyAlignment="1" quotePrefix="1">
      <alignment horizontal="center" vertical="center"/>
    </xf>
    <xf numFmtId="0" fontId="0" fillId="0" borderId="4" xfId="0" applyNumberFormat="1" applyFont="1" applyBorder="1" applyAlignment="1" applyProtection="1" quotePrefix="1">
      <alignment horizontal="left" vertical="center" wrapText="1"/>
      <protection locked="0"/>
    </xf>
    <xf numFmtId="0" fontId="99" fillId="0" borderId="29" xfId="0" applyFont="1" applyFill="1" applyBorder="1" applyAlignment="1" quotePrefix="1">
      <alignment horizontal="center" vertical="center" wrapText="1"/>
    </xf>
    <xf numFmtId="0" fontId="88" fillId="0" borderId="0" xfId="0" applyFont="1" quotePrefix="1"/>
    <xf numFmtId="0" fontId="90" fillId="4" borderId="45" xfId="0" applyFont="1" applyFill="1" applyBorder="1" quotePrefix="1"/>
    <xf numFmtId="0" fontId="85" fillId="0" borderId="0" xfId="0" applyFont="1" quotePrefix="1"/>
  </cellXfs>
  <cellStyles count="55">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常规_双驱选型计算" xfId="19"/>
    <cellStyle name="标题 1" xfId="20" builtinId="16"/>
    <cellStyle name="标题 2" xfId="21" builtinId="17"/>
    <cellStyle name="60% - 强调文字颜色 1" xfId="22" builtinId="32"/>
    <cellStyle name="标题 3" xfId="23" builtinId="18"/>
    <cellStyle name="60% - 强调文字颜色 4" xfId="24" builtinId="44"/>
    <cellStyle name="输出" xfId="25" builtinId="21"/>
    <cellStyle name="计算" xfId="26" builtinId="22"/>
    <cellStyle name="Normal_1" xfId="27"/>
    <cellStyle name="检查单元格" xfId="28" builtinId="23"/>
    <cellStyle name="20% - 强调文字颜色 6" xfId="29" builtinId="50"/>
    <cellStyle name="强调文字颜色 2" xfId="30" builtinId="33"/>
    <cellStyle name="链接单元格" xfId="31" builtinId="24"/>
    <cellStyle name="汇总" xfId="32" builtinId="25"/>
    <cellStyle name="好" xfId="33" builtinId="26"/>
    <cellStyle name="适中" xfId="34" builtinId="28"/>
    <cellStyle name="20% - 强调文字颜色 5" xfId="35" builtinId="46"/>
    <cellStyle name="强调文字颜色 1" xfId="36" builtinId="29"/>
    <cellStyle name="20% - 强调文字颜色 1" xfId="37" builtinId="30"/>
    <cellStyle name="40% - 强调文字颜色 1" xfId="38" builtinId="31"/>
    <cellStyle name="20% - 强调文字颜色 2" xfId="39" builtinId="34"/>
    <cellStyle name="40% - 强调文字颜色 2" xfId="40" builtinId="35"/>
    <cellStyle name="强调文字颜色 3" xfId="41" builtinId="37"/>
    <cellStyle name="强调文字颜色 4" xfId="42" builtinId="41"/>
    <cellStyle name="20% - 强调文字颜色 4" xfId="43" builtinId="42"/>
    <cellStyle name="常规_选型计算" xfId="44"/>
    <cellStyle name="40% - 强调文字颜色 4" xfId="45" builtinId="43"/>
    <cellStyle name="强调文字颜色 5" xfId="46" builtinId="45"/>
    <cellStyle name="常规 2 2" xfId="47"/>
    <cellStyle name="40% - 强调文字颜色 5" xfId="48" builtinId="47"/>
    <cellStyle name="60% - 强调文字颜色 5" xfId="49" builtinId="48"/>
    <cellStyle name="强调文字颜色 6" xfId="50" builtinId="49"/>
    <cellStyle name="40% - 强调文字颜色 6" xfId="51" builtinId="51"/>
    <cellStyle name="60% - 强调文字颜色 6" xfId="52" builtinId="52"/>
    <cellStyle name="常规 2" xfId="53"/>
    <cellStyle name="常规 3" xfId="54"/>
  </cellStyles>
  <dxfs count="7">
    <dxf>
      <fill>
        <patternFill patternType="solid">
          <bgColor rgb="FFFFFF00"/>
        </patternFill>
      </fill>
    </dxf>
    <dxf>
      <font>
        <color rgb="FF7030A0"/>
      </font>
    </dxf>
    <dxf>
      <fill>
        <patternFill patternType="solid">
          <bgColor rgb="FF00B050"/>
        </patternFill>
      </fill>
    </dxf>
    <dxf>
      <fill>
        <patternFill patternType="solid">
          <bgColor rgb="FFFF0000"/>
        </patternFill>
      </fill>
    </dxf>
    <dxf>
      <fill>
        <patternFill patternType="solid">
          <bgColor rgb="FF00FF00"/>
        </patternFill>
      </fill>
    </dxf>
    <dxf>
      <fill>
        <patternFill patternType="solid">
          <bgColor indexed="11"/>
        </patternFill>
      </fill>
    </dxf>
    <dxf>
      <fill>
        <patternFill patternType="solid">
          <bgColor indexed="10"/>
        </patternFill>
      </fill>
    </dxf>
  </dxfs>
  <tableStyles count="0" defaultTableStyle="TableStyleMedium9" defaultPivotStyle="PivotStyleLight16"/>
  <colors>
    <mruColors>
      <color rgb="00660066"/>
      <color rgb="00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6" Type="http://schemas.openxmlformats.org/officeDocument/2006/relationships/sharedStrings" Target="sharedStrings.xml"/><Relationship Id="rId85" Type="http://schemas.openxmlformats.org/officeDocument/2006/relationships/styles" Target="styles.xml"/><Relationship Id="rId84" Type="http://schemas.openxmlformats.org/officeDocument/2006/relationships/theme" Target="theme/theme1.xml"/><Relationship Id="rId83" Type="http://schemas.openxmlformats.org/officeDocument/2006/relationships/externalLink" Target="externalLinks/externalLink4.xml"/><Relationship Id="rId82" Type="http://schemas.openxmlformats.org/officeDocument/2006/relationships/externalLink" Target="externalLinks/externalLink3.xml"/><Relationship Id="rId81" Type="http://schemas.openxmlformats.org/officeDocument/2006/relationships/externalLink" Target="externalLinks/externalLink2.xml"/><Relationship Id="rId80" Type="http://schemas.openxmlformats.org/officeDocument/2006/relationships/externalLink" Target="externalLinks/externalLink1.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CN" altLang="en-US" sz="1000" b="0" i="0" u="none" strike="noStrike" baseline="0">
                <a:solidFill>
                  <a:srgbClr val="000000"/>
                </a:solidFill>
                <a:latin typeface="宋体" panose="02010600030101010101" pitchFamily="7" charset="-122"/>
                <a:ea typeface="宋体" panose="02010600030101010101" pitchFamily="7" charset="-122"/>
              </a:rPr>
              <a:t>流量</a:t>
            </a:r>
            <a:r>
              <a:rPr lang="zh-CN" altLang="en-US" sz="1000" b="0" i="0" u="none" strike="noStrike" baseline="0">
                <a:solidFill>
                  <a:srgbClr val="000000"/>
                </a:solidFill>
                <a:latin typeface="Arial" panose="020B0604020202020204"/>
                <a:ea typeface="宋体" panose="02010600030101010101" pitchFamily="7" charset="-122"/>
                <a:cs typeface="Arial" panose="020B0604020202020204"/>
              </a:rPr>
              <a:t>--</a:t>
            </a:r>
            <a:r>
              <a:rPr lang="zh-CN" altLang="en-US" sz="1000" b="0" i="0" u="none" strike="noStrike" baseline="0">
                <a:solidFill>
                  <a:srgbClr val="000000"/>
                </a:solidFill>
                <a:latin typeface="宋体" panose="02010600030101010101" pitchFamily="7" charset="-122"/>
                <a:ea typeface="宋体" panose="02010600030101010101" pitchFamily="7" charset="-122"/>
                <a:cs typeface="Arial" panose="020B0604020202020204"/>
              </a:rPr>
              <a:t>压力曲线</a:t>
            </a:r>
            <a:endParaRPr lang="zh-CN" altLang="en-US" sz="1000" b="0" i="0" u="none" strike="noStrike" baseline="0">
              <a:solidFill>
                <a:srgbClr val="000000"/>
              </a:solidFill>
              <a:latin typeface="宋体" panose="02010600030101010101" pitchFamily="7" charset="-122"/>
              <a:ea typeface="宋体" panose="02010600030101010101" pitchFamily="7" charset="-122"/>
              <a:cs typeface="Arial" panose="020B0604020202020204"/>
            </a:endParaRPr>
          </a:p>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ltLang="en-US"/>
          </a:p>
        </c:rich>
      </c:tx>
      <c:layout>
        <c:manualLayout>
          <c:xMode val="edge"/>
          <c:yMode val="edge"/>
          <c:x val="0.384905660377359"/>
          <c:y val="0.0167785234899329"/>
        </c:manualLayout>
      </c:layout>
      <c:overlay val="0"/>
      <c:spPr>
        <a:noFill/>
        <a:ln w="25400">
          <a:noFill/>
        </a:ln>
      </c:spPr>
    </c:title>
    <c:autoTitleDeleted val="0"/>
    <c:plotArea>
      <c:layout>
        <c:manualLayout>
          <c:layoutTarget val="inner"/>
          <c:xMode val="edge"/>
          <c:yMode val="edge"/>
          <c:x val="0.130188679245283"/>
          <c:y val="0.110738436481551"/>
          <c:w val="0.820754716981132"/>
          <c:h val="0.697987720853412"/>
        </c:manualLayout>
      </c:layout>
      <c:lineChart>
        <c:grouping val="standard"/>
        <c:varyColors val="0"/>
        <c:ser>
          <c:idx val="0"/>
          <c:order val="0"/>
          <c:tx>
            <c:strRef>
              <c:f>[1]风机性能表!$A$1:$E$1</c:f>
              <c:strCache>
                <c:ptCount val="1"/>
                <c:pt idx="0">
                  <c:v>风机性能表</c:v>
                </c:pt>
              </c:strCache>
            </c:strRef>
          </c:tx>
          <c:spPr>
            <a:ln w="12700" cap="rnd" cmpd="sng" algn="ctr">
              <a:solidFill>
                <a:srgbClr val="000000"/>
              </a:solidFill>
              <a:prstDash val="solid"/>
              <a:round/>
            </a:ln>
          </c:spPr>
          <c:marker>
            <c:symbol val="none"/>
          </c:marker>
          <c:dLbls>
            <c:delete val="1"/>
          </c:dLbls>
          <c:cat>
            <c:numRef>
              <c:f>[1]风机性能表!$F$9:$F$14</c:f>
              <c:numCache>
                <c:formatCode>General</c:formatCode>
                <c:ptCount val="6"/>
                <c:pt idx="0">
                  <c:v>72141.2811934986</c:v>
                </c:pt>
                <c:pt idx="1">
                  <c:v>78472.8298088854</c:v>
                </c:pt>
                <c:pt idx="2">
                  <c:v>85610.2118844124</c:v>
                </c:pt>
                <c:pt idx="3">
                  <c:v>91327.7921492163</c:v>
                </c:pt>
                <c:pt idx="4">
                  <c:v>97659.3407646031</c:v>
                </c:pt>
                <c:pt idx="5">
                  <c:v>103990.88937999</c:v>
                </c:pt>
              </c:numCache>
            </c:numRef>
          </c:cat>
          <c:val>
            <c:numRef>
              <c:f>[1]风机性能表!$E$9:$E$14</c:f>
              <c:numCache>
                <c:formatCode>General</c:formatCode>
                <c:ptCount val="6"/>
                <c:pt idx="0">
                  <c:v>4194.43142127359</c:v>
                </c:pt>
                <c:pt idx="1">
                  <c:v>4138.20358868613</c:v>
                </c:pt>
                <c:pt idx="2">
                  <c:v>3969.64852975673</c:v>
                </c:pt>
                <c:pt idx="3">
                  <c:v>3773.24432052632</c:v>
                </c:pt>
                <c:pt idx="4">
                  <c:v>3558.43541973141</c:v>
                </c:pt>
                <c:pt idx="5">
                  <c:v>3314.1224485095</c:v>
                </c:pt>
              </c:numCache>
            </c:numRef>
          </c:val>
          <c:smooth val="1"/>
        </c:ser>
        <c:dLbls>
          <c:showLegendKey val="0"/>
          <c:showVal val="0"/>
          <c:showCatName val="0"/>
          <c:showSerName val="0"/>
          <c:showPercent val="0"/>
          <c:showBubbleSize val="0"/>
        </c:dLbls>
        <c:marker val="0"/>
        <c:smooth val="1"/>
        <c:axId val="107534592"/>
        <c:axId val="124873344"/>
      </c:lineChart>
      <c:catAx>
        <c:axId val="107534592"/>
        <c:scaling>
          <c:orientation val="minMax"/>
        </c:scaling>
        <c:delete val="0"/>
        <c:axPos val="b"/>
        <c:majorGridlines>
          <c:spPr>
            <a:ln w="3175" cap="flat" cmpd="sng" algn="ctr">
              <a:solidFill>
                <a:srgbClr val="000000"/>
              </a:solidFill>
              <a:prstDash val="solid"/>
              <a:round/>
            </a:ln>
          </c:spPr>
        </c:majorGridlines>
        <c:minorGridlines>
          <c:spPr>
            <a:ln w="3175" cap="flat" cmpd="sng" algn="ctr">
              <a:solidFill>
                <a:srgbClr val="000000"/>
              </a:solidFill>
              <a:prstDash val="solid"/>
              <a:round/>
            </a:ln>
          </c:spPr>
        </c:minorGridlines>
        <c:title>
          <c:tx>
            <c:rich>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r>
                  <a:rPr lang="en-US" altLang="en-US"/>
                  <a:t>m3/h</a:t>
                </a:r>
                <a:endParaRPr lang="en-US" altLang="en-US"/>
              </a:p>
            </c:rich>
          </c:tx>
          <c:layout>
            <c:manualLayout>
              <c:xMode val="edge"/>
              <c:yMode val="edge"/>
              <c:x val="0.509433962264151"/>
              <c:y val="0.909397382374183"/>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p>
        </c:txPr>
        <c:crossAx val="124873344"/>
        <c:crosses val="autoZero"/>
        <c:auto val="0"/>
        <c:lblAlgn val="ctr"/>
        <c:lblOffset val="100"/>
        <c:tickLblSkip val="1"/>
        <c:noMultiLvlLbl val="0"/>
      </c:catAx>
      <c:valAx>
        <c:axId val="124873344"/>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r>
                  <a:rPr lang="en-US" altLang="en-US"/>
                  <a:t>pa</a:t>
                </a:r>
                <a:endParaRPr lang="en-US" altLang="en-US"/>
              </a:p>
            </c:rich>
          </c:tx>
          <c:layout>
            <c:manualLayout>
              <c:xMode val="edge"/>
              <c:yMode val="edge"/>
              <c:x val="0.00943396226415094"/>
              <c:y val="0.429530905952192"/>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p>
        </c:txPr>
        <c:crossAx val="107534592"/>
        <c:crosses val="autoZero"/>
        <c:crossBetween val="midCat"/>
      </c:valAx>
      <c:spPr>
        <a:noFill/>
        <a:ln w="25400">
          <a:noFill/>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CN" altLang="en-US" sz="1000" b="0" i="0" u="none" strike="noStrike" baseline="0">
                <a:solidFill>
                  <a:srgbClr val="000000"/>
                </a:solidFill>
                <a:latin typeface="宋体" panose="02010600030101010101" pitchFamily="7" charset="-122"/>
                <a:ea typeface="宋体" panose="02010600030101010101" pitchFamily="7" charset="-122"/>
              </a:rPr>
              <a:t>流量</a:t>
            </a:r>
            <a:r>
              <a:rPr lang="zh-CN" altLang="en-US" sz="1000" b="0" i="0" u="none" strike="noStrike" baseline="0">
                <a:solidFill>
                  <a:srgbClr val="000000"/>
                </a:solidFill>
                <a:latin typeface="Arial" panose="020B0604020202020204"/>
                <a:ea typeface="宋体" panose="02010600030101010101" pitchFamily="7" charset="-122"/>
                <a:cs typeface="Arial" panose="020B0604020202020204"/>
              </a:rPr>
              <a:t>--</a:t>
            </a:r>
            <a:r>
              <a:rPr lang="zh-CN" altLang="en-US" sz="1000" b="0" i="0" u="none" strike="noStrike" baseline="0">
                <a:solidFill>
                  <a:srgbClr val="000000"/>
                </a:solidFill>
                <a:latin typeface="宋体" panose="02010600030101010101" pitchFamily="7" charset="-122"/>
                <a:ea typeface="宋体" panose="02010600030101010101" pitchFamily="7" charset="-122"/>
                <a:cs typeface="Arial" panose="020B0604020202020204"/>
              </a:rPr>
              <a:t>效率曲线</a:t>
            </a:r>
            <a:endParaRPr lang="zh-CN" altLang="en-US" sz="1000" b="0" i="0" u="none" strike="noStrike" baseline="0">
              <a:solidFill>
                <a:srgbClr val="000000"/>
              </a:solidFill>
              <a:latin typeface="宋体" panose="02010600030101010101" pitchFamily="7" charset="-122"/>
              <a:ea typeface="宋体" panose="02010600030101010101" pitchFamily="7" charset="-122"/>
              <a:cs typeface="Arial" panose="020B0604020202020204"/>
            </a:endParaRPr>
          </a:p>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endParaRPr lang="zh-CN" altLang="en-US"/>
          </a:p>
        </c:rich>
      </c:tx>
      <c:layout>
        <c:manualLayout>
          <c:xMode val="edge"/>
          <c:yMode val="edge"/>
          <c:x val="0.384905660377359"/>
          <c:y val="0.0183150183150183"/>
        </c:manualLayout>
      </c:layout>
      <c:overlay val="0"/>
      <c:spPr>
        <a:noFill/>
        <a:ln w="25400">
          <a:noFill/>
        </a:ln>
      </c:spPr>
    </c:title>
    <c:autoTitleDeleted val="0"/>
    <c:plotArea>
      <c:layout>
        <c:manualLayout>
          <c:layoutTarget val="inner"/>
          <c:xMode val="edge"/>
          <c:yMode val="edge"/>
          <c:x val="0.143396226415094"/>
          <c:y val="0.113553519751316"/>
          <c:w val="0.809433962264151"/>
          <c:h val="0.758244470597494"/>
        </c:manualLayout>
      </c:layout>
      <c:lineChart>
        <c:grouping val="standard"/>
        <c:varyColors val="0"/>
        <c:ser>
          <c:idx val="0"/>
          <c:order val="0"/>
          <c:tx>
            <c:strRef>
              <c:f>[1]风机性能表!$A$1:$E$1</c:f>
              <c:strCache>
                <c:ptCount val="1"/>
                <c:pt idx="0">
                  <c:v>风机性能表</c:v>
                </c:pt>
              </c:strCache>
            </c:strRef>
          </c:tx>
          <c:spPr>
            <a:ln w="12700" cap="rnd" cmpd="sng" algn="ctr">
              <a:solidFill>
                <a:srgbClr val="000000"/>
              </a:solidFill>
              <a:prstDash val="solid"/>
              <a:round/>
            </a:ln>
          </c:spPr>
          <c:marker>
            <c:symbol val="none"/>
          </c:marker>
          <c:dLbls>
            <c:delete val="1"/>
          </c:dLbls>
          <c:cat>
            <c:strRef>
              <c:f>[1]风机性能表!$F$9:$F$16</c:f>
              <c:strCache>
                <c:ptCount val="8"/>
                <c:pt idx="0">
                  <c:v>72141.28119</c:v>
                </c:pt>
                <c:pt idx="1">
                  <c:v>78472.82981</c:v>
                </c:pt>
                <c:pt idx="2">
                  <c:v>85610.21188</c:v>
                </c:pt>
                <c:pt idx="3">
                  <c:v>91327.79215</c:v>
                </c:pt>
                <c:pt idx="4">
                  <c:v>97659.34076</c:v>
                </c:pt>
                <c:pt idx="5">
                  <c:v>103990.8894</c:v>
                </c:pt>
                <c:pt idx="6">
                  <c:v/>
                </c:pt>
                <c:pt idx="7">
                  <c:v/>
                </c:pt>
              </c:strCache>
            </c:strRef>
          </c:cat>
          <c:val>
            <c:numRef>
              <c:f>[1]风机性能表!$D$9:$D$16</c:f>
              <c:numCache>
                <c:formatCode>General</c:formatCode>
                <c:ptCount val="8"/>
                <c:pt idx="0">
                  <c:v>0.82</c:v>
                </c:pt>
                <c:pt idx="1">
                  <c:v>0.85</c:v>
                </c:pt>
                <c:pt idx="2">
                  <c:v>0.88</c:v>
                </c:pt>
                <c:pt idx="3">
                  <c:v>0.89</c:v>
                </c:pt>
                <c:pt idx="4">
                  <c:v>0.87</c:v>
                </c:pt>
                <c:pt idx="5">
                  <c:v>0.83</c:v>
                </c:pt>
                <c:pt idx="6">
                  <c:v>0</c:v>
                </c:pt>
                <c:pt idx="7">
                  <c:v>0</c:v>
                </c:pt>
              </c:numCache>
            </c:numRef>
          </c:val>
          <c:smooth val="1"/>
        </c:ser>
        <c:dLbls>
          <c:showLegendKey val="0"/>
          <c:showVal val="0"/>
          <c:showCatName val="0"/>
          <c:showSerName val="0"/>
          <c:showPercent val="0"/>
          <c:showBubbleSize val="0"/>
        </c:dLbls>
        <c:marker val="0"/>
        <c:smooth val="1"/>
        <c:axId val="124897920"/>
        <c:axId val="127734528"/>
      </c:lineChart>
      <c:catAx>
        <c:axId val="124897920"/>
        <c:scaling>
          <c:orientation val="minMax"/>
        </c:scaling>
        <c:delete val="0"/>
        <c:axPos val="b"/>
        <c:majorGridlines>
          <c:spPr>
            <a:ln w="3175" cap="flat" cmpd="sng" algn="ctr">
              <a:solidFill>
                <a:srgbClr val="000000"/>
              </a:solidFill>
              <a:prstDash val="solid"/>
              <a:round/>
            </a:ln>
          </c:spPr>
        </c:majorGridlines>
        <c:minorGridlines>
          <c:spPr>
            <a:ln w="3175" cap="flat" cmpd="sng" algn="ctr">
              <a:solidFill>
                <a:srgbClr val="000000"/>
              </a:solidFill>
              <a:prstDash val="solid"/>
              <a:round/>
            </a:ln>
          </c:spPr>
        </c:minorGridlines>
        <c:title>
          <c:tx>
            <c:rich>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r>
                  <a:rPr lang="en-US" altLang="en-US"/>
                  <a:t>m3/h</a:t>
                </a:r>
                <a:endParaRPr lang="en-US" altLang="en-US"/>
              </a:p>
            </c:rich>
          </c:tx>
          <c:layout>
            <c:manualLayout>
              <c:xMode val="edge"/>
              <c:yMode val="edge"/>
              <c:x val="0.516981132075472"/>
              <c:y val="0.901101977637411"/>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Arial" panose="020B0604020202020204"/>
                <a:ea typeface="Arial" panose="020B0604020202020204"/>
                <a:cs typeface="Arial" panose="020B0604020202020204"/>
              </a:defRPr>
            </a:pPr>
          </a:p>
        </c:txPr>
        <c:crossAx val="127734528"/>
        <c:crosses val="autoZero"/>
        <c:auto val="0"/>
        <c:lblAlgn val="ctr"/>
        <c:lblOffset val="100"/>
        <c:tickLblSkip val="1"/>
        <c:noMultiLvlLbl val="0"/>
      </c:catAx>
      <c:valAx>
        <c:axId val="127734528"/>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r>
                  <a:rPr lang="en-US" altLang="zh-TW"/>
                  <a:t>%</a:t>
                </a:r>
                <a:endParaRPr lang="en-US" altLang="zh-TW"/>
              </a:p>
            </c:rich>
          </c:tx>
          <c:layout>
            <c:manualLayout>
              <c:xMode val="edge"/>
              <c:yMode val="edge"/>
              <c:x val="0.00943396226415094"/>
              <c:y val="0.461539999807716"/>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1000" b="0" i="0" u="none" strike="noStrike" kern="1200" baseline="0">
                <a:solidFill>
                  <a:srgbClr val="000000"/>
                </a:solidFill>
                <a:latin typeface="Arial" panose="020B0604020202020204"/>
                <a:ea typeface="Arial" panose="020B0604020202020204"/>
                <a:cs typeface="Arial" panose="020B0604020202020204"/>
              </a:defRPr>
            </a:pPr>
          </a:p>
        </c:txPr>
        <c:crossAx val="124897920"/>
        <c:crosses val="autoZero"/>
        <c:crossBetween val="midCat"/>
      </c:valAx>
      <c:spPr>
        <a:noFill/>
        <a:ln w="25400">
          <a:noFill/>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45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风机性能曲线</a:t>
            </a:r>
            <a:endParaRPr lang="zh-TW" altLang="en-US"/>
          </a:p>
        </c:rich>
      </c:tx>
      <c:layout>
        <c:manualLayout>
          <c:xMode val="edge"/>
          <c:yMode val="edge"/>
          <c:x val="0.396933560477002"/>
          <c:y val="0.0150602409638554"/>
        </c:manualLayout>
      </c:layout>
      <c:overlay val="0"/>
      <c:spPr>
        <a:noFill/>
        <a:ln w="25400">
          <a:noFill/>
        </a:ln>
      </c:spPr>
    </c:title>
    <c:autoTitleDeleted val="0"/>
    <c:plotArea>
      <c:layout>
        <c:manualLayout>
          <c:layoutTarget val="inner"/>
          <c:xMode val="edge"/>
          <c:yMode val="edge"/>
          <c:x val="0.126064735945486"/>
          <c:y val="0.195783132530121"/>
          <c:w val="0.730834752981261"/>
          <c:h val="0.63855421686747"/>
        </c:manualLayout>
      </c:layout>
      <c:scatterChart>
        <c:scatterStyle val="smooth"/>
        <c:varyColors val="0"/>
        <c:ser>
          <c:idx val="0"/>
          <c:order val="0"/>
          <c:tx>
            <c:strRef>
              <c:f>"流量-压力"</c:f>
              <c:strCache>
                <c:ptCount val="1"/>
                <c:pt idx="0">
                  <c:v>流量-压力</c:v>
                </c:pt>
              </c:strCache>
            </c:strRef>
          </c:tx>
          <c:spPr>
            <a:ln w="25400" cap="rnd" cmpd="sng" algn="ctr">
              <a:solidFill>
                <a:srgbClr val="000080"/>
              </a:solidFill>
              <a:prstDash val="solid"/>
              <a:round/>
            </a:ln>
          </c:spPr>
          <c:marker>
            <c:symbol val="none"/>
          </c:marker>
          <c:dLbls>
            <c:delete val="1"/>
          </c:dLbls>
          <c:xVal>
            <c:numRef>
              <c:f>[3]参数!$C$12:$C$18</c:f>
              <c:numCache>
                <c:formatCode>General</c:formatCode>
                <c:ptCount val="7"/>
                <c:pt idx="0">
                  <c:v>0</c:v>
                </c:pt>
                <c:pt idx="1">
                  <c:v>0</c:v>
                </c:pt>
                <c:pt idx="2">
                  <c:v>0</c:v>
                </c:pt>
                <c:pt idx="3">
                  <c:v>0</c:v>
                </c:pt>
                <c:pt idx="4">
                  <c:v>0</c:v>
                </c:pt>
                <c:pt idx="5">
                  <c:v>0</c:v>
                </c:pt>
                <c:pt idx="6">
                  <c:v>0</c:v>
                </c:pt>
              </c:numCache>
            </c:numRef>
          </c:xVal>
          <c:yVal>
            <c:numRef>
              <c:f>[3]参数!$D$12:$D$18</c:f>
              <c:numCache>
                <c:formatCode>General</c:formatCode>
                <c:ptCount val="7"/>
                <c:pt idx="0">
                  <c:v>0</c:v>
                </c:pt>
                <c:pt idx="1">
                  <c:v>0</c:v>
                </c:pt>
                <c:pt idx="2">
                  <c:v>0</c:v>
                </c:pt>
                <c:pt idx="3">
                  <c:v>0</c:v>
                </c:pt>
                <c:pt idx="4">
                  <c:v>0</c:v>
                </c:pt>
                <c:pt idx="5">
                  <c:v>0</c:v>
                </c:pt>
                <c:pt idx="6">
                  <c:v>0</c:v>
                </c:pt>
              </c:numCache>
            </c:numRef>
          </c:yVal>
          <c:smooth val="1"/>
        </c:ser>
        <c:dLbls>
          <c:showLegendKey val="0"/>
          <c:showVal val="0"/>
          <c:showCatName val="0"/>
          <c:showSerName val="0"/>
          <c:showPercent val="0"/>
          <c:showBubbleSize val="0"/>
        </c:dLbls>
        <c:axId val="126860672"/>
        <c:axId val="126866944"/>
      </c:scatterChart>
      <c:scatterChart>
        <c:scatterStyle val="line"/>
        <c:varyColors val="0"/>
        <c:ser>
          <c:idx val="1"/>
          <c:order val="1"/>
          <c:tx>
            <c:strRef>
              <c:f>"流量-效率"</c:f>
              <c:strCache>
                <c:ptCount val="1"/>
                <c:pt idx="0">
                  <c:v>流量-效率</c:v>
                </c:pt>
              </c:strCache>
            </c:strRef>
          </c:tx>
          <c:spPr>
            <a:ln w="12700" cap="rnd" cmpd="sng" algn="ctr">
              <a:solidFill>
                <a:srgbClr val="FF00FF"/>
              </a:solidFill>
              <a:prstDash val="solid"/>
              <a:round/>
            </a:ln>
          </c:spPr>
          <c:marker>
            <c:symbol val="none"/>
          </c:marker>
          <c:dLbls>
            <c:delete val="1"/>
          </c:dLbls>
          <c:xVal>
            <c:numRef>
              <c:f>[3]参数!$C$12:$C$18</c:f>
              <c:numCache>
                <c:formatCode>General</c:formatCode>
                <c:ptCount val="7"/>
                <c:pt idx="0">
                  <c:v>0</c:v>
                </c:pt>
                <c:pt idx="1">
                  <c:v>0</c:v>
                </c:pt>
                <c:pt idx="2">
                  <c:v>0</c:v>
                </c:pt>
                <c:pt idx="3">
                  <c:v>0</c:v>
                </c:pt>
                <c:pt idx="4">
                  <c:v>0</c:v>
                </c:pt>
                <c:pt idx="5">
                  <c:v>0</c:v>
                </c:pt>
                <c:pt idx="6">
                  <c:v>0</c:v>
                </c:pt>
              </c:numCache>
            </c:numRef>
          </c:xVal>
          <c:yVal>
            <c:numRef>
              <c:f>[3]参数!$E$12:$E$18</c:f>
              <c:numCache>
                <c:formatCode>General</c:formatCode>
                <c:ptCount val="7"/>
                <c:pt idx="0">
                  <c:v>0</c:v>
                </c:pt>
                <c:pt idx="1">
                  <c:v>0</c:v>
                </c:pt>
                <c:pt idx="2">
                  <c:v>0</c:v>
                </c:pt>
                <c:pt idx="3">
                  <c:v>0</c:v>
                </c:pt>
                <c:pt idx="4">
                  <c:v>0</c:v>
                </c:pt>
                <c:pt idx="5">
                  <c:v>0</c:v>
                </c:pt>
                <c:pt idx="6">
                  <c:v>0</c:v>
                </c:pt>
              </c:numCache>
            </c:numRef>
          </c:yVal>
          <c:smooth val="1"/>
        </c:ser>
        <c:dLbls>
          <c:showLegendKey val="0"/>
          <c:showVal val="0"/>
          <c:showCatName val="0"/>
          <c:showSerName val="0"/>
          <c:showPercent val="0"/>
          <c:showBubbleSize val="0"/>
        </c:dLbls>
        <c:axId val="126868864"/>
        <c:axId val="126874752"/>
      </c:scatterChart>
      <c:valAx>
        <c:axId val="126860672"/>
        <c:scaling>
          <c:orientation val="minMax"/>
          <c:min val="500"/>
        </c:scaling>
        <c:delete val="0"/>
        <c:axPos val="b"/>
        <c:majorGridlines>
          <c:spPr>
            <a:ln w="3175" cap="flat" cmpd="sng" algn="ctr">
              <a:solidFill>
                <a:srgbClr val="000000"/>
              </a:solidFill>
              <a:prstDash val="solid"/>
              <a:round/>
            </a:ln>
          </c:spPr>
        </c:majorGridlines>
        <c:title>
          <c:tx>
            <c:rich>
              <a:bodyPr rot="0" spcFirstLastPara="0" vertOverflow="ellipsis" vert="horz" wrap="square" anchor="ctr" anchorCtr="1"/>
              <a:lstStyle/>
              <a:p>
                <a:pPr>
                  <a:defRPr lang="zh-CN" sz="10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流量</a:t>
                </a:r>
                <a:r>
                  <a:rPr lang="en-US" altLang="zh-TW"/>
                  <a:t>(</a:t>
                </a:r>
                <a:r>
                  <a:rPr lang="en-US" altLang="en-US"/>
                  <a:t>m3/h)</a:t>
                </a:r>
                <a:endParaRPr lang="en-US" altLang="en-US"/>
              </a:p>
            </c:rich>
          </c:tx>
          <c:layout>
            <c:manualLayout>
              <c:xMode val="edge"/>
              <c:yMode val="edge"/>
              <c:x val="0.429301533219762"/>
              <c:y val="0.91566265060241"/>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866944"/>
        <c:crosses val="autoZero"/>
        <c:crossBetween val="midCat"/>
      </c:valAx>
      <c:valAx>
        <c:axId val="126866944"/>
        <c:scaling>
          <c:orientation val="minMax"/>
          <c:min val="200"/>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9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压力</a:t>
                </a:r>
                <a:r>
                  <a:rPr lang="en-US" altLang="zh-TW"/>
                  <a:t>(</a:t>
                </a:r>
                <a:r>
                  <a:rPr lang="en-US" altLang="en-US"/>
                  <a:t>Pa)</a:t>
                </a:r>
                <a:endParaRPr lang="en-US" altLang="en-US"/>
              </a:p>
            </c:rich>
          </c:tx>
          <c:layout>
            <c:manualLayout>
              <c:xMode val="edge"/>
              <c:yMode val="edge"/>
              <c:x val="0.020442930153322"/>
              <c:y val="0.427710843373494"/>
            </c:manualLayout>
          </c:layout>
          <c:overlay val="0"/>
          <c:spPr>
            <a:noFill/>
            <a:ln w="25400">
              <a:noFill/>
            </a:ln>
          </c:spPr>
        </c:title>
        <c:numFmt formatCode="General" sourceLinked="1"/>
        <c:majorTickMark val="in"/>
        <c:minorTickMark val="none"/>
        <c:tickLblPos val="nextTo"/>
        <c:spPr>
          <a:ln w="9525" cap="flat" cmpd="sng" algn="ctr">
            <a:noFill/>
            <a:prstDash val="solid"/>
            <a:round/>
          </a:ln>
        </c:spPr>
        <c:txPr>
          <a:bodyPr rot="0" spcFirstLastPara="0" vertOverflow="ellipsis" vert="horz" wrap="square" anchor="ctr" anchorCtr="1"/>
          <a:lstStyle/>
          <a:p>
            <a:pPr>
              <a:defRPr lang="zh-CN" sz="8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860672"/>
        <c:crosses val="autoZero"/>
        <c:crossBetween val="midCat"/>
      </c:valAx>
      <c:valAx>
        <c:axId val="126868864"/>
        <c:scaling>
          <c:orientation val="minMax"/>
        </c:scaling>
        <c:delete val="1"/>
        <c:axPos val="b"/>
        <c:numFmt formatCode="General" sourceLinked="1"/>
        <c:majorTickMark val="out"/>
        <c:minorTickMark val="none"/>
        <c:tickLblPos val="none"/>
        <c:txPr>
          <a:bodyPr rot="-60000000" spcFirstLastPara="0" vertOverflow="ellipsis" vert="horz" wrap="square" anchor="ctr" anchorCtr="1"/>
          <a:lstStyle/>
          <a:p>
            <a:pPr>
              <a:defRPr lang="zh-CN" sz="145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874752"/>
        <c:crosses val="autoZero"/>
        <c:crossBetween val="midCat"/>
      </c:valAx>
      <c:valAx>
        <c:axId val="126874752"/>
        <c:scaling>
          <c:orientation val="minMax"/>
        </c:scaling>
        <c:delete val="0"/>
        <c:axPos val="r"/>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868864"/>
        <c:crosses val="max"/>
        <c:crossBetween val="midCat"/>
      </c:valAx>
      <c:spPr>
        <a:solidFill>
          <a:srgbClr val="FFFFFF"/>
        </a:solidFill>
        <a:ln w="25400">
          <a:noFill/>
        </a:ln>
      </c:spPr>
    </c:plotArea>
    <c:legend>
      <c:legendPos val="t"/>
      <c:layout>
        <c:manualLayout>
          <c:xMode val="edge"/>
          <c:yMode val="edge"/>
          <c:x val="0.787052810902896"/>
          <c:y val="0.0150602409638554"/>
          <c:w val="0.158432708688245"/>
          <c:h val="0.105421686746988"/>
        </c:manualLayout>
      </c:layout>
      <c:overlay val="0"/>
      <c:spPr>
        <a:solidFill>
          <a:srgbClr val="FFFFFF">
            <a:alpha val="100000"/>
          </a:srgbClr>
        </a:solidFill>
        <a:ln w="3175">
          <a:solidFill>
            <a:srgbClr val="000000">
              <a:alpha val="100000"/>
            </a:srgbClr>
          </a:solidFill>
          <a:prstDash val="solid"/>
        </a:ln>
      </c:spPr>
      <c:txPr>
        <a:bodyPr rot="0" spcFirstLastPara="0" vertOverflow="ellipsis" vert="horz" wrap="square" anchor="ctr" anchorCtr="1"/>
        <a:lstStyle/>
        <a:p>
          <a:pPr>
            <a:defRPr lang="zh-CN" sz="75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legend>
    <c:plotVisOnly val="1"/>
    <c:dispBlanksAs val="gap"/>
    <c:showDLblsOverMax val="0"/>
  </c:chart>
  <c:spPr>
    <a:noFill/>
    <a:ln w="9525" cap="flat" cmpd="sng" algn="ctr">
      <a:noFill/>
      <a:prstDash val="solid"/>
      <a:round/>
    </a:ln>
  </c:spPr>
  <c:txPr>
    <a:bodyPr/>
    <a:lstStyle/>
    <a:p>
      <a:pPr>
        <a:defRPr lang="zh-CN" sz="145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zh-CN" sz="14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风机性能曲线</a:t>
            </a:r>
            <a:endParaRPr lang="zh-TW" altLang="en-US"/>
          </a:p>
        </c:rich>
      </c:tx>
      <c:layout>
        <c:manualLayout>
          <c:xMode val="edge"/>
          <c:yMode val="edge"/>
          <c:x val="0.394958336090342"/>
          <c:y val="0.0350877192982456"/>
        </c:manualLayout>
      </c:layout>
      <c:overlay val="0"/>
      <c:spPr>
        <a:noFill/>
        <a:ln w="25400">
          <a:noFill/>
        </a:ln>
      </c:spPr>
    </c:title>
    <c:autoTitleDeleted val="0"/>
    <c:plotArea>
      <c:layout>
        <c:manualLayout>
          <c:layoutTarget val="inner"/>
          <c:xMode val="edge"/>
          <c:yMode val="edge"/>
          <c:x val="0.114285808073306"/>
          <c:y val="0.207602931980229"/>
          <c:w val="0.773109878142954"/>
          <c:h val="0.657896615430303"/>
        </c:manualLayout>
      </c:layout>
      <c:scatterChart>
        <c:scatterStyle val="smooth"/>
        <c:varyColors val="0"/>
        <c:ser>
          <c:idx val="0"/>
          <c:order val="0"/>
          <c:tx>
            <c:strRef>
              <c:f>"流量-压力"</c:f>
              <c:strCache>
                <c:ptCount val="1"/>
                <c:pt idx="0">
                  <c:v>流量-压力</c:v>
                </c:pt>
              </c:strCache>
            </c:strRef>
          </c:tx>
          <c:spPr>
            <a:ln w="25400" cap="rnd" cmpd="sng" algn="ctr">
              <a:solidFill>
                <a:srgbClr val="000080"/>
              </a:solidFill>
              <a:prstDash val="solid"/>
              <a:round/>
            </a:ln>
          </c:spPr>
          <c:marker>
            <c:symbol val="none"/>
          </c:marker>
          <c:dLbls>
            <c:delete val="1"/>
          </c:dLbls>
          <c:xVal>
            <c:numRef>
              <c:f>[3]参数!$C$12:$C$18</c:f>
              <c:numCache>
                <c:formatCode>General</c:formatCode>
                <c:ptCount val="7"/>
                <c:pt idx="0">
                  <c:v>0</c:v>
                </c:pt>
                <c:pt idx="1">
                  <c:v>0</c:v>
                </c:pt>
                <c:pt idx="2">
                  <c:v>0</c:v>
                </c:pt>
                <c:pt idx="3">
                  <c:v>0</c:v>
                </c:pt>
                <c:pt idx="4">
                  <c:v>0</c:v>
                </c:pt>
                <c:pt idx="5">
                  <c:v>0</c:v>
                </c:pt>
                <c:pt idx="6">
                  <c:v>0</c:v>
                </c:pt>
              </c:numCache>
            </c:numRef>
          </c:xVal>
          <c:yVal>
            <c:numRef>
              <c:f>[3]参数!$D$12:$D$18</c:f>
              <c:numCache>
                <c:formatCode>General</c:formatCode>
                <c:ptCount val="7"/>
                <c:pt idx="0">
                  <c:v>0</c:v>
                </c:pt>
                <c:pt idx="1">
                  <c:v>0</c:v>
                </c:pt>
                <c:pt idx="2">
                  <c:v>0</c:v>
                </c:pt>
                <c:pt idx="3">
                  <c:v>0</c:v>
                </c:pt>
                <c:pt idx="4">
                  <c:v>0</c:v>
                </c:pt>
                <c:pt idx="5">
                  <c:v>0</c:v>
                </c:pt>
                <c:pt idx="6">
                  <c:v>0</c:v>
                </c:pt>
              </c:numCache>
            </c:numRef>
          </c:yVal>
          <c:smooth val="1"/>
        </c:ser>
        <c:dLbls>
          <c:showLegendKey val="0"/>
          <c:showVal val="0"/>
          <c:showCatName val="0"/>
          <c:showSerName val="0"/>
          <c:showPercent val="0"/>
          <c:showBubbleSize val="0"/>
        </c:dLbls>
        <c:axId val="126921728"/>
        <c:axId val="126928000"/>
      </c:scatterChart>
      <c:scatterChart>
        <c:scatterStyle val="line"/>
        <c:varyColors val="0"/>
        <c:ser>
          <c:idx val="1"/>
          <c:order val="1"/>
          <c:tx>
            <c:strRef>
              <c:f>"流量-功率"</c:f>
              <c:strCache>
                <c:ptCount val="1"/>
                <c:pt idx="0">
                  <c:v>流量-功率</c:v>
                </c:pt>
              </c:strCache>
            </c:strRef>
          </c:tx>
          <c:spPr>
            <a:ln w="12700" cap="rnd" cmpd="sng" algn="ctr">
              <a:solidFill>
                <a:srgbClr val="FF0000"/>
              </a:solidFill>
              <a:prstDash val="solid"/>
              <a:round/>
            </a:ln>
          </c:spPr>
          <c:marker>
            <c:symbol val="none"/>
          </c:marker>
          <c:dLbls>
            <c:delete val="1"/>
          </c:dLbls>
          <c:xVal>
            <c:numRef>
              <c:f>[3]参数!$C$12:$C$18</c:f>
              <c:numCache>
                <c:formatCode>General</c:formatCode>
                <c:ptCount val="7"/>
                <c:pt idx="0">
                  <c:v>0</c:v>
                </c:pt>
                <c:pt idx="1">
                  <c:v>0</c:v>
                </c:pt>
                <c:pt idx="2">
                  <c:v>0</c:v>
                </c:pt>
                <c:pt idx="3">
                  <c:v>0</c:v>
                </c:pt>
                <c:pt idx="4">
                  <c:v>0</c:v>
                </c:pt>
                <c:pt idx="5">
                  <c:v>0</c:v>
                </c:pt>
                <c:pt idx="6">
                  <c:v>0</c:v>
                </c:pt>
              </c:numCache>
            </c:numRef>
          </c:xVal>
          <c:yVal>
            <c:numRef>
              <c:f>[3]参数!$F$12:$F$18</c:f>
              <c:numCache>
                <c:formatCode>General</c:formatCode>
                <c:ptCount val="7"/>
                <c:pt idx="0">
                  <c:v>0</c:v>
                </c:pt>
                <c:pt idx="1">
                  <c:v>0</c:v>
                </c:pt>
                <c:pt idx="2">
                  <c:v>0</c:v>
                </c:pt>
                <c:pt idx="3">
                  <c:v>0</c:v>
                </c:pt>
                <c:pt idx="4">
                  <c:v>0</c:v>
                </c:pt>
                <c:pt idx="5">
                  <c:v>0</c:v>
                </c:pt>
                <c:pt idx="6">
                  <c:v>0</c:v>
                </c:pt>
              </c:numCache>
            </c:numRef>
          </c:yVal>
          <c:smooth val="1"/>
        </c:ser>
        <c:dLbls>
          <c:showLegendKey val="0"/>
          <c:showVal val="0"/>
          <c:showCatName val="0"/>
          <c:showSerName val="0"/>
          <c:showPercent val="0"/>
          <c:showBubbleSize val="0"/>
        </c:dLbls>
        <c:axId val="126929920"/>
        <c:axId val="126931712"/>
      </c:scatterChart>
      <c:valAx>
        <c:axId val="126921728"/>
        <c:scaling>
          <c:orientation val="minMax"/>
          <c:min val="500"/>
        </c:scaling>
        <c:delete val="0"/>
        <c:axPos val="b"/>
        <c:majorGridlines>
          <c:spPr>
            <a:ln w="3175" cap="flat" cmpd="sng" algn="ctr">
              <a:solidFill>
                <a:srgbClr val="000000"/>
              </a:solidFill>
              <a:prstDash val="solid"/>
              <a:round/>
            </a:ln>
          </c:spPr>
        </c:majorGridlines>
        <c:title>
          <c:tx>
            <c:rich>
              <a:bodyPr rot="0" spcFirstLastPara="0" vertOverflow="ellipsis" vert="horz" wrap="square" anchor="ctr" anchorCtr="1"/>
              <a:lstStyle/>
              <a:p>
                <a:pPr>
                  <a:defRPr lang="zh-CN" sz="95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流量</a:t>
                </a:r>
                <a:r>
                  <a:rPr lang="en-US" altLang="zh-TW"/>
                  <a:t>(</a:t>
                </a:r>
                <a:r>
                  <a:rPr lang="en-US" altLang="en-US"/>
                  <a:t>m3/h)</a:t>
                </a:r>
                <a:endParaRPr lang="en-US" altLang="en-US"/>
              </a:p>
            </c:rich>
          </c:tx>
          <c:layout>
            <c:manualLayout>
              <c:xMode val="edge"/>
              <c:yMode val="edge"/>
              <c:x val="0.440336487350846"/>
              <c:y val="0.929827324216052"/>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928000"/>
        <c:crosses val="autoZero"/>
        <c:crossBetween val="midCat"/>
      </c:valAx>
      <c:valAx>
        <c:axId val="126928000"/>
        <c:scaling>
          <c:orientation val="minMax"/>
          <c:min val="200"/>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zh-CN" sz="102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压力</a:t>
                </a:r>
                <a:r>
                  <a:rPr lang="en-US" altLang="zh-TW"/>
                  <a:t>(</a:t>
                </a:r>
                <a:r>
                  <a:rPr lang="en-US" altLang="en-US"/>
                  <a:t>Pa)</a:t>
                </a:r>
                <a:endParaRPr lang="en-US" altLang="en-US"/>
              </a:p>
            </c:rich>
          </c:tx>
          <c:layout>
            <c:manualLayout>
              <c:xMode val="edge"/>
              <c:yMode val="edge"/>
              <c:x val="0.00840336134453781"/>
              <c:y val="0.447369648969317"/>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921728"/>
        <c:crosses val="autoZero"/>
        <c:crossBetween val="midCat"/>
      </c:valAx>
      <c:valAx>
        <c:axId val="126929920"/>
        <c:scaling>
          <c:orientation val="minMax"/>
        </c:scaling>
        <c:delete val="1"/>
        <c:axPos val="b"/>
        <c:numFmt formatCode="General" sourceLinked="1"/>
        <c:majorTickMark val="out"/>
        <c:minorTickMark val="none"/>
        <c:tickLblPos val="none"/>
        <c:txPr>
          <a:bodyPr rot="-60000000" spcFirstLastPara="0" vertOverflow="ellipsis" vert="horz" wrap="square" anchor="ctr" anchorCtr="1"/>
          <a:lstStyle/>
          <a:p>
            <a:pPr>
              <a:defRPr lang="zh-CN" sz="14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931712"/>
        <c:crosses val="autoZero"/>
        <c:crossBetween val="midCat"/>
      </c:valAx>
      <c:valAx>
        <c:axId val="126931712"/>
        <c:scaling>
          <c:orientation val="minMax"/>
          <c:min val="1"/>
        </c:scaling>
        <c:delete val="0"/>
        <c:axPos val="r"/>
        <c:title>
          <c:tx>
            <c:rich>
              <a:bodyPr rot="-5400000" spcFirstLastPara="0" vertOverflow="ellipsis" vert="horz" wrap="square" anchor="ctr" anchorCtr="1"/>
              <a:lstStyle/>
              <a:p>
                <a:pPr>
                  <a:defRPr lang="zh-CN" sz="9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r>
                  <a:rPr lang="zh-TW" altLang="en-US"/>
                  <a:t>功率</a:t>
                </a:r>
                <a:r>
                  <a:rPr lang="en-US" altLang="zh-TW"/>
                  <a:t>(</a:t>
                </a:r>
                <a:r>
                  <a:rPr lang="en-US" altLang="en-US"/>
                  <a:t>KW)</a:t>
                </a:r>
                <a:endParaRPr lang="en-US" altLang="en-US"/>
              </a:p>
            </c:rich>
          </c:tx>
          <c:layout>
            <c:manualLayout>
              <c:xMode val="edge"/>
              <c:yMode val="edge"/>
              <c:x val="0.959664571340347"/>
              <c:y val="0.450293625577505"/>
            </c:manualLayout>
          </c:layout>
          <c:overlay val="0"/>
          <c:spPr>
            <a:noFill/>
            <a:ln w="25400">
              <a:noFill/>
            </a:ln>
          </c:spPr>
        </c:title>
        <c:numFmt formatCode="General" sourceLinked="1"/>
        <c:majorTickMark val="in"/>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75"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crossAx val="126929920"/>
        <c:crosses val="max"/>
        <c:crossBetween val="midCat"/>
      </c:valAx>
      <c:spPr>
        <a:solidFill>
          <a:srgbClr val="FFFFFF"/>
        </a:solidFill>
        <a:ln w="12700">
          <a:solidFill>
            <a:srgbClr val="808080"/>
          </a:solidFill>
          <a:prstDash val="solid"/>
        </a:ln>
      </c:spPr>
    </c:plotArea>
    <c:legend>
      <c:legendPos val="t"/>
      <c:layout>
        <c:manualLayout>
          <c:xMode val="edge"/>
          <c:yMode val="edge"/>
          <c:x val="0.796639361256314"/>
          <c:y val="0.0409356725146199"/>
          <c:w val="0.156302697456936"/>
          <c:h val="0.102339488265721"/>
        </c:manualLayout>
      </c:layout>
      <c:overlay val="0"/>
      <c:spPr>
        <a:solidFill>
          <a:srgbClr val="FFFFFF">
            <a:alpha val="100000"/>
          </a:srgbClr>
        </a:solidFill>
        <a:ln w="3175">
          <a:solidFill>
            <a:srgbClr val="000000">
              <a:alpha val="100000"/>
            </a:srgbClr>
          </a:solidFill>
          <a:prstDash val="solid"/>
        </a:ln>
      </c:spPr>
      <c:txPr>
        <a:bodyPr rot="0" spcFirstLastPara="0" vertOverflow="ellipsis" vert="horz" wrap="square" anchor="ctr" anchorCtr="1"/>
        <a:lstStyle/>
        <a:p>
          <a:pPr>
            <a:defRPr lang="zh-CN" sz="740" b="0" i="0" u="none" strike="noStrike" kern="1200"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legend>
    <c:plotVisOnly val="1"/>
    <c:dispBlanksAs val="gap"/>
    <c:showDLblsOverMax val="0"/>
  </c:chart>
  <c:spPr>
    <a:solidFill>
      <a:srgbClr val="FFFFFF"/>
    </a:solidFill>
    <a:ln w="9525" cap="flat" cmpd="sng" algn="ctr">
      <a:noFill/>
      <a:prstDash val="solid"/>
      <a:round/>
    </a:ln>
  </c:spPr>
  <c:txPr>
    <a:bodyPr/>
    <a:lstStyle/>
    <a:p>
      <a:pPr>
        <a:defRPr lang="zh-CN" sz="1475"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defRPr>
      </a:pPr>
    </a:p>
  </c:txPr>
  <c:printSettings>
    <c:headerFooter/>
    <c:pageMargins b="0.75" l="0.7" r="0.7" t="0.75" header="0.3" footer="0.3"/>
    <c:pageSetup/>
  </c:printSettings>
</c:chartSpace>
</file>

<file path=xl/ctrlProps/ctrlProp1.xml><?xml version="1.0" encoding="utf-8"?>
<formControlPr xmlns="http://schemas.microsoft.com/office/spreadsheetml/2009/9/main" objectType="Drop" dx="16" fmlaRange="$A$245:$A$246" page="2" val="0"/>
</file>

<file path=xl/drawings/_rels/drawing2.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6" Type="http://schemas.openxmlformats.org/officeDocument/2006/relationships/image" Target="../media/image11.png"/><Relationship Id="rId5" Type="http://schemas.openxmlformats.org/officeDocument/2006/relationships/image" Target="../media/image10.jpeg"/><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4" Type="http://schemas.openxmlformats.org/officeDocument/2006/relationships/image" Target="../media/image22.png"/><Relationship Id="rId3" Type="http://schemas.openxmlformats.org/officeDocument/2006/relationships/image" Target="../media/image21.emf"/><Relationship Id="rId2" Type="http://schemas.openxmlformats.org/officeDocument/2006/relationships/image" Target="../media/image20.png"/><Relationship Id="rId1" Type="http://schemas.openxmlformats.org/officeDocument/2006/relationships/image" Target="../media/image19.emf"/></Relationships>
</file>

<file path=xl/drawings/_rels/drawing6.xml.rels><?xml version="1.0" encoding="UTF-8" standalone="yes"?>
<Relationships xmlns="http://schemas.openxmlformats.org/package/2006/relationships"><Relationship Id="rId5" Type="http://schemas.openxmlformats.org/officeDocument/2006/relationships/image" Target="../media/image22.png"/><Relationship Id="rId4" Type="http://schemas.openxmlformats.org/officeDocument/2006/relationships/image" Target="../media/image30.emf"/><Relationship Id="rId3" Type="http://schemas.openxmlformats.org/officeDocument/2006/relationships/image" Target="../media/image21.emf"/><Relationship Id="rId2" Type="http://schemas.openxmlformats.org/officeDocument/2006/relationships/image" Target="../media/image19.emf"/><Relationship Id="rId1" Type="http://schemas.openxmlformats.org/officeDocument/2006/relationships/image" Target="../media/image29.jpeg"/></Relationships>
</file>

<file path=xl/drawings/_rels/drawing7.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emf"/><Relationship Id="rId1" Type="http://schemas.openxmlformats.org/officeDocument/2006/relationships/image" Target="../media/image21.emf"/></Relationships>
</file>

<file path=xl/drawings/_rels/drawing8.xml.rels><?xml version="1.0" encoding="UTF-8" standalone="yes"?>
<Relationships xmlns="http://schemas.openxmlformats.org/package/2006/relationships"><Relationship Id="rId2" Type="http://schemas.openxmlformats.org/officeDocument/2006/relationships/image" Target="../media/image31.emf"/><Relationship Id="rId1" Type="http://schemas.openxmlformats.org/officeDocument/2006/relationships/image" Target="../media/image21.emf"/></Relationships>
</file>

<file path=xl/drawings/_rels/drawing9.xml.rels><?xml version="1.0" encoding="UTF-8" standalone="yes"?>
<Relationships xmlns="http://schemas.openxmlformats.org/package/2006/relationships"><Relationship Id="rId5" Type="http://schemas.openxmlformats.org/officeDocument/2006/relationships/image" Target="../media/image44.png"/><Relationship Id="rId4" Type="http://schemas.openxmlformats.org/officeDocument/2006/relationships/image" Target="../media/image43.png"/><Relationship Id="rId3" Type="http://schemas.openxmlformats.org/officeDocument/2006/relationships/image" Target="../media/image42.png"/><Relationship Id="rId2" Type="http://schemas.openxmlformats.org/officeDocument/2006/relationships/image" Target="../media/image22.png"/><Relationship Id="rId1" Type="http://schemas.openxmlformats.org/officeDocument/2006/relationships/image" Target="../media/image4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21.emf"/></Relationships>
</file>

<file path=xl/drawings/_rels/drawing11.xml.rels><?xml version="1.0" encoding="UTF-8" standalone="yes"?>
<Relationships xmlns="http://schemas.openxmlformats.org/package/2006/relationships"><Relationship Id="rId6" Type="http://schemas.openxmlformats.org/officeDocument/2006/relationships/image" Target="../media/image59.emf"/><Relationship Id="rId5" Type="http://schemas.openxmlformats.org/officeDocument/2006/relationships/image" Target="../media/image58.emf"/><Relationship Id="rId4" Type="http://schemas.openxmlformats.org/officeDocument/2006/relationships/image" Target="../media/image57.emf"/><Relationship Id="rId3" Type="http://schemas.openxmlformats.org/officeDocument/2006/relationships/image" Target="../media/image56.emf"/><Relationship Id="rId2" Type="http://schemas.openxmlformats.org/officeDocument/2006/relationships/image" Target="../media/image55.emf"/><Relationship Id="rId1" Type="http://schemas.openxmlformats.org/officeDocument/2006/relationships/image" Target="../media/image54.emf"/></Relationships>
</file>

<file path=xl/drawings/_rels/drawing12.xml.rels><?xml version="1.0" encoding="UTF-8" standalone="yes"?>
<Relationships xmlns="http://schemas.openxmlformats.org/package/2006/relationships"><Relationship Id="rId4" Type="http://schemas.openxmlformats.org/officeDocument/2006/relationships/image" Target="../media/image63.emf"/><Relationship Id="rId3" Type="http://schemas.openxmlformats.org/officeDocument/2006/relationships/image" Target="../media/image62.emf"/><Relationship Id="rId2" Type="http://schemas.openxmlformats.org/officeDocument/2006/relationships/image" Target="../media/image61.emf"/><Relationship Id="rId1" Type="http://schemas.openxmlformats.org/officeDocument/2006/relationships/image" Target="../media/image60.emf"/></Relationships>
</file>

<file path=xl/drawings/_rels/drawing1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4.xml.rels><?xml version="1.0" encoding="UTF-8" standalone="yes"?>
<Relationships xmlns="http://schemas.openxmlformats.org/package/2006/relationships"><Relationship Id="rId1" Type="http://schemas.openxmlformats.org/officeDocument/2006/relationships/image" Target="../media/image69.jpeg"/></Relationships>
</file>

<file path=xl/drawings/_rels/drawing1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6.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08.jpeg"/><Relationship Id="rId7" Type="http://schemas.openxmlformats.org/officeDocument/2006/relationships/image" Target="../media/image107.jpeg"/><Relationship Id="rId6" Type="http://schemas.openxmlformats.org/officeDocument/2006/relationships/image" Target="../media/image106.jpeg"/><Relationship Id="rId5" Type="http://schemas.openxmlformats.org/officeDocument/2006/relationships/image" Target="../media/image105.jpeg"/><Relationship Id="rId4" Type="http://schemas.openxmlformats.org/officeDocument/2006/relationships/image" Target="../media/image104.jpeg"/><Relationship Id="rId3" Type="http://schemas.openxmlformats.org/officeDocument/2006/relationships/image" Target="../media/image103.jpeg"/><Relationship Id="rId2" Type="http://schemas.openxmlformats.org/officeDocument/2006/relationships/image" Target="../media/image102.jpeg"/><Relationship Id="rId1" Type="http://schemas.openxmlformats.org/officeDocument/2006/relationships/image" Target="../media/image101.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10.png"/><Relationship Id="rId1" Type="http://schemas.openxmlformats.org/officeDocument/2006/relationships/image" Target="../media/image109.png"/></Relationships>
</file>

<file path=xl/drawings/_rels/drawing20.xml.rels><?xml version="1.0" encoding="UTF-8" standalone="yes"?>
<Relationships xmlns="http://schemas.openxmlformats.org/package/2006/relationships"><Relationship Id="rId9" Type="http://schemas.openxmlformats.org/officeDocument/2006/relationships/image" Target="../media/image131.jpeg"/><Relationship Id="rId8" Type="http://schemas.openxmlformats.org/officeDocument/2006/relationships/image" Target="../media/image130.jpeg"/><Relationship Id="rId7" Type="http://schemas.openxmlformats.org/officeDocument/2006/relationships/image" Target="../media/image129.jpeg"/><Relationship Id="rId6" Type="http://schemas.openxmlformats.org/officeDocument/2006/relationships/image" Target="../media/image128.jpeg"/><Relationship Id="rId5" Type="http://schemas.openxmlformats.org/officeDocument/2006/relationships/image" Target="../media/image127.jpeg"/><Relationship Id="rId4" Type="http://schemas.openxmlformats.org/officeDocument/2006/relationships/image" Target="../media/image126.jpeg"/><Relationship Id="rId3" Type="http://schemas.openxmlformats.org/officeDocument/2006/relationships/image" Target="../media/image125.jpeg"/><Relationship Id="rId21" Type="http://schemas.openxmlformats.org/officeDocument/2006/relationships/image" Target="../media/image143.jpeg"/><Relationship Id="rId20" Type="http://schemas.openxmlformats.org/officeDocument/2006/relationships/image" Target="../media/image142.jpeg"/><Relationship Id="rId2" Type="http://schemas.openxmlformats.org/officeDocument/2006/relationships/image" Target="../media/image124.jpeg"/><Relationship Id="rId19" Type="http://schemas.openxmlformats.org/officeDocument/2006/relationships/image" Target="../media/image141.jpeg"/><Relationship Id="rId18" Type="http://schemas.openxmlformats.org/officeDocument/2006/relationships/image" Target="../media/image140.jpeg"/><Relationship Id="rId17" Type="http://schemas.openxmlformats.org/officeDocument/2006/relationships/image" Target="../media/image139.jpeg"/><Relationship Id="rId16" Type="http://schemas.openxmlformats.org/officeDocument/2006/relationships/image" Target="../media/image138.jpeg"/><Relationship Id="rId15" Type="http://schemas.openxmlformats.org/officeDocument/2006/relationships/image" Target="../media/image137.jpeg"/><Relationship Id="rId14" Type="http://schemas.openxmlformats.org/officeDocument/2006/relationships/image" Target="../media/image136.jpeg"/><Relationship Id="rId13" Type="http://schemas.openxmlformats.org/officeDocument/2006/relationships/image" Target="../media/image135.jpeg"/><Relationship Id="rId12" Type="http://schemas.openxmlformats.org/officeDocument/2006/relationships/image" Target="../media/image134.jpeg"/><Relationship Id="rId11" Type="http://schemas.openxmlformats.org/officeDocument/2006/relationships/image" Target="../media/image133.jpeg"/><Relationship Id="rId10" Type="http://schemas.openxmlformats.org/officeDocument/2006/relationships/image" Target="../media/image132.jpeg"/><Relationship Id="rId1" Type="http://schemas.openxmlformats.org/officeDocument/2006/relationships/image" Target="../media/image123.jpeg"/></Relationships>
</file>

<file path=xl/drawings/_rels/drawing21.xml.rels><?xml version="1.0" encoding="UTF-8" standalone="yes"?>
<Relationships xmlns="http://schemas.openxmlformats.org/package/2006/relationships"><Relationship Id="rId7" Type="http://schemas.openxmlformats.org/officeDocument/2006/relationships/image" Target="../media/image150.png"/><Relationship Id="rId6" Type="http://schemas.openxmlformats.org/officeDocument/2006/relationships/image" Target="../media/image149.png"/><Relationship Id="rId5" Type="http://schemas.openxmlformats.org/officeDocument/2006/relationships/image" Target="../media/image148.png"/><Relationship Id="rId4" Type="http://schemas.openxmlformats.org/officeDocument/2006/relationships/image" Target="../media/image147.png"/><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5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52.png"/></Relationships>
</file>

<file path=xl/drawings/_rels/drawing24.xml.rels><?xml version="1.0" encoding="UTF-8" standalone="yes"?>
<Relationships xmlns="http://schemas.openxmlformats.org/package/2006/relationships"><Relationship Id="rId4" Type="http://schemas.openxmlformats.org/officeDocument/2006/relationships/image" Target="../media/image156.jpeg"/><Relationship Id="rId3" Type="http://schemas.openxmlformats.org/officeDocument/2006/relationships/image" Target="../media/image155.jpeg"/><Relationship Id="rId2" Type="http://schemas.openxmlformats.org/officeDocument/2006/relationships/image" Target="../media/image154.jpeg"/><Relationship Id="rId1" Type="http://schemas.openxmlformats.org/officeDocument/2006/relationships/image" Target="../media/image153.jpeg"/></Relationships>
</file>

<file path=xl/drawings/_rels/drawing25.xml.rels><?xml version="1.0" encoding="UTF-8" standalone="yes"?>
<Relationships xmlns="http://schemas.openxmlformats.org/package/2006/relationships"><Relationship Id="rId7" Type="http://schemas.openxmlformats.org/officeDocument/2006/relationships/image" Target="../media/image163.png"/><Relationship Id="rId6" Type="http://schemas.openxmlformats.org/officeDocument/2006/relationships/image" Target="../media/image162.png"/><Relationship Id="rId5" Type="http://schemas.openxmlformats.org/officeDocument/2006/relationships/image" Target="../media/image161.png"/><Relationship Id="rId4" Type="http://schemas.openxmlformats.org/officeDocument/2006/relationships/image" Target="../media/image160.png"/><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_rels/drawing26.xml.rels><?xml version="1.0" encoding="UTF-8" standalone="yes"?>
<Relationships xmlns="http://schemas.openxmlformats.org/package/2006/relationships"><Relationship Id="rId2" Type="http://schemas.openxmlformats.org/officeDocument/2006/relationships/image" Target="../media/image165.jpeg"/><Relationship Id="rId1" Type="http://schemas.openxmlformats.org/officeDocument/2006/relationships/image" Target="../media/image164.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66.jpeg"/></Relationships>
</file>

<file path=xl/drawings/_rels/drawing28.xml.rels><?xml version="1.0" encoding="UTF-8" standalone="yes"?>
<Relationships xmlns="http://schemas.openxmlformats.org/package/2006/relationships"><Relationship Id="rId9" Type="http://schemas.openxmlformats.org/officeDocument/2006/relationships/image" Target="../media/image175.emf"/><Relationship Id="rId8" Type="http://schemas.openxmlformats.org/officeDocument/2006/relationships/image" Target="../media/image174.emf"/><Relationship Id="rId7" Type="http://schemas.openxmlformats.org/officeDocument/2006/relationships/image" Target="../media/image173.emf"/><Relationship Id="rId6" Type="http://schemas.openxmlformats.org/officeDocument/2006/relationships/image" Target="../media/image172.wmf"/><Relationship Id="rId5" Type="http://schemas.openxmlformats.org/officeDocument/2006/relationships/image" Target="../media/image171.wmf"/><Relationship Id="rId4" Type="http://schemas.openxmlformats.org/officeDocument/2006/relationships/image" Target="../media/image170.wmf"/><Relationship Id="rId3" Type="http://schemas.openxmlformats.org/officeDocument/2006/relationships/image" Target="../media/image169.wmf"/><Relationship Id="rId2" Type="http://schemas.openxmlformats.org/officeDocument/2006/relationships/image" Target="../media/image168.emf"/><Relationship Id="rId1" Type="http://schemas.openxmlformats.org/officeDocument/2006/relationships/image" Target="../media/image167.wmf"/></Relationships>
</file>

<file path=xl/drawings/_rels/drawing29.xml.rels><?xml version="1.0" encoding="UTF-8" standalone="yes"?>
<Relationships xmlns="http://schemas.openxmlformats.org/package/2006/relationships"><Relationship Id="rId9" Type="http://schemas.openxmlformats.org/officeDocument/2006/relationships/image" Target="../media/image175.emf"/><Relationship Id="rId8" Type="http://schemas.openxmlformats.org/officeDocument/2006/relationships/image" Target="../media/image174.emf"/><Relationship Id="rId7" Type="http://schemas.openxmlformats.org/officeDocument/2006/relationships/image" Target="../media/image173.emf"/><Relationship Id="rId6" Type="http://schemas.openxmlformats.org/officeDocument/2006/relationships/image" Target="../media/image172.wmf"/><Relationship Id="rId5" Type="http://schemas.openxmlformats.org/officeDocument/2006/relationships/image" Target="../media/image171.wmf"/><Relationship Id="rId4" Type="http://schemas.openxmlformats.org/officeDocument/2006/relationships/image" Target="../media/image170.wmf"/><Relationship Id="rId3" Type="http://schemas.openxmlformats.org/officeDocument/2006/relationships/image" Target="../media/image169.wmf"/><Relationship Id="rId2" Type="http://schemas.openxmlformats.org/officeDocument/2006/relationships/image" Target="../media/image168.emf"/><Relationship Id="rId1" Type="http://schemas.openxmlformats.org/officeDocument/2006/relationships/image" Target="../media/image167.wmf"/></Relationships>
</file>

<file path=xl/drawings/_rels/drawing30.xml.rels><?xml version="1.0" encoding="UTF-8" standalone="yes"?>
<Relationships xmlns="http://schemas.openxmlformats.org/package/2006/relationships"><Relationship Id="rId9" Type="http://schemas.openxmlformats.org/officeDocument/2006/relationships/image" Target="../media/image179.wmf"/><Relationship Id="rId8" Type="http://schemas.openxmlformats.org/officeDocument/2006/relationships/image" Target="../media/image178.wmf"/><Relationship Id="rId7" Type="http://schemas.openxmlformats.org/officeDocument/2006/relationships/image" Target="../media/image177.wmf"/><Relationship Id="rId6" Type="http://schemas.openxmlformats.org/officeDocument/2006/relationships/image" Target="../media/image172.wmf"/><Relationship Id="rId5" Type="http://schemas.openxmlformats.org/officeDocument/2006/relationships/image" Target="../media/image171.wmf"/><Relationship Id="rId4" Type="http://schemas.openxmlformats.org/officeDocument/2006/relationships/image" Target="../media/image170.wmf"/><Relationship Id="rId3" Type="http://schemas.openxmlformats.org/officeDocument/2006/relationships/image" Target="../media/image169.wmf"/><Relationship Id="rId2" Type="http://schemas.openxmlformats.org/officeDocument/2006/relationships/image" Target="../media/image176.wmf"/><Relationship Id="rId17" Type="http://schemas.openxmlformats.org/officeDocument/2006/relationships/image" Target="../media/image187.emf"/><Relationship Id="rId16" Type="http://schemas.openxmlformats.org/officeDocument/2006/relationships/image" Target="../media/image186.emf"/><Relationship Id="rId15" Type="http://schemas.openxmlformats.org/officeDocument/2006/relationships/image" Target="../media/image185.emf"/><Relationship Id="rId14" Type="http://schemas.openxmlformats.org/officeDocument/2006/relationships/image" Target="../media/image184.wmf"/><Relationship Id="rId13" Type="http://schemas.openxmlformats.org/officeDocument/2006/relationships/image" Target="../media/image183.emf"/><Relationship Id="rId12" Type="http://schemas.openxmlformats.org/officeDocument/2006/relationships/image" Target="../media/image182.emf"/><Relationship Id="rId11" Type="http://schemas.openxmlformats.org/officeDocument/2006/relationships/image" Target="../media/image181.emf"/><Relationship Id="rId10" Type="http://schemas.openxmlformats.org/officeDocument/2006/relationships/image" Target="../media/image180.emf"/><Relationship Id="rId1" Type="http://schemas.openxmlformats.org/officeDocument/2006/relationships/image" Target="../media/image167.wmf"/></Relationships>
</file>

<file path=xl/drawings/_rels/drawing31.xml.rels><?xml version="1.0" encoding="UTF-8" standalone="yes"?>
<Relationships xmlns="http://schemas.openxmlformats.org/package/2006/relationships"><Relationship Id="rId6" Type="http://schemas.openxmlformats.org/officeDocument/2006/relationships/image" Target="../media/image192.emf"/><Relationship Id="rId5" Type="http://schemas.openxmlformats.org/officeDocument/2006/relationships/image" Target="../media/image191.wmf"/><Relationship Id="rId4" Type="http://schemas.openxmlformats.org/officeDocument/2006/relationships/image" Target="../media/image190.emf"/><Relationship Id="rId3" Type="http://schemas.openxmlformats.org/officeDocument/2006/relationships/image" Target="../media/image189.wmf"/><Relationship Id="rId2" Type="http://schemas.openxmlformats.org/officeDocument/2006/relationships/image" Target="../media/image188.emf"/><Relationship Id="rId1" Type="http://schemas.openxmlformats.org/officeDocument/2006/relationships/image" Target="../media/image176.wmf"/></Relationships>
</file>

<file path=xl/drawings/_rels/drawing32.xml.rels><?xml version="1.0" encoding="UTF-8" standalone="yes"?>
<Relationships xmlns="http://schemas.openxmlformats.org/package/2006/relationships"><Relationship Id="rId9" Type="http://schemas.openxmlformats.org/officeDocument/2006/relationships/image" Target="../media/image201.emf"/><Relationship Id="rId8" Type="http://schemas.openxmlformats.org/officeDocument/2006/relationships/image" Target="../media/image200.emf"/><Relationship Id="rId7" Type="http://schemas.openxmlformats.org/officeDocument/2006/relationships/image" Target="../media/image199.emf"/><Relationship Id="rId6" Type="http://schemas.openxmlformats.org/officeDocument/2006/relationships/image" Target="../media/image198.emf"/><Relationship Id="rId5" Type="http://schemas.openxmlformats.org/officeDocument/2006/relationships/image" Target="../media/image197.wmf"/><Relationship Id="rId4" Type="http://schemas.openxmlformats.org/officeDocument/2006/relationships/image" Target="../media/image196.emf"/><Relationship Id="rId3" Type="http://schemas.openxmlformats.org/officeDocument/2006/relationships/image" Target="../media/image195.emf"/><Relationship Id="rId2" Type="http://schemas.openxmlformats.org/officeDocument/2006/relationships/image" Target="../media/image194.emf"/><Relationship Id="rId10" Type="http://schemas.openxmlformats.org/officeDocument/2006/relationships/image" Target="../media/image202.emf"/><Relationship Id="rId1" Type="http://schemas.openxmlformats.org/officeDocument/2006/relationships/image" Target="../media/image193.emf"/></Relationships>
</file>

<file path=xl/drawings/_rels/drawing33.xml.rels><?xml version="1.0" encoding="UTF-8" standalone="yes"?>
<Relationships xmlns="http://schemas.openxmlformats.org/package/2006/relationships"><Relationship Id="rId2" Type="http://schemas.openxmlformats.org/officeDocument/2006/relationships/image" Target="../media/image204.jpeg"/><Relationship Id="rId1" Type="http://schemas.openxmlformats.org/officeDocument/2006/relationships/image" Target="../media/image203.png"/></Relationships>
</file>

<file path=xl/drawings/_rels/drawing36.xml.rels><?xml version="1.0" encoding="UTF-8" standalone="yes"?>
<Relationships xmlns="http://schemas.openxmlformats.org/package/2006/relationships"><Relationship Id="rId9" Type="http://schemas.openxmlformats.org/officeDocument/2006/relationships/image" Target="../media/image213.jpeg"/><Relationship Id="rId8" Type="http://schemas.openxmlformats.org/officeDocument/2006/relationships/image" Target="../media/image212.jpeg"/><Relationship Id="rId7" Type="http://schemas.openxmlformats.org/officeDocument/2006/relationships/image" Target="../media/image211.jpeg"/><Relationship Id="rId6" Type="http://schemas.openxmlformats.org/officeDocument/2006/relationships/image" Target="../media/image210.jpeg"/><Relationship Id="rId5" Type="http://schemas.openxmlformats.org/officeDocument/2006/relationships/image" Target="../media/image209.jpeg"/><Relationship Id="rId4" Type="http://schemas.openxmlformats.org/officeDocument/2006/relationships/image" Target="../media/image208.jpeg"/><Relationship Id="rId3" Type="http://schemas.openxmlformats.org/officeDocument/2006/relationships/image" Target="../media/image207.jpeg"/><Relationship Id="rId2" Type="http://schemas.openxmlformats.org/officeDocument/2006/relationships/image" Target="../media/image206.jpeg"/><Relationship Id="rId13" Type="http://schemas.openxmlformats.org/officeDocument/2006/relationships/image" Target="../media/image217.jpeg"/><Relationship Id="rId12" Type="http://schemas.openxmlformats.org/officeDocument/2006/relationships/image" Target="../media/image216.jpeg"/><Relationship Id="rId11" Type="http://schemas.openxmlformats.org/officeDocument/2006/relationships/image" Target="../media/image215.jpeg"/><Relationship Id="rId10" Type="http://schemas.openxmlformats.org/officeDocument/2006/relationships/image" Target="../media/image214.jpeg"/><Relationship Id="rId1" Type="http://schemas.openxmlformats.org/officeDocument/2006/relationships/image" Target="../media/image205.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40.xml.rels><?xml version="1.0" encoding="UTF-8" standalone="yes"?>
<Relationships xmlns="http://schemas.openxmlformats.org/package/2006/relationships"><Relationship Id="rId6" Type="http://schemas.openxmlformats.org/officeDocument/2006/relationships/image" Target="../media/image225.jpeg"/><Relationship Id="rId5" Type="http://schemas.openxmlformats.org/officeDocument/2006/relationships/image" Target="../media/image224.jpeg"/><Relationship Id="rId4" Type="http://schemas.openxmlformats.org/officeDocument/2006/relationships/image" Target="../media/image223.jpeg"/><Relationship Id="rId3" Type="http://schemas.openxmlformats.org/officeDocument/2006/relationships/image" Target="../media/image222.jpeg"/><Relationship Id="rId2" Type="http://schemas.openxmlformats.org/officeDocument/2006/relationships/image" Target="../media/image221.jpeg"/><Relationship Id="rId1" Type="http://schemas.openxmlformats.org/officeDocument/2006/relationships/image" Target="../media/image220.jpeg"/></Relationships>
</file>

<file path=xl/drawings/_rels/vmlDrawing1.vml.rels><?xml version="1.0" encoding="UTF-8" standalone="yes"?>
<Relationships xmlns="http://schemas.openxmlformats.org/package/2006/relationships"><Relationship Id="rId7" Type="http://schemas.openxmlformats.org/officeDocument/2006/relationships/image" Target="../media/image18.emf"/><Relationship Id="rId6" Type="http://schemas.openxmlformats.org/officeDocument/2006/relationships/image" Target="../media/image17.emf"/><Relationship Id="rId5" Type="http://schemas.openxmlformats.org/officeDocument/2006/relationships/image" Target="../media/image16.emf"/><Relationship Id="rId4" Type="http://schemas.openxmlformats.org/officeDocument/2006/relationships/image" Target="../media/image15.emf"/><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s>
</file>

<file path=xl/drawings/_rels/vmlDrawing2.vml.rels><?xml version="1.0" encoding="UTF-8" standalone="yes"?>
<Relationships xmlns="http://schemas.openxmlformats.org/package/2006/relationships"><Relationship Id="rId6" Type="http://schemas.openxmlformats.org/officeDocument/2006/relationships/image" Target="../media/image28.emf"/><Relationship Id="rId5" Type="http://schemas.openxmlformats.org/officeDocument/2006/relationships/image" Target="../media/image27.emf"/><Relationship Id="rId4" Type="http://schemas.openxmlformats.org/officeDocument/2006/relationships/image" Target="../media/image26.emf"/><Relationship Id="rId3" Type="http://schemas.openxmlformats.org/officeDocument/2006/relationships/image" Target="../media/image25.emf"/><Relationship Id="rId2" Type="http://schemas.openxmlformats.org/officeDocument/2006/relationships/image" Target="../media/image24.emf"/><Relationship Id="rId1" Type="http://schemas.openxmlformats.org/officeDocument/2006/relationships/image" Target="../media/image23.emf"/></Relationships>
</file>

<file path=xl/drawings/_rels/vmlDrawing3.vml.rels><?xml version="1.0" encoding="UTF-8" standalone="yes"?>
<Relationships xmlns="http://schemas.openxmlformats.org/package/2006/relationships"><Relationship Id="rId6" Type="http://schemas.openxmlformats.org/officeDocument/2006/relationships/image" Target="../media/image28.emf"/><Relationship Id="rId5" Type="http://schemas.openxmlformats.org/officeDocument/2006/relationships/image" Target="../media/image27.emf"/><Relationship Id="rId4" Type="http://schemas.openxmlformats.org/officeDocument/2006/relationships/image" Target="../media/image26.emf"/><Relationship Id="rId3" Type="http://schemas.openxmlformats.org/officeDocument/2006/relationships/image" Target="../media/image25.emf"/><Relationship Id="rId2" Type="http://schemas.openxmlformats.org/officeDocument/2006/relationships/image" Target="../media/image24.emf"/><Relationship Id="rId1" Type="http://schemas.openxmlformats.org/officeDocument/2006/relationships/image" Target="../media/image23.emf"/></Relationships>
</file>

<file path=xl/drawings/_rels/vmlDrawing4.vml.rels><?xml version="1.0" encoding="UTF-8" standalone="yes"?>
<Relationships xmlns="http://schemas.openxmlformats.org/package/2006/relationships"><Relationship Id="rId9" Type="http://schemas.openxmlformats.org/officeDocument/2006/relationships/image" Target="../media/image40.emf"/><Relationship Id="rId8" Type="http://schemas.openxmlformats.org/officeDocument/2006/relationships/image" Target="../media/image39.emf"/><Relationship Id="rId7" Type="http://schemas.openxmlformats.org/officeDocument/2006/relationships/image" Target="../media/image38.emf"/><Relationship Id="rId6" Type="http://schemas.openxmlformats.org/officeDocument/2006/relationships/image" Target="../media/image37.emf"/><Relationship Id="rId5" Type="http://schemas.openxmlformats.org/officeDocument/2006/relationships/image" Target="../media/image36.emf"/><Relationship Id="rId4" Type="http://schemas.openxmlformats.org/officeDocument/2006/relationships/image" Target="../media/image35.emf"/><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23.emf"/></Relationships>
</file>

<file path=xl/drawings/_rels/vmlDrawing5.vml.rels><?xml version="1.0" encoding="UTF-8" standalone="yes"?>
<Relationships xmlns="http://schemas.openxmlformats.org/package/2006/relationships"><Relationship Id="rId6" Type="http://schemas.openxmlformats.org/officeDocument/2006/relationships/image" Target="../media/image38.emf"/><Relationship Id="rId5" Type="http://schemas.openxmlformats.org/officeDocument/2006/relationships/image" Target="../media/image36.emf"/><Relationship Id="rId4" Type="http://schemas.openxmlformats.org/officeDocument/2006/relationships/image" Target="../media/image35.emf"/><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23.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51.emf"/><Relationship Id="rId7" Type="http://schemas.openxmlformats.org/officeDocument/2006/relationships/image" Target="../media/image50.emf"/><Relationship Id="rId6" Type="http://schemas.openxmlformats.org/officeDocument/2006/relationships/image" Target="../media/image49.emf"/><Relationship Id="rId5" Type="http://schemas.openxmlformats.org/officeDocument/2006/relationships/image" Target="../media/image48.emf"/><Relationship Id="rId4" Type="http://schemas.openxmlformats.org/officeDocument/2006/relationships/image" Target="../media/image47.emf"/><Relationship Id="rId3" Type="http://schemas.openxmlformats.org/officeDocument/2006/relationships/image" Target="../media/image46.emf"/><Relationship Id="rId2" Type="http://schemas.openxmlformats.org/officeDocument/2006/relationships/image" Target="../media/image45.emf"/><Relationship Id="rId1" Type="http://schemas.openxmlformats.org/officeDocument/2006/relationships/image" Target="../media/image38.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53.emf"/><Relationship Id="rId1" Type="http://schemas.openxmlformats.org/officeDocument/2006/relationships/image" Target="../media/image52.emf"/></Relationships>
</file>

<file path=xl/drawings/_rels/vmlDrawing9.vml.rels><?xml version="1.0" encoding="UTF-8" standalone="yes"?>
<Relationships xmlns="http://schemas.openxmlformats.org/package/2006/relationships"><Relationship Id="rId5" Type="http://schemas.openxmlformats.org/officeDocument/2006/relationships/image" Target="../media/image68.emf"/><Relationship Id="rId4" Type="http://schemas.openxmlformats.org/officeDocument/2006/relationships/image" Target="../media/image67.emf"/><Relationship Id="rId3" Type="http://schemas.openxmlformats.org/officeDocument/2006/relationships/image" Target="../media/image66.emf"/><Relationship Id="rId2" Type="http://schemas.openxmlformats.org/officeDocument/2006/relationships/image" Target="../media/image65.emf"/><Relationship Id="rId1" Type="http://schemas.openxmlformats.org/officeDocument/2006/relationships/image" Target="../media/image64.emf"/></Relationships>
</file>

<file path=xl/drawings/_rels/vmlDrawing11.vml.rels><?xml version="1.0" encoding="UTF-8" standalone="yes"?>
<Relationships xmlns="http://schemas.openxmlformats.org/package/2006/relationships"><Relationship Id="rId9" Type="http://schemas.openxmlformats.org/officeDocument/2006/relationships/image" Target="../media/image81.emf"/><Relationship Id="rId8" Type="http://schemas.openxmlformats.org/officeDocument/2006/relationships/image" Target="../media/image80.emf"/><Relationship Id="rId7" Type="http://schemas.openxmlformats.org/officeDocument/2006/relationships/image" Target="../media/image79.emf"/><Relationship Id="rId6" Type="http://schemas.openxmlformats.org/officeDocument/2006/relationships/image" Target="../media/image78.emf"/><Relationship Id="rId5" Type="http://schemas.openxmlformats.org/officeDocument/2006/relationships/image" Target="../media/image77.emf"/><Relationship Id="rId4" Type="http://schemas.openxmlformats.org/officeDocument/2006/relationships/image" Target="../media/image76.emf"/><Relationship Id="rId3" Type="http://schemas.openxmlformats.org/officeDocument/2006/relationships/image" Target="../media/image75.emf"/><Relationship Id="rId25" Type="http://schemas.openxmlformats.org/officeDocument/2006/relationships/image" Target="../media/image97.emf"/><Relationship Id="rId24" Type="http://schemas.openxmlformats.org/officeDocument/2006/relationships/image" Target="../media/image96.emf"/><Relationship Id="rId23" Type="http://schemas.openxmlformats.org/officeDocument/2006/relationships/image" Target="../media/image95.emf"/><Relationship Id="rId22" Type="http://schemas.openxmlformats.org/officeDocument/2006/relationships/image" Target="../media/image94.emf"/><Relationship Id="rId21" Type="http://schemas.openxmlformats.org/officeDocument/2006/relationships/image" Target="../media/image93.emf"/><Relationship Id="rId20" Type="http://schemas.openxmlformats.org/officeDocument/2006/relationships/image" Target="../media/image92.emf"/><Relationship Id="rId2" Type="http://schemas.openxmlformats.org/officeDocument/2006/relationships/image" Target="../media/image74.emf"/><Relationship Id="rId19" Type="http://schemas.openxmlformats.org/officeDocument/2006/relationships/image" Target="../media/image91.emf"/><Relationship Id="rId18" Type="http://schemas.openxmlformats.org/officeDocument/2006/relationships/image" Target="../media/image90.emf"/><Relationship Id="rId17" Type="http://schemas.openxmlformats.org/officeDocument/2006/relationships/image" Target="../media/image89.emf"/><Relationship Id="rId16" Type="http://schemas.openxmlformats.org/officeDocument/2006/relationships/image" Target="../media/image88.emf"/><Relationship Id="rId15" Type="http://schemas.openxmlformats.org/officeDocument/2006/relationships/image" Target="../media/image87.emf"/><Relationship Id="rId14" Type="http://schemas.openxmlformats.org/officeDocument/2006/relationships/image" Target="../media/image86.emf"/><Relationship Id="rId13" Type="http://schemas.openxmlformats.org/officeDocument/2006/relationships/image" Target="../media/image85.emf"/><Relationship Id="rId12" Type="http://schemas.openxmlformats.org/officeDocument/2006/relationships/image" Target="../media/image84.emf"/><Relationship Id="rId11" Type="http://schemas.openxmlformats.org/officeDocument/2006/relationships/image" Target="../media/image83.emf"/><Relationship Id="rId10" Type="http://schemas.openxmlformats.org/officeDocument/2006/relationships/image" Target="../media/image82.emf"/><Relationship Id="rId1" Type="http://schemas.openxmlformats.org/officeDocument/2006/relationships/image" Target="../media/image73.emf"/></Relationships>
</file>

<file path=xl/drawings/_rels/vmlDrawing15.vml.rels><?xml version="1.0" encoding="UTF-8" standalone="yes"?>
<Relationships xmlns="http://schemas.openxmlformats.org/package/2006/relationships"><Relationship Id="rId9" Type="http://schemas.openxmlformats.org/officeDocument/2006/relationships/image" Target="../media/image119.emf"/><Relationship Id="rId8" Type="http://schemas.openxmlformats.org/officeDocument/2006/relationships/image" Target="../media/image118.emf"/><Relationship Id="rId7" Type="http://schemas.openxmlformats.org/officeDocument/2006/relationships/image" Target="../media/image117.emf"/><Relationship Id="rId6" Type="http://schemas.openxmlformats.org/officeDocument/2006/relationships/image" Target="../media/image116.emf"/><Relationship Id="rId5" Type="http://schemas.openxmlformats.org/officeDocument/2006/relationships/image" Target="../media/image115.emf"/><Relationship Id="rId4" Type="http://schemas.openxmlformats.org/officeDocument/2006/relationships/image" Target="../media/image114.emf"/><Relationship Id="rId3" Type="http://schemas.openxmlformats.org/officeDocument/2006/relationships/image" Target="../media/image113.emf"/><Relationship Id="rId2" Type="http://schemas.openxmlformats.org/officeDocument/2006/relationships/image" Target="../media/image112.emf"/><Relationship Id="rId12" Type="http://schemas.openxmlformats.org/officeDocument/2006/relationships/image" Target="../media/image122.emf"/><Relationship Id="rId11" Type="http://schemas.openxmlformats.org/officeDocument/2006/relationships/image" Target="../media/image121.emf"/><Relationship Id="rId10" Type="http://schemas.openxmlformats.org/officeDocument/2006/relationships/image" Target="../media/image120.emf"/><Relationship Id="rId1" Type="http://schemas.openxmlformats.org/officeDocument/2006/relationships/image" Target="../media/image111.e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38101</xdr:colOff>
      <xdr:row>6</xdr:row>
      <xdr:rowOff>170556</xdr:rowOff>
    </xdr:from>
    <xdr:ext cx="400050" cy="5030093"/>
    <xdr:sp>
      <xdr:nvSpPr>
        <xdr:cNvPr id="2" name="矩形 1"/>
        <xdr:cNvSpPr/>
      </xdr:nvSpPr>
      <xdr:spPr>
        <a:xfrm>
          <a:off x="38100" y="1734185"/>
          <a:ext cx="400050" cy="5029835"/>
        </a:xfrm>
        <a:prstGeom prst="rect">
          <a:avLst/>
        </a:prstGeom>
        <a:noFill/>
      </xdr:spPr>
      <xdr:txBody>
        <a:bodyPr vert="eaVert" wrap="square" lIns="91440" tIns="45720" rIns="91440" bIns="45720" anchor="ctr" anchorCtr="0">
          <a:noAutofit/>
        </a:bodyPr>
        <a:lstStyle/>
        <a:p>
          <a:pPr algn="ctr"/>
          <a:r>
            <a:rPr lang="zh-CN" altLang="en-US" sz="2000" b="1" cap="none" spc="0">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rPr>
            <a:t>电  机  相  关  计  算</a:t>
          </a:r>
          <a:endParaRPr lang="zh-CN" altLang="en-US" sz="2000" b="1" cap="none" spc="0">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endParaRPr>
        </a:p>
      </xdr:txBody>
    </xdr:sp>
    <xdr:clientData/>
  </xdr:oneCellAnchor>
  <xdr:oneCellAnchor>
    <xdr:from>
      <xdr:col>6</xdr:col>
      <xdr:colOff>47626</xdr:colOff>
      <xdr:row>6</xdr:row>
      <xdr:rowOff>170556</xdr:rowOff>
    </xdr:from>
    <xdr:ext cx="400050" cy="5030093"/>
    <xdr:sp>
      <xdr:nvSpPr>
        <xdr:cNvPr id="4" name="矩形 3"/>
        <xdr:cNvSpPr/>
      </xdr:nvSpPr>
      <xdr:spPr>
        <a:xfrm>
          <a:off x="6886575" y="1734185"/>
          <a:ext cx="400050" cy="5029835"/>
        </a:xfrm>
        <a:prstGeom prst="rect">
          <a:avLst/>
        </a:prstGeom>
        <a:noFill/>
      </xdr:spPr>
      <xdr:txBody>
        <a:bodyPr vert="eaVert" wrap="square" lIns="91440" tIns="45720" rIns="91440" bIns="45720" anchor="ctr" anchorCtr="0">
          <a:noAutofit/>
        </a:bodyPr>
        <a:lstStyle/>
        <a:p>
          <a:pPr algn="ctr"/>
          <a:r>
            <a:rPr lang="zh-CN" altLang="en-US" sz="2000" b="1" cap="none" spc="0">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rPr>
            <a:t>电  力  电  气  相  关  计  算</a:t>
          </a:r>
          <a:endParaRPr lang="zh-CN" altLang="en-US" sz="2000" b="1" cap="none" spc="0">
            <a:solidFill>
              <a:schemeClr val="tx1"/>
            </a:solidFill>
            <a:effectLst>
              <a:outerShdw blurRad="38100" dist="19050" dir="2700000" algn="tl" rotWithShape="0">
                <a:schemeClr val="dk1">
                  <a:alpha val="40000"/>
                </a:schemeClr>
              </a:outerShdw>
            </a:effectLst>
            <a:latin typeface="微软雅黑" panose="020B0503020204020204" charset="-122"/>
            <a:ea typeface="微软雅黑" panose="020B0503020204020204" charset="-122"/>
            <a:cs typeface="微软雅黑" panose="020B0503020204020204" charset="-122"/>
          </a:endParaRPr>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635</xdr:colOff>
      <xdr:row>1</xdr:row>
      <xdr:rowOff>110490</xdr:rowOff>
    </xdr:from>
    <xdr:to>
      <xdr:col>11</xdr:col>
      <xdr:colOff>683260</xdr:colOff>
      <xdr:row>38</xdr:row>
      <xdr:rowOff>127000</xdr:rowOff>
    </xdr:to>
    <xdr:pic>
      <xdr:nvPicPr>
        <xdr:cNvPr id="9" name="图片 8" descr="图片1"/>
        <xdr:cNvPicPr>
          <a:picLocks noChangeAspect="1"/>
        </xdr:cNvPicPr>
      </xdr:nvPicPr>
      <xdr:blipFill>
        <a:blip r:embed="rId1"/>
        <a:stretch>
          <a:fillRect/>
        </a:stretch>
      </xdr:blipFill>
      <xdr:spPr>
        <a:xfrm>
          <a:off x="635" y="308610"/>
          <a:ext cx="7816850" cy="7346950"/>
        </a:xfrm>
        <a:prstGeom prst="rect">
          <a:avLst/>
        </a:prstGeom>
      </xdr:spPr>
    </xdr:pic>
    <xdr:clientData/>
  </xdr:twoCellAnchor>
  <xdr:twoCellAnchor editAs="oneCell">
    <xdr:from>
      <xdr:col>12</xdr:col>
      <xdr:colOff>3810</xdr:colOff>
      <xdr:row>2</xdr:row>
      <xdr:rowOff>68580</xdr:rowOff>
    </xdr:from>
    <xdr:to>
      <xdr:col>23</xdr:col>
      <xdr:colOff>128905</xdr:colOff>
      <xdr:row>37</xdr:row>
      <xdr:rowOff>148590</xdr:rowOff>
    </xdr:to>
    <xdr:pic>
      <xdr:nvPicPr>
        <xdr:cNvPr id="10" name="图片 9" descr="图片2"/>
        <xdr:cNvPicPr>
          <a:picLocks noChangeAspect="1"/>
        </xdr:cNvPicPr>
      </xdr:nvPicPr>
      <xdr:blipFill>
        <a:blip r:embed="rId2"/>
        <a:stretch>
          <a:fillRect/>
        </a:stretch>
      </xdr:blipFill>
      <xdr:spPr>
        <a:xfrm>
          <a:off x="7852410" y="464820"/>
          <a:ext cx="7287895" cy="7014210"/>
        </a:xfrm>
        <a:prstGeom prst="rect">
          <a:avLst/>
        </a:prstGeom>
      </xdr:spPr>
    </xdr:pic>
    <xdr:clientData/>
  </xdr:twoCellAnchor>
  <xdr:twoCellAnchor editAs="oneCell">
    <xdr:from>
      <xdr:col>23</xdr:col>
      <xdr:colOff>497205</xdr:colOff>
      <xdr:row>2</xdr:row>
      <xdr:rowOff>70485</xdr:rowOff>
    </xdr:from>
    <xdr:to>
      <xdr:col>36</xdr:col>
      <xdr:colOff>97155</xdr:colOff>
      <xdr:row>37</xdr:row>
      <xdr:rowOff>22860</xdr:rowOff>
    </xdr:to>
    <xdr:pic>
      <xdr:nvPicPr>
        <xdr:cNvPr id="12" name="图片 11" descr="图片3"/>
        <xdr:cNvPicPr>
          <a:picLocks noChangeAspect="1"/>
        </xdr:cNvPicPr>
      </xdr:nvPicPr>
      <xdr:blipFill>
        <a:blip r:embed="rId3"/>
        <a:stretch>
          <a:fillRect/>
        </a:stretch>
      </xdr:blipFill>
      <xdr:spPr>
        <a:xfrm>
          <a:off x="15508605" y="466725"/>
          <a:ext cx="8515350" cy="6886575"/>
        </a:xfrm>
        <a:prstGeom prst="rect">
          <a:avLst/>
        </a:prstGeom>
      </xdr:spPr>
    </xdr:pic>
    <xdr:clientData/>
  </xdr:twoCellAnchor>
  <xdr:twoCellAnchor editAs="oneCell">
    <xdr:from>
      <xdr:col>12</xdr:col>
      <xdr:colOff>102870</xdr:colOff>
      <xdr:row>38</xdr:row>
      <xdr:rowOff>120015</xdr:rowOff>
    </xdr:from>
    <xdr:to>
      <xdr:col>23</xdr:col>
      <xdr:colOff>215265</xdr:colOff>
      <xdr:row>62</xdr:row>
      <xdr:rowOff>33655</xdr:rowOff>
    </xdr:to>
    <xdr:pic>
      <xdr:nvPicPr>
        <xdr:cNvPr id="13" name="图片 12" descr="图片4"/>
        <xdr:cNvPicPr>
          <a:picLocks noChangeAspect="1"/>
        </xdr:cNvPicPr>
      </xdr:nvPicPr>
      <xdr:blipFill>
        <a:blip r:embed="rId4"/>
        <a:stretch>
          <a:fillRect/>
        </a:stretch>
      </xdr:blipFill>
      <xdr:spPr>
        <a:xfrm>
          <a:off x="7951470" y="7648575"/>
          <a:ext cx="7275195" cy="4668520"/>
        </a:xfrm>
        <a:prstGeom prst="rect">
          <a:avLst/>
        </a:prstGeom>
      </xdr:spPr>
    </xdr:pic>
    <xdr:clientData/>
  </xdr:twoCellAnchor>
  <xdr:twoCellAnchor editAs="oneCell">
    <xdr:from>
      <xdr:col>23</xdr:col>
      <xdr:colOff>226695</xdr:colOff>
      <xdr:row>36</xdr:row>
      <xdr:rowOff>129540</xdr:rowOff>
    </xdr:from>
    <xdr:to>
      <xdr:col>37</xdr:col>
      <xdr:colOff>342900</xdr:colOff>
      <xdr:row>71</xdr:row>
      <xdr:rowOff>34290</xdr:rowOff>
    </xdr:to>
    <xdr:pic>
      <xdr:nvPicPr>
        <xdr:cNvPr id="14" name="图片 13" descr="图片5"/>
        <xdr:cNvPicPr>
          <a:picLocks noChangeAspect="1"/>
        </xdr:cNvPicPr>
      </xdr:nvPicPr>
      <xdr:blipFill>
        <a:blip r:embed="rId5"/>
        <a:stretch>
          <a:fillRect/>
        </a:stretch>
      </xdr:blipFill>
      <xdr:spPr>
        <a:xfrm>
          <a:off x="15238095" y="7261860"/>
          <a:ext cx="9717405" cy="68389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123825</xdr:rowOff>
    </xdr:from>
    <xdr:to>
      <xdr:col>7</xdr:col>
      <xdr:colOff>847725</xdr:colOff>
      <xdr:row>3</xdr:row>
      <xdr:rowOff>123825</xdr:rowOff>
    </xdr:to>
    <xdr:cxnSp>
      <xdr:nvCxnSpPr>
        <xdr:cNvPr id="2" name="直接连接符 2"/>
        <xdr:cNvCxnSpPr/>
      </xdr:nvCxnSpPr>
      <xdr:spPr>
        <a:xfrm>
          <a:off x="2714625" y="992505"/>
          <a:ext cx="2895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523875</xdr:colOff>
      <xdr:row>8</xdr:row>
      <xdr:rowOff>123825</xdr:rowOff>
    </xdr:from>
    <xdr:to>
      <xdr:col>8</xdr:col>
      <xdr:colOff>9525</xdr:colOff>
      <xdr:row>8</xdr:row>
      <xdr:rowOff>125413</xdr:rowOff>
    </xdr:to>
    <xdr:cxnSp>
      <xdr:nvCxnSpPr>
        <xdr:cNvPr id="3" name="直接连接符 3"/>
        <xdr:cNvCxnSpPr/>
      </xdr:nvCxnSpPr>
      <xdr:spPr>
        <a:xfrm>
          <a:off x="2705100" y="2310765"/>
          <a:ext cx="292417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15</xdr:row>
      <xdr:rowOff>125414</xdr:rowOff>
    </xdr:from>
    <xdr:to>
      <xdr:col>8</xdr:col>
      <xdr:colOff>9525</xdr:colOff>
      <xdr:row>15</xdr:row>
      <xdr:rowOff>142875</xdr:rowOff>
    </xdr:to>
    <xdr:cxnSp>
      <xdr:nvCxnSpPr>
        <xdr:cNvPr id="4" name="直接连接符 4"/>
        <xdr:cNvCxnSpPr/>
      </xdr:nvCxnSpPr>
      <xdr:spPr>
        <a:xfrm flipV="1">
          <a:off x="2733675" y="3965575"/>
          <a:ext cx="2895600" cy="177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666750</xdr:colOff>
      <xdr:row>22</xdr:row>
      <xdr:rowOff>123825</xdr:rowOff>
    </xdr:from>
    <xdr:to>
      <xdr:col>8</xdr:col>
      <xdr:colOff>9525</xdr:colOff>
      <xdr:row>22</xdr:row>
      <xdr:rowOff>125413</xdr:rowOff>
    </xdr:to>
    <xdr:cxnSp>
      <xdr:nvCxnSpPr>
        <xdr:cNvPr id="5" name="直接连接符 11"/>
        <xdr:cNvCxnSpPr/>
      </xdr:nvCxnSpPr>
      <xdr:spPr>
        <a:xfrm>
          <a:off x="2714625" y="5617845"/>
          <a:ext cx="2914650"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24</xdr:row>
      <xdr:rowOff>9524</xdr:rowOff>
    </xdr:from>
    <xdr:to>
      <xdr:col>4</xdr:col>
      <xdr:colOff>432975</xdr:colOff>
      <xdr:row>24</xdr:row>
      <xdr:rowOff>9524</xdr:rowOff>
    </xdr:to>
    <xdr:cxnSp>
      <xdr:nvCxnSpPr>
        <xdr:cNvPr id="6" name="直接连接符 34"/>
        <xdr:cNvCxnSpPr/>
      </xdr:nvCxnSpPr>
      <xdr:spPr>
        <a:xfrm>
          <a:off x="2895600" y="6043930"/>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123826</xdr:colOff>
      <xdr:row>24</xdr:row>
      <xdr:rowOff>4</xdr:rowOff>
    </xdr:from>
    <xdr:to>
      <xdr:col>4</xdr:col>
      <xdr:colOff>180975</xdr:colOff>
      <xdr:row>25</xdr:row>
      <xdr:rowOff>0</xdr:rowOff>
    </xdr:to>
    <xdr:cxnSp>
      <xdr:nvCxnSpPr>
        <xdr:cNvPr id="7" name="直接连接符 35"/>
        <xdr:cNvCxnSpPr/>
      </xdr:nvCxnSpPr>
      <xdr:spPr>
        <a:xfrm rot="5400000">
          <a:off x="2767965" y="6105525"/>
          <a:ext cx="19748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85726</xdr:colOff>
      <xdr:row>24</xdr:row>
      <xdr:rowOff>104775</xdr:rowOff>
    </xdr:from>
    <xdr:to>
      <xdr:col>4</xdr:col>
      <xdr:colOff>104776</xdr:colOff>
      <xdr:row>25</xdr:row>
      <xdr:rowOff>0</xdr:rowOff>
    </xdr:to>
    <xdr:cxnSp>
      <xdr:nvCxnSpPr>
        <xdr:cNvPr id="8" name="直接连接符 36"/>
        <xdr:cNvCxnSpPr/>
      </xdr:nvCxnSpPr>
      <xdr:spPr>
        <a:xfrm rot="16200000" flipV="1">
          <a:off x="2762885" y="6176645"/>
          <a:ext cx="9334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75406</xdr:colOff>
      <xdr:row>24</xdr:row>
      <xdr:rowOff>115094</xdr:rowOff>
    </xdr:from>
    <xdr:to>
      <xdr:col>4</xdr:col>
      <xdr:colOff>76994</xdr:colOff>
      <xdr:row>24</xdr:row>
      <xdr:rowOff>153194</xdr:rowOff>
    </xdr:to>
    <xdr:cxnSp>
      <xdr:nvCxnSpPr>
        <xdr:cNvPr id="9" name="直接连接符 37"/>
        <xdr:cNvCxnSpPr/>
      </xdr:nvCxnSpPr>
      <xdr:spPr>
        <a:xfrm rot="5400000">
          <a:off x="2771775" y="6168390"/>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35</xdr:row>
      <xdr:rowOff>125414</xdr:rowOff>
    </xdr:from>
    <xdr:to>
      <xdr:col>7</xdr:col>
      <xdr:colOff>9525</xdr:colOff>
      <xdr:row>35</xdr:row>
      <xdr:rowOff>133350</xdr:rowOff>
    </xdr:to>
    <xdr:cxnSp>
      <xdr:nvCxnSpPr>
        <xdr:cNvPr id="10" name="直接连接符 9"/>
        <xdr:cNvCxnSpPr/>
      </xdr:nvCxnSpPr>
      <xdr:spPr>
        <a:xfrm flipV="1">
          <a:off x="2724150" y="8613775"/>
          <a:ext cx="2047875" cy="825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xdr:colOff>
      <xdr:row>51</xdr:row>
      <xdr:rowOff>180975</xdr:rowOff>
    </xdr:from>
    <xdr:to>
      <xdr:col>2</xdr:col>
      <xdr:colOff>0</xdr:colOff>
      <xdr:row>51</xdr:row>
      <xdr:rowOff>182563</xdr:rowOff>
    </xdr:to>
    <xdr:cxnSp>
      <xdr:nvCxnSpPr>
        <xdr:cNvPr id="11" name="直接连接符 12"/>
        <xdr:cNvCxnSpPr/>
      </xdr:nvCxnSpPr>
      <xdr:spPr>
        <a:xfrm>
          <a:off x="695325" y="12555855"/>
          <a:ext cx="7239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xdr:colOff>
      <xdr:row>53</xdr:row>
      <xdr:rowOff>171450</xdr:rowOff>
    </xdr:from>
    <xdr:to>
      <xdr:col>2</xdr:col>
      <xdr:colOff>0</xdr:colOff>
      <xdr:row>53</xdr:row>
      <xdr:rowOff>173038</xdr:rowOff>
    </xdr:to>
    <xdr:cxnSp>
      <xdr:nvCxnSpPr>
        <xdr:cNvPr id="12" name="直接连接符 13"/>
        <xdr:cNvCxnSpPr/>
      </xdr:nvCxnSpPr>
      <xdr:spPr>
        <a:xfrm>
          <a:off x="695325" y="13123545"/>
          <a:ext cx="7239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52</xdr:row>
      <xdr:rowOff>161925</xdr:rowOff>
    </xdr:from>
    <xdr:to>
      <xdr:col>1</xdr:col>
      <xdr:colOff>723900</xdr:colOff>
      <xdr:row>52</xdr:row>
      <xdr:rowOff>163513</xdr:rowOff>
    </xdr:to>
    <xdr:cxnSp>
      <xdr:nvCxnSpPr>
        <xdr:cNvPr id="13" name="直接连接符 14"/>
        <xdr:cNvCxnSpPr/>
      </xdr:nvCxnSpPr>
      <xdr:spPr>
        <a:xfrm>
          <a:off x="685800" y="12832080"/>
          <a:ext cx="7239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56</xdr:row>
      <xdr:rowOff>123826</xdr:rowOff>
    </xdr:from>
    <xdr:to>
      <xdr:col>7</xdr:col>
      <xdr:colOff>19050</xdr:colOff>
      <xdr:row>56</xdr:row>
      <xdr:rowOff>123826</xdr:rowOff>
    </xdr:to>
    <xdr:cxnSp>
      <xdr:nvCxnSpPr>
        <xdr:cNvPr id="14" name="直接连接符 15"/>
        <xdr:cNvCxnSpPr/>
      </xdr:nvCxnSpPr>
      <xdr:spPr>
        <a:xfrm>
          <a:off x="3343275" y="13843635"/>
          <a:ext cx="1438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64</xdr:row>
      <xdr:rowOff>123825</xdr:rowOff>
    </xdr:from>
    <xdr:to>
      <xdr:col>3</xdr:col>
      <xdr:colOff>19050</xdr:colOff>
      <xdr:row>64</xdr:row>
      <xdr:rowOff>125413</xdr:rowOff>
    </xdr:to>
    <xdr:cxnSp>
      <xdr:nvCxnSpPr>
        <xdr:cNvPr id="15" name="直接连接符 20"/>
        <xdr:cNvCxnSpPr/>
      </xdr:nvCxnSpPr>
      <xdr:spPr>
        <a:xfrm>
          <a:off x="1419225" y="16030575"/>
          <a:ext cx="7810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65</xdr:row>
      <xdr:rowOff>114300</xdr:rowOff>
    </xdr:from>
    <xdr:to>
      <xdr:col>3</xdr:col>
      <xdr:colOff>19050</xdr:colOff>
      <xdr:row>65</xdr:row>
      <xdr:rowOff>115888</xdr:rowOff>
    </xdr:to>
    <xdr:cxnSp>
      <xdr:nvCxnSpPr>
        <xdr:cNvPr id="16" name="直接连接符 21"/>
        <xdr:cNvCxnSpPr/>
      </xdr:nvCxnSpPr>
      <xdr:spPr>
        <a:xfrm>
          <a:off x="1419225" y="16242030"/>
          <a:ext cx="7810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714375</xdr:colOff>
      <xdr:row>66</xdr:row>
      <xdr:rowOff>123825</xdr:rowOff>
    </xdr:from>
    <xdr:to>
      <xdr:col>3</xdr:col>
      <xdr:colOff>0</xdr:colOff>
      <xdr:row>66</xdr:row>
      <xdr:rowOff>125413</xdr:rowOff>
    </xdr:to>
    <xdr:cxnSp>
      <xdr:nvCxnSpPr>
        <xdr:cNvPr id="17" name="直接连接符 22"/>
        <xdr:cNvCxnSpPr/>
      </xdr:nvCxnSpPr>
      <xdr:spPr>
        <a:xfrm>
          <a:off x="1400175" y="16489680"/>
          <a:ext cx="7810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73</xdr:row>
      <xdr:rowOff>114300</xdr:rowOff>
    </xdr:from>
    <xdr:to>
      <xdr:col>6</xdr:col>
      <xdr:colOff>9525</xdr:colOff>
      <xdr:row>73</xdr:row>
      <xdr:rowOff>115888</xdr:rowOff>
    </xdr:to>
    <xdr:cxnSp>
      <xdr:nvCxnSpPr>
        <xdr:cNvPr id="18" name="直接连接符 33"/>
        <xdr:cNvCxnSpPr/>
      </xdr:nvCxnSpPr>
      <xdr:spPr>
        <a:xfrm>
          <a:off x="2190750" y="18223230"/>
          <a:ext cx="1971675"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75</xdr:row>
      <xdr:rowOff>9524</xdr:rowOff>
    </xdr:from>
    <xdr:to>
      <xdr:col>3</xdr:col>
      <xdr:colOff>432975</xdr:colOff>
      <xdr:row>75</xdr:row>
      <xdr:rowOff>9524</xdr:rowOff>
    </xdr:to>
    <xdr:cxnSp>
      <xdr:nvCxnSpPr>
        <xdr:cNvPr id="19" name="直接连接符 38"/>
        <xdr:cNvCxnSpPr/>
      </xdr:nvCxnSpPr>
      <xdr:spPr>
        <a:xfrm>
          <a:off x="2362200" y="18681700"/>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123826</xdr:colOff>
      <xdr:row>75</xdr:row>
      <xdr:rowOff>4</xdr:rowOff>
    </xdr:from>
    <xdr:to>
      <xdr:col>3</xdr:col>
      <xdr:colOff>180975</xdr:colOff>
      <xdr:row>76</xdr:row>
      <xdr:rowOff>0</xdr:rowOff>
    </xdr:to>
    <xdr:cxnSp>
      <xdr:nvCxnSpPr>
        <xdr:cNvPr id="20" name="直接连接符 39"/>
        <xdr:cNvCxnSpPr/>
      </xdr:nvCxnSpPr>
      <xdr:spPr>
        <a:xfrm rot="5400000">
          <a:off x="2192655" y="18785205"/>
          <a:ext cx="28130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85726</xdr:colOff>
      <xdr:row>75</xdr:row>
      <xdr:rowOff>104775</xdr:rowOff>
    </xdr:from>
    <xdr:to>
      <xdr:col>3</xdr:col>
      <xdr:colOff>104776</xdr:colOff>
      <xdr:row>76</xdr:row>
      <xdr:rowOff>0</xdr:rowOff>
    </xdr:to>
    <xdr:cxnSp>
      <xdr:nvCxnSpPr>
        <xdr:cNvPr id="21" name="直接连接符 40"/>
        <xdr:cNvCxnSpPr/>
      </xdr:nvCxnSpPr>
      <xdr:spPr>
        <a:xfrm rot="16200000" flipV="1">
          <a:off x="2187575" y="18856325"/>
          <a:ext cx="17716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75406</xdr:colOff>
      <xdr:row>75</xdr:row>
      <xdr:rowOff>115094</xdr:rowOff>
    </xdr:from>
    <xdr:to>
      <xdr:col>3</xdr:col>
      <xdr:colOff>76994</xdr:colOff>
      <xdr:row>75</xdr:row>
      <xdr:rowOff>153194</xdr:rowOff>
    </xdr:to>
    <xdr:cxnSp>
      <xdr:nvCxnSpPr>
        <xdr:cNvPr id="22" name="直接连接符 41"/>
        <xdr:cNvCxnSpPr/>
      </xdr:nvCxnSpPr>
      <xdr:spPr>
        <a:xfrm rot="5400000">
          <a:off x="2238375" y="18806160"/>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xdr:colOff>
      <xdr:row>73</xdr:row>
      <xdr:rowOff>142875</xdr:rowOff>
    </xdr:from>
    <xdr:to>
      <xdr:col>9</xdr:col>
      <xdr:colOff>9525</xdr:colOff>
      <xdr:row>73</xdr:row>
      <xdr:rowOff>144463</xdr:rowOff>
    </xdr:to>
    <xdr:cxnSp>
      <xdr:nvCxnSpPr>
        <xdr:cNvPr id="23" name="直接连接符 44"/>
        <xdr:cNvCxnSpPr/>
      </xdr:nvCxnSpPr>
      <xdr:spPr>
        <a:xfrm>
          <a:off x="4772025" y="18251805"/>
          <a:ext cx="1524000"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180975</xdr:colOff>
      <xdr:row>75</xdr:row>
      <xdr:rowOff>9524</xdr:rowOff>
    </xdr:from>
    <xdr:to>
      <xdr:col>7</xdr:col>
      <xdr:colOff>432975</xdr:colOff>
      <xdr:row>75</xdr:row>
      <xdr:rowOff>9524</xdr:rowOff>
    </xdr:to>
    <xdr:cxnSp>
      <xdr:nvCxnSpPr>
        <xdr:cNvPr id="24" name="直接连接符 50"/>
        <xdr:cNvCxnSpPr/>
      </xdr:nvCxnSpPr>
      <xdr:spPr>
        <a:xfrm>
          <a:off x="4943475" y="18681700"/>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123826</xdr:colOff>
      <xdr:row>75</xdr:row>
      <xdr:rowOff>4</xdr:rowOff>
    </xdr:from>
    <xdr:to>
      <xdr:col>7</xdr:col>
      <xdr:colOff>180975</xdr:colOff>
      <xdr:row>76</xdr:row>
      <xdr:rowOff>0</xdr:rowOff>
    </xdr:to>
    <xdr:cxnSp>
      <xdr:nvCxnSpPr>
        <xdr:cNvPr id="25" name="直接连接符 51"/>
        <xdr:cNvCxnSpPr/>
      </xdr:nvCxnSpPr>
      <xdr:spPr>
        <a:xfrm rot="5400000">
          <a:off x="4773930" y="18785205"/>
          <a:ext cx="28130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85726</xdr:colOff>
      <xdr:row>75</xdr:row>
      <xdr:rowOff>104775</xdr:rowOff>
    </xdr:from>
    <xdr:to>
      <xdr:col>7</xdr:col>
      <xdr:colOff>104776</xdr:colOff>
      <xdr:row>76</xdr:row>
      <xdr:rowOff>0</xdr:rowOff>
    </xdr:to>
    <xdr:cxnSp>
      <xdr:nvCxnSpPr>
        <xdr:cNvPr id="26" name="直接连接符 52"/>
        <xdr:cNvCxnSpPr/>
      </xdr:nvCxnSpPr>
      <xdr:spPr>
        <a:xfrm rot="16200000" flipV="1">
          <a:off x="4768850" y="18856325"/>
          <a:ext cx="17716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75406</xdr:colOff>
      <xdr:row>75</xdr:row>
      <xdr:rowOff>115094</xdr:rowOff>
    </xdr:from>
    <xdr:to>
      <xdr:col>7</xdr:col>
      <xdr:colOff>76994</xdr:colOff>
      <xdr:row>75</xdr:row>
      <xdr:rowOff>153194</xdr:rowOff>
    </xdr:to>
    <xdr:cxnSp>
      <xdr:nvCxnSpPr>
        <xdr:cNvPr id="27" name="直接连接符 53"/>
        <xdr:cNvCxnSpPr/>
      </xdr:nvCxnSpPr>
      <xdr:spPr>
        <a:xfrm rot="5400000">
          <a:off x="4819650" y="18806160"/>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81</xdr:row>
      <xdr:rowOff>123825</xdr:rowOff>
    </xdr:from>
    <xdr:to>
      <xdr:col>4</xdr:col>
      <xdr:colOff>600075</xdr:colOff>
      <xdr:row>81</xdr:row>
      <xdr:rowOff>125414</xdr:rowOff>
    </xdr:to>
    <xdr:cxnSp>
      <xdr:nvCxnSpPr>
        <xdr:cNvPr id="28" name="直接连接符 27"/>
        <xdr:cNvCxnSpPr/>
      </xdr:nvCxnSpPr>
      <xdr:spPr>
        <a:xfrm flipV="1">
          <a:off x="2190750" y="20393025"/>
          <a:ext cx="11239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81</xdr:row>
      <xdr:rowOff>142875</xdr:rowOff>
    </xdr:from>
    <xdr:to>
      <xdr:col>7</xdr:col>
      <xdr:colOff>0</xdr:colOff>
      <xdr:row>81</xdr:row>
      <xdr:rowOff>144463</xdr:rowOff>
    </xdr:to>
    <xdr:cxnSp>
      <xdr:nvCxnSpPr>
        <xdr:cNvPr id="29" name="直接连接符 29"/>
        <xdr:cNvCxnSpPr/>
      </xdr:nvCxnSpPr>
      <xdr:spPr>
        <a:xfrm>
          <a:off x="4162425" y="20412075"/>
          <a:ext cx="600075"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723900</xdr:colOff>
      <xdr:row>67</xdr:row>
      <xdr:rowOff>114300</xdr:rowOff>
    </xdr:from>
    <xdr:to>
      <xdr:col>3</xdr:col>
      <xdr:colOff>9525</xdr:colOff>
      <xdr:row>67</xdr:row>
      <xdr:rowOff>115888</xdr:rowOff>
    </xdr:to>
    <xdr:cxnSp>
      <xdr:nvCxnSpPr>
        <xdr:cNvPr id="30" name="直接连接符 45"/>
        <xdr:cNvCxnSpPr/>
      </xdr:nvCxnSpPr>
      <xdr:spPr>
        <a:xfrm>
          <a:off x="1409700" y="16718280"/>
          <a:ext cx="7810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68</xdr:row>
      <xdr:rowOff>95250</xdr:rowOff>
    </xdr:from>
    <xdr:to>
      <xdr:col>3</xdr:col>
      <xdr:colOff>19050</xdr:colOff>
      <xdr:row>68</xdr:row>
      <xdr:rowOff>96838</xdr:rowOff>
    </xdr:to>
    <xdr:cxnSp>
      <xdr:nvCxnSpPr>
        <xdr:cNvPr id="31" name="直接连接符 46"/>
        <xdr:cNvCxnSpPr/>
      </xdr:nvCxnSpPr>
      <xdr:spPr>
        <a:xfrm>
          <a:off x="1419225" y="16937355"/>
          <a:ext cx="7810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87</xdr:row>
      <xdr:rowOff>171450</xdr:rowOff>
    </xdr:from>
    <xdr:to>
      <xdr:col>2</xdr:col>
      <xdr:colOff>885825</xdr:colOff>
      <xdr:row>87</xdr:row>
      <xdr:rowOff>173038</xdr:rowOff>
    </xdr:to>
    <xdr:cxnSp>
      <xdr:nvCxnSpPr>
        <xdr:cNvPr id="32" name="直接连接符 32"/>
        <xdr:cNvCxnSpPr/>
      </xdr:nvCxnSpPr>
      <xdr:spPr>
        <a:xfrm>
          <a:off x="1219200" y="21964650"/>
          <a:ext cx="96202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88</xdr:row>
      <xdr:rowOff>257175</xdr:rowOff>
    </xdr:from>
    <xdr:to>
      <xdr:col>2</xdr:col>
      <xdr:colOff>904875</xdr:colOff>
      <xdr:row>88</xdr:row>
      <xdr:rowOff>258763</xdr:rowOff>
    </xdr:to>
    <xdr:cxnSp>
      <xdr:nvCxnSpPr>
        <xdr:cNvPr id="33" name="直接连接符 42"/>
        <xdr:cNvCxnSpPr/>
      </xdr:nvCxnSpPr>
      <xdr:spPr>
        <a:xfrm>
          <a:off x="1238250" y="22364700"/>
          <a:ext cx="94297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90</xdr:row>
      <xdr:rowOff>190500</xdr:rowOff>
    </xdr:from>
    <xdr:to>
      <xdr:col>2</xdr:col>
      <xdr:colOff>904875</xdr:colOff>
      <xdr:row>90</xdr:row>
      <xdr:rowOff>192088</xdr:rowOff>
    </xdr:to>
    <xdr:cxnSp>
      <xdr:nvCxnSpPr>
        <xdr:cNvPr id="34" name="直接连接符 43"/>
        <xdr:cNvCxnSpPr/>
      </xdr:nvCxnSpPr>
      <xdr:spPr>
        <a:xfrm>
          <a:off x="1238250" y="22831425"/>
          <a:ext cx="94297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91</xdr:row>
      <xdr:rowOff>152400</xdr:rowOff>
    </xdr:from>
    <xdr:to>
      <xdr:col>3</xdr:col>
      <xdr:colOff>0</xdr:colOff>
      <xdr:row>91</xdr:row>
      <xdr:rowOff>153988</xdr:rowOff>
    </xdr:to>
    <xdr:cxnSp>
      <xdr:nvCxnSpPr>
        <xdr:cNvPr id="35" name="直接连接符 47"/>
        <xdr:cNvCxnSpPr/>
      </xdr:nvCxnSpPr>
      <xdr:spPr>
        <a:xfrm>
          <a:off x="1247775" y="23107650"/>
          <a:ext cx="9334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94</xdr:row>
      <xdr:rowOff>152400</xdr:rowOff>
    </xdr:from>
    <xdr:to>
      <xdr:col>10</xdr:col>
      <xdr:colOff>19050</xdr:colOff>
      <xdr:row>94</xdr:row>
      <xdr:rowOff>161925</xdr:rowOff>
    </xdr:to>
    <xdr:cxnSp>
      <xdr:nvCxnSpPr>
        <xdr:cNvPr id="36" name="直接连接符 48"/>
        <xdr:cNvCxnSpPr/>
      </xdr:nvCxnSpPr>
      <xdr:spPr>
        <a:xfrm>
          <a:off x="2181225" y="23909655"/>
          <a:ext cx="48196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127</xdr:row>
      <xdr:rowOff>133350</xdr:rowOff>
    </xdr:from>
    <xdr:to>
      <xdr:col>7</xdr:col>
      <xdr:colOff>0</xdr:colOff>
      <xdr:row>127</xdr:row>
      <xdr:rowOff>142875</xdr:rowOff>
    </xdr:to>
    <xdr:cxnSp>
      <xdr:nvCxnSpPr>
        <xdr:cNvPr id="37" name="直接连接符 49"/>
        <xdr:cNvCxnSpPr/>
      </xdr:nvCxnSpPr>
      <xdr:spPr>
        <a:xfrm flipV="1">
          <a:off x="2714625" y="31438215"/>
          <a:ext cx="2047875" cy="95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523875</xdr:colOff>
      <xdr:row>133</xdr:row>
      <xdr:rowOff>180976</xdr:rowOff>
    </xdr:from>
    <xdr:to>
      <xdr:col>6</xdr:col>
      <xdr:colOff>46575</xdr:colOff>
      <xdr:row>133</xdr:row>
      <xdr:rowOff>190500</xdr:rowOff>
    </xdr:to>
    <xdr:cxnSp>
      <xdr:nvCxnSpPr>
        <xdr:cNvPr id="38" name="直接连接符 55"/>
        <xdr:cNvCxnSpPr/>
      </xdr:nvCxnSpPr>
      <xdr:spPr>
        <a:xfrm flipV="1">
          <a:off x="1943100" y="33021270"/>
          <a:ext cx="2256155" cy="95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57150</xdr:colOff>
      <xdr:row>133</xdr:row>
      <xdr:rowOff>171453</xdr:rowOff>
    </xdr:from>
    <xdr:to>
      <xdr:col>6</xdr:col>
      <xdr:colOff>57150</xdr:colOff>
      <xdr:row>136</xdr:row>
      <xdr:rowOff>66675</xdr:rowOff>
    </xdr:to>
    <xdr:cxnSp>
      <xdr:nvCxnSpPr>
        <xdr:cNvPr id="39" name="直接箭头连接符 57"/>
        <xdr:cNvCxnSpPr/>
      </xdr:nvCxnSpPr>
      <xdr:spPr>
        <a:xfrm rot="5400000">
          <a:off x="3923030" y="33298130"/>
          <a:ext cx="573405"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161085</xdr:colOff>
      <xdr:row>143</xdr:row>
      <xdr:rowOff>84044</xdr:rowOff>
    </xdr:from>
    <xdr:to>
      <xdr:col>3</xdr:col>
      <xdr:colOff>21011</xdr:colOff>
      <xdr:row>143</xdr:row>
      <xdr:rowOff>85632</xdr:rowOff>
    </xdr:to>
    <xdr:cxnSp>
      <xdr:nvCxnSpPr>
        <xdr:cNvPr id="40" name="直接箭头连接符 69"/>
        <xdr:cNvCxnSpPr/>
      </xdr:nvCxnSpPr>
      <xdr:spPr>
        <a:xfrm>
          <a:off x="846455" y="34935795"/>
          <a:ext cx="1355725" cy="12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147077</xdr:colOff>
      <xdr:row>143</xdr:row>
      <xdr:rowOff>84044</xdr:rowOff>
    </xdr:from>
    <xdr:to>
      <xdr:col>2</xdr:col>
      <xdr:colOff>224118</xdr:colOff>
      <xdr:row>146</xdr:row>
      <xdr:rowOff>21011</xdr:rowOff>
    </xdr:to>
    <xdr:cxnSp>
      <xdr:nvCxnSpPr>
        <xdr:cNvPr id="41" name="直接箭头连接符 71"/>
        <xdr:cNvCxnSpPr/>
      </xdr:nvCxnSpPr>
      <xdr:spPr>
        <a:xfrm>
          <a:off x="832485" y="34935795"/>
          <a:ext cx="810260" cy="5314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161085</xdr:colOff>
      <xdr:row>140</xdr:row>
      <xdr:rowOff>21011</xdr:rowOff>
    </xdr:from>
    <xdr:to>
      <xdr:col>4</xdr:col>
      <xdr:colOff>7003</xdr:colOff>
      <xdr:row>143</xdr:row>
      <xdr:rowOff>84044</xdr:rowOff>
    </xdr:to>
    <xdr:cxnSp>
      <xdr:nvCxnSpPr>
        <xdr:cNvPr id="42" name="直接箭头连接符 73"/>
        <xdr:cNvCxnSpPr/>
      </xdr:nvCxnSpPr>
      <xdr:spPr>
        <a:xfrm flipV="1">
          <a:off x="846455" y="34331910"/>
          <a:ext cx="1875155" cy="60388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7004</xdr:colOff>
      <xdr:row>140</xdr:row>
      <xdr:rowOff>14008</xdr:rowOff>
    </xdr:from>
    <xdr:to>
      <xdr:col>4</xdr:col>
      <xdr:colOff>14007</xdr:colOff>
      <xdr:row>143</xdr:row>
      <xdr:rowOff>84044</xdr:rowOff>
    </xdr:to>
    <xdr:cxnSp>
      <xdr:nvCxnSpPr>
        <xdr:cNvPr id="43" name="直接箭头连接符 75"/>
        <xdr:cNvCxnSpPr/>
      </xdr:nvCxnSpPr>
      <xdr:spPr>
        <a:xfrm flipV="1">
          <a:off x="2188210" y="34324925"/>
          <a:ext cx="540385" cy="6108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339246</xdr:colOff>
      <xdr:row>143</xdr:row>
      <xdr:rowOff>123956</xdr:rowOff>
    </xdr:from>
    <xdr:to>
      <xdr:col>1</xdr:col>
      <xdr:colOff>538228</xdr:colOff>
      <xdr:row>145</xdr:row>
      <xdr:rowOff>7579</xdr:rowOff>
    </xdr:to>
    <xdr:sp>
      <xdr:nvSpPr>
        <xdr:cNvPr id="44" name="弧形 43"/>
        <xdr:cNvSpPr/>
      </xdr:nvSpPr>
      <xdr:spPr>
        <a:xfrm>
          <a:off x="1024890" y="34975800"/>
          <a:ext cx="198755" cy="279400"/>
        </a:xfrm>
        <a:prstGeom prst="arc">
          <a:avLst>
            <a:gd name="adj1" fmla="val 14600924"/>
            <a:gd name="adj2" fmla="val 405645"/>
          </a:avLst>
        </a:prstGeom>
        <a:scene3d>
          <a:camera prst="orthographicFront">
            <a:rot lat="13200000" lon="9600000" rev="7800000"/>
          </a:camera>
          <a:lightRig rig="threePt" dir="t"/>
        </a:scene3d>
        <a:sp3d z="38100"/>
      </xdr:spPr>
      <xdr:style>
        <a:lnRef idx="1">
          <a:schemeClr val="accent1"/>
        </a:lnRef>
        <a:fillRef idx="0">
          <a:schemeClr val="accent1"/>
        </a:fillRef>
        <a:effectRef idx="0">
          <a:schemeClr val="accent1"/>
        </a:effectRef>
        <a:fontRef idx="minor">
          <a:schemeClr val="tx1"/>
        </a:fontRef>
      </xdr:style>
      <xdr:txBody>
        <a:bodyPr rtlCol="0" anchor="ctr"/>
        <a:lstStyle/>
        <a:p>
          <a:endParaRPr lang="zh-CN" altLang="en-US"/>
        </a:p>
      </xdr:txBody>
    </xdr:sp>
    <xdr:clientData/>
  </xdr:twoCellAnchor>
  <xdr:twoCellAnchor>
    <xdr:from>
      <xdr:col>3</xdr:col>
      <xdr:colOff>17971</xdr:colOff>
      <xdr:row>143</xdr:row>
      <xdr:rowOff>77529</xdr:rowOff>
    </xdr:from>
    <xdr:to>
      <xdr:col>4</xdr:col>
      <xdr:colOff>437486</xdr:colOff>
      <xdr:row>143</xdr:row>
      <xdr:rowOff>80872</xdr:rowOff>
    </xdr:to>
    <xdr:cxnSp>
      <xdr:nvCxnSpPr>
        <xdr:cNvPr id="45" name="直接连接符 80"/>
        <xdr:cNvCxnSpPr/>
      </xdr:nvCxnSpPr>
      <xdr:spPr>
        <a:xfrm flipV="1">
          <a:off x="2199005" y="34929445"/>
          <a:ext cx="952500" cy="3175"/>
        </a:xfrm>
        <a:prstGeom prst="line">
          <a:avLst/>
        </a:prstGeom>
        <a:ln>
          <a:solidFill>
            <a:schemeClr val="tx1"/>
          </a:solidFill>
          <a:prstDash val="dash"/>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5538</xdr:colOff>
      <xdr:row>140</xdr:row>
      <xdr:rowOff>27752</xdr:rowOff>
    </xdr:from>
    <xdr:to>
      <xdr:col>4</xdr:col>
      <xdr:colOff>9781</xdr:colOff>
      <xdr:row>146</xdr:row>
      <xdr:rowOff>138445</xdr:rowOff>
    </xdr:to>
    <xdr:cxnSp>
      <xdr:nvCxnSpPr>
        <xdr:cNvPr id="46" name="直接连接符 82"/>
        <xdr:cNvCxnSpPr/>
      </xdr:nvCxnSpPr>
      <xdr:spPr>
        <a:xfrm rot="5400000">
          <a:off x="2098675" y="34959290"/>
          <a:ext cx="1246505" cy="444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314504</xdr:colOff>
      <xdr:row>140</xdr:row>
      <xdr:rowOff>26958</xdr:rowOff>
    </xdr:from>
    <xdr:to>
      <xdr:col>4</xdr:col>
      <xdr:colOff>8986</xdr:colOff>
      <xdr:row>144</xdr:row>
      <xdr:rowOff>62901</xdr:rowOff>
    </xdr:to>
    <xdr:cxnSp>
      <xdr:nvCxnSpPr>
        <xdr:cNvPr id="47" name="直接连接符 84"/>
        <xdr:cNvCxnSpPr/>
      </xdr:nvCxnSpPr>
      <xdr:spPr>
        <a:xfrm rot="5400000">
          <a:off x="2221865" y="34611310"/>
          <a:ext cx="775335" cy="22796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143</xdr:row>
      <xdr:rowOff>83067</xdr:rowOff>
    </xdr:from>
    <xdr:to>
      <xdr:col>3</xdr:col>
      <xdr:colOff>315654</xdr:colOff>
      <xdr:row>144</xdr:row>
      <xdr:rowOff>66454</xdr:rowOff>
    </xdr:to>
    <xdr:cxnSp>
      <xdr:nvCxnSpPr>
        <xdr:cNvPr id="48" name="直接箭头连接符 87"/>
        <xdr:cNvCxnSpPr/>
      </xdr:nvCxnSpPr>
      <xdr:spPr>
        <a:xfrm>
          <a:off x="2181225" y="34934525"/>
          <a:ext cx="315595" cy="181610"/>
        </a:xfrm>
        <a:prstGeom prst="straightConnector1">
          <a:avLst/>
        </a:prstGeom>
        <a:ln w="31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321192</xdr:colOff>
      <xdr:row>144</xdr:row>
      <xdr:rowOff>49840</xdr:rowOff>
    </xdr:from>
    <xdr:to>
      <xdr:col>4</xdr:col>
      <xdr:colOff>609157</xdr:colOff>
      <xdr:row>144</xdr:row>
      <xdr:rowOff>55378</xdr:rowOff>
    </xdr:to>
    <xdr:cxnSp>
      <xdr:nvCxnSpPr>
        <xdr:cNvPr id="49" name="直接连接符 89"/>
        <xdr:cNvCxnSpPr/>
      </xdr:nvCxnSpPr>
      <xdr:spPr>
        <a:xfrm flipV="1">
          <a:off x="2501900" y="35099625"/>
          <a:ext cx="821690" cy="571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315654</xdr:colOff>
      <xdr:row>144</xdr:row>
      <xdr:rowOff>66454</xdr:rowOff>
    </xdr:from>
    <xdr:to>
      <xdr:col>3</xdr:col>
      <xdr:colOff>321192</xdr:colOff>
      <xdr:row>146</xdr:row>
      <xdr:rowOff>116293</xdr:rowOff>
    </xdr:to>
    <xdr:cxnSp>
      <xdr:nvCxnSpPr>
        <xdr:cNvPr id="50" name="直接连接符 95"/>
        <xdr:cNvCxnSpPr/>
      </xdr:nvCxnSpPr>
      <xdr:spPr>
        <a:xfrm rot="16200000" flipH="1">
          <a:off x="2276475" y="35336480"/>
          <a:ext cx="445770" cy="571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xdr:colOff>
      <xdr:row>143</xdr:row>
      <xdr:rowOff>83066</xdr:rowOff>
    </xdr:from>
    <xdr:to>
      <xdr:col>3</xdr:col>
      <xdr:colOff>5539</xdr:colOff>
      <xdr:row>146</xdr:row>
      <xdr:rowOff>105217</xdr:rowOff>
    </xdr:to>
    <xdr:cxnSp>
      <xdr:nvCxnSpPr>
        <xdr:cNvPr id="51" name="直接连接符 97"/>
        <xdr:cNvCxnSpPr/>
      </xdr:nvCxnSpPr>
      <xdr:spPr>
        <a:xfrm rot="5400000">
          <a:off x="1875155" y="35239960"/>
          <a:ext cx="616585" cy="5715"/>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127369</xdr:colOff>
      <xdr:row>140</xdr:row>
      <xdr:rowOff>27688</xdr:rowOff>
    </xdr:from>
    <xdr:to>
      <xdr:col>4</xdr:col>
      <xdr:colOff>310117</xdr:colOff>
      <xdr:row>146</xdr:row>
      <xdr:rowOff>121830</xdr:rowOff>
    </xdr:to>
    <xdr:sp>
      <xdr:nvSpPr>
        <xdr:cNvPr id="52" name="弧形 51"/>
        <xdr:cNvSpPr/>
      </xdr:nvSpPr>
      <xdr:spPr>
        <a:xfrm>
          <a:off x="2308225" y="34338260"/>
          <a:ext cx="716280" cy="1229360"/>
        </a:xfrm>
        <a:prstGeom prst="arc">
          <a:avLst>
            <a:gd name="adj1" fmla="val 16242680"/>
            <a:gd name="adj2" fmla="val 0"/>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txBody>
        <a:bodyPr rtlCol="0" anchor="ctr"/>
        <a:lstStyle/>
        <a:p>
          <a:endParaRPr lang="zh-CN" altLang="en-US"/>
        </a:p>
      </xdr:txBody>
    </xdr:sp>
    <xdr:clientData/>
  </xdr:twoCellAnchor>
  <xdr:twoCellAnchor>
    <xdr:from>
      <xdr:col>3</xdr:col>
      <xdr:colOff>522096</xdr:colOff>
      <xdr:row>140</xdr:row>
      <xdr:rowOff>27689</xdr:rowOff>
    </xdr:from>
    <xdr:to>
      <xdr:col>5</xdr:col>
      <xdr:colOff>5538</xdr:colOff>
      <xdr:row>140</xdr:row>
      <xdr:rowOff>27783</xdr:rowOff>
    </xdr:to>
    <xdr:cxnSp>
      <xdr:nvCxnSpPr>
        <xdr:cNvPr id="53" name="直接连接符 102"/>
        <xdr:cNvCxnSpPr>
          <a:stCxn id="52" idx="0"/>
        </xdr:cNvCxnSpPr>
      </xdr:nvCxnSpPr>
      <xdr:spPr>
        <a:xfrm rot="10800000" flipH="1">
          <a:off x="2703195" y="34338260"/>
          <a:ext cx="626110" cy="0"/>
        </a:xfrm>
        <a:prstGeom prst="line">
          <a:avLst/>
        </a:prstGeom>
        <a:ln>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xdr:colOff>
      <xdr:row>140</xdr:row>
      <xdr:rowOff>11075</xdr:rowOff>
    </xdr:from>
    <xdr:to>
      <xdr:col>5</xdr:col>
      <xdr:colOff>1</xdr:colOff>
      <xdr:row>144</xdr:row>
      <xdr:rowOff>44389</xdr:rowOff>
    </xdr:to>
    <xdr:cxnSp>
      <xdr:nvCxnSpPr>
        <xdr:cNvPr id="54" name="直接箭头连接符 107"/>
        <xdr:cNvCxnSpPr/>
      </xdr:nvCxnSpPr>
      <xdr:spPr>
        <a:xfrm rot="5400000">
          <a:off x="2937510" y="34707830"/>
          <a:ext cx="772795" cy="0"/>
        </a:xfrm>
        <a:prstGeom prst="straightConnector1">
          <a:avLst/>
        </a:prstGeom>
        <a:ln w="3175">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426411</xdr:colOff>
      <xdr:row>142</xdr:row>
      <xdr:rowOff>110758</xdr:rowOff>
    </xdr:from>
    <xdr:to>
      <xdr:col>4</xdr:col>
      <xdr:colOff>426411</xdr:colOff>
      <xdr:row>143</xdr:row>
      <xdr:rowOff>88604</xdr:rowOff>
    </xdr:to>
    <xdr:cxnSp>
      <xdr:nvCxnSpPr>
        <xdr:cNvPr id="55" name="直接箭头连接符 113"/>
        <xdr:cNvCxnSpPr/>
      </xdr:nvCxnSpPr>
      <xdr:spPr>
        <a:xfrm rot="5400000">
          <a:off x="3052445" y="34851975"/>
          <a:ext cx="176530" cy="0"/>
        </a:xfrm>
        <a:prstGeom prst="straightConnector1">
          <a:avLst/>
        </a:prstGeom>
        <a:ln w="31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420875</xdr:colOff>
      <xdr:row>144</xdr:row>
      <xdr:rowOff>55377</xdr:rowOff>
    </xdr:from>
    <xdr:to>
      <xdr:col>4</xdr:col>
      <xdr:colOff>420875</xdr:colOff>
      <xdr:row>145</xdr:row>
      <xdr:rowOff>5537</xdr:rowOff>
    </xdr:to>
    <xdr:cxnSp>
      <xdr:nvCxnSpPr>
        <xdr:cNvPr id="56" name="直接箭头连接符 116"/>
        <xdr:cNvCxnSpPr/>
      </xdr:nvCxnSpPr>
      <xdr:spPr>
        <a:xfrm rot="16200000" flipV="1">
          <a:off x="3061335" y="35179000"/>
          <a:ext cx="147955" cy="0"/>
        </a:xfrm>
        <a:prstGeom prst="straightConnector1">
          <a:avLst/>
        </a:prstGeom>
        <a:ln w="31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420080</xdr:colOff>
      <xdr:row>143</xdr:row>
      <xdr:rowOff>89398</xdr:rowOff>
    </xdr:from>
    <xdr:to>
      <xdr:col>4</xdr:col>
      <xdr:colOff>421668</xdr:colOff>
      <xdr:row>144</xdr:row>
      <xdr:rowOff>50634</xdr:rowOff>
    </xdr:to>
    <xdr:cxnSp>
      <xdr:nvCxnSpPr>
        <xdr:cNvPr id="57" name="直接连接符 119"/>
        <xdr:cNvCxnSpPr/>
      </xdr:nvCxnSpPr>
      <xdr:spPr>
        <a:xfrm rot="5400000" flipH="1" flipV="1">
          <a:off x="3055620" y="35020250"/>
          <a:ext cx="159385" cy="1270"/>
        </a:xfrm>
        <a:prstGeom prst="line">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758679</xdr:colOff>
      <xdr:row>143</xdr:row>
      <xdr:rowOff>143983</xdr:rowOff>
    </xdr:from>
    <xdr:to>
      <xdr:col>3</xdr:col>
      <xdr:colOff>116294</xdr:colOff>
      <xdr:row>144</xdr:row>
      <xdr:rowOff>66453</xdr:rowOff>
    </xdr:to>
    <xdr:cxnSp>
      <xdr:nvCxnSpPr>
        <xdr:cNvPr id="58" name="直接连接符 121"/>
        <xdr:cNvCxnSpPr/>
      </xdr:nvCxnSpPr>
      <xdr:spPr>
        <a:xfrm rot="10800000" flipV="1">
          <a:off x="2177415" y="34995485"/>
          <a:ext cx="120015" cy="120650"/>
        </a:xfrm>
        <a:prstGeom prst="line">
          <a:avLst/>
        </a:prstGeom>
        <a:ln w="31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908198</xdr:colOff>
      <xdr:row>145</xdr:row>
      <xdr:rowOff>166134</xdr:rowOff>
    </xdr:from>
    <xdr:to>
      <xdr:col>3</xdr:col>
      <xdr:colOff>321192</xdr:colOff>
      <xdr:row>145</xdr:row>
      <xdr:rowOff>166134</xdr:rowOff>
    </xdr:to>
    <xdr:cxnSp>
      <xdr:nvCxnSpPr>
        <xdr:cNvPr id="59" name="直接箭头连接符 123"/>
        <xdr:cNvCxnSpPr/>
      </xdr:nvCxnSpPr>
      <xdr:spPr>
        <a:xfrm flipV="1">
          <a:off x="2181225" y="35413950"/>
          <a:ext cx="320675" cy="0"/>
        </a:xfrm>
        <a:prstGeom prst="straightConnector1">
          <a:avLst/>
        </a:prstGeom>
        <a:ln w="3175">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310116</xdr:colOff>
      <xdr:row>146</xdr:row>
      <xdr:rowOff>0</xdr:rowOff>
    </xdr:from>
    <xdr:to>
      <xdr:col>3</xdr:col>
      <xdr:colOff>592543</xdr:colOff>
      <xdr:row>146</xdr:row>
      <xdr:rowOff>1588</xdr:rowOff>
    </xdr:to>
    <xdr:cxnSp>
      <xdr:nvCxnSpPr>
        <xdr:cNvPr id="60" name="直接箭头连接符 125"/>
        <xdr:cNvCxnSpPr/>
      </xdr:nvCxnSpPr>
      <xdr:spPr>
        <a:xfrm>
          <a:off x="2491105" y="35446335"/>
          <a:ext cx="223520" cy="1270"/>
        </a:xfrm>
        <a:prstGeom prst="straightConnector1">
          <a:avLst/>
        </a:prstGeom>
        <a:ln w="3175">
          <a:solidFill>
            <a:srgbClr val="FF0000"/>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153</xdr:row>
      <xdr:rowOff>142875</xdr:rowOff>
    </xdr:from>
    <xdr:to>
      <xdr:col>10</xdr:col>
      <xdr:colOff>9525</xdr:colOff>
      <xdr:row>153</xdr:row>
      <xdr:rowOff>144463</xdr:rowOff>
    </xdr:to>
    <xdr:cxnSp>
      <xdr:nvCxnSpPr>
        <xdr:cNvPr id="61" name="直接连接符 134"/>
        <xdr:cNvCxnSpPr/>
      </xdr:nvCxnSpPr>
      <xdr:spPr>
        <a:xfrm>
          <a:off x="5629275" y="37059870"/>
          <a:ext cx="1362075"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180975</xdr:colOff>
      <xdr:row>154</xdr:row>
      <xdr:rowOff>9524</xdr:rowOff>
    </xdr:from>
    <xdr:to>
      <xdr:col>8</xdr:col>
      <xdr:colOff>432975</xdr:colOff>
      <xdr:row>154</xdr:row>
      <xdr:rowOff>9524</xdr:rowOff>
    </xdr:to>
    <xdr:cxnSp>
      <xdr:nvCxnSpPr>
        <xdr:cNvPr id="62" name="直接连接符 135"/>
        <xdr:cNvCxnSpPr/>
      </xdr:nvCxnSpPr>
      <xdr:spPr>
        <a:xfrm>
          <a:off x="5800725" y="37207825"/>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123826</xdr:colOff>
      <xdr:row>154</xdr:row>
      <xdr:rowOff>4</xdr:rowOff>
    </xdr:from>
    <xdr:to>
      <xdr:col>8</xdr:col>
      <xdr:colOff>180975</xdr:colOff>
      <xdr:row>155</xdr:row>
      <xdr:rowOff>0</xdr:rowOff>
    </xdr:to>
    <xdr:cxnSp>
      <xdr:nvCxnSpPr>
        <xdr:cNvPr id="63" name="直接连接符 136"/>
        <xdr:cNvCxnSpPr/>
      </xdr:nvCxnSpPr>
      <xdr:spPr>
        <a:xfrm rot="5400000">
          <a:off x="5629275" y="37313235"/>
          <a:ext cx="28511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85726</xdr:colOff>
      <xdr:row>154</xdr:row>
      <xdr:rowOff>104775</xdr:rowOff>
    </xdr:from>
    <xdr:to>
      <xdr:col>8</xdr:col>
      <xdr:colOff>104776</xdr:colOff>
      <xdr:row>155</xdr:row>
      <xdr:rowOff>0</xdr:rowOff>
    </xdr:to>
    <xdr:cxnSp>
      <xdr:nvCxnSpPr>
        <xdr:cNvPr id="64" name="直接连接符 137"/>
        <xdr:cNvCxnSpPr/>
      </xdr:nvCxnSpPr>
      <xdr:spPr>
        <a:xfrm rot="16200000" flipV="1">
          <a:off x="5624195" y="37384355"/>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75406</xdr:colOff>
      <xdr:row>154</xdr:row>
      <xdr:rowOff>115094</xdr:rowOff>
    </xdr:from>
    <xdr:to>
      <xdr:col>8</xdr:col>
      <xdr:colOff>76994</xdr:colOff>
      <xdr:row>154</xdr:row>
      <xdr:rowOff>153194</xdr:rowOff>
    </xdr:to>
    <xdr:cxnSp>
      <xdr:nvCxnSpPr>
        <xdr:cNvPr id="65" name="直接连接符 138"/>
        <xdr:cNvCxnSpPr/>
      </xdr:nvCxnSpPr>
      <xdr:spPr>
        <a:xfrm rot="5400000">
          <a:off x="5676900" y="37332285"/>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153</xdr:row>
      <xdr:rowOff>142875</xdr:rowOff>
    </xdr:from>
    <xdr:to>
      <xdr:col>13</xdr:col>
      <xdr:colOff>9525</xdr:colOff>
      <xdr:row>153</xdr:row>
      <xdr:rowOff>144463</xdr:rowOff>
    </xdr:to>
    <xdr:cxnSp>
      <xdr:nvCxnSpPr>
        <xdr:cNvPr id="66" name="直接连接符 140"/>
        <xdr:cNvCxnSpPr/>
      </xdr:nvCxnSpPr>
      <xdr:spPr>
        <a:xfrm>
          <a:off x="7677150" y="37059870"/>
          <a:ext cx="1371600"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180975</xdr:colOff>
      <xdr:row>154</xdr:row>
      <xdr:rowOff>9524</xdr:rowOff>
    </xdr:from>
    <xdr:to>
      <xdr:col>11</xdr:col>
      <xdr:colOff>432975</xdr:colOff>
      <xdr:row>154</xdr:row>
      <xdr:rowOff>9524</xdr:rowOff>
    </xdr:to>
    <xdr:cxnSp>
      <xdr:nvCxnSpPr>
        <xdr:cNvPr id="67" name="直接连接符 141"/>
        <xdr:cNvCxnSpPr/>
      </xdr:nvCxnSpPr>
      <xdr:spPr>
        <a:xfrm>
          <a:off x="7848600" y="37207825"/>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123826</xdr:colOff>
      <xdr:row>154</xdr:row>
      <xdr:rowOff>4</xdr:rowOff>
    </xdr:from>
    <xdr:to>
      <xdr:col>11</xdr:col>
      <xdr:colOff>180975</xdr:colOff>
      <xdr:row>155</xdr:row>
      <xdr:rowOff>0</xdr:rowOff>
    </xdr:to>
    <xdr:cxnSp>
      <xdr:nvCxnSpPr>
        <xdr:cNvPr id="68" name="直接连接符 142"/>
        <xdr:cNvCxnSpPr/>
      </xdr:nvCxnSpPr>
      <xdr:spPr>
        <a:xfrm rot="5400000">
          <a:off x="7677150" y="37313235"/>
          <a:ext cx="28511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85726</xdr:colOff>
      <xdr:row>154</xdr:row>
      <xdr:rowOff>104775</xdr:rowOff>
    </xdr:from>
    <xdr:to>
      <xdr:col>11</xdr:col>
      <xdr:colOff>104776</xdr:colOff>
      <xdr:row>155</xdr:row>
      <xdr:rowOff>0</xdr:rowOff>
    </xdr:to>
    <xdr:cxnSp>
      <xdr:nvCxnSpPr>
        <xdr:cNvPr id="69" name="直接连接符 143"/>
        <xdr:cNvCxnSpPr/>
      </xdr:nvCxnSpPr>
      <xdr:spPr>
        <a:xfrm rot="16200000" flipV="1">
          <a:off x="7672070" y="37384355"/>
          <a:ext cx="1809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75406</xdr:colOff>
      <xdr:row>154</xdr:row>
      <xdr:rowOff>115094</xdr:rowOff>
    </xdr:from>
    <xdr:to>
      <xdr:col>11</xdr:col>
      <xdr:colOff>76994</xdr:colOff>
      <xdr:row>154</xdr:row>
      <xdr:rowOff>153194</xdr:rowOff>
    </xdr:to>
    <xdr:cxnSp>
      <xdr:nvCxnSpPr>
        <xdr:cNvPr id="70" name="直接连接符 144"/>
        <xdr:cNvCxnSpPr/>
      </xdr:nvCxnSpPr>
      <xdr:spPr>
        <a:xfrm rot="5400000">
          <a:off x="7724775" y="37332285"/>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160</xdr:row>
      <xdr:rowOff>142875</xdr:rowOff>
    </xdr:from>
    <xdr:to>
      <xdr:col>10</xdr:col>
      <xdr:colOff>9525</xdr:colOff>
      <xdr:row>160</xdr:row>
      <xdr:rowOff>144463</xdr:rowOff>
    </xdr:to>
    <xdr:cxnSp>
      <xdr:nvCxnSpPr>
        <xdr:cNvPr id="71" name="直接连接符 145"/>
        <xdr:cNvCxnSpPr/>
      </xdr:nvCxnSpPr>
      <xdr:spPr>
        <a:xfrm>
          <a:off x="5629275" y="38701980"/>
          <a:ext cx="1362075"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160</xdr:row>
      <xdr:rowOff>142875</xdr:rowOff>
    </xdr:from>
    <xdr:to>
      <xdr:col>13</xdr:col>
      <xdr:colOff>9525</xdr:colOff>
      <xdr:row>160</xdr:row>
      <xdr:rowOff>144463</xdr:rowOff>
    </xdr:to>
    <xdr:cxnSp>
      <xdr:nvCxnSpPr>
        <xdr:cNvPr id="72" name="直接连接符 150"/>
        <xdr:cNvCxnSpPr/>
      </xdr:nvCxnSpPr>
      <xdr:spPr>
        <a:xfrm>
          <a:off x="7677150" y="38701980"/>
          <a:ext cx="1371600" cy="127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160</xdr:row>
      <xdr:rowOff>9524</xdr:rowOff>
    </xdr:from>
    <xdr:to>
      <xdr:col>3</xdr:col>
      <xdr:colOff>432975</xdr:colOff>
      <xdr:row>160</xdr:row>
      <xdr:rowOff>9524</xdr:rowOff>
    </xdr:to>
    <xdr:cxnSp>
      <xdr:nvCxnSpPr>
        <xdr:cNvPr id="73" name="直接连接符 161"/>
        <xdr:cNvCxnSpPr/>
      </xdr:nvCxnSpPr>
      <xdr:spPr>
        <a:xfrm>
          <a:off x="2362200" y="38567995"/>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123826</xdr:colOff>
      <xdr:row>160</xdr:row>
      <xdr:rowOff>4</xdr:rowOff>
    </xdr:from>
    <xdr:to>
      <xdr:col>3</xdr:col>
      <xdr:colOff>180975</xdr:colOff>
      <xdr:row>161</xdr:row>
      <xdr:rowOff>0</xdr:rowOff>
    </xdr:to>
    <xdr:cxnSp>
      <xdr:nvCxnSpPr>
        <xdr:cNvPr id="74" name="直接连接符 162"/>
        <xdr:cNvCxnSpPr/>
      </xdr:nvCxnSpPr>
      <xdr:spPr>
        <a:xfrm rot="5400000">
          <a:off x="2192655" y="38671500"/>
          <a:ext cx="281305" cy="571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85726</xdr:colOff>
      <xdr:row>160</xdr:row>
      <xdr:rowOff>104775</xdr:rowOff>
    </xdr:from>
    <xdr:to>
      <xdr:col>3</xdr:col>
      <xdr:colOff>104776</xdr:colOff>
      <xdr:row>161</xdr:row>
      <xdr:rowOff>0</xdr:rowOff>
    </xdr:to>
    <xdr:cxnSp>
      <xdr:nvCxnSpPr>
        <xdr:cNvPr id="75" name="直接连接符 163"/>
        <xdr:cNvCxnSpPr/>
      </xdr:nvCxnSpPr>
      <xdr:spPr>
        <a:xfrm rot="16200000" flipV="1">
          <a:off x="2187575" y="38742620"/>
          <a:ext cx="17716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75406</xdr:colOff>
      <xdr:row>160</xdr:row>
      <xdr:rowOff>115094</xdr:rowOff>
    </xdr:from>
    <xdr:to>
      <xdr:col>3</xdr:col>
      <xdr:colOff>76994</xdr:colOff>
      <xdr:row>160</xdr:row>
      <xdr:rowOff>153194</xdr:rowOff>
    </xdr:to>
    <xdr:cxnSp>
      <xdr:nvCxnSpPr>
        <xdr:cNvPr id="76" name="直接连接符 164"/>
        <xdr:cNvCxnSpPr/>
      </xdr:nvCxnSpPr>
      <xdr:spPr>
        <a:xfrm rot="5400000">
          <a:off x="2238375" y="38692455"/>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162</xdr:row>
      <xdr:rowOff>95250</xdr:rowOff>
    </xdr:from>
    <xdr:to>
      <xdr:col>2</xdr:col>
      <xdr:colOff>904875</xdr:colOff>
      <xdr:row>162</xdr:row>
      <xdr:rowOff>95250</xdr:rowOff>
    </xdr:to>
    <xdr:cxnSp>
      <xdr:nvCxnSpPr>
        <xdr:cNvPr id="77" name="直接连接符 77"/>
        <xdr:cNvCxnSpPr/>
      </xdr:nvCxnSpPr>
      <xdr:spPr>
        <a:xfrm flipV="1">
          <a:off x="1190625" y="39241095"/>
          <a:ext cx="990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514350</xdr:colOff>
      <xdr:row>163</xdr:row>
      <xdr:rowOff>95250</xdr:rowOff>
    </xdr:from>
    <xdr:to>
      <xdr:col>3</xdr:col>
      <xdr:colOff>9525</xdr:colOff>
      <xdr:row>163</xdr:row>
      <xdr:rowOff>96838</xdr:rowOff>
    </xdr:to>
    <xdr:cxnSp>
      <xdr:nvCxnSpPr>
        <xdr:cNvPr id="78" name="直接连接符 81"/>
        <xdr:cNvCxnSpPr/>
      </xdr:nvCxnSpPr>
      <xdr:spPr>
        <a:xfrm>
          <a:off x="1200150" y="39439215"/>
          <a:ext cx="9906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164</xdr:row>
      <xdr:rowOff>95250</xdr:rowOff>
    </xdr:from>
    <xdr:to>
      <xdr:col>3</xdr:col>
      <xdr:colOff>0</xdr:colOff>
      <xdr:row>164</xdr:row>
      <xdr:rowOff>96838</xdr:rowOff>
    </xdr:to>
    <xdr:cxnSp>
      <xdr:nvCxnSpPr>
        <xdr:cNvPr id="79" name="直接连接符 85"/>
        <xdr:cNvCxnSpPr/>
      </xdr:nvCxnSpPr>
      <xdr:spPr>
        <a:xfrm>
          <a:off x="1219200" y="39637335"/>
          <a:ext cx="962025"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165</xdr:row>
      <xdr:rowOff>85725</xdr:rowOff>
    </xdr:from>
    <xdr:to>
      <xdr:col>2</xdr:col>
      <xdr:colOff>895350</xdr:colOff>
      <xdr:row>165</xdr:row>
      <xdr:rowOff>85725</xdr:rowOff>
    </xdr:to>
    <xdr:cxnSp>
      <xdr:nvCxnSpPr>
        <xdr:cNvPr id="80" name="直接连接符 88"/>
        <xdr:cNvCxnSpPr/>
      </xdr:nvCxnSpPr>
      <xdr:spPr>
        <a:xfrm flipV="1">
          <a:off x="1219200" y="39825930"/>
          <a:ext cx="9620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166</xdr:row>
      <xdr:rowOff>85725</xdr:rowOff>
    </xdr:from>
    <xdr:to>
      <xdr:col>3</xdr:col>
      <xdr:colOff>9525</xdr:colOff>
      <xdr:row>166</xdr:row>
      <xdr:rowOff>87313</xdr:rowOff>
    </xdr:to>
    <xdr:cxnSp>
      <xdr:nvCxnSpPr>
        <xdr:cNvPr id="81" name="直接连接符 86"/>
        <xdr:cNvCxnSpPr/>
      </xdr:nvCxnSpPr>
      <xdr:spPr>
        <a:xfrm>
          <a:off x="1219200" y="40024050"/>
          <a:ext cx="9715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457200</xdr:colOff>
      <xdr:row>166</xdr:row>
      <xdr:rowOff>85725</xdr:rowOff>
    </xdr:from>
    <xdr:to>
      <xdr:col>9</xdr:col>
      <xdr:colOff>133350</xdr:colOff>
      <xdr:row>166</xdr:row>
      <xdr:rowOff>87313</xdr:rowOff>
    </xdr:to>
    <xdr:cxnSp>
      <xdr:nvCxnSpPr>
        <xdr:cNvPr id="82" name="直接连接符 91"/>
        <xdr:cNvCxnSpPr/>
      </xdr:nvCxnSpPr>
      <xdr:spPr>
        <a:xfrm>
          <a:off x="5219700" y="40024050"/>
          <a:ext cx="120015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609600</xdr:colOff>
      <xdr:row>166</xdr:row>
      <xdr:rowOff>171449</xdr:rowOff>
    </xdr:from>
    <xdr:to>
      <xdr:col>8</xdr:col>
      <xdr:colOff>4350</xdr:colOff>
      <xdr:row>166</xdr:row>
      <xdr:rowOff>171449</xdr:rowOff>
    </xdr:to>
    <xdr:cxnSp>
      <xdr:nvCxnSpPr>
        <xdr:cNvPr id="83" name="直接连接符 92"/>
        <xdr:cNvCxnSpPr/>
      </xdr:nvCxnSpPr>
      <xdr:spPr>
        <a:xfrm>
          <a:off x="5372100" y="40109140"/>
          <a:ext cx="25146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590550</xdr:colOff>
      <xdr:row>167</xdr:row>
      <xdr:rowOff>2</xdr:rowOff>
    </xdr:from>
    <xdr:to>
      <xdr:col>7</xdr:col>
      <xdr:colOff>628652</xdr:colOff>
      <xdr:row>167</xdr:row>
      <xdr:rowOff>133350</xdr:rowOff>
    </xdr:to>
    <xdr:cxnSp>
      <xdr:nvCxnSpPr>
        <xdr:cNvPr id="84" name="直接连接符 93"/>
        <xdr:cNvCxnSpPr/>
      </xdr:nvCxnSpPr>
      <xdr:spPr>
        <a:xfrm rot="5400000">
          <a:off x="5305425" y="40184070"/>
          <a:ext cx="13335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167</xdr:row>
      <xdr:rowOff>76201</xdr:rowOff>
    </xdr:from>
    <xdr:to>
      <xdr:col>7</xdr:col>
      <xdr:colOff>581026</xdr:colOff>
      <xdr:row>167</xdr:row>
      <xdr:rowOff>142876</xdr:rowOff>
    </xdr:to>
    <xdr:cxnSp>
      <xdr:nvCxnSpPr>
        <xdr:cNvPr id="85" name="直接连接符 94"/>
        <xdr:cNvCxnSpPr/>
      </xdr:nvCxnSpPr>
      <xdr:spPr>
        <a:xfrm rot="16200000" flipV="1">
          <a:off x="5300345" y="40236140"/>
          <a:ext cx="6667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570706</xdr:colOff>
      <xdr:row>167</xdr:row>
      <xdr:rowOff>76994</xdr:rowOff>
    </xdr:from>
    <xdr:to>
      <xdr:col>7</xdr:col>
      <xdr:colOff>572294</xdr:colOff>
      <xdr:row>167</xdr:row>
      <xdr:rowOff>115094</xdr:rowOff>
    </xdr:to>
    <xdr:cxnSp>
      <xdr:nvCxnSpPr>
        <xdr:cNvPr id="86" name="直接连接符 96"/>
        <xdr:cNvCxnSpPr/>
      </xdr:nvCxnSpPr>
      <xdr:spPr>
        <a:xfrm rot="5400000">
          <a:off x="5314950" y="40231695"/>
          <a:ext cx="381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495300</xdr:colOff>
      <xdr:row>168</xdr:row>
      <xdr:rowOff>85725</xdr:rowOff>
    </xdr:from>
    <xdr:to>
      <xdr:col>3</xdr:col>
      <xdr:colOff>28575</xdr:colOff>
      <xdr:row>168</xdr:row>
      <xdr:rowOff>87313</xdr:rowOff>
    </xdr:to>
    <xdr:cxnSp>
      <xdr:nvCxnSpPr>
        <xdr:cNvPr id="87" name="直接连接符 103"/>
        <xdr:cNvCxnSpPr/>
      </xdr:nvCxnSpPr>
      <xdr:spPr>
        <a:xfrm>
          <a:off x="1181100" y="40420290"/>
          <a:ext cx="1028700" cy="127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172</xdr:row>
      <xdr:rowOff>123825</xdr:rowOff>
    </xdr:from>
    <xdr:to>
      <xdr:col>5</xdr:col>
      <xdr:colOff>19050</xdr:colOff>
      <xdr:row>172</xdr:row>
      <xdr:rowOff>123825</xdr:rowOff>
    </xdr:to>
    <xdr:cxnSp>
      <xdr:nvCxnSpPr>
        <xdr:cNvPr id="88" name="直接连接符 105"/>
        <xdr:cNvCxnSpPr/>
      </xdr:nvCxnSpPr>
      <xdr:spPr>
        <a:xfrm flipV="1">
          <a:off x="2219325" y="41311830"/>
          <a:ext cx="112395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333375</xdr:colOff>
      <xdr:row>26</xdr:row>
      <xdr:rowOff>104775</xdr:rowOff>
    </xdr:from>
    <xdr:to>
      <xdr:col>8</xdr:col>
      <xdr:colOff>400050</xdr:colOff>
      <xdr:row>36</xdr:row>
      <xdr:rowOff>9525</xdr:rowOff>
    </xdr:to>
    <xdr:pic>
      <xdr:nvPicPr>
        <xdr:cNvPr id="20092"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5219700" y="5534025"/>
          <a:ext cx="1438275" cy="19926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47625</xdr:colOff>
      <xdr:row>57</xdr:row>
      <xdr:rowOff>66675</xdr:rowOff>
    </xdr:from>
    <xdr:to>
      <xdr:col>8</xdr:col>
      <xdr:colOff>409575</xdr:colOff>
      <xdr:row>63</xdr:row>
      <xdr:rowOff>228600</xdr:rowOff>
    </xdr:to>
    <xdr:pic>
      <xdr:nvPicPr>
        <xdr:cNvPr id="20093" name="Picture 8"/>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5619750" y="11934825"/>
          <a:ext cx="1047750" cy="1350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409575</xdr:colOff>
      <xdr:row>41</xdr:row>
      <xdr:rowOff>28575</xdr:rowOff>
    </xdr:from>
    <xdr:to>
      <xdr:col>8</xdr:col>
      <xdr:colOff>676275</xdr:colOff>
      <xdr:row>51</xdr:row>
      <xdr:rowOff>76200</xdr:rowOff>
    </xdr:to>
    <xdr:pic>
      <xdr:nvPicPr>
        <xdr:cNvPr id="20094" name="Picture 10"/>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5295900" y="8578215"/>
          <a:ext cx="1638300" cy="21355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257175</xdr:colOff>
      <xdr:row>79</xdr:row>
      <xdr:rowOff>19050</xdr:rowOff>
    </xdr:from>
    <xdr:to>
      <xdr:col>9</xdr:col>
      <xdr:colOff>9525</xdr:colOff>
      <xdr:row>88</xdr:row>
      <xdr:rowOff>66675</xdr:rowOff>
    </xdr:to>
    <xdr:pic>
      <xdr:nvPicPr>
        <xdr:cNvPr id="20095" name="Picture 14"/>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5829300" y="16436340"/>
          <a:ext cx="1123950" cy="19602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5</xdr:col>
          <xdr:colOff>38100</xdr:colOff>
          <xdr:row>22</xdr:row>
          <xdr:rowOff>28575</xdr:rowOff>
        </xdr:from>
        <xdr:to>
          <xdr:col>9</xdr:col>
          <xdr:colOff>647700</xdr:colOff>
          <xdr:row>23</xdr:row>
          <xdr:rowOff>190500</xdr:rowOff>
        </xdr:to>
        <xdr:sp>
          <xdr:nvSpPr>
            <xdr:cNvPr id="19472" name="Picture 18" hidden="1">
              <a:extLst>
                <a:ext uri="{63B3BB69-23CF-44E3-9099-C40C66FF867C}">
                  <a14:compatExt spid="_x0000_s19472"/>
                </a:ext>
              </a:extLst>
            </xdr:cNvPr>
            <xdr:cNvSpPr/>
          </xdr:nvSpPr>
          <xdr:spPr>
            <a:xfrm>
              <a:off x="4238625" y="4623435"/>
              <a:ext cx="3352800" cy="36004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89</xdr:row>
          <xdr:rowOff>19050</xdr:rowOff>
        </xdr:from>
        <xdr:to>
          <xdr:col>8</xdr:col>
          <xdr:colOff>19050</xdr:colOff>
          <xdr:row>90</xdr:row>
          <xdr:rowOff>219075</xdr:rowOff>
        </xdr:to>
        <xdr:sp>
          <xdr:nvSpPr>
            <xdr:cNvPr id="19473" name="Picture 20" hidden="1">
              <a:extLst>
                <a:ext uri="{63B3BB69-23CF-44E3-9099-C40C66FF867C}">
                  <a14:compatExt spid="_x0000_s19473"/>
                </a:ext>
              </a:extLst>
            </xdr:cNvPr>
            <xdr:cNvSpPr/>
          </xdr:nvSpPr>
          <xdr:spPr>
            <a:xfrm>
              <a:off x="4905375" y="18547080"/>
              <a:ext cx="1371600" cy="39814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37</xdr:row>
          <xdr:rowOff>9525</xdr:rowOff>
        </xdr:from>
        <xdr:to>
          <xdr:col>8</xdr:col>
          <xdr:colOff>228600</xdr:colOff>
          <xdr:row>38</xdr:row>
          <xdr:rowOff>200025</xdr:rowOff>
        </xdr:to>
        <xdr:sp>
          <xdr:nvSpPr>
            <xdr:cNvPr id="19474" name="Picture 21" hidden="1">
              <a:extLst>
                <a:ext uri="{63B3BB69-23CF-44E3-9099-C40C66FF867C}">
                  <a14:compatExt spid="_x0000_s19474"/>
                </a:ext>
              </a:extLst>
            </xdr:cNvPr>
            <xdr:cNvSpPr/>
          </xdr:nvSpPr>
          <xdr:spPr>
            <a:xfrm>
              <a:off x="4229100" y="7724775"/>
              <a:ext cx="2257425" cy="3886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66</xdr:row>
          <xdr:rowOff>28575</xdr:rowOff>
        </xdr:from>
        <xdr:to>
          <xdr:col>7</xdr:col>
          <xdr:colOff>657225</xdr:colOff>
          <xdr:row>67</xdr:row>
          <xdr:rowOff>190500</xdr:rowOff>
        </xdr:to>
        <xdr:sp>
          <xdr:nvSpPr>
            <xdr:cNvPr id="19475" name="Picture 22" hidden="1">
              <a:extLst>
                <a:ext uri="{63B3BB69-23CF-44E3-9099-C40C66FF867C}">
                  <a14:compatExt spid="_x0000_s19475"/>
                </a:ext>
              </a:extLst>
            </xdr:cNvPr>
            <xdr:cNvSpPr/>
          </xdr:nvSpPr>
          <xdr:spPr>
            <a:xfrm>
              <a:off x="4238625" y="13786485"/>
              <a:ext cx="1990725" cy="36004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xdr:row>
          <xdr:rowOff>28575</xdr:rowOff>
        </xdr:from>
        <xdr:to>
          <xdr:col>7</xdr:col>
          <xdr:colOff>581025</xdr:colOff>
          <xdr:row>53</xdr:row>
          <xdr:rowOff>190500</xdr:rowOff>
        </xdr:to>
        <xdr:sp>
          <xdr:nvSpPr>
            <xdr:cNvPr id="19476" name="Picture 23" hidden="1">
              <a:extLst>
                <a:ext uri="{63B3BB69-23CF-44E3-9099-C40C66FF867C}">
                  <a14:compatExt spid="_x0000_s19476"/>
                </a:ext>
              </a:extLst>
            </xdr:cNvPr>
            <xdr:cNvSpPr/>
          </xdr:nvSpPr>
          <xdr:spPr>
            <a:xfrm>
              <a:off x="4200525" y="10864215"/>
              <a:ext cx="1952625" cy="36004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75</xdr:row>
          <xdr:rowOff>38100</xdr:rowOff>
        </xdr:from>
        <xdr:to>
          <xdr:col>6</xdr:col>
          <xdr:colOff>457200</xdr:colOff>
          <xdr:row>76</xdr:row>
          <xdr:rowOff>190500</xdr:rowOff>
        </xdr:to>
        <xdr:sp>
          <xdr:nvSpPr>
            <xdr:cNvPr id="19477" name="Picture 27" hidden="1">
              <a:extLst>
                <a:ext uri="{63B3BB69-23CF-44E3-9099-C40C66FF867C}">
                  <a14:compatExt spid="_x0000_s19477"/>
                </a:ext>
              </a:extLst>
            </xdr:cNvPr>
            <xdr:cNvSpPr/>
          </xdr:nvSpPr>
          <xdr:spPr>
            <a:xfrm>
              <a:off x="4210050" y="15621000"/>
              <a:ext cx="1133475" cy="3505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485775</xdr:colOff>
          <xdr:row>83</xdr:row>
          <xdr:rowOff>38100</xdr:rowOff>
        </xdr:from>
        <xdr:to>
          <xdr:col>4</xdr:col>
          <xdr:colOff>209550</xdr:colOff>
          <xdr:row>85</xdr:row>
          <xdr:rowOff>9525</xdr:rowOff>
        </xdr:to>
        <xdr:sp>
          <xdr:nvSpPr>
            <xdr:cNvPr id="19478" name="Picture 28" hidden="1">
              <a:extLst>
                <a:ext uri="{63B3BB69-23CF-44E3-9099-C40C66FF867C}">
                  <a14:compatExt spid="_x0000_s19478"/>
                </a:ext>
              </a:extLst>
            </xdr:cNvPr>
            <xdr:cNvSpPr/>
          </xdr:nvSpPr>
          <xdr:spPr>
            <a:xfrm>
              <a:off x="485775" y="17270730"/>
              <a:ext cx="3238500" cy="367665"/>
            </a:xfrm>
            <a:prstGeom prst="rect">
              <a:avLst/>
            </a:prstGeom>
          </xdr:spPr>
        </xdr:sp>
        <xdr:clientData/>
      </xdr:twoCellAnchor>
    </mc:Choice>
    <mc:Fallback/>
  </mc:AlternateContent>
  <xdr:twoCellAnchor editAs="oneCell">
    <xdr:from>
      <xdr:col>6</xdr:col>
      <xdr:colOff>0</xdr:colOff>
      <xdr:row>11</xdr:row>
      <xdr:rowOff>0</xdr:rowOff>
    </xdr:from>
    <xdr:to>
      <xdr:col>7</xdr:col>
      <xdr:colOff>647700</xdr:colOff>
      <xdr:row>22</xdr:row>
      <xdr:rowOff>19050</xdr:rowOff>
    </xdr:to>
    <xdr:pic>
      <xdr:nvPicPr>
        <xdr:cNvPr id="2" name="圖片 1"/>
        <xdr:cNvPicPr>
          <a:picLocks noChangeAspect="1"/>
        </xdr:cNvPicPr>
      </xdr:nvPicPr>
      <xdr:blipFill>
        <a:blip r:embed="rId5">
          <a:extLst>
            <a:ext uri="{28A0092B-C50C-407E-A947-70E740481C1C}">
              <a14:useLocalDpi xmlns:a14="http://schemas.microsoft.com/office/drawing/2010/main" val="0"/>
            </a:ext>
          </a:extLst>
        </a:blip>
        <a:stretch>
          <a:fillRect/>
        </a:stretch>
      </xdr:blipFill>
      <xdr:spPr>
        <a:xfrm>
          <a:off x="4886325" y="2308860"/>
          <a:ext cx="1333500" cy="2305050"/>
        </a:xfrm>
        <a:prstGeom prst="rect">
          <a:avLst/>
        </a:prstGeom>
      </xdr:spPr>
    </xdr:pic>
    <xdr:clientData/>
  </xdr:twoCellAnchor>
  <xdr:twoCellAnchor editAs="oneCell">
    <xdr:from>
      <xdr:col>10</xdr:col>
      <xdr:colOff>33655</xdr:colOff>
      <xdr:row>0</xdr:row>
      <xdr:rowOff>68580</xdr:rowOff>
    </xdr:from>
    <xdr:to>
      <xdr:col>20</xdr:col>
      <xdr:colOff>538480</xdr:colOff>
      <xdr:row>35</xdr:row>
      <xdr:rowOff>142875</xdr:rowOff>
    </xdr:to>
    <xdr:pic>
      <xdr:nvPicPr>
        <xdr:cNvPr id="3" name="Picture 4"/>
        <xdr:cNvPicPr>
          <a:picLocks noChangeAspect="1"/>
        </xdr:cNvPicPr>
      </xdr:nvPicPr>
      <xdr:blipFill>
        <a:blip r:embed="rId6">
          <a:extLst>
            <a:ext uri="{28A0092B-C50C-407E-A947-70E740481C1C}">
              <a14:useLocalDpi xmlns:a14="http://schemas.microsoft.com/office/drawing/2010/main" val="0"/>
            </a:ext>
          </a:extLst>
        </a:blip>
        <a:srcRect/>
        <a:stretch>
          <a:fillRect/>
        </a:stretch>
      </xdr:blipFill>
      <xdr:spPr>
        <a:xfrm>
          <a:off x="7663180" y="68580"/>
          <a:ext cx="7362825" cy="73933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7</xdr:col>
          <xdr:colOff>228600</xdr:colOff>
          <xdr:row>25</xdr:row>
          <xdr:rowOff>276225</xdr:rowOff>
        </xdr:to>
        <xdr:sp>
          <xdr:nvSpPr>
            <xdr:cNvPr id="20493" name="Picture 1038" hidden="1">
              <a:extLst>
                <a:ext uri="{63B3BB69-23CF-44E3-9099-C40C66FF867C}">
                  <a14:compatExt spid="_x0000_s20493"/>
                </a:ext>
              </a:extLst>
            </xdr:cNvPr>
            <xdr:cNvSpPr/>
          </xdr:nvSpPr>
          <xdr:spPr>
            <a:xfrm>
              <a:off x="3943350" y="5669280"/>
              <a:ext cx="2009775" cy="2762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27</xdr:row>
          <xdr:rowOff>190500</xdr:rowOff>
        </xdr:from>
        <xdr:to>
          <xdr:col>5</xdr:col>
          <xdr:colOff>447675</xdr:colOff>
          <xdr:row>28</xdr:row>
          <xdr:rowOff>495300</xdr:rowOff>
        </xdr:to>
        <xdr:sp>
          <xdr:nvSpPr>
            <xdr:cNvPr id="20494" name="Picture 1040" hidden="1">
              <a:extLst>
                <a:ext uri="{63B3BB69-23CF-44E3-9099-C40C66FF867C}">
                  <a14:compatExt spid="_x0000_s20494"/>
                </a:ext>
              </a:extLst>
            </xdr:cNvPr>
            <xdr:cNvSpPr/>
          </xdr:nvSpPr>
          <xdr:spPr>
            <a:xfrm>
              <a:off x="4010025" y="6362700"/>
              <a:ext cx="381000" cy="5029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5</xdr:col>
          <xdr:colOff>600075</xdr:colOff>
          <xdr:row>33</xdr:row>
          <xdr:rowOff>0</xdr:rowOff>
        </xdr:to>
        <xdr:sp>
          <xdr:nvSpPr>
            <xdr:cNvPr id="20495" name="Picture 1041" hidden="1">
              <a:extLst>
                <a:ext uri="{63B3BB69-23CF-44E3-9099-C40C66FF867C}">
                  <a14:compatExt spid="_x0000_s20495"/>
                </a:ext>
              </a:extLst>
            </xdr:cNvPr>
            <xdr:cNvSpPr/>
          </xdr:nvSpPr>
          <xdr:spPr>
            <a:xfrm>
              <a:off x="3943350" y="7566660"/>
              <a:ext cx="600075" cy="457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5</xdr:col>
          <xdr:colOff>866775</xdr:colOff>
          <xdr:row>36</xdr:row>
          <xdr:rowOff>9525</xdr:rowOff>
        </xdr:to>
        <xdr:sp>
          <xdr:nvSpPr>
            <xdr:cNvPr id="20496" name="Picture 1042" hidden="1">
              <a:extLst>
                <a:ext uri="{63B3BB69-23CF-44E3-9099-C40C66FF867C}">
                  <a14:compatExt spid="_x0000_s20496"/>
                </a:ext>
              </a:extLst>
            </xdr:cNvPr>
            <xdr:cNvSpPr/>
          </xdr:nvSpPr>
          <xdr:spPr>
            <a:xfrm>
              <a:off x="3943350" y="8479155"/>
              <a:ext cx="866775" cy="5048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5</xdr:col>
          <xdr:colOff>561975</xdr:colOff>
          <xdr:row>39</xdr:row>
          <xdr:rowOff>9525</xdr:rowOff>
        </xdr:to>
        <xdr:sp>
          <xdr:nvSpPr>
            <xdr:cNvPr id="20497" name="Picture 1043" hidden="1">
              <a:extLst>
                <a:ext uri="{63B3BB69-23CF-44E3-9099-C40C66FF867C}">
                  <a14:compatExt spid="_x0000_s20497"/>
                </a:ext>
              </a:extLst>
            </xdr:cNvPr>
            <xdr:cNvSpPr/>
          </xdr:nvSpPr>
          <xdr:spPr>
            <a:xfrm>
              <a:off x="3943350" y="9393555"/>
              <a:ext cx="561975" cy="4476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44</xdr:row>
          <xdr:rowOff>9525</xdr:rowOff>
        </xdr:from>
        <xdr:to>
          <xdr:col>6</xdr:col>
          <xdr:colOff>104775</xdr:colOff>
          <xdr:row>44</xdr:row>
          <xdr:rowOff>485775</xdr:rowOff>
        </xdr:to>
        <xdr:sp>
          <xdr:nvSpPr>
            <xdr:cNvPr id="20498" name="Picture 1044" hidden="1">
              <a:extLst>
                <a:ext uri="{63B3BB69-23CF-44E3-9099-C40C66FF867C}">
                  <a14:compatExt spid="_x0000_s20498"/>
                </a:ext>
              </a:extLst>
            </xdr:cNvPr>
            <xdr:cNvSpPr/>
          </xdr:nvSpPr>
          <xdr:spPr>
            <a:xfrm>
              <a:off x="3981450" y="10938510"/>
              <a:ext cx="1162050" cy="476250"/>
            </a:xfrm>
            <a:prstGeom prst="rect">
              <a:avLst/>
            </a:prstGeom>
          </xdr:spPr>
        </xdr:sp>
        <xdr:clientData/>
      </xdr:twoCellAnchor>
    </mc:Choice>
    <mc:Fallback/>
  </mc:AlternateContent>
  <xdr:twoCellAnchor editAs="oneCell">
    <xdr:from>
      <xdr:col>8</xdr:col>
      <xdr:colOff>53975</xdr:colOff>
      <xdr:row>8</xdr:row>
      <xdr:rowOff>88900</xdr:rowOff>
    </xdr:from>
    <xdr:to>
      <xdr:col>9</xdr:col>
      <xdr:colOff>511175</xdr:colOff>
      <xdr:row>13</xdr:row>
      <xdr:rowOff>250825</xdr:rowOff>
    </xdr:to>
    <xdr:pic>
      <xdr:nvPicPr>
        <xdr:cNvPr id="3" name="Picture 8"/>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464300" y="1948180"/>
          <a:ext cx="1914525" cy="12439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482600</xdr:colOff>
      <xdr:row>15</xdr:row>
      <xdr:rowOff>115570</xdr:rowOff>
    </xdr:from>
    <xdr:to>
      <xdr:col>13</xdr:col>
      <xdr:colOff>177800</xdr:colOff>
      <xdr:row>24</xdr:row>
      <xdr:rowOff>48895</xdr:rowOff>
    </xdr:to>
    <xdr:pic>
      <xdr:nvPicPr>
        <xdr:cNvPr id="4" name="Picture 11"/>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6207125" y="3521710"/>
          <a:ext cx="4733925" cy="19983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101600</xdr:colOff>
      <xdr:row>17</xdr:row>
      <xdr:rowOff>172720</xdr:rowOff>
    </xdr:from>
    <xdr:to>
      <xdr:col>15</xdr:col>
      <xdr:colOff>254000</xdr:colOff>
      <xdr:row>22</xdr:row>
      <xdr:rowOff>153670</xdr:rowOff>
    </xdr:to>
    <xdr:pic>
      <xdr:nvPicPr>
        <xdr:cNvPr id="5" name="Picture 12"/>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0864850" y="4051300"/>
          <a:ext cx="1524000" cy="1070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506730</xdr:colOff>
      <xdr:row>6</xdr:row>
      <xdr:rowOff>226060</xdr:rowOff>
    </xdr:from>
    <xdr:to>
      <xdr:col>15</xdr:col>
      <xdr:colOff>468630</xdr:colOff>
      <xdr:row>14</xdr:row>
      <xdr:rowOff>41275</xdr:rowOff>
    </xdr:to>
    <xdr:pic>
      <xdr:nvPicPr>
        <xdr:cNvPr id="6" name="Picture 23"/>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8374380" y="1590040"/>
          <a:ext cx="4229100" cy="1659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63</xdr:row>
      <xdr:rowOff>0</xdr:rowOff>
    </xdr:from>
    <xdr:to>
      <xdr:col>12</xdr:col>
      <xdr:colOff>171796</xdr:colOff>
      <xdr:row>86</xdr:row>
      <xdr:rowOff>12700</xdr:rowOff>
    </xdr:to>
    <xdr:pic>
      <xdr:nvPicPr>
        <xdr:cNvPr id="4" name="圖片 3"/>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685800" y="15089505"/>
          <a:ext cx="9982200" cy="45694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7</xdr:col>
          <xdr:colOff>228600</xdr:colOff>
          <xdr:row>25</xdr:row>
          <xdr:rowOff>276225</xdr:rowOff>
        </xdr:to>
        <xdr:sp>
          <xdr:nvSpPr>
            <xdr:cNvPr id="21517" name="Picture 2053" hidden="1">
              <a:extLst>
                <a:ext uri="{63B3BB69-23CF-44E3-9099-C40C66FF867C}">
                  <a14:compatExt spid="_x0000_s21517"/>
                </a:ext>
              </a:extLst>
            </xdr:cNvPr>
            <xdr:cNvSpPr/>
          </xdr:nvSpPr>
          <xdr:spPr>
            <a:xfrm>
              <a:off x="3943350" y="5554980"/>
              <a:ext cx="2009775" cy="2762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66675</xdr:colOff>
          <xdr:row>27</xdr:row>
          <xdr:rowOff>190500</xdr:rowOff>
        </xdr:from>
        <xdr:to>
          <xdr:col>5</xdr:col>
          <xdr:colOff>476250</xdr:colOff>
          <xdr:row>29</xdr:row>
          <xdr:rowOff>0</xdr:rowOff>
        </xdr:to>
        <xdr:sp>
          <xdr:nvSpPr>
            <xdr:cNvPr id="21518" name="Picture 2054" hidden="1">
              <a:extLst>
                <a:ext uri="{63B3BB69-23CF-44E3-9099-C40C66FF867C}">
                  <a14:compatExt spid="_x0000_s21518"/>
                </a:ext>
              </a:extLst>
            </xdr:cNvPr>
            <xdr:cNvSpPr/>
          </xdr:nvSpPr>
          <xdr:spPr>
            <a:xfrm>
              <a:off x="4010025" y="6248400"/>
              <a:ext cx="409575" cy="5410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5</xdr:col>
          <xdr:colOff>647700</xdr:colOff>
          <xdr:row>33</xdr:row>
          <xdr:rowOff>38100</xdr:rowOff>
        </xdr:to>
        <xdr:sp>
          <xdr:nvSpPr>
            <xdr:cNvPr id="21519" name="Picture 2055" hidden="1">
              <a:extLst>
                <a:ext uri="{63B3BB69-23CF-44E3-9099-C40C66FF867C}">
                  <a14:compatExt spid="_x0000_s21519"/>
                </a:ext>
              </a:extLst>
            </xdr:cNvPr>
            <xdr:cNvSpPr/>
          </xdr:nvSpPr>
          <xdr:spPr>
            <a:xfrm>
              <a:off x="3943350" y="7452360"/>
              <a:ext cx="647700" cy="4953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5</xdr:col>
          <xdr:colOff>866775</xdr:colOff>
          <xdr:row>36</xdr:row>
          <xdr:rowOff>9525</xdr:rowOff>
        </xdr:to>
        <xdr:sp>
          <xdr:nvSpPr>
            <xdr:cNvPr id="21520" name="Picture 2056" hidden="1">
              <a:extLst>
                <a:ext uri="{63B3BB69-23CF-44E3-9099-C40C66FF867C}">
                  <a14:compatExt spid="_x0000_s21520"/>
                </a:ext>
              </a:extLst>
            </xdr:cNvPr>
            <xdr:cNvSpPr/>
          </xdr:nvSpPr>
          <xdr:spPr>
            <a:xfrm>
              <a:off x="3943350" y="8364855"/>
              <a:ext cx="866775" cy="5048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5</xdr:col>
          <xdr:colOff>561975</xdr:colOff>
          <xdr:row>39</xdr:row>
          <xdr:rowOff>9525</xdr:rowOff>
        </xdr:to>
        <xdr:sp>
          <xdr:nvSpPr>
            <xdr:cNvPr id="21521" name="Picture 2057" hidden="1">
              <a:extLst>
                <a:ext uri="{63B3BB69-23CF-44E3-9099-C40C66FF867C}">
                  <a14:compatExt spid="_x0000_s21521"/>
                </a:ext>
              </a:extLst>
            </xdr:cNvPr>
            <xdr:cNvSpPr/>
          </xdr:nvSpPr>
          <xdr:spPr>
            <a:xfrm>
              <a:off x="3943350" y="9279255"/>
              <a:ext cx="561975" cy="4476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44</xdr:row>
          <xdr:rowOff>9525</xdr:rowOff>
        </xdr:from>
        <xdr:to>
          <xdr:col>6</xdr:col>
          <xdr:colOff>104775</xdr:colOff>
          <xdr:row>44</xdr:row>
          <xdr:rowOff>485775</xdr:rowOff>
        </xdr:to>
        <xdr:sp>
          <xdr:nvSpPr>
            <xdr:cNvPr id="21522" name="Picture 2058" hidden="1">
              <a:extLst>
                <a:ext uri="{63B3BB69-23CF-44E3-9099-C40C66FF867C}">
                  <a14:compatExt spid="_x0000_s21522"/>
                </a:ext>
              </a:extLst>
            </xdr:cNvPr>
            <xdr:cNvSpPr/>
          </xdr:nvSpPr>
          <xdr:spPr>
            <a:xfrm>
              <a:off x="3981450" y="10824210"/>
              <a:ext cx="1162050" cy="476250"/>
            </a:xfrm>
            <a:prstGeom prst="rect">
              <a:avLst/>
            </a:prstGeom>
          </xdr:spPr>
        </xdr:sp>
        <xdr:clientData/>
      </xdr:twoCellAnchor>
    </mc:Choice>
    <mc:Fallback/>
  </mc:AlternateContent>
  <xdr:twoCellAnchor editAs="oneCell">
    <xdr:from>
      <xdr:col>8</xdr:col>
      <xdr:colOff>0</xdr:colOff>
      <xdr:row>9</xdr:row>
      <xdr:rowOff>57150</xdr:rowOff>
    </xdr:from>
    <xdr:to>
      <xdr:col>9</xdr:col>
      <xdr:colOff>457200</xdr:colOff>
      <xdr:row>15</xdr:row>
      <xdr:rowOff>45720</xdr:rowOff>
    </xdr:to>
    <xdr:pic>
      <xdr:nvPicPr>
        <xdr:cNvPr id="5" name="Picture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6410325" y="2160270"/>
          <a:ext cx="1914525" cy="12230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133350</xdr:colOff>
      <xdr:row>17</xdr:row>
      <xdr:rowOff>120015</xdr:rowOff>
    </xdr:from>
    <xdr:to>
      <xdr:col>12</xdr:col>
      <xdr:colOff>552450</xdr:colOff>
      <xdr:row>22</xdr:row>
      <xdr:rowOff>83820</xdr:rowOff>
    </xdr:to>
    <xdr:pic>
      <xdr:nvPicPr>
        <xdr:cNvPr id="6" name="Picture 4"/>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9525000" y="3930015"/>
          <a:ext cx="1524000" cy="10534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123825</xdr:colOff>
      <xdr:row>16</xdr:row>
      <xdr:rowOff>205740</xdr:rowOff>
    </xdr:from>
    <xdr:to>
      <xdr:col>10</xdr:col>
      <xdr:colOff>447675</xdr:colOff>
      <xdr:row>28</xdr:row>
      <xdr:rowOff>224790</xdr:rowOff>
    </xdr:to>
    <xdr:pic>
      <xdr:nvPicPr>
        <xdr:cNvPr id="7" name="Picture 11"/>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6534150" y="3787140"/>
          <a:ext cx="2466975" cy="2693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666750</xdr:colOff>
      <xdr:row>8</xdr:row>
      <xdr:rowOff>0</xdr:rowOff>
    </xdr:from>
    <xdr:to>
      <xdr:col>15</xdr:col>
      <xdr:colOff>647700</xdr:colOff>
      <xdr:row>15</xdr:row>
      <xdr:rowOff>169545</xdr:rowOff>
    </xdr:to>
    <xdr:pic>
      <xdr:nvPicPr>
        <xdr:cNvPr id="8" name="Picture 13"/>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8534400" y="1859280"/>
          <a:ext cx="4667250" cy="1647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19050</xdr:colOff>
          <xdr:row>32</xdr:row>
          <xdr:rowOff>0</xdr:rowOff>
        </xdr:from>
        <xdr:to>
          <xdr:col>7</xdr:col>
          <xdr:colOff>600075</xdr:colOff>
          <xdr:row>33</xdr:row>
          <xdr:rowOff>0</xdr:rowOff>
        </xdr:to>
        <xdr:sp>
          <xdr:nvSpPr>
            <xdr:cNvPr id="22538" name="Picture 4107" hidden="1">
              <a:extLst>
                <a:ext uri="{63B3BB69-23CF-44E3-9099-C40C66FF867C}">
                  <a14:compatExt spid="_x0000_s22538"/>
                </a:ext>
              </a:extLst>
            </xdr:cNvPr>
            <xdr:cNvSpPr/>
          </xdr:nvSpPr>
          <xdr:spPr>
            <a:xfrm>
              <a:off x="3619500" y="6995160"/>
              <a:ext cx="1952625" cy="1981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xdr:row>
          <xdr:rowOff>0</xdr:rowOff>
        </xdr:from>
        <xdr:to>
          <xdr:col>5</xdr:col>
          <xdr:colOff>400050</xdr:colOff>
          <xdr:row>36</xdr:row>
          <xdr:rowOff>114300</xdr:rowOff>
        </xdr:to>
        <xdr:sp>
          <xdr:nvSpPr>
            <xdr:cNvPr id="22539" name="Picture 4110" hidden="1">
              <a:extLst>
                <a:ext uri="{63B3BB69-23CF-44E3-9099-C40C66FF867C}">
                  <a14:compatExt spid="_x0000_s22539"/>
                </a:ext>
              </a:extLst>
            </xdr:cNvPr>
            <xdr:cNvSpPr/>
          </xdr:nvSpPr>
          <xdr:spPr>
            <a:xfrm>
              <a:off x="3600450" y="7589520"/>
              <a:ext cx="400050" cy="3505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xdr:row>
          <xdr:rowOff>0</xdr:rowOff>
        </xdr:from>
        <xdr:to>
          <xdr:col>6</xdr:col>
          <xdr:colOff>333375</xdr:colOff>
          <xdr:row>49</xdr:row>
          <xdr:rowOff>161925</xdr:rowOff>
        </xdr:to>
        <xdr:sp>
          <xdr:nvSpPr>
            <xdr:cNvPr id="22540" name="Picture 4111" hidden="1">
              <a:extLst>
                <a:ext uri="{63B3BB69-23CF-44E3-9099-C40C66FF867C}">
                  <a14:compatExt spid="_x0000_s22540"/>
                </a:ext>
              </a:extLst>
            </xdr:cNvPr>
            <xdr:cNvSpPr/>
          </xdr:nvSpPr>
          <xdr:spPr>
            <a:xfrm>
              <a:off x="3600450" y="9677400"/>
              <a:ext cx="1019175" cy="99250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51</xdr:row>
          <xdr:rowOff>142875</xdr:rowOff>
        </xdr:from>
        <xdr:to>
          <xdr:col>6</xdr:col>
          <xdr:colOff>219075</xdr:colOff>
          <xdr:row>53</xdr:row>
          <xdr:rowOff>95250</xdr:rowOff>
        </xdr:to>
        <xdr:sp>
          <xdr:nvSpPr>
            <xdr:cNvPr id="22541" name="Picture 4112" hidden="1">
              <a:extLst>
                <a:ext uri="{63B3BB69-23CF-44E3-9099-C40C66FF867C}">
                  <a14:compatExt spid="_x0000_s22541"/>
                </a:ext>
              </a:extLst>
            </xdr:cNvPr>
            <xdr:cNvSpPr/>
          </xdr:nvSpPr>
          <xdr:spPr>
            <a:xfrm>
              <a:off x="3619500" y="11069955"/>
              <a:ext cx="885825" cy="3867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38</xdr:row>
          <xdr:rowOff>123825</xdr:rowOff>
        </xdr:from>
        <xdr:to>
          <xdr:col>5</xdr:col>
          <xdr:colOff>495300</xdr:colOff>
          <xdr:row>40</xdr:row>
          <xdr:rowOff>161925</xdr:rowOff>
        </xdr:to>
        <xdr:sp>
          <xdr:nvSpPr>
            <xdr:cNvPr id="22542" name="Picture 4113" hidden="1">
              <a:extLst>
                <a:ext uri="{63B3BB69-23CF-44E3-9099-C40C66FF867C}">
                  <a14:compatExt spid="_x0000_s22542"/>
                </a:ext>
              </a:extLst>
            </xdr:cNvPr>
            <xdr:cNvSpPr/>
          </xdr:nvSpPr>
          <xdr:spPr>
            <a:xfrm>
              <a:off x="3629025" y="8345805"/>
              <a:ext cx="466725" cy="4724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58</xdr:row>
          <xdr:rowOff>133350</xdr:rowOff>
        </xdr:from>
        <xdr:to>
          <xdr:col>6</xdr:col>
          <xdr:colOff>66675</xdr:colOff>
          <xdr:row>60</xdr:row>
          <xdr:rowOff>104775</xdr:rowOff>
        </xdr:to>
        <xdr:sp>
          <xdr:nvSpPr>
            <xdr:cNvPr id="22543" name="Picture 4114" hidden="1">
              <a:extLst>
                <a:ext uri="{63B3BB69-23CF-44E3-9099-C40C66FF867C}">
                  <a14:compatExt spid="_x0000_s22543"/>
                </a:ext>
              </a:extLst>
            </xdr:cNvPr>
            <xdr:cNvSpPr/>
          </xdr:nvSpPr>
          <xdr:spPr>
            <a:xfrm>
              <a:off x="3629025" y="12592050"/>
              <a:ext cx="723900" cy="36766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72</xdr:row>
          <xdr:rowOff>142875</xdr:rowOff>
        </xdr:from>
        <xdr:to>
          <xdr:col>6</xdr:col>
          <xdr:colOff>9525</xdr:colOff>
          <xdr:row>74</xdr:row>
          <xdr:rowOff>95250</xdr:rowOff>
        </xdr:to>
        <xdr:sp>
          <xdr:nvSpPr>
            <xdr:cNvPr id="22544" name="Picture 4115" hidden="1">
              <a:extLst>
                <a:ext uri="{63B3BB69-23CF-44E3-9099-C40C66FF867C}">
                  <a14:compatExt spid="_x0000_s22544"/>
                </a:ext>
              </a:extLst>
            </xdr:cNvPr>
            <xdr:cNvSpPr/>
          </xdr:nvSpPr>
          <xdr:spPr>
            <a:xfrm>
              <a:off x="3609975" y="15689580"/>
              <a:ext cx="685800" cy="3486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19</xdr:row>
          <xdr:rowOff>123825</xdr:rowOff>
        </xdr:from>
        <xdr:to>
          <xdr:col>8</xdr:col>
          <xdr:colOff>495300</xdr:colOff>
          <xdr:row>23</xdr:row>
          <xdr:rowOff>123825</xdr:rowOff>
        </xdr:to>
        <xdr:sp>
          <xdr:nvSpPr>
            <xdr:cNvPr id="22545" name="Picture 4120" hidden="1">
              <a:extLst>
                <a:ext uri="{63B3BB69-23CF-44E3-9099-C40C66FF867C}">
                  <a14:compatExt spid="_x0000_s22545"/>
                </a:ext>
              </a:extLst>
            </xdr:cNvPr>
            <xdr:cNvSpPr/>
          </xdr:nvSpPr>
          <xdr:spPr>
            <a:xfrm>
              <a:off x="4972050" y="4421505"/>
              <a:ext cx="1181100" cy="8153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64</xdr:row>
          <xdr:rowOff>0</xdr:rowOff>
        </xdr:from>
        <xdr:to>
          <xdr:col>5</xdr:col>
          <xdr:colOff>609600</xdr:colOff>
          <xdr:row>65</xdr:row>
          <xdr:rowOff>0</xdr:rowOff>
        </xdr:to>
        <xdr:sp>
          <xdr:nvSpPr>
            <xdr:cNvPr id="22546" name="Picture 4121" hidden="1">
              <a:extLst>
                <a:ext uri="{63B3BB69-23CF-44E3-9099-C40C66FF867C}">
                  <a14:compatExt spid="_x0000_s22546"/>
                </a:ext>
              </a:extLst>
            </xdr:cNvPr>
            <xdr:cNvSpPr/>
          </xdr:nvSpPr>
          <xdr:spPr>
            <a:xfrm>
              <a:off x="3600450" y="13670280"/>
              <a:ext cx="609600" cy="428625"/>
            </a:xfrm>
            <a:prstGeom prst="rect">
              <a:avLst/>
            </a:prstGeom>
          </xdr:spPr>
        </xdr:sp>
        <xdr:clientData/>
      </xdr:twoCellAnchor>
    </mc:Choice>
    <mc:Fallback/>
  </mc:AlternateContent>
  <xdr:twoCellAnchor editAs="oneCell">
    <xdr:from>
      <xdr:col>9</xdr:col>
      <xdr:colOff>190500</xdr:colOff>
      <xdr:row>23</xdr:row>
      <xdr:rowOff>47625</xdr:rowOff>
    </xdr:from>
    <xdr:to>
      <xdr:col>11</xdr:col>
      <xdr:colOff>342900</xdr:colOff>
      <xdr:row>28</xdr:row>
      <xdr:rowOff>95250</xdr:rowOff>
    </xdr:to>
    <xdr:pic>
      <xdr:nvPicPr>
        <xdr:cNvPr id="3"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534150" y="5160645"/>
          <a:ext cx="1524000" cy="11372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152400</xdr:colOff>
      <xdr:row>13</xdr:row>
      <xdr:rowOff>76200</xdr:rowOff>
    </xdr:from>
    <xdr:to>
      <xdr:col>13</xdr:col>
      <xdr:colOff>238125</xdr:colOff>
      <xdr:row>22</xdr:row>
      <xdr:rowOff>179070</xdr:rowOff>
    </xdr:to>
    <xdr:pic>
      <xdr:nvPicPr>
        <xdr:cNvPr id="4" name="Picture 6"/>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6496050" y="3009900"/>
          <a:ext cx="2828925" cy="20840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6</xdr:row>
      <xdr:rowOff>0</xdr:rowOff>
    </xdr:from>
    <xdr:to>
      <xdr:col>12</xdr:col>
      <xdr:colOff>409575</xdr:colOff>
      <xdr:row>11</xdr:row>
      <xdr:rowOff>190500</xdr:rowOff>
    </xdr:to>
    <xdr:pic>
      <xdr:nvPicPr>
        <xdr:cNvPr id="5" name="Picture 2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5657850" y="1363980"/>
          <a:ext cx="3152775" cy="1303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19050</xdr:colOff>
          <xdr:row>23</xdr:row>
          <xdr:rowOff>0</xdr:rowOff>
        </xdr:from>
        <xdr:to>
          <xdr:col>7</xdr:col>
          <xdr:colOff>600075</xdr:colOff>
          <xdr:row>24</xdr:row>
          <xdr:rowOff>0</xdr:rowOff>
        </xdr:to>
        <xdr:sp>
          <xdr:nvSpPr>
            <xdr:cNvPr id="23559" name="Picture 5125" hidden="1">
              <a:extLst>
                <a:ext uri="{63B3BB69-23CF-44E3-9099-C40C66FF867C}">
                  <a14:compatExt spid="_x0000_s23559"/>
                </a:ext>
              </a:extLst>
            </xdr:cNvPr>
            <xdr:cNvSpPr/>
          </xdr:nvSpPr>
          <xdr:spPr>
            <a:xfrm>
              <a:off x="3619500" y="4842510"/>
              <a:ext cx="1952625" cy="1981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xdr:row>
          <xdr:rowOff>0</xdr:rowOff>
        </xdr:from>
        <xdr:to>
          <xdr:col>5</xdr:col>
          <xdr:colOff>400050</xdr:colOff>
          <xdr:row>27</xdr:row>
          <xdr:rowOff>114300</xdr:rowOff>
        </xdr:to>
        <xdr:sp>
          <xdr:nvSpPr>
            <xdr:cNvPr id="23560" name="Picture 5126" hidden="1">
              <a:extLst>
                <a:ext uri="{63B3BB69-23CF-44E3-9099-C40C66FF867C}">
                  <a14:compatExt spid="_x0000_s23560"/>
                </a:ext>
              </a:extLst>
            </xdr:cNvPr>
            <xdr:cNvSpPr/>
          </xdr:nvSpPr>
          <xdr:spPr>
            <a:xfrm>
              <a:off x="3600450" y="5436870"/>
              <a:ext cx="400050" cy="3505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xdr:row>
          <xdr:rowOff>0</xdr:rowOff>
        </xdr:from>
        <xdr:to>
          <xdr:col>6</xdr:col>
          <xdr:colOff>333375</xdr:colOff>
          <xdr:row>40</xdr:row>
          <xdr:rowOff>161925</xdr:rowOff>
        </xdr:to>
        <xdr:sp>
          <xdr:nvSpPr>
            <xdr:cNvPr id="23561" name="Picture 5127" hidden="1">
              <a:extLst>
                <a:ext uri="{63B3BB69-23CF-44E3-9099-C40C66FF867C}">
                  <a14:compatExt spid="_x0000_s23561"/>
                </a:ext>
              </a:extLst>
            </xdr:cNvPr>
            <xdr:cNvSpPr/>
          </xdr:nvSpPr>
          <xdr:spPr>
            <a:xfrm>
              <a:off x="3600450" y="7524750"/>
              <a:ext cx="1019175" cy="99250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42</xdr:row>
          <xdr:rowOff>142875</xdr:rowOff>
        </xdr:from>
        <xdr:to>
          <xdr:col>6</xdr:col>
          <xdr:colOff>219075</xdr:colOff>
          <xdr:row>44</xdr:row>
          <xdr:rowOff>95250</xdr:rowOff>
        </xdr:to>
        <xdr:sp>
          <xdr:nvSpPr>
            <xdr:cNvPr id="23562" name="Picture 5128" hidden="1">
              <a:extLst>
                <a:ext uri="{63B3BB69-23CF-44E3-9099-C40C66FF867C}">
                  <a14:compatExt spid="_x0000_s23562"/>
                </a:ext>
              </a:extLst>
            </xdr:cNvPr>
            <xdr:cNvSpPr/>
          </xdr:nvSpPr>
          <xdr:spPr>
            <a:xfrm>
              <a:off x="3619500" y="8917305"/>
              <a:ext cx="885825" cy="3867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xdr:colOff>
          <xdr:row>29</xdr:row>
          <xdr:rowOff>123825</xdr:rowOff>
        </xdr:from>
        <xdr:to>
          <xdr:col>5</xdr:col>
          <xdr:colOff>495300</xdr:colOff>
          <xdr:row>31</xdr:row>
          <xdr:rowOff>161925</xdr:rowOff>
        </xdr:to>
        <xdr:sp>
          <xdr:nvSpPr>
            <xdr:cNvPr id="23563" name="Picture 5129" hidden="1">
              <a:extLst>
                <a:ext uri="{63B3BB69-23CF-44E3-9099-C40C66FF867C}">
                  <a14:compatExt spid="_x0000_s23563"/>
                </a:ext>
              </a:extLst>
            </xdr:cNvPr>
            <xdr:cNvSpPr/>
          </xdr:nvSpPr>
          <xdr:spPr>
            <a:xfrm>
              <a:off x="3629025" y="6193155"/>
              <a:ext cx="466725" cy="4724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55</xdr:row>
          <xdr:rowOff>142875</xdr:rowOff>
        </xdr:from>
        <xdr:to>
          <xdr:col>6</xdr:col>
          <xdr:colOff>9525</xdr:colOff>
          <xdr:row>57</xdr:row>
          <xdr:rowOff>95250</xdr:rowOff>
        </xdr:to>
        <xdr:sp>
          <xdr:nvSpPr>
            <xdr:cNvPr id="23564" name="Picture 5131" hidden="1">
              <a:extLst>
                <a:ext uri="{63B3BB69-23CF-44E3-9099-C40C66FF867C}">
                  <a14:compatExt spid="_x0000_s23564"/>
                </a:ext>
              </a:extLst>
            </xdr:cNvPr>
            <xdr:cNvSpPr/>
          </xdr:nvSpPr>
          <xdr:spPr>
            <a:xfrm>
              <a:off x="3609975" y="11698605"/>
              <a:ext cx="685800" cy="348615"/>
            </a:xfrm>
            <a:prstGeom prst="rect">
              <a:avLst/>
            </a:prstGeom>
          </xdr:spPr>
        </xdr:sp>
        <xdr:clientData/>
      </xdr:twoCellAnchor>
    </mc:Choice>
    <mc:Fallback/>
  </mc:AlternateContent>
  <xdr:twoCellAnchor editAs="oneCell">
    <xdr:from>
      <xdr:col>8</xdr:col>
      <xdr:colOff>114300</xdr:colOff>
      <xdr:row>7</xdr:row>
      <xdr:rowOff>190500</xdr:rowOff>
    </xdr:from>
    <xdr:to>
      <xdr:col>10</xdr:col>
      <xdr:colOff>266700</xdr:colOff>
      <xdr:row>13</xdr:row>
      <xdr:rowOff>80010</xdr:rowOff>
    </xdr:to>
    <xdr:pic>
      <xdr:nvPicPr>
        <xdr:cNvPr id="3"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772150" y="1687830"/>
          <a:ext cx="1524000" cy="11544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152400</xdr:colOff>
      <xdr:row>14</xdr:row>
      <xdr:rowOff>11430</xdr:rowOff>
    </xdr:from>
    <xdr:to>
      <xdr:col>12</xdr:col>
      <xdr:colOff>238125</xdr:colOff>
      <xdr:row>24</xdr:row>
      <xdr:rowOff>131445</xdr:rowOff>
    </xdr:to>
    <xdr:pic>
      <xdr:nvPicPr>
        <xdr:cNvPr id="4" name="Picture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5810250" y="3002280"/>
          <a:ext cx="2828925" cy="21697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9525</xdr:colOff>
          <xdr:row>75</xdr:row>
          <xdr:rowOff>142875</xdr:rowOff>
        </xdr:from>
        <xdr:to>
          <xdr:col>5</xdr:col>
          <xdr:colOff>695325</xdr:colOff>
          <xdr:row>77</xdr:row>
          <xdr:rowOff>95250</xdr:rowOff>
        </xdr:to>
        <xdr:sp>
          <xdr:nvSpPr>
            <xdr:cNvPr id="24583" name="Picture 6153" hidden="1">
              <a:extLst>
                <a:ext uri="{63B3BB69-23CF-44E3-9099-C40C66FF867C}">
                  <a14:compatExt spid="_x0000_s24583"/>
                </a:ext>
              </a:extLst>
            </xdr:cNvPr>
            <xdr:cNvSpPr/>
          </xdr:nvSpPr>
          <xdr:spPr>
            <a:xfrm>
              <a:off x="3609975" y="17329785"/>
              <a:ext cx="685800" cy="3486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47</xdr:row>
          <xdr:rowOff>123825</xdr:rowOff>
        </xdr:from>
        <xdr:to>
          <xdr:col>6</xdr:col>
          <xdr:colOff>57150</xdr:colOff>
          <xdr:row>49</xdr:row>
          <xdr:rowOff>76200</xdr:rowOff>
        </xdr:to>
        <xdr:sp>
          <xdr:nvSpPr>
            <xdr:cNvPr id="24584" name="Picture 6155" hidden="1">
              <a:extLst>
                <a:ext uri="{63B3BB69-23CF-44E3-9099-C40C66FF867C}">
                  <a14:compatExt spid="_x0000_s24584"/>
                </a:ext>
              </a:extLst>
            </xdr:cNvPr>
            <xdr:cNvSpPr/>
          </xdr:nvSpPr>
          <xdr:spPr>
            <a:xfrm>
              <a:off x="3619500" y="10934700"/>
              <a:ext cx="1009650" cy="3867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161925</xdr:rowOff>
        </xdr:from>
        <xdr:to>
          <xdr:col>6</xdr:col>
          <xdr:colOff>38100</xdr:colOff>
          <xdr:row>44</xdr:row>
          <xdr:rowOff>95250</xdr:rowOff>
        </xdr:to>
        <xdr:sp>
          <xdr:nvSpPr>
            <xdr:cNvPr id="24585" name="Picture 6156" hidden="1">
              <a:extLst>
                <a:ext uri="{63B3BB69-23CF-44E3-9099-C40C66FF867C}">
                  <a14:compatExt spid="_x0000_s24585"/>
                </a:ext>
              </a:extLst>
            </xdr:cNvPr>
            <xdr:cNvSpPr/>
          </xdr:nvSpPr>
          <xdr:spPr>
            <a:xfrm>
              <a:off x="3600450" y="9921240"/>
              <a:ext cx="1009650" cy="36766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53</xdr:row>
          <xdr:rowOff>19050</xdr:rowOff>
        </xdr:from>
        <xdr:to>
          <xdr:col>5</xdr:col>
          <xdr:colOff>876300</xdr:colOff>
          <xdr:row>53</xdr:row>
          <xdr:rowOff>352425</xdr:rowOff>
        </xdr:to>
        <xdr:sp>
          <xdr:nvSpPr>
            <xdr:cNvPr id="24586" name="Picture 6157" hidden="1">
              <a:extLst>
                <a:ext uri="{63B3BB69-23CF-44E3-9099-C40C66FF867C}">
                  <a14:compatExt spid="_x0000_s24586"/>
                </a:ext>
              </a:extLst>
            </xdr:cNvPr>
            <xdr:cNvSpPr/>
          </xdr:nvSpPr>
          <xdr:spPr>
            <a:xfrm>
              <a:off x="3619500" y="12079605"/>
              <a:ext cx="857250" cy="3333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55</xdr:row>
          <xdr:rowOff>171450</xdr:rowOff>
        </xdr:from>
        <xdr:to>
          <xdr:col>6</xdr:col>
          <xdr:colOff>276225</xdr:colOff>
          <xdr:row>56</xdr:row>
          <xdr:rowOff>276225</xdr:rowOff>
        </xdr:to>
        <xdr:sp>
          <xdr:nvSpPr>
            <xdr:cNvPr id="24587" name="Picture 6158" hidden="1">
              <a:extLst>
                <a:ext uri="{63B3BB69-23CF-44E3-9099-C40C66FF867C}">
                  <a14:compatExt spid="_x0000_s24587"/>
                </a:ext>
              </a:extLst>
            </xdr:cNvPr>
            <xdr:cNvSpPr/>
          </xdr:nvSpPr>
          <xdr:spPr>
            <a:xfrm>
              <a:off x="3648075" y="12837795"/>
              <a:ext cx="1200150" cy="30289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6</xdr:col>
          <xdr:colOff>114300</xdr:colOff>
          <xdr:row>69</xdr:row>
          <xdr:rowOff>0</xdr:rowOff>
        </xdr:to>
        <xdr:sp>
          <xdr:nvSpPr>
            <xdr:cNvPr id="24588" name="Picture 6166" hidden="1">
              <a:extLst>
                <a:ext uri="{63B3BB69-23CF-44E3-9099-C40C66FF867C}">
                  <a14:compatExt spid="_x0000_s24588"/>
                </a:ext>
              </a:extLst>
            </xdr:cNvPr>
            <xdr:cNvSpPr/>
          </xdr:nvSpPr>
          <xdr:spPr>
            <a:xfrm>
              <a:off x="3600450" y="15436215"/>
              <a:ext cx="1085850" cy="5238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22</xdr:row>
          <xdr:rowOff>9525</xdr:rowOff>
        </xdr:from>
        <xdr:to>
          <xdr:col>5</xdr:col>
          <xdr:colOff>876300</xdr:colOff>
          <xdr:row>22</xdr:row>
          <xdr:rowOff>504825</xdr:rowOff>
        </xdr:to>
        <xdr:sp>
          <xdr:nvSpPr>
            <xdr:cNvPr id="24589" name="Picture 6168" hidden="1">
              <a:extLst>
                <a:ext uri="{63B3BB69-23CF-44E3-9099-C40C66FF867C}">
                  <a14:compatExt spid="_x0000_s24589"/>
                </a:ext>
              </a:extLst>
            </xdr:cNvPr>
            <xdr:cNvSpPr/>
          </xdr:nvSpPr>
          <xdr:spPr>
            <a:xfrm>
              <a:off x="3648075" y="5253990"/>
              <a:ext cx="828675" cy="4953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25</xdr:row>
          <xdr:rowOff>76200</xdr:rowOff>
        </xdr:from>
        <xdr:to>
          <xdr:col>5</xdr:col>
          <xdr:colOff>876300</xdr:colOff>
          <xdr:row>27</xdr:row>
          <xdr:rowOff>114300</xdr:rowOff>
        </xdr:to>
        <xdr:sp>
          <xdr:nvSpPr>
            <xdr:cNvPr id="24590" name="Picture 6170" hidden="1">
              <a:extLst>
                <a:ext uri="{63B3BB69-23CF-44E3-9099-C40C66FF867C}">
                  <a14:compatExt spid="_x0000_s24590"/>
                </a:ext>
              </a:extLst>
            </xdr:cNvPr>
            <xdr:cNvSpPr/>
          </xdr:nvSpPr>
          <xdr:spPr>
            <a:xfrm>
              <a:off x="3638550" y="6330315"/>
              <a:ext cx="838200" cy="434340"/>
            </a:xfrm>
            <a:prstGeom prst="rect">
              <a:avLst/>
            </a:prstGeom>
          </xdr:spPr>
        </xdr:sp>
        <xdr:clientData/>
      </xdr:twoCellAnchor>
    </mc:Choice>
    <mc:Fallback/>
  </mc:AlternateContent>
  <xdr:twoCellAnchor editAs="oneCell">
    <xdr:from>
      <xdr:col>6</xdr:col>
      <xdr:colOff>769620</xdr:colOff>
      <xdr:row>22</xdr:row>
      <xdr:rowOff>196215</xdr:rowOff>
    </xdr:from>
    <xdr:to>
      <xdr:col>12</xdr:col>
      <xdr:colOff>121920</xdr:colOff>
      <xdr:row>34</xdr:row>
      <xdr:rowOff>114300</xdr:rowOff>
    </xdr:to>
    <xdr:pic>
      <xdr:nvPicPr>
        <xdr:cNvPr id="6" name="Picture 17"/>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341620" y="5440680"/>
          <a:ext cx="3657600" cy="2809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655320</xdr:colOff>
      <xdr:row>15</xdr:row>
      <xdr:rowOff>144780</xdr:rowOff>
    </xdr:from>
    <xdr:to>
      <xdr:col>12</xdr:col>
      <xdr:colOff>379095</xdr:colOff>
      <xdr:row>21</xdr:row>
      <xdr:rowOff>62865</xdr:rowOff>
    </xdr:to>
    <xdr:pic>
      <xdr:nvPicPr>
        <xdr:cNvPr id="7" name="Picture 2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6103620" y="3834765"/>
          <a:ext cx="3152775" cy="1274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609600</xdr:colOff>
      <xdr:row>1</xdr:row>
      <xdr:rowOff>76200</xdr:rowOff>
    </xdr:from>
    <xdr:to>
      <xdr:col>27</xdr:col>
      <xdr:colOff>261620</xdr:colOff>
      <xdr:row>32</xdr:row>
      <xdr:rowOff>120650</xdr:rowOff>
    </xdr:to>
    <xdr:pic>
      <xdr:nvPicPr>
        <xdr:cNvPr id="8" name="图片 5"/>
        <xdr:cNvPicPr>
          <a:picLocks noChangeAspect="1"/>
        </xdr:cNvPicPr>
      </xdr:nvPicPr>
      <xdr:blipFill>
        <a:blip r:embed="rId3">
          <a:extLst>
            <a:ext uri="{28A0092B-C50C-407E-A947-70E740481C1C}">
              <a14:useLocalDpi xmlns:a14="http://schemas.microsoft.com/office/drawing/2010/main" val="0"/>
            </a:ext>
          </a:extLst>
        </a:blip>
        <a:srcRect/>
        <a:stretch>
          <a:fillRect/>
        </a:stretch>
      </xdr:blipFill>
      <xdr:spPr>
        <a:xfrm>
          <a:off x="9486900" y="403860"/>
          <a:ext cx="9939020" cy="74187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502920</xdr:colOff>
      <xdr:row>32</xdr:row>
      <xdr:rowOff>129540</xdr:rowOff>
    </xdr:from>
    <xdr:to>
      <xdr:col>27</xdr:col>
      <xdr:colOff>102870</xdr:colOff>
      <xdr:row>63</xdr:row>
      <xdr:rowOff>80010</xdr:rowOff>
    </xdr:to>
    <xdr:pic>
      <xdr:nvPicPr>
        <xdr:cNvPr id="9" name="图片 6"/>
        <xdr:cNvPicPr>
          <a:picLocks noChangeAspect="1"/>
        </xdr:cNvPicPr>
      </xdr:nvPicPr>
      <xdr:blipFill>
        <a:blip r:embed="rId4">
          <a:extLst>
            <a:ext uri="{28A0092B-C50C-407E-A947-70E740481C1C}">
              <a14:useLocalDpi xmlns:a14="http://schemas.microsoft.com/office/drawing/2010/main" val="0"/>
            </a:ext>
          </a:extLst>
        </a:blip>
        <a:srcRect/>
        <a:stretch>
          <a:fillRect/>
        </a:stretch>
      </xdr:blipFill>
      <xdr:spPr>
        <a:xfrm>
          <a:off x="9380220" y="7831455"/>
          <a:ext cx="9886950" cy="6671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129540</xdr:colOff>
      <xdr:row>63</xdr:row>
      <xdr:rowOff>182880</xdr:rowOff>
    </xdr:from>
    <xdr:to>
      <xdr:col>27</xdr:col>
      <xdr:colOff>139065</xdr:colOff>
      <xdr:row>83</xdr:row>
      <xdr:rowOff>0</xdr:rowOff>
    </xdr:to>
    <xdr:pic>
      <xdr:nvPicPr>
        <xdr:cNvPr id="10" name="图片 8"/>
        <xdr:cNvPicPr>
          <a:picLocks noChangeAspect="1"/>
        </xdr:cNvPicPr>
      </xdr:nvPicPr>
      <xdr:blipFill>
        <a:blip r:embed="rId5">
          <a:extLst>
            <a:ext uri="{28A0092B-C50C-407E-A947-70E740481C1C}">
              <a14:useLocalDpi xmlns:a14="http://schemas.microsoft.com/office/drawing/2010/main" val="0"/>
            </a:ext>
          </a:extLst>
        </a:blip>
        <a:srcRect/>
        <a:stretch>
          <a:fillRect/>
        </a:stretch>
      </xdr:blipFill>
      <xdr:spPr>
        <a:xfrm>
          <a:off x="9692640" y="14605635"/>
          <a:ext cx="9610725" cy="4166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5</xdr:col>
          <xdr:colOff>47625</xdr:colOff>
          <xdr:row>12</xdr:row>
          <xdr:rowOff>104775</xdr:rowOff>
        </xdr:from>
        <xdr:to>
          <xdr:col>6</xdr:col>
          <xdr:colOff>133350</xdr:colOff>
          <xdr:row>14</xdr:row>
          <xdr:rowOff>190500</xdr:rowOff>
        </xdr:to>
        <xdr:sp>
          <xdr:nvSpPr>
            <xdr:cNvPr id="25607" name="Picture 7185" hidden="1">
              <a:extLst>
                <a:ext uri="{63B3BB69-23CF-44E3-9099-C40C66FF867C}">
                  <a14:compatExt spid="_x0000_s25607"/>
                </a:ext>
              </a:extLst>
            </xdr:cNvPr>
            <xdr:cNvSpPr/>
          </xdr:nvSpPr>
          <xdr:spPr>
            <a:xfrm>
              <a:off x="3648075" y="2950845"/>
              <a:ext cx="923925" cy="5048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xdr:colOff>
          <xdr:row>16</xdr:row>
          <xdr:rowOff>114300</xdr:rowOff>
        </xdr:from>
        <xdr:to>
          <xdr:col>6</xdr:col>
          <xdr:colOff>104775</xdr:colOff>
          <xdr:row>18</xdr:row>
          <xdr:rowOff>142875</xdr:rowOff>
        </xdr:to>
        <xdr:sp>
          <xdr:nvSpPr>
            <xdr:cNvPr id="25608" name="Picture 7186" hidden="1">
              <a:extLst>
                <a:ext uri="{63B3BB69-23CF-44E3-9099-C40C66FF867C}">
                  <a14:compatExt spid="_x0000_s25608"/>
                </a:ext>
              </a:extLst>
            </xdr:cNvPr>
            <xdr:cNvSpPr/>
          </xdr:nvSpPr>
          <xdr:spPr>
            <a:xfrm>
              <a:off x="3638550" y="3821430"/>
              <a:ext cx="904875" cy="424815"/>
            </a:xfrm>
            <a:prstGeom prst="rect">
              <a:avLst/>
            </a:prstGeom>
          </xdr:spPr>
        </xdr:sp>
        <xdr:clientData/>
      </xdr:twoCellAnchor>
    </mc:Choice>
    <mc:Fallback/>
  </mc:AlternateContent>
  <xdr:twoCellAnchor editAs="oneCell">
    <xdr:from>
      <xdr:col>9</xdr:col>
      <xdr:colOff>312420</xdr:colOff>
      <xdr:row>17</xdr:row>
      <xdr:rowOff>110490</xdr:rowOff>
    </xdr:from>
    <xdr:to>
      <xdr:col>11</xdr:col>
      <xdr:colOff>464820</xdr:colOff>
      <xdr:row>23</xdr:row>
      <xdr:rowOff>22860</xdr:rowOff>
    </xdr:to>
    <xdr:pic>
      <xdr:nvPicPr>
        <xdr:cNvPr id="2"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808470" y="4015740"/>
          <a:ext cx="152400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83820</xdr:colOff>
      <xdr:row>9</xdr:row>
      <xdr:rowOff>99060</xdr:rowOff>
    </xdr:from>
    <xdr:to>
      <xdr:col>11</xdr:col>
      <xdr:colOff>493395</xdr:colOff>
      <xdr:row>16</xdr:row>
      <xdr:rowOff>57150</xdr:rowOff>
    </xdr:to>
    <xdr:pic>
      <xdr:nvPicPr>
        <xdr:cNvPr id="3" name="Picture 10"/>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5208270" y="2312670"/>
          <a:ext cx="3152775" cy="1451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3</xdr:row>
      <xdr:rowOff>28575</xdr:rowOff>
    </xdr:from>
    <xdr:to>
      <xdr:col>7</xdr:col>
      <xdr:colOff>0</xdr:colOff>
      <xdr:row>13</xdr:row>
      <xdr:rowOff>171450</xdr:rowOff>
    </xdr:to>
    <xdr:pic>
      <xdr:nvPicPr>
        <xdr:cNvPr id="4"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0" y="681990"/>
          <a:ext cx="4800600" cy="2124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14</xdr:row>
      <xdr:rowOff>76200</xdr:rowOff>
    </xdr:from>
    <xdr:to>
      <xdr:col>7</xdr:col>
      <xdr:colOff>9525</xdr:colOff>
      <xdr:row>26</xdr:row>
      <xdr:rowOff>171450</xdr:rowOff>
    </xdr:to>
    <xdr:pic>
      <xdr:nvPicPr>
        <xdr:cNvPr id="5" name="Picture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2908935"/>
          <a:ext cx="4810125" cy="24726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xdr:colOff>
      <xdr:row>27</xdr:row>
      <xdr:rowOff>19050</xdr:rowOff>
    </xdr:from>
    <xdr:to>
      <xdr:col>7</xdr:col>
      <xdr:colOff>9525</xdr:colOff>
      <xdr:row>40</xdr:row>
      <xdr:rowOff>66675</xdr:rowOff>
    </xdr:to>
    <xdr:pic>
      <xdr:nvPicPr>
        <xdr:cNvPr id="6" name="Picture 6"/>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9050" y="5427345"/>
          <a:ext cx="4791075" cy="2623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40</xdr:row>
      <xdr:rowOff>142875</xdr:rowOff>
    </xdr:from>
    <xdr:to>
      <xdr:col>7</xdr:col>
      <xdr:colOff>9525</xdr:colOff>
      <xdr:row>58</xdr:row>
      <xdr:rowOff>133350</xdr:rowOff>
    </xdr:to>
    <xdr:pic>
      <xdr:nvPicPr>
        <xdr:cNvPr id="7" name="Picture 7"/>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0" y="8126730"/>
          <a:ext cx="4810125" cy="35566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65</xdr:row>
      <xdr:rowOff>0</xdr:rowOff>
    </xdr:from>
    <xdr:to>
      <xdr:col>6</xdr:col>
      <xdr:colOff>628650</xdr:colOff>
      <xdr:row>91</xdr:row>
      <xdr:rowOff>152400</xdr:rowOff>
    </xdr:to>
    <xdr:pic>
      <xdr:nvPicPr>
        <xdr:cNvPr id="8" name="Picture 9"/>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0" y="12936855"/>
          <a:ext cx="4743450" cy="530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59</xdr:row>
      <xdr:rowOff>0</xdr:rowOff>
    </xdr:from>
    <xdr:to>
      <xdr:col>7</xdr:col>
      <xdr:colOff>9525</xdr:colOff>
      <xdr:row>64</xdr:row>
      <xdr:rowOff>47625</xdr:rowOff>
    </xdr:to>
    <xdr:grpSp>
      <xdr:nvGrpSpPr>
        <xdr:cNvPr id="9" name="Group 12"/>
        <xdr:cNvGrpSpPr/>
      </xdr:nvGrpSpPr>
      <xdr:grpSpPr>
        <a:xfrm>
          <a:off x="0" y="11748135"/>
          <a:ext cx="4810125" cy="1038225"/>
          <a:chOff x="0" y="1235"/>
          <a:chExt cx="535" cy="100"/>
        </a:xfrm>
      </xdr:grpSpPr>
      <xdr:pic>
        <xdr:nvPicPr>
          <xdr:cNvPr id="10" name="Picture 8"/>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0" y="1235"/>
            <a:ext cx="535" cy="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xdr:nvSpPr>
          <xdr:cNvPr id="11" name="Text Box 10"/>
          <xdr:cNvSpPr txBox="1">
            <a:spLocks noChangeArrowheads="1"/>
          </xdr:cNvSpPr>
        </xdr:nvSpPr>
        <xdr:spPr>
          <a:xfrm>
            <a:off x="302" y="1249"/>
            <a:ext cx="219" cy="7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ln>
        </xdr:spPr>
        <xdr:txBody>
          <a:bodyPr vertOverflow="clip" wrap="square" lIns="27432" tIns="18288" rIns="0" bIns="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000000"/>
                </a:solidFill>
                <a:latin typeface="宋体" panose="02010600030101010101" pitchFamily="7" charset="-122"/>
                <a:ea typeface="宋体" panose="02010600030101010101" pitchFamily="7" charset="-122"/>
              </a:rPr>
              <a:t>角速度的单位是 弧度</a:t>
            </a:r>
            <a:r>
              <a:rPr lang="en-US" altLang="zh-TW" sz="1000" b="0" i="0" u="none" strike="noStrike" baseline="0">
                <a:solidFill>
                  <a:srgbClr val="000000"/>
                </a:solidFill>
                <a:latin typeface="宋体" panose="02010600030101010101" pitchFamily="7" charset="-122"/>
                <a:ea typeface="宋体" panose="02010600030101010101" pitchFamily="7" charset="-122"/>
              </a:rPr>
              <a:t>/</a:t>
            </a:r>
            <a:r>
              <a:rPr lang="zh-TW" altLang="en-US" sz="1000" b="0" i="0" u="none" strike="noStrike" baseline="0">
                <a:solidFill>
                  <a:srgbClr val="000000"/>
                </a:solidFill>
                <a:latin typeface="宋体" panose="02010600030101010101" pitchFamily="7" charset="-122"/>
                <a:ea typeface="宋体" panose="02010600030101010101" pitchFamily="7" charset="-122"/>
              </a:rPr>
              <a:t>秒</a:t>
            </a:r>
            <a:endParaRPr lang="zh-TW" altLang="en-US" sz="1000" b="0" i="0" u="none" strike="noStrike" baseline="0">
              <a:solidFill>
                <a:srgbClr val="000000"/>
              </a:solidFill>
              <a:latin typeface="宋体" panose="02010600030101010101" pitchFamily="7" charset="-122"/>
              <a:ea typeface="宋体" panose="02010600030101010101" pitchFamily="7" charset="-122"/>
            </a:endParaRPr>
          </a:p>
          <a:p>
            <a:pPr algn="l" rtl="0">
              <a:lnSpc>
                <a:spcPts val="1200"/>
              </a:lnSpc>
              <a:defRPr sz="1000"/>
            </a:pPr>
            <a:r>
              <a:rPr lang="zh-TW" altLang="en-US" sz="1000" b="0" i="0" u="none" strike="noStrike" baseline="0">
                <a:solidFill>
                  <a:srgbClr val="000000"/>
                </a:solidFill>
                <a:latin typeface="宋体" panose="02010600030101010101" pitchFamily="7" charset="-122"/>
                <a:ea typeface="宋体" panose="02010600030101010101" pitchFamily="7" charset="-122"/>
              </a:rPr>
              <a:t>弧度</a:t>
            </a:r>
            <a:r>
              <a:rPr lang="en-US" altLang="zh-TW" sz="1000" b="0" i="0" u="none" strike="noStrike" baseline="0">
                <a:solidFill>
                  <a:srgbClr val="000000"/>
                </a:solidFill>
                <a:latin typeface="宋体" panose="02010600030101010101" pitchFamily="7" charset="-122"/>
                <a:ea typeface="宋体" panose="02010600030101010101" pitchFamily="7" charset="-122"/>
              </a:rPr>
              <a:t>=</a:t>
            </a:r>
            <a:r>
              <a:rPr lang="zh-TW" altLang="en-US" sz="1000" b="0" i="0" u="none" strike="noStrike" baseline="0">
                <a:solidFill>
                  <a:srgbClr val="000000"/>
                </a:solidFill>
                <a:latin typeface="宋体" panose="02010600030101010101" pitchFamily="7" charset="-122"/>
                <a:ea typeface="宋体" panose="02010600030101010101" pitchFamily="7" charset="-122"/>
              </a:rPr>
              <a:t>弧长</a:t>
            </a:r>
            <a:r>
              <a:rPr lang="en-US" altLang="zh-TW" sz="1000" b="0" i="0" u="none" strike="noStrike" baseline="0">
                <a:solidFill>
                  <a:srgbClr val="000000"/>
                </a:solidFill>
                <a:latin typeface="宋体" panose="02010600030101010101" pitchFamily="7" charset="-122"/>
                <a:ea typeface="宋体" panose="02010600030101010101" pitchFamily="7" charset="-122"/>
              </a:rPr>
              <a:t>/</a:t>
            </a:r>
            <a:r>
              <a:rPr lang="zh-TW" altLang="en-US" sz="1000" b="0" i="0" u="none" strike="noStrike" baseline="0">
                <a:solidFill>
                  <a:srgbClr val="000000"/>
                </a:solidFill>
                <a:latin typeface="宋体" panose="02010600030101010101" pitchFamily="7" charset="-122"/>
                <a:ea typeface="宋体" panose="02010600030101010101" pitchFamily="7" charset="-122"/>
              </a:rPr>
              <a:t>半径</a:t>
            </a:r>
            <a:endParaRPr lang="zh-TW" altLang="en-US" sz="1000" b="0" i="0" u="none" strike="noStrike" baseline="0">
              <a:solidFill>
                <a:srgbClr val="000000"/>
              </a:solidFill>
              <a:latin typeface="宋体" panose="02010600030101010101" pitchFamily="7" charset="-122"/>
              <a:ea typeface="宋体" panose="02010600030101010101" pitchFamily="7" charset="-122"/>
            </a:endParaRPr>
          </a:p>
          <a:p>
            <a:pPr algn="l" rtl="0">
              <a:lnSpc>
                <a:spcPts val="1200"/>
              </a:lnSpc>
              <a:defRPr sz="1000"/>
            </a:pPr>
            <a:r>
              <a:rPr lang="zh-TW" altLang="en-US" sz="1000" b="0" i="0" u="none" strike="noStrike" baseline="0">
                <a:solidFill>
                  <a:srgbClr val="000000"/>
                </a:solidFill>
                <a:latin typeface="宋体" panose="02010600030101010101" pitchFamily="7" charset="-122"/>
                <a:ea typeface="宋体" panose="02010600030101010101" pitchFamily="7" charset="-122"/>
              </a:rPr>
              <a:t>单位是</a:t>
            </a:r>
            <a:r>
              <a:rPr lang="en-US" altLang="zh-TW" sz="1000" b="0" i="0" u="none" strike="noStrike" baseline="0">
                <a:solidFill>
                  <a:srgbClr val="000000"/>
                </a:solidFill>
                <a:latin typeface="宋体" panose="02010600030101010101" pitchFamily="7" charset="-122"/>
                <a:ea typeface="宋体" panose="02010600030101010101" pitchFamily="7" charset="-122"/>
              </a:rPr>
              <a:t>rad/s</a:t>
            </a:r>
            <a:endParaRPr lang="en-US" altLang="zh-TW" sz="1000" b="0" i="0" u="none" strike="noStrike" baseline="0">
              <a:solidFill>
                <a:srgbClr val="000000"/>
              </a:solidFill>
              <a:latin typeface="宋体" panose="02010600030101010101" pitchFamily="7" charset="-122"/>
              <a:ea typeface="宋体" panose="02010600030101010101" pitchFamily="7" charset="-122"/>
            </a:endParaRPr>
          </a:p>
          <a:p>
            <a:pPr algn="l" rtl="0">
              <a:lnSpc>
                <a:spcPts val="1100"/>
              </a:lnSpc>
              <a:defRPr sz="1000"/>
            </a:pPr>
            <a:r>
              <a:rPr lang="zh-TW" altLang="en-US" sz="1000" b="0" i="0" u="none" strike="noStrike" baseline="0">
                <a:solidFill>
                  <a:srgbClr val="000000"/>
                </a:solidFill>
                <a:latin typeface="宋体" panose="02010600030101010101" pitchFamily="7" charset="-122"/>
                <a:ea typeface="宋体" panose="02010600030101010101" pitchFamily="7" charset="-122"/>
              </a:rPr>
              <a:t>角速度换算为转速：</a:t>
            </a:r>
            <a:r>
              <a:rPr lang="en-US" altLang="zh-TW" sz="1000" b="0" i="0" u="none" strike="noStrike" baseline="0">
                <a:solidFill>
                  <a:srgbClr val="000000"/>
                </a:solidFill>
                <a:latin typeface="宋体" panose="02010600030101010101" pitchFamily="7" charset="-122"/>
                <a:ea typeface="宋体" panose="02010600030101010101" pitchFamily="7" charset="-122"/>
              </a:rPr>
              <a:t>1</a:t>
            </a:r>
            <a:r>
              <a:rPr lang="zh-TW" altLang="en-US" sz="1000" b="0" i="0" u="none" strike="noStrike" baseline="0">
                <a:solidFill>
                  <a:srgbClr val="000000"/>
                </a:solidFill>
                <a:latin typeface="宋体" panose="02010600030101010101" pitchFamily="7" charset="-122"/>
                <a:ea typeface="宋体" panose="02010600030101010101" pitchFamily="7" charset="-122"/>
              </a:rPr>
              <a:t>转</a:t>
            </a:r>
            <a:r>
              <a:rPr lang="en-US" altLang="zh-TW" sz="1000" b="0" i="0" u="none" strike="noStrike" baseline="0">
                <a:solidFill>
                  <a:srgbClr val="000000"/>
                </a:solidFill>
                <a:latin typeface="宋体" panose="02010600030101010101" pitchFamily="7" charset="-122"/>
                <a:ea typeface="宋体" panose="02010600030101010101" pitchFamily="7" charset="-122"/>
              </a:rPr>
              <a:t>/s=2PI/s</a:t>
            </a:r>
            <a:endParaRPr lang="en-US" altLang="zh-TW" sz="1000" b="0" i="0" u="none" strike="noStrike" baseline="0">
              <a:solidFill>
                <a:srgbClr val="000000"/>
              </a:solidFill>
              <a:latin typeface="宋体" panose="02010600030101010101" pitchFamily="7" charset="-122"/>
              <a:ea typeface="宋体" panose="02010600030101010101" pitchFamily="7" charset="-122"/>
            </a:endParaRPr>
          </a:p>
        </xdr:txBody>
      </xdr:sp>
    </xdr:grp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9525</xdr:colOff>
      <xdr:row>44</xdr:row>
      <xdr:rowOff>9525</xdr:rowOff>
    </xdr:from>
    <xdr:to>
      <xdr:col>5</xdr:col>
      <xdr:colOff>457200</xdr:colOff>
      <xdr:row>50</xdr:row>
      <xdr:rowOff>257175</xdr:rowOff>
    </xdr:to>
    <xdr:pic>
      <xdr:nvPicPr>
        <xdr:cNvPr id="55720" name="Picture 1034"/>
        <xdr:cNvPicPr>
          <a:picLocks noChangeAspect="1"/>
        </xdr:cNvPicPr>
      </xdr:nvPicPr>
      <xdr:blipFill>
        <a:blip r:embed="rId1" cstate="print">
          <a:extLst>
            <a:ext uri="{28A0092B-C50C-407E-A947-70E740481C1C}">
              <a14:useLocalDpi xmlns:a14="http://schemas.microsoft.com/office/drawing/2010/main" val="0"/>
            </a:ext>
          </a:extLst>
        </a:blip>
        <a:srcRect/>
        <a:stretch>
          <a:fillRect/>
        </a:stretch>
      </xdr:blipFill>
      <xdr:spPr>
        <a:xfrm>
          <a:off x="3905250" y="9077325"/>
          <a:ext cx="1819275" cy="14363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19050</xdr:colOff>
      <xdr:row>27</xdr:row>
      <xdr:rowOff>19050</xdr:rowOff>
    </xdr:from>
    <xdr:to>
      <xdr:col>4</xdr:col>
      <xdr:colOff>342900</xdr:colOff>
      <xdr:row>35</xdr:row>
      <xdr:rowOff>171450</xdr:rowOff>
    </xdr:to>
    <xdr:pic>
      <xdr:nvPicPr>
        <xdr:cNvPr id="55721" name="Picture 1030"/>
        <xdr:cNvPicPr>
          <a:picLocks noChangeAspect="1"/>
        </xdr:cNvPicPr>
      </xdr:nvPicPr>
      <xdr:blipFill>
        <a:blip r:embed="rId2" cstate="print">
          <a:extLst>
            <a:ext uri="{28A0092B-C50C-407E-A947-70E740481C1C}">
              <a14:useLocalDpi xmlns:a14="http://schemas.microsoft.com/office/drawing/2010/main" val="0"/>
            </a:ext>
          </a:extLst>
        </a:blip>
        <a:srcRect/>
        <a:stretch>
          <a:fillRect/>
        </a:stretch>
      </xdr:blipFill>
      <xdr:spPr>
        <a:xfrm>
          <a:off x="3914775" y="5707380"/>
          <a:ext cx="1009650" cy="1737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0</xdr:col>
          <xdr:colOff>0</xdr:colOff>
          <xdr:row>17</xdr:row>
          <xdr:rowOff>0</xdr:rowOff>
        </xdr:from>
        <xdr:to>
          <xdr:col>1</xdr:col>
          <xdr:colOff>2390775</xdr:colOff>
          <xdr:row>20</xdr:row>
          <xdr:rowOff>161925</xdr:rowOff>
        </xdr:to>
        <xdr:sp>
          <xdr:nvSpPr>
            <xdr:cNvPr id="55297" name="Picture 1028" hidden="1">
              <a:extLst>
                <a:ext uri="{63B3BB69-23CF-44E3-9099-C40C66FF867C}">
                  <a14:compatExt spid="_x0000_s55297"/>
                </a:ext>
              </a:extLst>
            </xdr:cNvPr>
            <xdr:cNvSpPr/>
          </xdr:nvSpPr>
          <xdr:spPr>
            <a:xfrm>
              <a:off x="0" y="3707130"/>
              <a:ext cx="3076575" cy="75628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22</xdr:row>
          <xdr:rowOff>28575</xdr:rowOff>
        </xdr:from>
        <xdr:to>
          <xdr:col>2</xdr:col>
          <xdr:colOff>85725</xdr:colOff>
          <xdr:row>24</xdr:row>
          <xdr:rowOff>171450</xdr:rowOff>
        </xdr:to>
        <xdr:sp>
          <xdr:nvSpPr>
            <xdr:cNvPr id="55298" name="Picture 1029" hidden="1">
              <a:extLst>
                <a:ext uri="{63B3BB69-23CF-44E3-9099-C40C66FF867C}">
                  <a14:compatExt spid="_x0000_s55298"/>
                </a:ext>
              </a:extLst>
            </xdr:cNvPr>
            <xdr:cNvSpPr/>
          </xdr:nvSpPr>
          <xdr:spPr>
            <a:xfrm>
              <a:off x="0" y="4726305"/>
              <a:ext cx="3171825" cy="53911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28</xdr:row>
          <xdr:rowOff>19050</xdr:rowOff>
        </xdr:from>
        <xdr:to>
          <xdr:col>2</xdr:col>
          <xdr:colOff>76200</xdr:colOff>
          <xdr:row>33</xdr:row>
          <xdr:rowOff>171450</xdr:rowOff>
        </xdr:to>
        <xdr:sp>
          <xdr:nvSpPr>
            <xdr:cNvPr id="55299" name="Picture 1031" hidden="1">
              <a:extLst>
                <a:ext uri="{63B3BB69-23CF-44E3-9099-C40C66FF867C}">
                  <a14:compatExt spid="_x0000_s55299"/>
                </a:ext>
              </a:extLst>
            </xdr:cNvPr>
            <xdr:cNvSpPr/>
          </xdr:nvSpPr>
          <xdr:spPr>
            <a:xfrm>
              <a:off x="0" y="5905500"/>
              <a:ext cx="3162300" cy="11430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28575</xdr:colOff>
          <xdr:row>37</xdr:row>
          <xdr:rowOff>9525</xdr:rowOff>
        </xdr:from>
        <xdr:to>
          <xdr:col>1</xdr:col>
          <xdr:colOff>2371725</xdr:colOff>
          <xdr:row>41</xdr:row>
          <xdr:rowOff>171450</xdr:rowOff>
        </xdr:to>
        <xdr:sp>
          <xdr:nvSpPr>
            <xdr:cNvPr id="55300" name="Picture 1033" hidden="1">
              <a:extLst>
                <a:ext uri="{63B3BB69-23CF-44E3-9099-C40C66FF867C}">
                  <a14:compatExt spid="_x0000_s55300"/>
                </a:ext>
              </a:extLst>
            </xdr:cNvPr>
            <xdr:cNvSpPr/>
          </xdr:nvSpPr>
          <xdr:spPr>
            <a:xfrm>
              <a:off x="28575" y="7679055"/>
              <a:ext cx="3028950" cy="95440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19050</xdr:colOff>
          <xdr:row>47</xdr:row>
          <xdr:rowOff>19050</xdr:rowOff>
        </xdr:from>
        <xdr:to>
          <xdr:col>1</xdr:col>
          <xdr:colOff>2390775</xdr:colOff>
          <xdr:row>50</xdr:row>
          <xdr:rowOff>9525</xdr:rowOff>
        </xdr:to>
        <xdr:sp>
          <xdr:nvSpPr>
            <xdr:cNvPr id="55301" name="Picture 1035" hidden="1">
              <a:extLst>
                <a:ext uri="{63B3BB69-23CF-44E3-9099-C40C66FF867C}">
                  <a14:compatExt spid="_x0000_s55301"/>
                </a:ext>
              </a:extLst>
            </xdr:cNvPr>
            <xdr:cNvSpPr/>
          </xdr:nvSpPr>
          <xdr:spPr>
            <a:xfrm>
              <a:off x="19050" y="9681210"/>
              <a:ext cx="3057525" cy="584835"/>
            </a:xfrm>
            <a:prstGeom prst="rect">
              <a:avLst/>
            </a:prstGeom>
          </xdr:spPr>
        </xdr:sp>
        <xdr:clientData/>
      </xdr:twoCellAnchor>
    </mc:Choice>
    <mc:Fallback/>
  </mc:AlternateContent>
  <xdr:twoCellAnchor editAs="oneCell">
    <xdr:from>
      <xdr:col>2</xdr:col>
      <xdr:colOff>350520</xdr:colOff>
      <xdr:row>17</xdr:row>
      <xdr:rowOff>91440</xdr:rowOff>
    </xdr:from>
    <xdr:to>
      <xdr:col>7</xdr:col>
      <xdr:colOff>236220</xdr:colOff>
      <xdr:row>25</xdr:row>
      <xdr:rowOff>36195</xdr:rowOff>
    </xdr:to>
    <xdr:pic>
      <xdr:nvPicPr>
        <xdr:cNvPr id="4" name="Picture 1026"/>
        <xdr:cNvPicPr>
          <a:picLocks noChangeAspect="1"/>
        </xdr:cNvPicPr>
      </xdr:nvPicPr>
      <xdr:blipFill>
        <a:blip r:embed="rId3">
          <a:extLst>
            <a:ext uri="{28A0092B-C50C-407E-A947-70E740481C1C}">
              <a14:useLocalDpi xmlns:a14="http://schemas.microsoft.com/office/drawing/2010/main" val="0"/>
            </a:ext>
          </a:extLst>
        </a:blip>
        <a:srcRect/>
        <a:stretch>
          <a:fillRect/>
        </a:stretch>
      </xdr:blipFill>
      <xdr:spPr>
        <a:xfrm>
          <a:off x="3436620" y="3798570"/>
          <a:ext cx="3438525" cy="15297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37</xdr:row>
      <xdr:rowOff>0</xdr:rowOff>
    </xdr:from>
    <xdr:to>
      <xdr:col>7</xdr:col>
      <xdr:colOff>600075</xdr:colOff>
      <xdr:row>43</xdr:row>
      <xdr:rowOff>95250</xdr:rowOff>
    </xdr:to>
    <xdr:pic>
      <xdr:nvPicPr>
        <xdr:cNvPr id="5" name="Picture 1032"/>
        <xdr:cNvPicPr>
          <a:picLocks noChangeAspect="1"/>
        </xdr:cNvPicPr>
      </xdr:nvPicPr>
      <xdr:blipFill>
        <a:blip r:embed="rId4">
          <a:extLst>
            <a:ext uri="{28A0092B-C50C-407E-A947-70E740481C1C}">
              <a14:useLocalDpi xmlns:a14="http://schemas.microsoft.com/office/drawing/2010/main" val="0"/>
            </a:ext>
          </a:extLst>
        </a:blip>
        <a:srcRect/>
        <a:stretch>
          <a:fillRect/>
        </a:stretch>
      </xdr:blipFill>
      <xdr:spPr>
        <a:xfrm>
          <a:off x="3086100" y="7669530"/>
          <a:ext cx="4152900" cy="12839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16</xdr:row>
      <xdr:rowOff>47625</xdr:rowOff>
    </xdr:from>
    <xdr:to>
      <xdr:col>7</xdr:col>
      <xdr:colOff>0</xdr:colOff>
      <xdr:row>31</xdr:row>
      <xdr:rowOff>171450</xdr:rowOff>
    </xdr:to>
    <xdr:graphicFrame>
      <xdr:nvGraphicFramePr>
        <xdr:cNvPr id="28903" name="图表 3"/>
        <xdr:cNvGraphicFramePr/>
      </xdr:nvGraphicFramePr>
      <xdr:xfrm>
        <a:off x="9525" y="3286125"/>
        <a:ext cx="5048250" cy="30956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28575</xdr:rowOff>
    </xdr:from>
    <xdr:to>
      <xdr:col>6</xdr:col>
      <xdr:colOff>847725</xdr:colOff>
      <xdr:row>46</xdr:row>
      <xdr:rowOff>95250</xdr:rowOff>
    </xdr:to>
    <xdr:graphicFrame>
      <xdr:nvGraphicFramePr>
        <xdr:cNvPr id="28904" name="图表 4"/>
        <xdr:cNvGraphicFramePr/>
      </xdr:nvGraphicFramePr>
      <xdr:xfrm>
        <a:off x="0" y="6436995"/>
        <a:ext cx="5048250" cy="284035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38100</xdr:colOff>
      <xdr:row>1</xdr:row>
      <xdr:rowOff>0</xdr:rowOff>
    </xdr:from>
    <xdr:to>
      <xdr:col>12</xdr:col>
      <xdr:colOff>38100</xdr:colOff>
      <xdr:row>8</xdr:row>
      <xdr:rowOff>326027</xdr:rowOff>
    </xdr:to>
    <xdr:pic>
      <xdr:nvPicPr>
        <xdr:cNvPr id="2" name="圖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11401425" y="466725"/>
          <a:ext cx="5486400" cy="4650105"/>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6</xdr:col>
      <xdr:colOff>647700</xdr:colOff>
      <xdr:row>27</xdr:row>
      <xdr:rowOff>0</xdr:rowOff>
    </xdr:from>
    <xdr:to>
      <xdr:col>6</xdr:col>
      <xdr:colOff>885825</xdr:colOff>
      <xdr:row>31</xdr:row>
      <xdr:rowOff>66675</xdr:rowOff>
    </xdr:to>
    <xdr:sp>
      <xdr:nvSpPr>
        <xdr:cNvPr id="2" name="Rectangle 9"/>
        <xdr:cNvSpPr>
          <a:spLocks noChangeArrowheads="1"/>
        </xdr:cNvSpPr>
      </xdr:nvSpPr>
      <xdr:spPr>
        <a:xfrm>
          <a:off x="5276850" y="6238875"/>
          <a:ext cx="238125" cy="859155"/>
        </a:xfrm>
        <a:prstGeom prst="rect">
          <a:avLst/>
        </a:prstGeom>
        <a:noFill/>
        <a:ln w="9525">
          <a:noFill/>
          <a:miter lim="800000"/>
        </a:ln>
      </xdr:spPr>
      <xdr:txBody>
        <a:bodyPr vertOverflow="clip" vert="vert270" wrap="square" lIns="27432" tIns="18288" rIns="0" bIns="0" anchor="t" upright="1"/>
        <a:lstStyle/>
        <a:p>
          <a:pPr algn="r" rtl="0">
            <a:defRPr sz="1000"/>
          </a:pPr>
          <a:r>
            <a:rPr lang="zh-CN" altLang="en-US" sz="1000" b="0" i="0" u="none" strike="noStrike" baseline="0">
              <a:solidFill>
                <a:srgbClr val="000000"/>
              </a:solidFill>
              <a:latin typeface="宋体" panose="02010600030101010101" pitchFamily="7" charset="-122"/>
              <a:ea typeface="宋体" panose="02010600030101010101" pitchFamily="7" charset="-122"/>
            </a:rPr>
            <a:t>效率</a:t>
          </a:r>
          <a:r>
            <a:rPr lang="en-US" altLang="zh-CN" sz="1000" b="0" i="0" u="none" strike="noStrike" baseline="0">
              <a:solidFill>
                <a:srgbClr val="000000"/>
              </a:solidFill>
              <a:latin typeface="宋体" panose="02010600030101010101" pitchFamily="7" charset="-122"/>
              <a:ea typeface="宋体" panose="02010600030101010101" pitchFamily="7" charset="-122"/>
            </a:rPr>
            <a:t>(%)</a:t>
          </a:r>
          <a:endParaRPr lang="en-US" altLang="zh-CN" sz="10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xdr:twoCellAnchor>
    <xdr:from>
      <xdr:col>1</xdr:col>
      <xdr:colOff>47625</xdr:colOff>
      <xdr:row>19</xdr:row>
      <xdr:rowOff>28575</xdr:rowOff>
    </xdr:from>
    <xdr:to>
      <xdr:col>6</xdr:col>
      <xdr:colOff>1019175</xdr:colOff>
      <xdr:row>37</xdr:row>
      <xdr:rowOff>76200</xdr:rowOff>
    </xdr:to>
    <xdr:graphicFrame>
      <xdr:nvGraphicFramePr>
        <xdr:cNvPr id="174241" name="Chart 12"/>
        <xdr:cNvGraphicFramePr/>
      </xdr:nvGraphicFramePr>
      <xdr:xfrm>
        <a:off x="57150" y="4829175"/>
        <a:ext cx="5591175" cy="34671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40</xdr:row>
      <xdr:rowOff>171450</xdr:rowOff>
    </xdr:from>
    <xdr:to>
      <xdr:col>6</xdr:col>
      <xdr:colOff>1038225</xdr:colOff>
      <xdr:row>58</xdr:row>
      <xdr:rowOff>133350</xdr:rowOff>
    </xdr:to>
    <xdr:graphicFrame>
      <xdr:nvGraphicFramePr>
        <xdr:cNvPr id="174242" name="Chart 14"/>
        <xdr:cNvGraphicFramePr/>
      </xdr:nvGraphicFramePr>
      <xdr:xfrm>
        <a:off x="0" y="9294495"/>
        <a:ext cx="5667375" cy="352806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3</xdr:col>
      <xdr:colOff>800100</xdr:colOff>
      <xdr:row>45</xdr:row>
      <xdr:rowOff>19050</xdr:rowOff>
    </xdr:from>
    <xdr:to>
      <xdr:col>3</xdr:col>
      <xdr:colOff>2733675</xdr:colOff>
      <xdr:row>54</xdr:row>
      <xdr:rowOff>0</xdr:rowOff>
    </xdr:to>
    <xdr:pic>
      <xdr:nvPicPr>
        <xdr:cNvPr id="118017" name="Picture 1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543675" y="13329920"/>
          <a:ext cx="1933575" cy="2369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2</xdr:col>
          <xdr:colOff>0</xdr:colOff>
          <xdr:row>20</xdr:row>
          <xdr:rowOff>0</xdr:rowOff>
        </xdr:from>
        <xdr:to>
          <xdr:col>2</xdr:col>
          <xdr:colOff>647700</xdr:colOff>
          <xdr:row>21</xdr:row>
          <xdr:rowOff>0</xdr:rowOff>
        </xdr:to>
        <xdr:sp>
          <xdr:nvSpPr>
            <xdr:cNvPr id="117761" name="Object 1" hidden="1">
              <a:extLst>
                <a:ext uri="{63B3BB69-23CF-44E3-9099-C40C66FF867C}">
                  <a14:compatExt spid="_x0000_s117761"/>
                </a:ext>
              </a:extLst>
            </xdr:cNvPr>
            <xdr:cNvSpPr/>
          </xdr:nvSpPr>
          <xdr:spPr>
            <a:xfrm>
              <a:off x="4524375" y="4911090"/>
              <a:ext cx="647700" cy="2762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19</xdr:row>
          <xdr:rowOff>38100</xdr:rowOff>
        </xdr:from>
        <xdr:to>
          <xdr:col>2</xdr:col>
          <xdr:colOff>581025</xdr:colOff>
          <xdr:row>20</xdr:row>
          <xdr:rowOff>0</xdr:rowOff>
        </xdr:to>
        <xdr:sp>
          <xdr:nvSpPr>
            <xdr:cNvPr id="117762" name="Object 2" hidden="1">
              <a:extLst>
                <a:ext uri="{63B3BB69-23CF-44E3-9099-C40C66FF867C}">
                  <a14:compatExt spid="_x0000_s117762"/>
                </a:ext>
              </a:extLst>
            </xdr:cNvPr>
            <xdr:cNvSpPr/>
          </xdr:nvSpPr>
          <xdr:spPr>
            <a:xfrm>
              <a:off x="4543425" y="4682490"/>
              <a:ext cx="561975" cy="2286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22</xdr:row>
          <xdr:rowOff>47625</xdr:rowOff>
        </xdr:from>
        <xdr:to>
          <xdr:col>2</xdr:col>
          <xdr:colOff>590550</xdr:colOff>
          <xdr:row>23</xdr:row>
          <xdr:rowOff>0</xdr:rowOff>
        </xdr:to>
        <xdr:sp>
          <xdr:nvSpPr>
            <xdr:cNvPr id="117763" name="Object 3" hidden="1">
              <a:extLst>
                <a:ext uri="{63B3BB69-23CF-44E3-9099-C40C66FF867C}">
                  <a14:compatExt spid="_x0000_s117763"/>
                </a:ext>
              </a:extLst>
            </xdr:cNvPr>
            <xdr:cNvSpPr/>
          </xdr:nvSpPr>
          <xdr:spPr>
            <a:xfrm>
              <a:off x="4562475" y="5701665"/>
              <a:ext cx="552450" cy="4762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23</xdr:row>
          <xdr:rowOff>47625</xdr:rowOff>
        </xdr:from>
        <xdr:to>
          <xdr:col>2</xdr:col>
          <xdr:colOff>685800</xdr:colOff>
          <xdr:row>24</xdr:row>
          <xdr:rowOff>0</xdr:rowOff>
        </xdr:to>
        <xdr:sp>
          <xdr:nvSpPr>
            <xdr:cNvPr id="117764" name="Object 4" hidden="1">
              <a:extLst>
                <a:ext uri="{63B3BB69-23CF-44E3-9099-C40C66FF867C}">
                  <a14:compatExt spid="_x0000_s117764"/>
                </a:ext>
              </a:extLst>
            </xdr:cNvPr>
            <xdr:cNvSpPr/>
          </xdr:nvSpPr>
          <xdr:spPr>
            <a:xfrm>
              <a:off x="4562475" y="6225540"/>
              <a:ext cx="647700" cy="4857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24</xdr:row>
          <xdr:rowOff>57150</xdr:rowOff>
        </xdr:from>
        <xdr:to>
          <xdr:col>2</xdr:col>
          <xdr:colOff>685800</xdr:colOff>
          <xdr:row>25</xdr:row>
          <xdr:rowOff>0</xdr:rowOff>
        </xdr:to>
        <xdr:sp>
          <xdr:nvSpPr>
            <xdr:cNvPr id="117765" name="Object 5" hidden="1">
              <a:extLst>
                <a:ext uri="{63B3BB69-23CF-44E3-9099-C40C66FF867C}">
                  <a14:compatExt spid="_x0000_s117765"/>
                </a:ext>
              </a:extLst>
            </xdr:cNvPr>
            <xdr:cNvSpPr/>
          </xdr:nvSpPr>
          <xdr:spPr>
            <a:xfrm>
              <a:off x="4552950" y="6768465"/>
              <a:ext cx="657225" cy="4381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47625</xdr:colOff>
          <xdr:row>25</xdr:row>
          <xdr:rowOff>47625</xdr:rowOff>
        </xdr:from>
        <xdr:to>
          <xdr:col>2</xdr:col>
          <xdr:colOff>685800</xdr:colOff>
          <xdr:row>26</xdr:row>
          <xdr:rowOff>0</xdr:rowOff>
        </xdr:to>
        <xdr:sp>
          <xdr:nvSpPr>
            <xdr:cNvPr id="117766" name="Object 6" hidden="1">
              <a:extLst>
                <a:ext uri="{63B3BB69-23CF-44E3-9099-C40C66FF867C}">
                  <a14:compatExt spid="_x0000_s117766"/>
                </a:ext>
              </a:extLst>
            </xdr:cNvPr>
            <xdr:cNvSpPr/>
          </xdr:nvSpPr>
          <xdr:spPr>
            <a:xfrm>
              <a:off x="4572000" y="7254240"/>
              <a:ext cx="638175" cy="2952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21</xdr:row>
          <xdr:rowOff>114300</xdr:rowOff>
        </xdr:from>
        <xdr:to>
          <xdr:col>2</xdr:col>
          <xdr:colOff>685800</xdr:colOff>
          <xdr:row>22</xdr:row>
          <xdr:rowOff>0</xdr:rowOff>
        </xdr:to>
        <xdr:sp>
          <xdr:nvSpPr>
            <xdr:cNvPr id="117767" name="Object 7" hidden="1">
              <a:extLst>
                <a:ext uri="{63B3BB69-23CF-44E3-9099-C40C66FF867C}">
                  <a14:compatExt spid="_x0000_s117767"/>
                </a:ext>
              </a:extLst>
            </xdr:cNvPr>
            <xdr:cNvSpPr/>
          </xdr:nvSpPr>
          <xdr:spPr>
            <a:xfrm>
              <a:off x="4543425" y="5301615"/>
              <a:ext cx="666750" cy="3524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26</xdr:row>
          <xdr:rowOff>57150</xdr:rowOff>
        </xdr:from>
        <xdr:to>
          <xdr:col>2</xdr:col>
          <xdr:colOff>685800</xdr:colOff>
          <xdr:row>27</xdr:row>
          <xdr:rowOff>0</xdr:rowOff>
        </xdr:to>
        <xdr:sp>
          <xdr:nvSpPr>
            <xdr:cNvPr id="117768" name="Object 8" hidden="1">
              <a:extLst>
                <a:ext uri="{63B3BB69-23CF-44E3-9099-C40C66FF867C}">
                  <a14:compatExt spid="_x0000_s117768"/>
                </a:ext>
              </a:extLst>
            </xdr:cNvPr>
            <xdr:cNvSpPr/>
          </xdr:nvSpPr>
          <xdr:spPr>
            <a:xfrm>
              <a:off x="4562475" y="7606665"/>
              <a:ext cx="647700" cy="5003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38</xdr:row>
          <xdr:rowOff>38100</xdr:rowOff>
        </xdr:from>
        <xdr:to>
          <xdr:col>2</xdr:col>
          <xdr:colOff>685800</xdr:colOff>
          <xdr:row>39</xdr:row>
          <xdr:rowOff>0</xdr:rowOff>
        </xdr:to>
        <xdr:sp>
          <xdr:nvSpPr>
            <xdr:cNvPr id="117769" name="Object 9" hidden="1">
              <a:extLst>
                <a:ext uri="{63B3BB69-23CF-44E3-9099-C40C66FF867C}">
                  <a14:compatExt spid="_x0000_s117769"/>
                </a:ext>
              </a:extLst>
            </xdr:cNvPr>
            <xdr:cNvSpPr/>
          </xdr:nvSpPr>
          <xdr:spPr>
            <a:xfrm>
              <a:off x="4562475" y="10762615"/>
              <a:ext cx="647700" cy="2381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39</xdr:row>
          <xdr:rowOff>57150</xdr:rowOff>
        </xdr:from>
        <xdr:to>
          <xdr:col>2</xdr:col>
          <xdr:colOff>685800</xdr:colOff>
          <xdr:row>40</xdr:row>
          <xdr:rowOff>0</xdr:rowOff>
        </xdr:to>
        <xdr:sp>
          <xdr:nvSpPr>
            <xdr:cNvPr id="117770" name="Object 10" hidden="1">
              <a:extLst>
                <a:ext uri="{63B3BB69-23CF-44E3-9099-C40C66FF867C}">
                  <a14:compatExt spid="_x0000_s117770"/>
                </a:ext>
              </a:extLst>
            </xdr:cNvPr>
            <xdr:cNvSpPr/>
          </xdr:nvSpPr>
          <xdr:spPr>
            <a:xfrm>
              <a:off x="4581525" y="11057890"/>
              <a:ext cx="628650" cy="2571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40</xdr:row>
          <xdr:rowOff>28575</xdr:rowOff>
        </xdr:from>
        <xdr:to>
          <xdr:col>2</xdr:col>
          <xdr:colOff>685800</xdr:colOff>
          <xdr:row>41</xdr:row>
          <xdr:rowOff>0</xdr:rowOff>
        </xdr:to>
        <xdr:sp>
          <xdr:nvSpPr>
            <xdr:cNvPr id="117771" name="Object 11" hidden="1">
              <a:extLst>
                <a:ext uri="{63B3BB69-23CF-44E3-9099-C40C66FF867C}">
                  <a14:compatExt spid="_x0000_s117771"/>
                </a:ext>
              </a:extLst>
            </xdr:cNvPr>
            <xdr:cNvSpPr/>
          </xdr:nvSpPr>
          <xdr:spPr>
            <a:xfrm>
              <a:off x="4562475" y="11343640"/>
              <a:ext cx="647700" cy="52895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31</xdr:row>
          <xdr:rowOff>19050</xdr:rowOff>
        </xdr:from>
        <xdr:to>
          <xdr:col>2</xdr:col>
          <xdr:colOff>676275</xdr:colOff>
          <xdr:row>32</xdr:row>
          <xdr:rowOff>0</xdr:rowOff>
        </xdr:to>
        <xdr:sp>
          <xdr:nvSpPr>
            <xdr:cNvPr id="117772" name="Object 12" hidden="1">
              <a:extLst>
                <a:ext uri="{63B3BB69-23CF-44E3-9099-C40C66FF867C}">
                  <a14:compatExt spid="_x0000_s117772"/>
                </a:ext>
              </a:extLst>
            </xdr:cNvPr>
            <xdr:cNvSpPr/>
          </xdr:nvSpPr>
          <xdr:spPr>
            <a:xfrm>
              <a:off x="4552950" y="9202420"/>
              <a:ext cx="647700" cy="1905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33</xdr:row>
          <xdr:rowOff>28575</xdr:rowOff>
        </xdr:from>
        <xdr:to>
          <xdr:col>2</xdr:col>
          <xdr:colOff>685800</xdr:colOff>
          <xdr:row>34</xdr:row>
          <xdr:rowOff>0</xdr:rowOff>
        </xdr:to>
        <xdr:sp>
          <xdr:nvSpPr>
            <xdr:cNvPr id="117773" name="Object 13" hidden="1">
              <a:extLst>
                <a:ext uri="{63B3BB69-23CF-44E3-9099-C40C66FF867C}">
                  <a14:compatExt spid="_x0000_s117773"/>
                </a:ext>
              </a:extLst>
            </xdr:cNvPr>
            <xdr:cNvSpPr/>
          </xdr:nvSpPr>
          <xdr:spPr>
            <a:xfrm>
              <a:off x="4552950" y="9642475"/>
              <a:ext cx="657225"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34</xdr:row>
          <xdr:rowOff>9525</xdr:rowOff>
        </xdr:from>
        <xdr:to>
          <xdr:col>2</xdr:col>
          <xdr:colOff>685800</xdr:colOff>
          <xdr:row>35</xdr:row>
          <xdr:rowOff>0</xdr:rowOff>
        </xdr:to>
        <xdr:sp>
          <xdr:nvSpPr>
            <xdr:cNvPr id="117774" name="Object 14" hidden="1">
              <a:extLst>
                <a:ext uri="{63B3BB69-23CF-44E3-9099-C40C66FF867C}">
                  <a14:compatExt spid="_x0000_s117774"/>
                </a:ext>
              </a:extLst>
            </xdr:cNvPr>
            <xdr:cNvSpPr/>
          </xdr:nvSpPr>
          <xdr:spPr>
            <a:xfrm>
              <a:off x="4552950" y="9861550"/>
              <a:ext cx="657225" cy="1905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29</xdr:row>
          <xdr:rowOff>0</xdr:rowOff>
        </xdr:from>
        <xdr:to>
          <xdr:col>2</xdr:col>
          <xdr:colOff>685800</xdr:colOff>
          <xdr:row>30</xdr:row>
          <xdr:rowOff>0</xdr:rowOff>
        </xdr:to>
        <xdr:sp>
          <xdr:nvSpPr>
            <xdr:cNvPr id="117775" name="Object 15" hidden="1">
              <a:extLst>
                <a:ext uri="{63B3BB69-23CF-44E3-9099-C40C66FF867C}">
                  <a14:compatExt spid="_x0000_s117775"/>
                </a:ext>
              </a:extLst>
            </xdr:cNvPr>
            <xdr:cNvSpPr/>
          </xdr:nvSpPr>
          <xdr:spPr>
            <a:xfrm>
              <a:off x="4524375" y="8495665"/>
              <a:ext cx="685800" cy="4667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32</xdr:row>
          <xdr:rowOff>0</xdr:rowOff>
        </xdr:from>
        <xdr:to>
          <xdr:col>2</xdr:col>
          <xdr:colOff>685800</xdr:colOff>
          <xdr:row>33</xdr:row>
          <xdr:rowOff>28575</xdr:rowOff>
        </xdr:to>
        <xdr:sp>
          <xdr:nvSpPr>
            <xdr:cNvPr id="117776" name="Object 16" hidden="1">
              <a:extLst>
                <a:ext uri="{63B3BB69-23CF-44E3-9099-C40C66FF867C}">
                  <a14:compatExt spid="_x0000_s117776"/>
                </a:ext>
              </a:extLst>
            </xdr:cNvPr>
            <xdr:cNvSpPr/>
          </xdr:nvSpPr>
          <xdr:spPr>
            <a:xfrm>
              <a:off x="4524375" y="9392920"/>
              <a:ext cx="685800" cy="24955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41</xdr:row>
          <xdr:rowOff>0</xdr:rowOff>
        </xdr:from>
        <xdr:to>
          <xdr:col>2</xdr:col>
          <xdr:colOff>685800</xdr:colOff>
          <xdr:row>42</xdr:row>
          <xdr:rowOff>0</xdr:rowOff>
        </xdr:to>
        <xdr:sp>
          <xdr:nvSpPr>
            <xdr:cNvPr id="117777" name="Object 17" hidden="1">
              <a:extLst>
                <a:ext uri="{63B3BB69-23CF-44E3-9099-C40C66FF867C}">
                  <a14:compatExt spid="_x0000_s117777"/>
                </a:ext>
              </a:extLst>
            </xdr:cNvPr>
            <xdr:cNvSpPr/>
          </xdr:nvSpPr>
          <xdr:spPr>
            <a:xfrm>
              <a:off x="4524375" y="11872595"/>
              <a:ext cx="685800" cy="4572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81</xdr:row>
          <xdr:rowOff>57150</xdr:rowOff>
        </xdr:from>
        <xdr:to>
          <xdr:col>2</xdr:col>
          <xdr:colOff>685800</xdr:colOff>
          <xdr:row>82</xdr:row>
          <xdr:rowOff>0</xdr:rowOff>
        </xdr:to>
        <xdr:sp>
          <xdr:nvSpPr>
            <xdr:cNvPr id="117778" name="Object 18" hidden="1">
              <a:extLst>
                <a:ext uri="{63B3BB69-23CF-44E3-9099-C40C66FF867C}">
                  <a14:compatExt spid="_x0000_s117778"/>
                </a:ext>
              </a:extLst>
            </xdr:cNvPr>
            <xdr:cNvSpPr/>
          </xdr:nvSpPr>
          <xdr:spPr>
            <a:xfrm>
              <a:off x="4562475" y="22663785"/>
              <a:ext cx="647700" cy="2286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2352675</xdr:colOff>
          <xdr:row>45</xdr:row>
          <xdr:rowOff>47625</xdr:rowOff>
        </xdr:from>
        <xdr:to>
          <xdr:col>0</xdr:col>
          <xdr:colOff>2352675</xdr:colOff>
          <xdr:row>45</xdr:row>
          <xdr:rowOff>247650</xdr:rowOff>
        </xdr:to>
        <xdr:sp>
          <xdr:nvSpPr>
            <xdr:cNvPr id="117779" name="Object 19" hidden="1">
              <a:extLst>
                <a:ext uri="{63B3BB69-23CF-44E3-9099-C40C66FF867C}">
                  <a14:compatExt spid="_x0000_s117779"/>
                </a:ext>
              </a:extLst>
            </xdr:cNvPr>
            <xdr:cNvSpPr/>
          </xdr:nvSpPr>
          <xdr:spPr>
            <a:xfrm>
              <a:off x="2352675" y="13358495"/>
              <a:ext cx="0" cy="2000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66675</xdr:colOff>
          <xdr:row>74</xdr:row>
          <xdr:rowOff>76200</xdr:rowOff>
        </xdr:from>
        <xdr:to>
          <xdr:col>2</xdr:col>
          <xdr:colOff>685800</xdr:colOff>
          <xdr:row>75</xdr:row>
          <xdr:rowOff>0</xdr:rowOff>
        </xdr:to>
        <xdr:sp>
          <xdr:nvSpPr>
            <xdr:cNvPr id="117780" name="Object 20" hidden="1">
              <a:extLst>
                <a:ext uri="{63B3BB69-23CF-44E3-9099-C40C66FF867C}">
                  <a14:compatExt spid="_x0000_s117780"/>
                </a:ext>
              </a:extLst>
            </xdr:cNvPr>
            <xdr:cNvSpPr/>
          </xdr:nvSpPr>
          <xdr:spPr>
            <a:xfrm>
              <a:off x="4591050" y="20486370"/>
              <a:ext cx="619125" cy="4191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76</xdr:row>
          <xdr:rowOff>38100</xdr:rowOff>
        </xdr:from>
        <xdr:to>
          <xdr:col>2</xdr:col>
          <xdr:colOff>685800</xdr:colOff>
          <xdr:row>77</xdr:row>
          <xdr:rowOff>0</xdr:rowOff>
        </xdr:to>
        <xdr:sp>
          <xdr:nvSpPr>
            <xdr:cNvPr id="117781" name="Object 21" hidden="1">
              <a:extLst>
                <a:ext uri="{63B3BB69-23CF-44E3-9099-C40C66FF867C}">
                  <a14:compatExt spid="_x0000_s117781"/>
                </a:ext>
              </a:extLst>
            </xdr:cNvPr>
            <xdr:cNvSpPr/>
          </xdr:nvSpPr>
          <xdr:spPr>
            <a:xfrm>
              <a:off x="4562475" y="21295995"/>
              <a:ext cx="647700" cy="2762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79</xdr:row>
          <xdr:rowOff>28575</xdr:rowOff>
        </xdr:from>
        <xdr:to>
          <xdr:col>2</xdr:col>
          <xdr:colOff>685800</xdr:colOff>
          <xdr:row>80</xdr:row>
          <xdr:rowOff>0</xdr:rowOff>
        </xdr:to>
        <xdr:sp>
          <xdr:nvSpPr>
            <xdr:cNvPr id="117782" name="Object 22" hidden="1">
              <a:extLst>
                <a:ext uri="{63B3BB69-23CF-44E3-9099-C40C66FF867C}">
                  <a14:compatExt spid="_x0000_s117782"/>
                </a:ext>
              </a:extLst>
            </xdr:cNvPr>
            <xdr:cNvSpPr/>
          </xdr:nvSpPr>
          <xdr:spPr>
            <a:xfrm>
              <a:off x="4543425" y="22148800"/>
              <a:ext cx="666750" cy="21463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45</xdr:row>
          <xdr:rowOff>38100</xdr:rowOff>
        </xdr:from>
        <xdr:to>
          <xdr:col>2</xdr:col>
          <xdr:colOff>266700</xdr:colOff>
          <xdr:row>45</xdr:row>
          <xdr:rowOff>247650</xdr:rowOff>
        </xdr:to>
        <xdr:sp>
          <xdr:nvSpPr>
            <xdr:cNvPr id="117783" name="Object 23" hidden="1">
              <a:extLst>
                <a:ext uri="{63B3BB69-23CF-44E3-9099-C40C66FF867C}">
                  <a14:compatExt spid="_x0000_s117783"/>
                </a:ext>
              </a:extLst>
            </xdr:cNvPr>
            <xdr:cNvSpPr/>
          </xdr:nvSpPr>
          <xdr:spPr>
            <a:xfrm>
              <a:off x="4562475" y="13348970"/>
              <a:ext cx="228600" cy="2095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47</xdr:row>
          <xdr:rowOff>28575</xdr:rowOff>
        </xdr:from>
        <xdr:to>
          <xdr:col>2</xdr:col>
          <xdr:colOff>704850</xdr:colOff>
          <xdr:row>48</xdr:row>
          <xdr:rowOff>0</xdr:rowOff>
        </xdr:to>
        <xdr:sp>
          <xdr:nvSpPr>
            <xdr:cNvPr id="117784" name="Object 24" hidden="1">
              <a:extLst>
                <a:ext uri="{63B3BB69-23CF-44E3-9099-C40C66FF867C}">
                  <a14:compatExt spid="_x0000_s117784"/>
                </a:ext>
              </a:extLst>
            </xdr:cNvPr>
            <xdr:cNvSpPr/>
          </xdr:nvSpPr>
          <xdr:spPr>
            <a:xfrm>
              <a:off x="4552950" y="13878560"/>
              <a:ext cx="676275" cy="2571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49</xdr:row>
          <xdr:rowOff>28575</xdr:rowOff>
        </xdr:from>
        <xdr:to>
          <xdr:col>2</xdr:col>
          <xdr:colOff>685800</xdr:colOff>
          <xdr:row>50</xdr:row>
          <xdr:rowOff>0</xdr:rowOff>
        </xdr:to>
        <xdr:sp>
          <xdr:nvSpPr>
            <xdr:cNvPr id="117785" name="Object 25" hidden="1">
              <a:extLst>
                <a:ext uri="{63B3BB69-23CF-44E3-9099-C40C66FF867C}">
                  <a14:compatExt spid="_x0000_s117785"/>
                </a:ext>
              </a:extLst>
            </xdr:cNvPr>
            <xdr:cNvSpPr/>
          </xdr:nvSpPr>
          <xdr:spPr>
            <a:xfrm>
              <a:off x="4562475" y="14407515"/>
              <a:ext cx="647700" cy="2571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47625</xdr:colOff>
          <xdr:row>53</xdr:row>
          <xdr:rowOff>38100</xdr:rowOff>
        </xdr:from>
        <xdr:to>
          <xdr:col>3</xdr:col>
          <xdr:colOff>152400</xdr:colOff>
          <xdr:row>54</xdr:row>
          <xdr:rowOff>0</xdr:rowOff>
        </xdr:to>
        <xdr:sp>
          <xdr:nvSpPr>
            <xdr:cNvPr id="117786" name="Object 26" hidden="1">
              <a:extLst>
                <a:ext uri="{63B3BB69-23CF-44E3-9099-C40C66FF867C}">
                  <a14:compatExt spid="_x0000_s117786"/>
                </a:ext>
              </a:extLst>
            </xdr:cNvPr>
            <xdr:cNvSpPr/>
          </xdr:nvSpPr>
          <xdr:spPr>
            <a:xfrm>
              <a:off x="4572000" y="15432405"/>
              <a:ext cx="1323975" cy="266700"/>
            </a:xfrm>
            <a:prstGeom prst="rect">
              <a:avLst/>
            </a:prstGeom>
          </xdr:spPr>
        </xdr:sp>
        <xdr:clientData/>
      </xdr:twoCellAnchor>
    </mc:Choice>
    <mc:Fallback/>
  </mc:AlternateContent>
  <xdr:twoCellAnchor editAs="oneCell">
    <xdr:from>
      <xdr:col>3</xdr:col>
      <xdr:colOff>15240</xdr:colOff>
      <xdr:row>1</xdr:row>
      <xdr:rowOff>14605</xdr:rowOff>
    </xdr:from>
    <xdr:to>
      <xdr:col>4</xdr:col>
      <xdr:colOff>5715</xdr:colOff>
      <xdr:row>7</xdr:row>
      <xdr:rowOff>181610</xdr:rowOff>
    </xdr:to>
    <xdr:pic>
      <xdr:nvPicPr>
        <xdr:cNvPr id="4" name="Picture 1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5758815" y="257810"/>
          <a:ext cx="2762250" cy="1626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45</xdr:row>
      <xdr:rowOff>0</xdr:rowOff>
    </xdr:from>
    <xdr:to>
      <xdr:col>12</xdr:col>
      <xdr:colOff>419100</xdr:colOff>
      <xdr:row>60</xdr:row>
      <xdr:rowOff>46355</xdr:rowOff>
    </xdr:to>
    <xdr:pic>
      <xdr:nvPicPr>
        <xdr:cNvPr id="5" name="Picture 12" descr="21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8515350" y="13310870"/>
          <a:ext cx="6915150" cy="37407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xdr:row>
      <xdr:rowOff>171450</xdr:rowOff>
    </xdr:from>
    <xdr:to>
      <xdr:col>0</xdr:col>
      <xdr:colOff>3448050</xdr:colOff>
      <xdr:row>12</xdr:row>
      <xdr:rowOff>209550</xdr:rowOff>
    </xdr:to>
    <xdr:pic>
      <xdr:nvPicPr>
        <xdr:cNvPr id="3" name="图片 3" descr="截屏004.bmp"/>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0" y="1311275"/>
          <a:ext cx="3448050" cy="22326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3390900</xdr:colOff>
      <xdr:row>3</xdr:row>
      <xdr:rowOff>0</xdr:rowOff>
    </xdr:from>
    <xdr:to>
      <xdr:col>1</xdr:col>
      <xdr:colOff>0</xdr:colOff>
      <xdr:row>14</xdr:row>
      <xdr:rowOff>0</xdr:rowOff>
    </xdr:to>
    <xdr:pic>
      <xdr:nvPicPr>
        <xdr:cNvPr id="5" name="图片 4" descr="截屏005.bmp"/>
        <xdr:cNvPicPr>
          <a:picLocks noChangeAspect="1"/>
        </xdr:cNvPicPr>
      </xdr:nvPicPr>
      <xdr:blipFill>
        <a:blip r:embed="rId2">
          <a:extLst>
            <a:ext uri="{28A0092B-C50C-407E-A947-70E740481C1C}">
              <a14:useLocalDpi xmlns:a14="http://schemas.microsoft.com/office/drawing/2010/main" val="0"/>
            </a:ext>
          </a:extLst>
        </a:blip>
        <a:srcRect/>
        <a:stretch>
          <a:fillRect/>
        </a:stretch>
      </xdr:blipFill>
      <xdr:spPr>
        <a:xfrm>
          <a:off x="3390900" y="865505"/>
          <a:ext cx="2514600" cy="3017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183515</xdr:colOff>
      <xdr:row>16</xdr:row>
      <xdr:rowOff>76200</xdr:rowOff>
    </xdr:from>
    <xdr:to>
      <xdr:col>0</xdr:col>
      <xdr:colOff>4869815</xdr:colOff>
      <xdr:row>28</xdr:row>
      <xdr:rowOff>104775</xdr:rowOff>
    </xdr:to>
    <xdr:pic>
      <xdr:nvPicPr>
        <xdr:cNvPr id="6" name="图片 5" descr="截屏006.bmp"/>
        <xdr:cNvPicPr>
          <a:picLocks noChangeAspect="1"/>
        </xdr:cNvPicPr>
      </xdr:nvPicPr>
      <xdr:blipFill>
        <a:blip r:embed="rId3">
          <a:extLst>
            <a:ext uri="{28A0092B-C50C-407E-A947-70E740481C1C}">
              <a14:useLocalDpi xmlns:a14="http://schemas.microsoft.com/office/drawing/2010/main" val="0"/>
            </a:ext>
          </a:extLst>
        </a:blip>
        <a:srcRect/>
        <a:stretch>
          <a:fillRect/>
        </a:stretch>
      </xdr:blipFill>
      <xdr:spPr>
        <a:xfrm>
          <a:off x="183515" y="4507865"/>
          <a:ext cx="4686300" cy="3320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28575</xdr:colOff>
      <xdr:row>42</xdr:row>
      <xdr:rowOff>76200</xdr:rowOff>
    </xdr:from>
    <xdr:to>
      <xdr:col>2</xdr:col>
      <xdr:colOff>1228725</xdr:colOff>
      <xdr:row>43</xdr:row>
      <xdr:rowOff>0</xdr:rowOff>
    </xdr:to>
    <xdr:pic>
      <xdr:nvPicPr>
        <xdr:cNvPr id="352491" name="Picture 12" descr="J7[%F53G8Z]B%U@KLR0%ILR"/>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3038475" y="16423005"/>
          <a:ext cx="120015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63500</xdr:colOff>
      <xdr:row>50</xdr:row>
      <xdr:rowOff>85725</xdr:rowOff>
    </xdr:from>
    <xdr:to>
      <xdr:col>3</xdr:col>
      <xdr:colOff>0</xdr:colOff>
      <xdr:row>56</xdr:row>
      <xdr:rowOff>238125</xdr:rowOff>
    </xdr:to>
    <xdr:pic>
      <xdr:nvPicPr>
        <xdr:cNvPr id="352492" name="Picture 13" descr="DDX8EX2$U7JL1{%8MDZVCWE"/>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63500" y="19221450"/>
          <a:ext cx="4203700" cy="2118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333375</xdr:colOff>
      <xdr:row>12</xdr:row>
      <xdr:rowOff>85725</xdr:rowOff>
    </xdr:from>
    <xdr:to>
      <xdr:col>12</xdr:col>
      <xdr:colOff>104775</xdr:colOff>
      <xdr:row>18</xdr:row>
      <xdr:rowOff>0</xdr:rowOff>
    </xdr:to>
    <xdr:grpSp>
      <xdr:nvGrpSpPr>
        <xdr:cNvPr id="352493" name="Group 26"/>
        <xdr:cNvGrpSpPr/>
      </xdr:nvGrpSpPr>
      <xdr:grpSpPr>
        <a:xfrm>
          <a:off x="7086600" y="3798570"/>
          <a:ext cx="4800600" cy="1880235"/>
          <a:chOff x="613" y="236"/>
          <a:chExt cx="328" cy="106"/>
        </a:xfrm>
      </xdr:grpSpPr>
      <xdr:sp>
        <xdr:nvSpPr>
          <xdr:cNvPr id="352500" name="Line 17"/>
          <xdr:cNvSpPr>
            <a:spLocks noChangeShapeType="1"/>
          </xdr:cNvSpPr>
        </xdr:nvSpPr>
        <xdr:spPr>
          <a:xfrm flipV="1">
            <a:off x="657" y="266"/>
            <a:ext cx="37" cy="75"/>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352501" name="Line 18"/>
          <xdr:cNvSpPr>
            <a:spLocks noChangeShapeType="1"/>
          </xdr:cNvSpPr>
        </xdr:nvSpPr>
        <xdr:spPr>
          <a:xfrm>
            <a:off x="694" y="266"/>
            <a:ext cx="114"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352502" name="Line 19"/>
          <xdr:cNvSpPr>
            <a:spLocks noChangeShapeType="1"/>
          </xdr:cNvSpPr>
        </xdr:nvSpPr>
        <xdr:spPr>
          <a:xfrm>
            <a:off x="809" y="266"/>
            <a:ext cx="37" cy="76"/>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352503" name="Line 21"/>
          <xdr:cNvSpPr>
            <a:spLocks noChangeShapeType="1"/>
          </xdr:cNvSpPr>
        </xdr:nvSpPr>
        <xdr:spPr>
          <a:xfrm flipV="1">
            <a:off x="885" y="265"/>
            <a:ext cx="38" cy="76"/>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352504" name="Line 22"/>
          <xdr:cNvSpPr>
            <a:spLocks noChangeShapeType="1"/>
          </xdr:cNvSpPr>
        </xdr:nvSpPr>
        <xdr:spPr>
          <a:xfrm>
            <a:off x="923" y="265"/>
            <a:ext cx="18"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352505" name="Line 23"/>
          <xdr:cNvSpPr>
            <a:spLocks noChangeShapeType="1"/>
          </xdr:cNvSpPr>
        </xdr:nvSpPr>
        <xdr:spPr>
          <a:xfrm flipH="1">
            <a:off x="617" y="266"/>
            <a:ext cx="77"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52506" name="Line 24"/>
          <xdr:cNvSpPr>
            <a:spLocks noChangeShapeType="1"/>
          </xdr:cNvSpPr>
        </xdr:nvSpPr>
        <xdr:spPr>
          <a:xfrm>
            <a:off x="613" y="342"/>
            <a:ext cx="327" cy="0"/>
          </a:xfrm>
          <a:prstGeom prst="line">
            <a:avLst/>
          </a:prstGeom>
          <a:noFill/>
          <a:ln w="9525">
            <a:solidFill>
              <a:srgbClr val="000000"/>
            </a:solidFill>
            <a:round/>
            <a:tailEnd type="stealth" w="med" len="med"/>
          </a:ln>
          <a:extLst>
            <a:ext uri="{909E8E84-426E-40DD-AFC4-6F175D3DCCD1}">
              <a14:hiddenFill xmlns:a14="http://schemas.microsoft.com/office/drawing/2010/main">
                <a:noFill/>
              </a14:hiddenFill>
            </a:ext>
          </a:extLst>
        </xdr:spPr>
      </xdr:sp>
      <xdr:sp>
        <xdr:nvSpPr>
          <xdr:cNvPr id="352507" name="Line 25"/>
          <xdr:cNvSpPr>
            <a:spLocks noChangeShapeType="1"/>
          </xdr:cNvSpPr>
        </xdr:nvSpPr>
        <xdr:spPr>
          <a:xfrm flipV="1">
            <a:off x="618" y="236"/>
            <a:ext cx="0" cy="106"/>
          </a:xfrm>
          <a:prstGeom prst="line">
            <a:avLst/>
          </a:prstGeom>
          <a:noFill/>
          <a:ln w="9525">
            <a:solidFill>
              <a:srgbClr val="000000"/>
            </a:solidFill>
            <a:round/>
            <a:tailEnd type="stealth" w="med" len="med"/>
          </a:ln>
          <a:extLst>
            <a:ext uri="{909E8E84-426E-40DD-AFC4-6F175D3DCCD1}">
              <a14:hiddenFill xmlns:a14="http://schemas.microsoft.com/office/drawing/2010/main">
                <a:noFill/>
              </a14:hiddenFill>
            </a:ext>
          </a:extLst>
        </xdr:spPr>
      </xdr:sp>
    </xdr:grpSp>
    <xdr:clientData/>
  </xdr:twoCellAnchor>
  <xdr:twoCellAnchor editAs="oneCell">
    <xdr:from>
      <xdr:col>2</xdr:col>
      <xdr:colOff>123825</xdr:colOff>
      <xdr:row>23</xdr:row>
      <xdr:rowOff>57150</xdr:rowOff>
    </xdr:from>
    <xdr:to>
      <xdr:col>2</xdr:col>
      <xdr:colOff>1143000</xdr:colOff>
      <xdr:row>24</xdr:row>
      <xdr:rowOff>0</xdr:rowOff>
    </xdr:to>
    <xdr:pic>
      <xdr:nvPicPr>
        <xdr:cNvPr id="352495" name="Picture 28" descr="USE@$XD@S8QYG66I%H7WMOW"/>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3133725" y="7374255"/>
          <a:ext cx="10191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57150</xdr:colOff>
      <xdr:row>24</xdr:row>
      <xdr:rowOff>95250</xdr:rowOff>
    </xdr:from>
    <xdr:to>
      <xdr:col>2</xdr:col>
      <xdr:colOff>1066800</xdr:colOff>
      <xdr:row>25</xdr:row>
      <xdr:rowOff>0</xdr:rowOff>
    </xdr:to>
    <xdr:pic>
      <xdr:nvPicPr>
        <xdr:cNvPr id="352496" name="Picture 29" descr="GPVPPF4GG`}7}M33KHY19(8"/>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3067050" y="7945755"/>
          <a:ext cx="100965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57150</xdr:colOff>
      <xdr:row>28</xdr:row>
      <xdr:rowOff>66675</xdr:rowOff>
    </xdr:from>
    <xdr:to>
      <xdr:col>2</xdr:col>
      <xdr:colOff>685800</xdr:colOff>
      <xdr:row>29</xdr:row>
      <xdr:rowOff>0</xdr:rowOff>
    </xdr:to>
    <xdr:pic>
      <xdr:nvPicPr>
        <xdr:cNvPr id="352497" name="Picture 30" descr="K$)733W374PZ~}_T9B2{ART"/>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3067050" y="9639300"/>
          <a:ext cx="62865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180975</xdr:colOff>
      <xdr:row>29</xdr:row>
      <xdr:rowOff>57150</xdr:rowOff>
    </xdr:from>
    <xdr:to>
      <xdr:col>2</xdr:col>
      <xdr:colOff>685800</xdr:colOff>
      <xdr:row>30</xdr:row>
      <xdr:rowOff>0</xdr:rowOff>
    </xdr:to>
    <xdr:pic>
      <xdr:nvPicPr>
        <xdr:cNvPr id="352498" name="Picture 31" descr="Y)$`D3`R~U3FQODR2M`F0~A"/>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3190875" y="10067925"/>
          <a:ext cx="5048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37465</xdr:colOff>
      <xdr:row>2</xdr:row>
      <xdr:rowOff>114300</xdr:rowOff>
    </xdr:from>
    <xdr:to>
      <xdr:col>10</xdr:col>
      <xdr:colOff>90170</xdr:colOff>
      <xdr:row>9</xdr:row>
      <xdr:rowOff>229870</xdr:rowOff>
    </xdr:to>
    <xdr:pic>
      <xdr:nvPicPr>
        <xdr:cNvPr id="2" name="Picture 32" descr="WH4_Z0Y3B@I~~(Q$ZP`UC9B"/>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7533640" y="550545"/>
          <a:ext cx="3643630" cy="2409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45</xdr:row>
      <xdr:rowOff>0</xdr:rowOff>
    </xdr:from>
    <xdr:to>
      <xdr:col>13</xdr:col>
      <xdr:colOff>615315</xdr:colOff>
      <xdr:row>59</xdr:row>
      <xdr:rowOff>144780</xdr:rowOff>
    </xdr:to>
    <xdr:pic>
      <xdr:nvPicPr>
        <xdr:cNvPr id="5" name="Picture 27" descr="[FS$)7%AMHH~)U0G}M02)PO"/>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7496175" y="17497425"/>
          <a:ext cx="6054090" cy="4732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9524</xdr:colOff>
      <xdr:row>25</xdr:row>
      <xdr:rowOff>19050</xdr:rowOff>
    </xdr:from>
    <xdr:to>
      <xdr:col>7</xdr:col>
      <xdr:colOff>0</xdr:colOff>
      <xdr:row>32</xdr:row>
      <xdr:rowOff>95250</xdr:rowOff>
    </xdr:to>
    <xdr:pic>
      <xdr:nvPicPr>
        <xdr:cNvPr id="15" name="Picture 17"/>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5904865" y="5847080"/>
          <a:ext cx="4886960" cy="2286000"/>
        </a:xfrm>
        <a:prstGeom prst="rect">
          <a:avLst/>
        </a:prstGeom>
        <a:noFill/>
        <a:ln>
          <a:noFill/>
        </a:ln>
        <a:effectLst/>
        <a:extLst>
          <a:ext uri="{909E8E84-426E-40DD-AFC4-6F175D3DCCD1}">
            <a14:hiddenFill xmlns:a14="http://schemas.microsoft.com/office/drawing/2010/main">
              <a:solidFill>
                <a:srgbClr xmlns:mc="http://schemas.openxmlformats.org/markup-compatibility/2006" xmlns:a14="http://schemas.microsoft.com/office/drawing/2010/main" val="000000" mc:Ignorable="a14" a14:legacySpreadsheetColorIndex="64"/>
              </a:solidFill>
            </a14:hiddenFill>
          </a:ext>
          <a:ext uri="{91240B29-F687-4F45-9708-019B960494DF}">
            <a14:hiddenLine xmlns:a14="http://schemas.microsoft.com/office/drawing/2010/main" w="1">
              <a:solidFill>
                <a:srgbClr xmlns:mc="http://schemas.openxmlformats.org/markup-compatibility/2006" xmlns:a14="http://schemas.microsoft.com/office/drawing/2010/main"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mc:AlternateContent xmlns:mc="http://schemas.openxmlformats.org/markup-compatibility/2006">
    <mc:Choice xmlns:a14="http://schemas.microsoft.com/office/drawing/2010/main" Requires="a14">
      <xdr:twoCellAnchor editAs="oneCell">
        <xdr:from>
          <xdr:col>1</xdr:col>
          <xdr:colOff>114300</xdr:colOff>
          <xdr:row>28</xdr:row>
          <xdr:rowOff>57150</xdr:rowOff>
        </xdr:from>
        <xdr:to>
          <xdr:col>1</xdr:col>
          <xdr:colOff>2190750</xdr:colOff>
          <xdr:row>29</xdr:row>
          <xdr:rowOff>0</xdr:rowOff>
        </xdr:to>
        <xdr:sp>
          <xdr:nvSpPr>
            <xdr:cNvPr id="491521" name="Object 1" hidden="1">
              <a:extLst>
                <a:ext uri="{63B3BB69-23CF-44E3-9099-C40C66FF867C}">
                  <a14:compatExt spid="_x0000_s491521"/>
                </a:ext>
              </a:extLst>
            </xdr:cNvPr>
            <xdr:cNvSpPr/>
          </xdr:nvSpPr>
          <xdr:spPr>
            <a:xfrm>
              <a:off x="1400175" y="6517640"/>
              <a:ext cx="207645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257175</xdr:colOff>
          <xdr:row>31</xdr:row>
          <xdr:rowOff>19050</xdr:rowOff>
        </xdr:from>
        <xdr:to>
          <xdr:col>1</xdr:col>
          <xdr:colOff>2209800</xdr:colOff>
          <xdr:row>32</xdr:row>
          <xdr:rowOff>0</xdr:rowOff>
        </xdr:to>
        <xdr:sp>
          <xdr:nvSpPr>
            <xdr:cNvPr id="491522" name="Object 2" hidden="1">
              <a:extLst>
                <a:ext uri="{63B3BB69-23CF-44E3-9099-C40C66FF867C}">
                  <a14:compatExt spid="_x0000_s491522"/>
                </a:ext>
              </a:extLst>
            </xdr:cNvPr>
            <xdr:cNvSpPr/>
          </xdr:nvSpPr>
          <xdr:spPr>
            <a:xfrm>
              <a:off x="1543050" y="7466330"/>
              <a:ext cx="1952625" cy="5715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32</xdr:row>
          <xdr:rowOff>47625</xdr:rowOff>
        </xdr:from>
        <xdr:to>
          <xdr:col>1</xdr:col>
          <xdr:colOff>2247900</xdr:colOff>
          <xdr:row>33</xdr:row>
          <xdr:rowOff>0</xdr:rowOff>
        </xdr:to>
        <xdr:sp>
          <xdr:nvSpPr>
            <xdr:cNvPr id="491523" name="Object 3" hidden="1">
              <a:extLst>
                <a:ext uri="{63B3BB69-23CF-44E3-9099-C40C66FF867C}">
                  <a14:compatExt spid="_x0000_s491523"/>
                </a:ext>
              </a:extLst>
            </xdr:cNvPr>
            <xdr:cNvSpPr/>
          </xdr:nvSpPr>
          <xdr:spPr>
            <a:xfrm>
              <a:off x="1514475" y="8085455"/>
              <a:ext cx="2019300" cy="54292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371475</xdr:colOff>
          <xdr:row>33</xdr:row>
          <xdr:rowOff>28575</xdr:rowOff>
        </xdr:from>
        <xdr:to>
          <xdr:col>1</xdr:col>
          <xdr:colOff>2219325</xdr:colOff>
          <xdr:row>34</xdr:row>
          <xdr:rowOff>0</xdr:rowOff>
        </xdr:to>
        <xdr:sp>
          <xdr:nvSpPr>
            <xdr:cNvPr id="491524" name="Object 4" hidden="1">
              <a:extLst>
                <a:ext uri="{63B3BB69-23CF-44E3-9099-C40C66FF867C}">
                  <a14:compatExt spid="_x0000_s491524"/>
                </a:ext>
              </a:extLst>
            </xdr:cNvPr>
            <xdr:cNvSpPr/>
          </xdr:nvSpPr>
          <xdr:spPr>
            <a:xfrm>
              <a:off x="1657350" y="8656955"/>
              <a:ext cx="1847850" cy="5619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35</xdr:row>
          <xdr:rowOff>28575</xdr:rowOff>
        </xdr:from>
        <xdr:to>
          <xdr:col>1</xdr:col>
          <xdr:colOff>2286000</xdr:colOff>
          <xdr:row>36</xdr:row>
          <xdr:rowOff>0</xdr:rowOff>
        </xdr:to>
        <xdr:sp>
          <xdr:nvSpPr>
            <xdr:cNvPr id="491525" name="Object 5" hidden="1">
              <a:extLst>
                <a:ext uri="{63B3BB69-23CF-44E3-9099-C40C66FF867C}">
                  <a14:compatExt spid="_x0000_s491525"/>
                </a:ext>
              </a:extLst>
            </xdr:cNvPr>
            <xdr:cNvSpPr/>
          </xdr:nvSpPr>
          <xdr:spPr>
            <a:xfrm>
              <a:off x="1476375" y="9445625"/>
              <a:ext cx="2095500" cy="5619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352425</xdr:colOff>
          <xdr:row>38</xdr:row>
          <xdr:rowOff>28575</xdr:rowOff>
        </xdr:from>
        <xdr:to>
          <xdr:col>1</xdr:col>
          <xdr:colOff>2419350</xdr:colOff>
          <xdr:row>39</xdr:row>
          <xdr:rowOff>0</xdr:rowOff>
        </xdr:to>
        <xdr:sp>
          <xdr:nvSpPr>
            <xdr:cNvPr id="491526" name="Object 6" hidden="1">
              <a:extLst>
                <a:ext uri="{63B3BB69-23CF-44E3-9099-C40C66FF867C}">
                  <a14:compatExt spid="_x0000_s491526"/>
                </a:ext>
              </a:extLst>
            </xdr:cNvPr>
            <xdr:cNvSpPr/>
          </xdr:nvSpPr>
          <xdr:spPr>
            <a:xfrm>
              <a:off x="1638300" y="10432415"/>
              <a:ext cx="2066925" cy="60769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41</xdr:row>
          <xdr:rowOff>38100</xdr:rowOff>
        </xdr:from>
        <xdr:to>
          <xdr:col>1</xdr:col>
          <xdr:colOff>2419350</xdr:colOff>
          <xdr:row>42</xdr:row>
          <xdr:rowOff>0</xdr:rowOff>
        </xdr:to>
        <xdr:sp>
          <xdr:nvSpPr>
            <xdr:cNvPr id="491527" name="Object 7" hidden="1">
              <a:extLst>
                <a:ext uri="{63B3BB69-23CF-44E3-9099-C40C66FF867C}">
                  <a14:compatExt spid="_x0000_s491527"/>
                </a:ext>
              </a:extLst>
            </xdr:cNvPr>
            <xdr:cNvSpPr/>
          </xdr:nvSpPr>
          <xdr:spPr>
            <a:xfrm>
              <a:off x="1552575" y="11474450"/>
              <a:ext cx="2152650" cy="5524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57150</xdr:colOff>
          <xdr:row>20</xdr:row>
          <xdr:rowOff>28575</xdr:rowOff>
        </xdr:from>
        <xdr:to>
          <xdr:col>7</xdr:col>
          <xdr:colOff>19050</xdr:colOff>
          <xdr:row>21</xdr:row>
          <xdr:rowOff>0</xdr:rowOff>
        </xdr:to>
        <xdr:sp>
          <xdr:nvSpPr>
            <xdr:cNvPr id="491528" name="Object 8" hidden="1">
              <a:extLst>
                <a:ext uri="{63B3BB69-23CF-44E3-9099-C40C66FF867C}">
                  <a14:compatExt spid="_x0000_s491528"/>
                </a:ext>
              </a:extLst>
            </xdr:cNvPr>
            <xdr:cNvSpPr/>
          </xdr:nvSpPr>
          <xdr:spPr>
            <a:xfrm>
              <a:off x="8020050" y="4404360"/>
              <a:ext cx="2790825" cy="4787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95250</xdr:colOff>
          <xdr:row>33</xdr:row>
          <xdr:rowOff>57150</xdr:rowOff>
        </xdr:from>
        <xdr:to>
          <xdr:col>6</xdr:col>
          <xdr:colOff>1981200</xdr:colOff>
          <xdr:row>34</xdr:row>
          <xdr:rowOff>0</xdr:rowOff>
        </xdr:to>
        <xdr:sp>
          <xdr:nvSpPr>
            <xdr:cNvPr id="491529" name="Object 9" hidden="1">
              <a:extLst>
                <a:ext uri="{63B3BB69-23CF-44E3-9099-C40C66FF867C}">
                  <a14:compatExt spid="_x0000_s491529"/>
                </a:ext>
              </a:extLst>
            </xdr:cNvPr>
            <xdr:cNvSpPr/>
          </xdr:nvSpPr>
          <xdr:spPr>
            <a:xfrm>
              <a:off x="8058150" y="8685530"/>
              <a:ext cx="1885950" cy="533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66675</xdr:colOff>
          <xdr:row>35</xdr:row>
          <xdr:rowOff>28575</xdr:rowOff>
        </xdr:from>
        <xdr:to>
          <xdr:col>6</xdr:col>
          <xdr:colOff>2095500</xdr:colOff>
          <xdr:row>36</xdr:row>
          <xdr:rowOff>0</xdr:rowOff>
        </xdr:to>
        <xdr:sp>
          <xdr:nvSpPr>
            <xdr:cNvPr id="491530" name="Object 10" hidden="1">
              <a:extLst>
                <a:ext uri="{63B3BB69-23CF-44E3-9099-C40C66FF867C}">
                  <a14:compatExt spid="_x0000_s491530"/>
                </a:ext>
              </a:extLst>
            </xdr:cNvPr>
            <xdr:cNvSpPr/>
          </xdr:nvSpPr>
          <xdr:spPr>
            <a:xfrm>
              <a:off x="8029575" y="9445625"/>
              <a:ext cx="2028825" cy="5619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38</xdr:row>
          <xdr:rowOff>19050</xdr:rowOff>
        </xdr:from>
        <xdr:to>
          <xdr:col>6</xdr:col>
          <xdr:colOff>2371725</xdr:colOff>
          <xdr:row>39</xdr:row>
          <xdr:rowOff>0</xdr:rowOff>
        </xdr:to>
        <xdr:sp>
          <xdr:nvSpPr>
            <xdr:cNvPr id="491531" name="Object 11" hidden="1">
              <a:extLst>
                <a:ext uri="{63B3BB69-23CF-44E3-9099-C40C66FF867C}">
                  <a14:compatExt spid="_x0000_s491531"/>
                </a:ext>
              </a:extLst>
            </xdr:cNvPr>
            <xdr:cNvSpPr/>
          </xdr:nvSpPr>
          <xdr:spPr>
            <a:xfrm>
              <a:off x="8086725" y="10422890"/>
              <a:ext cx="2247900" cy="6172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47</xdr:row>
          <xdr:rowOff>47625</xdr:rowOff>
        </xdr:from>
        <xdr:to>
          <xdr:col>3</xdr:col>
          <xdr:colOff>571500</xdr:colOff>
          <xdr:row>48</xdr:row>
          <xdr:rowOff>0</xdr:rowOff>
        </xdr:to>
        <xdr:sp>
          <xdr:nvSpPr>
            <xdr:cNvPr id="491532" name="Object 12" hidden="1">
              <a:extLst>
                <a:ext uri="{63B3BB69-23CF-44E3-9099-C40C66FF867C}">
                  <a14:compatExt spid="_x0000_s491532"/>
                </a:ext>
              </a:extLst>
            </xdr:cNvPr>
            <xdr:cNvSpPr/>
          </xdr:nvSpPr>
          <xdr:spPr>
            <a:xfrm>
              <a:off x="1362075" y="13103225"/>
              <a:ext cx="4419600" cy="476250"/>
            </a:xfrm>
            <a:prstGeom prst="rect">
              <a:avLst/>
            </a:prstGeom>
          </xdr:spPr>
        </xdr:sp>
        <xdr:clientData/>
      </xdr:twoCellAnchor>
    </mc:Choice>
    <mc:Fallback/>
  </mc:AlternateContent>
  <xdr:twoCellAnchor editAs="oneCell">
    <xdr:from>
      <xdr:col>5</xdr:col>
      <xdr:colOff>49530</xdr:colOff>
      <xdr:row>2</xdr:row>
      <xdr:rowOff>0</xdr:rowOff>
    </xdr:from>
    <xdr:to>
      <xdr:col>6</xdr:col>
      <xdr:colOff>2297430</xdr:colOff>
      <xdr:row>15</xdr:row>
      <xdr:rowOff>17145</xdr:rowOff>
    </xdr:to>
    <xdr:pic>
      <xdr:nvPicPr>
        <xdr:cNvPr id="2" name="Picture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6726555" y="396240"/>
          <a:ext cx="3533775" cy="2983230"/>
        </a:xfrm>
        <a:prstGeom prst="rect">
          <a:avLst/>
        </a:prstGeom>
        <a:noFill/>
        <a:ln>
          <a:noFill/>
        </a:ln>
        <a:effectLst/>
        <a:extLst>
          <a:ext uri="{909E8E84-426E-40DD-AFC4-6F175D3DCCD1}">
            <a14:hiddenFill xmlns:a14="http://schemas.microsoft.com/office/drawing/2010/main">
              <a:solidFill>
                <a:srgbClr xmlns:mc="http://schemas.openxmlformats.org/markup-compatibility/2006" xmlns:a14="http://schemas.microsoft.com/office/drawing/2010/main" val="000000" mc:Ignorable="a14" a14:legacySpreadsheetColorIndex="64"/>
              </a:solidFill>
            </a14:hiddenFill>
          </a:ext>
          <a:ext uri="{91240B29-F687-4F45-9708-019B960494DF}">
            <a14:hiddenLine xmlns:a14="http://schemas.microsoft.com/office/drawing/2010/main" w="1">
              <a:solidFill>
                <a:srgbClr xmlns:mc="http://schemas.openxmlformats.org/markup-compatibility/2006" xmlns:a14="http://schemas.microsoft.com/office/drawing/2010/main"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15</xdr:col>
      <xdr:colOff>0</xdr:colOff>
      <xdr:row>25</xdr:row>
      <xdr:rowOff>68576</xdr:rowOff>
    </xdr:to>
    <xdr:pic>
      <xdr:nvPicPr>
        <xdr:cNvPr id="2" name="圖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0" y="0"/>
          <a:ext cx="10058400" cy="5020945"/>
        </a:xfrm>
        <a:prstGeom prst="rect">
          <a:avLst/>
        </a:prstGeom>
      </xdr:spPr>
    </xdr:pic>
    <xdr:clientData/>
  </xdr:twoCellAnchor>
  <xdr:twoCellAnchor editAs="oneCell">
    <xdr:from>
      <xdr:col>0</xdr:col>
      <xdr:colOff>0</xdr:colOff>
      <xdr:row>25</xdr:row>
      <xdr:rowOff>0</xdr:rowOff>
    </xdr:from>
    <xdr:to>
      <xdr:col>15</xdr:col>
      <xdr:colOff>0</xdr:colOff>
      <xdr:row>50</xdr:row>
      <xdr:rowOff>114167</xdr:rowOff>
    </xdr:to>
    <xdr:pic>
      <xdr:nvPicPr>
        <xdr:cNvPr id="3" name="圖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0" y="4953000"/>
          <a:ext cx="10058400" cy="5066665"/>
        </a:xfrm>
        <a:prstGeom prst="rect">
          <a:avLst/>
        </a:prstGeom>
      </xdr:spPr>
    </xdr:pic>
    <xdr:clientData/>
  </xdr:twoCellAnchor>
  <xdr:twoCellAnchor editAs="oneCell">
    <xdr:from>
      <xdr:col>0</xdr:col>
      <xdr:colOff>0</xdr:colOff>
      <xdr:row>50</xdr:row>
      <xdr:rowOff>152400</xdr:rowOff>
    </xdr:from>
    <xdr:to>
      <xdr:col>15</xdr:col>
      <xdr:colOff>0</xdr:colOff>
      <xdr:row>76</xdr:row>
      <xdr:rowOff>40714</xdr:rowOff>
    </xdr:to>
    <xdr:pic>
      <xdr:nvPicPr>
        <xdr:cNvPr id="4" name="圖片 3"/>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0" y="10058400"/>
          <a:ext cx="10058400" cy="5039360"/>
        </a:xfrm>
        <a:prstGeom prst="rect">
          <a:avLst/>
        </a:prstGeom>
      </xdr:spPr>
    </xdr:pic>
    <xdr:clientData/>
  </xdr:twoCellAnchor>
  <xdr:twoCellAnchor editAs="oneCell">
    <xdr:from>
      <xdr:col>0</xdr:col>
      <xdr:colOff>0</xdr:colOff>
      <xdr:row>77</xdr:row>
      <xdr:rowOff>0</xdr:rowOff>
    </xdr:from>
    <xdr:to>
      <xdr:col>15</xdr:col>
      <xdr:colOff>0</xdr:colOff>
      <xdr:row>102</xdr:row>
      <xdr:rowOff>142063</xdr:rowOff>
    </xdr:to>
    <xdr:pic>
      <xdr:nvPicPr>
        <xdr:cNvPr id="5" name="圖片 4"/>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0" y="15255240"/>
          <a:ext cx="10058400" cy="5094605"/>
        </a:xfrm>
        <a:prstGeom prst="rect">
          <a:avLst/>
        </a:prstGeom>
      </xdr:spPr>
    </xdr:pic>
    <xdr:clientData/>
  </xdr:twoCellAnchor>
  <xdr:twoCellAnchor editAs="oneCell">
    <xdr:from>
      <xdr:col>0</xdr:col>
      <xdr:colOff>0</xdr:colOff>
      <xdr:row>103</xdr:row>
      <xdr:rowOff>0</xdr:rowOff>
    </xdr:from>
    <xdr:to>
      <xdr:col>15</xdr:col>
      <xdr:colOff>0</xdr:colOff>
      <xdr:row>128</xdr:row>
      <xdr:rowOff>124259</xdr:rowOff>
    </xdr:to>
    <xdr:pic>
      <xdr:nvPicPr>
        <xdr:cNvPr id="6" name="圖片 5"/>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0" y="20406360"/>
          <a:ext cx="10058400" cy="5076825"/>
        </a:xfrm>
        <a:prstGeom prst="rect">
          <a:avLst/>
        </a:prstGeom>
      </xdr:spPr>
    </xdr:pic>
    <xdr:clientData/>
  </xdr:twoCellAnchor>
  <xdr:twoCellAnchor editAs="oneCell">
    <xdr:from>
      <xdr:col>0</xdr:col>
      <xdr:colOff>0</xdr:colOff>
      <xdr:row>129</xdr:row>
      <xdr:rowOff>0</xdr:rowOff>
    </xdr:from>
    <xdr:to>
      <xdr:col>7</xdr:col>
      <xdr:colOff>142875</xdr:colOff>
      <xdr:row>158</xdr:row>
      <xdr:rowOff>123825</xdr:rowOff>
    </xdr:to>
    <xdr:pic>
      <xdr:nvPicPr>
        <xdr:cNvPr id="7" name="圖片 6"/>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0" y="25557480"/>
          <a:ext cx="4943475" cy="5869305"/>
        </a:xfrm>
        <a:prstGeom prst="rect">
          <a:avLst/>
        </a:prstGeom>
      </xdr:spPr>
    </xdr:pic>
    <xdr:clientData/>
  </xdr:twoCellAnchor>
  <xdr:twoCellAnchor editAs="oneCell">
    <xdr:from>
      <xdr:col>16</xdr:col>
      <xdr:colOff>0</xdr:colOff>
      <xdr:row>0</xdr:row>
      <xdr:rowOff>0</xdr:rowOff>
    </xdr:from>
    <xdr:to>
      <xdr:col>30</xdr:col>
      <xdr:colOff>457200</xdr:colOff>
      <xdr:row>25</xdr:row>
      <xdr:rowOff>101501</xdr:rowOff>
    </xdr:to>
    <xdr:pic>
      <xdr:nvPicPr>
        <xdr:cNvPr id="8" name="圖片 7"/>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10258425" y="0"/>
          <a:ext cx="10058400" cy="5053965"/>
        </a:xfrm>
        <a:prstGeom prst="rect">
          <a:avLst/>
        </a:prstGeom>
      </xdr:spPr>
    </xdr:pic>
    <xdr:clientData/>
  </xdr:twoCellAnchor>
  <xdr:twoCellAnchor editAs="oneCell">
    <xdr:from>
      <xdr:col>16</xdr:col>
      <xdr:colOff>0</xdr:colOff>
      <xdr:row>25</xdr:row>
      <xdr:rowOff>114300</xdr:rowOff>
    </xdr:from>
    <xdr:to>
      <xdr:col>30</xdr:col>
      <xdr:colOff>457200</xdr:colOff>
      <xdr:row>51</xdr:row>
      <xdr:rowOff>13901</xdr:rowOff>
    </xdr:to>
    <xdr:pic>
      <xdr:nvPicPr>
        <xdr:cNvPr id="9" name="圖片 8"/>
        <xdr:cNvPicPr>
          <a:picLocks noChangeAspect="1"/>
        </xdr:cNvPicPr>
      </xdr:nvPicPr>
      <xdr:blipFill>
        <a:blip r:embed="rId8" cstate="print">
          <a:extLst>
            <a:ext uri="{28A0092B-C50C-407E-A947-70E740481C1C}">
              <a14:useLocalDpi xmlns:a14="http://schemas.microsoft.com/office/drawing/2010/main" val="0"/>
            </a:ext>
          </a:extLst>
        </a:blip>
        <a:stretch>
          <a:fillRect/>
        </a:stretch>
      </xdr:blipFill>
      <xdr:spPr>
        <a:xfrm>
          <a:off x="10258425" y="5067300"/>
          <a:ext cx="10058400" cy="5050155"/>
        </a:xfrm>
        <a:prstGeom prst="rect">
          <a:avLst/>
        </a:prstGeom>
      </xdr:spPr>
    </xdr:pic>
    <xdr:clientData/>
  </xdr:twoCellAnchor>
  <xdr:twoCellAnchor editAs="oneCell">
    <xdr:from>
      <xdr:col>16</xdr:col>
      <xdr:colOff>0</xdr:colOff>
      <xdr:row>51</xdr:row>
      <xdr:rowOff>19050</xdr:rowOff>
    </xdr:from>
    <xdr:to>
      <xdr:col>23</xdr:col>
      <xdr:colOff>133350</xdr:colOff>
      <xdr:row>80</xdr:row>
      <xdr:rowOff>142875</xdr:rowOff>
    </xdr:to>
    <xdr:pic>
      <xdr:nvPicPr>
        <xdr:cNvPr id="10" name="圖片 9"/>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10258425" y="10123170"/>
          <a:ext cx="4933950" cy="5869305"/>
        </a:xfrm>
        <a:prstGeom prst="rect">
          <a:avLst/>
        </a:prstGeom>
      </xdr:spPr>
    </xdr:pic>
    <xdr:clientData/>
  </xdr:twoCellAnchor>
  <xdr:twoCellAnchor editAs="oneCell">
    <xdr:from>
      <xdr:col>32</xdr:col>
      <xdr:colOff>0</xdr:colOff>
      <xdr:row>0</xdr:row>
      <xdr:rowOff>0</xdr:rowOff>
    </xdr:from>
    <xdr:to>
      <xdr:col>46</xdr:col>
      <xdr:colOff>457200</xdr:colOff>
      <xdr:row>27</xdr:row>
      <xdr:rowOff>38281</xdr:rowOff>
    </xdr:to>
    <xdr:pic>
      <xdr:nvPicPr>
        <xdr:cNvPr id="11" name="圖片 10"/>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20526375" y="0"/>
          <a:ext cx="10058400" cy="5387340"/>
        </a:xfrm>
        <a:prstGeom prst="rect">
          <a:avLst/>
        </a:prstGeom>
      </xdr:spPr>
    </xdr:pic>
    <xdr:clientData/>
  </xdr:twoCellAnchor>
  <xdr:twoCellAnchor editAs="oneCell">
    <xdr:from>
      <xdr:col>32</xdr:col>
      <xdr:colOff>0</xdr:colOff>
      <xdr:row>27</xdr:row>
      <xdr:rowOff>0</xdr:rowOff>
    </xdr:from>
    <xdr:to>
      <xdr:col>46</xdr:col>
      <xdr:colOff>457200</xdr:colOff>
      <xdr:row>53</xdr:row>
      <xdr:rowOff>158815</xdr:rowOff>
    </xdr:to>
    <xdr:pic>
      <xdr:nvPicPr>
        <xdr:cNvPr id="12" name="圖片 11"/>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a:off x="20526375" y="5349240"/>
          <a:ext cx="10058400" cy="5309870"/>
        </a:xfrm>
        <a:prstGeom prst="rect">
          <a:avLst/>
        </a:prstGeom>
      </xdr:spPr>
    </xdr:pic>
    <xdr:clientData/>
  </xdr:twoCellAnchor>
  <xdr:twoCellAnchor editAs="oneCell">
    <xdr:from>
      <xdr:col>32</xdr:col>
      <xdr:colOff>0</xdr:colOff>
      <xdr:row>54</xdr:row>
      <xdr:rowOff>0</xdr:rowOff>
    </xdr:from>
    <xdr:to>
      <xdr:col>46</xdr:col>
      <xdr:colOff>457200</xdr:colOff>
      <xdr:row>81</xdr:row>
      <xdr:rowOff>33829</xdr:rowOff>
    </xdr:to>
    <xdr:pic>
      <xdr:nvPicPr>
        <xdr:cNvPr id="13" name="圖片 12"/>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a:off x="20526375" y="10698480"/>
          <a:ext cx="10058400" cy="5382895"/>
        </a:xfrm>
        <a:prstGeom prst="rect">
          <a:avLst/>
        </a:prstGeom>
      </xdr:spPr>
    </xdr:pic>
    <xdr:clientData/>
  </xdr:twoCellAnchor>
  <xdr:twoCellAnchor editAs="oneCell">
    <xdr:from>
      <xdr:col>47</xdr:col>
      <xdr:colOff>0</xdr:colOff>
      <xdr:row>0</xdr:row>
      <xdr:rowOff>0</xdr:rowOff>
    </xdr:from>
    <xdr:to>
      <xdr:col>54</xdr:col>
      <xdr:colOff>647700</xdr:colOff>
      <xdr:row>29</xdr:row>
      <xdr:rowOff>95250</xdr:rowOff>
    </xdr:to>
    <xdr:pic>
      <xdr:nvPicPr>
        <xdr:cNvPr id="14" name="圖片 13"/>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30813375" y="0"/>
          <a:ext cx="5448300" cy="5840730"/>
        </a:xfrm>
        <a:prstGeom prst="rect">
          <a:avLst/>
        </a:prstGeom>
      </xdr:spPr>
    </xdr:pic>
    <xdr:clientData/>
  </xdr:twoCellAnchor>
  <xdr:twoCellAnchor editAs="oneCell">
    <xdr:from>
      <xdr:col>47</xdr:col>
      <xdr:colOff>0</xdr:colOff>
      <xdr:row>30</xdr:row>
      <xdr:rowOff>0</xdr:rowOff>
    </xdr:from>
    <xdr:to>
      <xdr:col>54</xdr:col>
      <xdr:colOff>647700</xdr:colOff>
      <xdr:row>59</xdr:row>
      <xdr:rowOff>142875</xdr:rowOff>
    </xdr:to>
    <xdr:pic>
      <xdr:nvPicPr>
        <xdr:cNvPr id="15" name="圖片 14"/>
        <xdr:cNvPicPr>
          <a:picLocks noChangeAspect="1"/>
        </xdr:cNvPicPr>
      </xdr:nvPicPr>
      <xdr:blipFill>
        <a:blip r:embed="rId14" cstate="print">
          <a:extLst>
            <a:ext uri="{28A0092B-C50C-407E-A947-70E740481C1C}">
              <a14:useLocalDpi xmlns:a14="http://schemas.microsoft.com/office/drawing/2010/main" val="0"/>
            </a:ext>
          </a:extLst>
        </a:blip>
        <a:stretch>
          <a:fillRect/>
        </a:stretch>
      </xdr:blipFill>
      <xdr:spPr>
        <a:xfrm>
          <a:off x="30813375" y="5943600"/>
          <a:ext cx="5448300" cy="5888355"/>
        </a:xfrm>
        <a:prstGeom prst="rect">
          <a:avLst/>
        </a:prstGeom>
      </xdr:spPr>
    </xdr:pic>
    <xdr:clientData/>
  </xdr:twoCellAnchor>
  <xdr:twoCellAnchor editAs="oneCell">
    <xdr:from>
      <xdr:col>47</xdr:col>
      <xdr:colOff>0</xdr:colOff>
      <xdr:row>60</xdr:row>
      <xdr:rowOff>0</xdr:rowOff>
    </xdr:from>
    <xdr:to>
      <xdr:col>55</xdr:col>
      <xdr:colOff>28575</xdr:colOff>
      <xdr:row>89</xdr:row>
      <xdr:rowOff>142875</xdr:rowOff>
    </xdr:to>
    <xdr:pic>
      <xdr:nvPicPr>
        <xdr:cNvPr id="16" name="圖片 15"/>
        <xdr:cNvPicPr>
          <a:picLocks noChangeAspect="1"/>
        </xdr:cNvPicPr>
      </xdr:nvPicPr>
      <xdr:blipFill>
        <a:blip r:embed="rId15" cstate="print">
          <a:extLst>
            <a:ext uri="{28A0092B-C50C-407E-A947-70E740481C1C}">
              <a14:useLocalDpi xmlns:a14="http://schemas.microsoft.com/office/drawing/2010/main" val="0"/>
            </a:ext>
          </a:extLst>
        </a:blip>
        <a:stretch>
          <a:fillRect/>
        </a:stretch>
      </xdr:blipFill>
      <xdr:spPr>
        <a:xfrm>
          <a:off x="30813375" y="11887200"/>
          <a:ext cx="5514975" cy="5888355"/>
        </a:xfrm>
        <a:prstGeom prst="rect">
          <a:avLst/>
        </a:prstGeom>
      </xdr:spPr>
    </xdr:pic>
    <xdr:clientData/>
  </xdr:twoCellAnchor>
  <xdr:twoCellAnchor editAs="oneCell">
    <xdr:from>
      <xdr:col>55</xdr:col>
      <xdr:colOff>0</xdr:colOff>
      <xdr:row>0</xdr:row>
      <xdr:rowOff>0</xdr:rowOff>
    </xdr:from>
    <xdr:to>
      <xdr:col>64</xdr:col>
      <xdr:colOff>28575</xdr:colOff>
      <xdr:row>29</xdr:row>
      <xdr:rowOff>114300</xdr:rowOff>
    </xdr:to>
    <xdr:pic>
      <xdr:nvPicPr>
        <xdr:cNvPr id="17" name="圖片 16"/>
        <xdr:cNvPicPr>
          <a:picLocks noChangeAspect="1"/>
        </xdr:cNvPicPr>
      </xdr:nvPicPr>
      <xdr:blipFill>
        <a:blip r:embed="rId16" cstate="print">
          <a:extLst>
            <a:ext uri="{28A0092B-C50C-407E-A947-70E740481C1C}">
              <a14:useLocalDpi xmlns:a14="http://schemas.microsoft.com/office/drawing/2010/main" val="0"/>
            </a:ext>
          </a:extLst>
        </a:blip>
        <a:stretch>
          <a:fillRect/>
        </a:stretch>
      </xdr:blipFill>
      <xdr:spPr>
        <a:xfrm>
          <a:off x="36299775" y="0"/>
          <a:ext cx="6200775" cy="5859780"/>
        </a:xfrm>
        <a:prstGeom prst="rect">
          <a:avLst/>
        </a:prstGeom>
      </xdr:spPr>
    </xdr:pic>
    <xdr:clientData/>
  </xdr:twoCellAnchor>
  <xdr:twoCellAnchor editAs="oneCell">
    <xdr:from>
      <xdr:col>55</xdr:col>
      <xdr:colOff>0</xdr:colOff>
      <xdr:row>30</xdr:row>
      <xdr:rowOff>0</xdr:rowOff>
    </xdr:from>
    <xdr:to>
      <xdr:col>64</xdr:col>
      <xdr:colOff>28575</xdr:colOff>
      <xdr:row>59</xdr:row>
      <xdr:rowOff>114300</xdr:rowOff>
    </xdr:to>
    <xdr:pic>
      <xdr:nvPicPr>
        <xdr:cNvPr id="18" name="圖片 17"/>
        <xdr:cNvPicPr>
          <a:picLocks noChangeAspect="1"/>
        </xdr:cNvPicPr>
      </xdr:nvPicPr>
      <xdr:blipFill>
        <a:blip r:embed="rId17" cstate="print">
          <a:extLst>
            <a:ext uri="{28A0092B-C50C-407E-A947-70E740481C1C}">
              <a14:useLocalDpi xmlns:a14="http://schemas.microsoft.com/office/drawing/2010/main" val="0"/>
            </a:ext>
          </a:extLst>
        </a:blip>
        <a:stretch>
          <a:fillRect/>
        </a:stretch>
      </xdr:blipFill>
      <xdr:spPr>
        <a:xfrm>
          <a:off x="36299775" y="5943600"/>
          <a:ext cx="6200775" cy="5859780"/>
        </a:xfrm>
        <a:prstGeom prst="rect">
          <a:avLst/>
        </a:prstGeom>
      </xdr:spPr>
    </xdr:pic>
    <xdr:clientData/>
  </xdr:twoCellAnchor>
  <xdr:twoCellAnchor editAs="oneCell">
    <xdr:from>
      <xdr:col>55</xdr:col>
      <xdr:colOff>0</xdr:colOff>
      <xdr:row>60</xdr:row>
      <xdr:rowOff>0</xdr:rowOff>
    </xdr:from>
    <xdr:to>
      <xdr:col>62</xdr:col>
      <xdr:colOff>657225</xdr:colOff>
      <xdr:row>89</xdr:row>
      <xdr:rowOff>152400</xdr:rowOff>
    </xdr:to>
    <xdr:pic>
      <xdr:nvPicPr>
        <xdr:cNvPr id="19" name="圖片 18"/>
        <xdr:cNvPicPr>
          <a:picLocks noChangeAspect="1"/>
        </xdr:cNvPicPr>
      </xdr:nvPicPr>
      <xdr:blipFill>
        <a:blip r:embed="rId18" cstate="print">
          <a:extLst>
            <a:ext uri="{28A0092B-C50C-407E-A947-70E740481C1C}">
              <a14:useLocalDpi xmlns:a14="http://schemas.microsoft.com/office/drawing/2010/main" val="0"/>
            </a:ext>
          </a:extLst>
        </a:blip>
        <a:stretch>
          <a:fillRect/>
        </a:stretch>
      </xdr:blipFill>
      <xdr:spPr>
        <a:xfrm>
          <a:off x="36299775" y="11887200"/>
          <a:ext cx="5457825" cy="5897880"/>
        </a:xfrm>
        <a:prstGeom prst="rect">
          <a:avLst/>
        </a:prstGeom>
      </xdr:spPr>
    </xdr:pic>
    <xdr:clientData/>
  </xdr:twoCellAnchor>
  <xdr:twoCellAnchor editAs="oneCell">
    <xdr:from>
      <xdr:col>64</xdr:col>
      <xdr:colOff>0</xdr:colOff>
      <xdr:row>0</xdr:row>
      <xdr:rowOff>0</xdr:rowOff>
    </xdr:from>
    <xdr:to>
      <xdr:col>78</xdr:col>
      <xdr:colOff>457200</xdr:colOff>
      <xdr:row>25</xdr:row>
      <xdr:rowOff>93270</xdr:rowOff>
    </xdr:to>
    <xdr:pic>
      <xdr:nvPicPr>
        <xdr:cNvPr id="20" name="圖片 19"/>
        <xdr:cNvPicPr>
          <a:picLocks noChangeAspect="1"/>
        </xdr:cNvPicPr>
      </xdr:nvPicPr>
      <xdr:blipFill>
        <a:blip r:embed="rId19" cstate="print">
          <a:extLst>
            <a:ext uri="{28A0092B-C50C-407E-A947-70E740481C1C}">
              <a14:useLocalDpi xmlns:a14="http://schemas.microsoft.com/office/drawing/2010/main" val="0"/>
            </a:ext>
          </a:extLst>
        </a:blip>
        <a:stretch>
          <a:fillRect/>
        </a:stretch>
      </xdr:blipFill>
      <xdr:spPr>
        <a:xfrm>
          <a:off x="42471975" y="0"/>
          <a:ext cx="10058400" cy="5045710"/>
        </a:xfrm>
        <a:prstGeom prst="rect">
          <a:avLst/>
        </a:prstGeom>
      </xdr:spPr>
    </xdr:pic>
    <xdr:clientData/>
  </xdr:twoCellAnchor>
  <xdr:twoCellAnchor editAs="oneCell">
    <xdr:from>
      <xdr:col>64</xdr:col>
      <xdr:colOff>0</xdr:colOff>
      <xdr:row>26</xdr:row>
      <xdr:rowOff>0</xdr:rowOff>
    </xdr:from>
    <xdr:to>
      <xdr:col>78</xdr:col>
      <xdr:colOff>457200</xdr:colOff>
      <xdr:row>51</xdr:row>
      <xdr:rowOff>92595</xdr:rowOff>
    </xdr:to>
    <xdr:pic>
      <xdr:nvPicPr>
        <xdr:cNvPr id="21" name="圖片 20"/>
        <xdr:cNvPicPr>
          <a:picLocks noChangeAspect="1"/>
        </xdr:cNvPicPr>
      </xdr:nvPicPr>
      <xdr:blipFill>
        <a:blip r:embed="rId20" cstate="print">
          <a:extLst>
            <a:ext uri="{28A0092B-C50C-407E-A947-70E740481C1C}">
              <a14:useLocalDpi xmlns:a14="http://schemas.microsoft.com/office/drawing/2010/main" val="0"/>
            </a:ext>
          </a:extLst>
        </a:blip>
        <a:stretch>
          <a:fillRect/>
        </a:stretch>
      </xdr:blipFill>
      <xdr:spPr>
        <a:xfrm>
          <a:off x="42471975" y="5151120"/>
          <a:ext cx="10058400" cy="5045075"/>
        </a:xfrm>
        <a:prstGeom prst="rect">
          <a:avLst/>
        </a:prstGeom>
      </xdr:spPr>
    </xdr:pic>
    <xdr:clientData/>
  </xdr:twoCellAnchor>
  <xdr:twoCellAnchor editAs="oneCell">
    <xdr:from>
      <xdr:col>64</xdr:col>
      <xdr:colOff>0</xdr:colOff>
      <xdr:row>52</xdr:row>
      <xdr:rowOff>0</xdr:rowOff>
    </xdr:from>
    <xdr:to>
      <xdr:col>78</xdr:col>
      <xdr:colOff>457200</xdr:colOff>
      <xdr:row>77</xdr:row>
      <xdr:rowOff>142063</xdr:rowOff>
    </xdr:to>
    <xdr:pic>
      <xdr:nvPicPr>
        <xdr:cNvPr id="22" name="圖片 21"/>
        <xdr:cNvPicPr>
          <a:picLocks noChangeAspect="1"/>
        </xdr:cNvPicPr>
      </xdr:nvPicPr>
      <xdr:blipFill>
        <a:blip r:embed="rId21" cstate="print">
          <a:extLst>
            <a:ext uri="{28A0092B-C50C-407E-A947-70E740481C1C}">
              <a14:useLocalDpi xmlns:a14="http://schemas.microsoft.com/office/drawing/2010/main" val="0"/>
            </a:ext>
          </a:extLst>
        </a:blip>
        <a:stretch>
          <a:fillRect/>
        </a:stretch>
      </xdr:blipFill>
      <xdr:spPr>
        <a:xfrm>
          <a:off x="42471975" y="10302240"/>
          <a:ext cx="10058400" cy="5094605"/>
        </a:xfrm>
        <a:prstGeom prst="rect">
          <a:avLst/>
        </a:prstGeom>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38100</xdr:colOff>
      <xdr:row>21</xdr:row>
      <xdr:rowOff>17145</xdr:rowOff>
    </xdr:from>
    <xdr:to>
      <xdr:col>2</xdr:col>
      <xdr:colOff>1134110</xdr:colOff>
      <xdr:row>21</xdr:row>
      <xdr:rowOff>244475</xdr:rowOff>
    </xdr:to>
    <xdr:pic>
      <xdr:nvPicPr>
        <xdr:cNvPr id="2" name="图片 1" descr="未标题-1.png"/>
        <xdr:cNvPicPr>
          <a:picLocks noChangeAspect="1"/>
        </xdr:cNvPicPr>
      </xdr:nvPicPr>
      <xdr:blipFill>
        <a:blip r:embed="rId1" cstate="print"/>
        <a:stretch>
          <a:fillRect/>
        </a:stretch>
      </xdr:blipFill>
      <xdr:spPr>
        <a:xfrm>
          <a:off x="3857625" y="5284470"/>
          <a:ext cx="1096010" cy="227330"/>
        </a:xfrm>
        <a:prstGeom prst="rect">
          <a:avLst/>
        </a:prstGeom>
      </xdr:spPr>
    </xdr:pic>
    <xdr:clientData/>
  </xdr:twoCellAnchor>
  <xdr:twoCellAnchor editAs="oneCell">
    <xdr:from>
      <xdr:col>4</xdr:col>
      <xdr:colOff>428625</xdr:colOff>
      <xdr:row>19</xdr:row>
      <xdr:rowOff>66675</xdr:rowOff>
    </xdr:from>
    <xdr:to>
      <xdr:col>4</xdr:col>
      <xdr:colOff>685800</xdr:colOff>
      <xdr:row>20</xdr:row>
      <xdr:rowOff>114300</xdr:rowOff>
    </xdr:to>
    <xdr:pic>
      <xdr:nvPicPr>
        <xdr:cNvPr id="3" name="图片 2" descr="未标题-1.png"/>
        <xdr:cNvPicPr>
          <a:picLocks noChangeAspect="1"/>
        </xdr:cNvPicPr>
      </xdr:nvPicPr>
      <xdr:blipFill>
        <a:blip r:embed="rId2" cstate="print"/>
        <a:stretch>
          <a:fillRect/>
        </a:stretch>
      </xdr:blipFill>
      <xdr:spPr>
        <a:xfrm>
          <a:off x="6934200" y="4846320"/>
          <a:ext cx="257175" cy="291465"/>
        </a:xfrm>
        <a:prstGeom prst="rect">
          <a:avLst/>
        </a:prstGeom>
      </xdr:spPr>
    </xdr:pic>
    <xdr:clientData/>
  </xdr:twoCellAnchor>
  <xdr:twoCellAnchor editAs="oneCell">
    <xdr:from>
      <xdr:col>4</xdr:col>
      <xdr:colOff>438150</xdr:colOff>
      <xdr:row>21</xdr:row>
      <xdr:rowOff>38100</xdr:rowOff>
    </xdr:from>
    <xdr:to>
      <xdr:col>4</xdr:col>
      <xdr:colOff>685800</xdr:colOff>
      <xdr:row>21</xdr:row>
      <xdr:rowOff>180975</xdr:rowOff>
    </xdr:to>
    <xdr:pic>
      <xdr:nvPicPr>
        <xdr:cNvPr id="4" name="图片 3" descr="未标题-1.png"/>
        <xdr:cNvPicPr>
          <a:picLocks noChangeAspect="1"/>
        </xdr:cNvPicPr>
      </xdr:nvPicPr>
      <xdr:blipFill>
        <a:blip r:embed="rId3" cstate="print"/>
        <a:stretch>
          <a:fillRect/>
        </a:stretch>
      </xdr:blipFill>
      <xdr:spPr>
        <a:xfrm>
          <a:off x="6943725" y="5305425"/>
          <a:ext cx="247650" cy="142875"/>
        </a:xfrm>
        <a:prstGeom prst="rect">
          <a:avLst/>
        </a:prstGeom>
      </xdr:spPr>
    </xdr:pic>
    <xdr:clientData/>
  </xdr:twoCellAnchor>
  <xdr:twoCellAnchor editAs="oneCell">
    <xdr:from>
      <xdr:col>4</xdr:col>
      <xdr:colOff>266700</xdr:colOff>
      <xdr:row>24</xdr:row>
      <xdr:rowOff>104775</xdr:rowOff>
    </xdr:from>
    <xdr:to>
      <xdr:col>4</xdr:col>
      <xdr:colOff>685800</xdr:colOff>
      <xdr:row>26</xdr:row>
      <xdr:rowOff>95250</xdr:rowOff>
    </xdr:to>
    <xdr:pic>
      <xdr:nvPicPr>
        <xdr:cNvPr id="5" name="图片 4" descr="未标题-1.png"/>
        <xdr:cNvPicPr>
          <a:picLocks noChangeAspect="1"/>
        </xdr:cNvPicPr>
      </xdr:nvPicPr>
      <xdr:blipFill>
        <a:blip r:embed="rId4" cstate="print"/>
        <a:stretch>
          <a:fillRect/>
        </a:stretch>
      </xdr:blipFill>
      <xdr:spPr>
        <a:xfrm>
          <a:off x="6772275" y="6046470"/>
          <a:ext cx="419100" cy="401955"/>
        </a:xfrm>
        <a:prstGeom prst="rect">
          <a:avLst/>
        </a:prstGeom>
      </xdr:spPr>
    </xdr:pic>
    <xdr:clientData/>
  </xdr:twoCellAnchor>
  <xdr:twoCellAnchor editAs="oneCell">
    <xdr:from>
      <xdr:col>4</xdr:col>
      <xdr:colOff>161925</xdr:colOff>
      <xdr:row>31</xdr:row>
      <xdr:rowOff>205740</xdr:rowOff>
    </xdr:from>
    <xdr:to>
      <xdr:col>4</xdr:col>
      <xdr:colOff>685800</xdr:colOff>
      <xdr:row>34</xdr:row>
      <xdr:rowOff>9525</xdr:rowOff>
    </xdr:to>
    <xdr:pic>
      <xdr:nvPicPr>
        <xdr:cNvPr id="6" name="图片 5" descr="未标题-1.png"/>
        <xdr:cNvPicPr>
          <a:picLocks noChangeAspect="1"/>
        </xdr:cNvPicPr>
      </xdr:nvPicPr>
      <xdr:blipFill>
        <a:blip r:embed="rId5" cstate="print"/>
        <a:stretch>
          <a:fillRect/>
        </a:stretch>
      </xdr:blipFill>
      <xdr:spPr>
        <a:xfrm>
          <a:off x="6667500" y="7682865"/>
          <a:ext cx="523875" cy="421005"/>
        </a:xfrm>
        <a:prstGeom prst="rect">
          <a:avLst/>
        </a:prstGeom>
      </xdr:spPr>
    </xdr:pic>
    <xdr:clientData/>
  </xdr:twoCellAnchor>
  <xdr:twoCellAnchor editAs="oneCell">
    <xdr:from>
      <xdr:col>4</xdr:col>
      <xdr:colOff>0</xdr:colOff>
      <xdr:row>39</xdr:row>
      <xdr:rowOff>38100</xdr:rowOff>
    </xdr:from>
    <xdr:to>
      <xdr:col>4</xdr:col>
      <xdr:colOff>685800</xdr:colOff>
      <xdr:row>40</xdr:row>
      <xdr:rowOff>161925</xdr:rowOff>
    </xdr:to>
    <xdr:pic>
      <xdr:nvPicPr>
        <xdr:cNvPr id="7" name="图片 6" descr="未标题-1.png"/>
        <xdr:cNvPicPr>
          <a:picLocks noChangeAspect="1"/>
        </xdr:cNvPicPr>
      </xdr:nvPicPr>
      <xdr:blipFill>
        <a:blip r:embed="rId6" cstate="print"/>
        <a:stretch>
          <a:fillRect/>
        </a:stretch>
      </xdr:blipFill>
      <xdr:spPr>
        <a:xfrm>
          <a:off x="6505575" y="9180195"/>
          <a:ext cx="685800" cy="367665"/>
        </a:xfrm>
        <a:prstGeom prst="rect">
          <a:avLst/>
        </a:prstGeom>
      </xdr:spPr>
    </xdr:pic>
    <xdr:clientData/>
  </xdr:twoCellAnchor>
  <xdr:twoCellAnchor editAs="oneCell">
    <xdr:from>
      <xdr:col>4</xdr:col>
      <xdr:colOff>133350</xdr:colOff>
      <xdr:row>43</xdr:row>
      <xdr:rowOff>95250</xdr:rowOff>
    </xdr:from>
    <xdr:to>
      <xdr:col>4</xdr:col>
      <xdr:colOff>685800</xdr:colOff>
      <xdr:row>45</xdr:row>
      <xdr:rowOff>123825</xdr:rowOff>
    </xdr:to>
    <xdr:pic>
      <xdr:nvPicPr>
        <xdr:cNvPr id="8" name="图片 7" descr="未标题-1.png"/>
        <xdr:cNvPicPr>
          <a:picLocks noChangeAspect="1"/>
        </xdr:cNvPicPr>
      </xdr:nvPicPr>
      <xdr:blipFill>
        <a:blip r:embed="rId7" cstate="print"/>
        <a:stretch>
          <a:fillRect/>
        </a:stretch>
      </xdr:blipFill>
      <xdr:spPr>
        <a:xfrm>
          <a:off x="6638925" y="10155555"/>
          <a:ext cx="552450" cy="440055"/>
        </a:xfrm>
        <a:prstGeom prst="rect">
          <a:avLst/>
        </a:prstGeom>
      </xdr:spPr>
    </xdr:pic>
    <xdr:clientData/>
  </xdr:twoCellAnchor>
  <xdr:twoCellAnchor editAs="oneCell">
    <xdr:from>
      <xdr:col>2</xdr:col>
      <xdr:colOff>19050</xdr:colOff>
      <xdr:row>21</xdr:row>
      <xdr:rowOff>38100</xdr:rowOff>
    </xdr:from>
    <xdr:to>
      <xdr:col>2</xdr:col>
      <xdr:colOff>695325</xdr:colOff>
      <xdr:row>21</xdr:row>
      <xdr:rowOff>180975</xdr:rowOff>
    </xdr:to>
    <xdr:pic>
      <xdr:nvPicPr>
        <xdr:cNvPr id="10" name="图片 9" descr="未标题-1.png"/>
        <xdr:cNvPicPr>
          <a:picLocks noChangeAspect="1"/>
        </xdr:cNvPicPr>
      </xdr:nvPicPr>
      <xdr:blipFill>
        <a:blip r:embed="rId1" cstate="print"/>
        <a:stretch>
          <a:fillRect/>
        </a:stretch>
      </xdr:blipFill>
      <xdr:spPr>
        <a:xfrm>
          <a:off x="3838575" y="5305425"/>
          <a:ext cx="676275" cy="142875"/>
        </a:xfrm>
        <a:prstGeom prst="rect">
          <a:avLst/>
        </a:prstGeom>
      </xdr:spPr>
    </xdr:pic>
    <xdr:clientData/>
  </xdr:twoCellAnchor>
  <xdr:twoCellAnchor editAs="oneCell">
    <xdr:from>
      <xdr:col>4</xdr:col>
      <xdr:colOff>428625</xdr:colOff>
      <xdr:row>19</xdr:row>
      <xdr:rowOff>66675</xdr:rowOff>
    </xdr:from>
    <xdr:to>
      <xdr:col>4</xdr:col>
      <xdr:colOff>685800</xdr:colOff>
      <xdr:row>20</xdr:row>
      <xdr:rowOff>114300</xdr:rowOff>
    </xdr:to>
    <xdr:pic>
      <xdr:nvPicPr>
        <xdr:cNvPr id="11" name="图片 10" descr="未标题-1.png"/>
        <xdr:cNvPicPr>
          <a:picLocks noChangeAspect="1"/>
        </xdr:cNvPicPr>
      </xdr:nvPicPr>
      <xdr:blipFill>
        <a:blip r:embed="rId2" cstate="print"/>
        <a:stretch>
          <a:fillRect/>
        </a:stretch>
      </xdr:blipFill>
      <xdr:spPr>
        <a:xfrm>
          <a:off x="6934200" y="4846320"/>
          <a:ext cx="257175" cy="291465"/>
        </a:xfrm>
        <a:prstGeom prst="rect">
          <a:avLst/>
        </a:prstGeom>
      </xdr:spPr>
    </xdr:pic>
    <xdr:clientData/>
  </xdr:twoCellAnchor>
  <xdr:twoCellAnchor editAs="oneCell">
    <xdr:from>
      <xdr:col>4</xdr:col>
      <xdr:colOff>438150</xdr:colOff>
      <xdr:row>21</xdr:row>
      <xdr:rowOff>38100</xdr:rowOff>
    </xdr:from>
    <xdr:to>
      <xdr:col>4</xdr:col>
      <xdr:colOff>685800</xdr:colOff>
      <xdr:row>21</xdr:row>
      <xdr:rowOff>180975</xdr:rowOff>
    </xdr:to>
    <xdr:pic>
      <xdr:nvPicPr>
        <xdr:cNvPr id="12" name="图片 11" descr="未标题-1.png"/>
        <xdr:cNvPicPr>
          <a:picLocks noChangeAspect="1"/>
        </xdr:cNvPicPr>
      </xdr:nvPicPr>
      <xdr:blipFill>
        <a:blip r:embed="rId3" cstate="print"/>
        <a:stretch>
          <a:fillRect/>
        </a:stretch>
      </xdr:blipFill>
      <xdr:spPr>
        <a:xfrm>
          <a:off x="6943725" y="5305425"/>
          <a:ext cx="247650" cy="142875"/>
        </a:xfrm>
        <a:prstGeom prst="rect">
          <a:avLst/>
        </a:prstGeom>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123825</xdr:colOff>
      <xdr:row>1</xdr:row>
      <xdr:rowOff>167640</xdr:rowOff>
    </xdr:from>
    <xdr:to>
      <xdr:col>20</xdr:col>
      <xdr:colOff>445135</xdr:colOff>
      <xdr:row>23</xdr:row>
      <xdr:rowOff>6350</xdr:rowOff>
    </xdr:to>
    <xdr:pic>
      <xdr:nvPicPr>
        <xdr:cNvPr id="3" name="图片 4"/>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7353300" y="365760"/>
          <a:ext cx="6493510" cy="4197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15240</xdr:colOff>
      <xdr:row>10</xdr:row>
      <xdr:rowOff>99060</xdr:rowOff>
    </xdr:from>
    <xdr:to>
      <xdr:col>3</xdr:col>
      <xdr:colOff>672465</xdr:colOff>
      <xdr:row>31</xdr:row>
      <xdr:rowOff>5715</xdr:rowOff>
    </xdr:to>
    <xdr:pic>
      <xdr:nvPicPr>
        <xdr:cNvPr id="2" name="图片 1"/>
        <xdr:cNvPicPr>
          <a:picLocks noChangeAspect="1"/>
        </xdr:cNvPicPr>
      </xdr:nvPicPr>
      <xdr:blipFill>
        <a:blip r:embed="rId1" cstate="print">
          <a:extLst>
            <a:ext uri="{28A0092B-C50C-407E-A947-70E740481C1C}">
              <a14:useLocalDpi xmlns:a14="http://schemas.microsoft.com/office/drawing/2010/main" val="0"/>
            </a:ext>
          </a:extLst>
        </a:blip>
        <a:srcRect r="8915"/>
        <a:stretch>
          <a:fillRect/>
        </a:stretch>
      </xdr:blipFill>
      <xdr:spPr>
        <a:xfrm>
          <a:off x="15240" y="2588895"/>
          <a:ext cx="5267325" cy="406717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438150</xdr:colOff>
      <xdr:row>1</xdr:row>
      <xdr:rowOff>112395</xdr:rowOff>
    </xdr:from>
    <xdr:to>
      <xdr:col>6</xdr:col>
      <xdr:colOff>200025</xdr:colOff>
      <xdr:row>4</xdr:row>
      <xdr:rowOff>188595</xdr:rowOff>
    </xdr:to>
    <xdr:pic>
      <xdr:nvPicPr>
        <xdr:cNvPr id="4" name="圖片 47"/>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5705475" y="445770"/>
          <a:ext cx="1704975"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156210</xdr:colOff>
      <xdr:row>1</xdr:row>
      <xdr:rowOff>112395</xdr:rowOff>
    </xdr:from>
    <xdr:to>
      <xdr:col>8</xdr:col>
      <xdr:colOff>632460</xdr:colOff>
      <xdr:row>4</xdr:row>
      <xdr:rowOff>169545</xdr:rowOff>
    </xdr:to>
    <xdr:pic>
      <xdr:nvPicPr>
        <xdr:cNvPr id="5" name="圖片 48"/>
        <xdr:cNvPicPr>
          <a:picLocks noChangeAspect="1"/>
        </xdr:cNvPicPr>
      </xdr:nvPicPr>
      <xdr:blipFill>
        <a:blip r:embed="rId2">
          <a:extLst>
            <a:ext uri="{28A0092B-C50C-407E-A947-70E740481C1C}">
              <a14:useLocalDpi xmlns:a14="http://schemas.microsoft.com/office/drawing/2010/main" val="0"/>
            </a:ext>
          </a:extLst>
        </a:blip>
        <a:srcRect/>
        <a:stretch>
          <a:fillRect/>
        </a:stretch>
      </xdr:blipFill>
      <xdr:spPr>
        <a:xfrm>
          <a:off x="8052435" y="445770"/>
          <a:ext cx="1162050" cy="6515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11</xdr:row>
      <xdr:rowOff>0</xdr:rowOff>
    </xdr:from>
    <xdr:to>
      <xdr:col>12</xdr:col>
      <xdr:colOff>466725</xdr:colOff>
      <xdr:row>27</xdr:row>
      <xdr:rowOff>57150</xdr:rowOff>
    </xdr:to>
    <xdr:grpSp>
      <xdr:nvGrpSpPr>
        <xdr:cNvPr id="6" name="Group 76"/>
        <xdr:cNvGrpSpPr/>
      </xdr:nvGrpSpPr>
      <xdr:grpSpPr>
        <a:xfrm>
          <a:off x="5267325" y="2335530"/>
          <a:ext cx="6524625" cy="3288030"/>
          <a:chOff x="463" y="165"/>
          <a:chExt cx="685" cy="373"/>
        </a:xfrm>
      </xdr:grpSpPr>
      <xdr:grpSp>
        <xdr:nvGrpSpPr>
          <xdr:cNvPr id="7" name="Group 71"/>
          <xdr:cNvGrpSpPr/>
        </xdr:nvGrpSpPr>
        <xdr:grpSpPr>
          <a:xfrm>
            <a:off x="463" y="165"/>
            <a:ext cx="685" cy="373"/>
            <a:chOff x="576" y="161"/>
            <a:chExt cx="685" cy="373"/>
          </a:xfrm>
        </xdr:grpSpPr>
        <xdr:sp>
          <xdr:nvSpPr>
            <xdr:cNvPr id="8" name="Rectangle 3"/>
            <xdr:cNvSpPr/>
          </xdr:nvSpPr>
          <xdr:spPr>
            <a:xfrm>
              <a:off x="576" y="161"/>
              <a:ext cx="685" cy="373"/>
            </a:xfrm>
            <a:prstGeom prst="rect">
              <a:avLst/>
            </a:prstGeom>
            <a:solidFill>
              <a:srgbClr val="FFFFFF"/>
            </a:solidFill>
            <a:ln w="9525">
              <a:solidFill>
                <a:srgbClr val="000000"/>
              </a:solidFill>
              <a:miter lim="800000"/>
            </a:ln>
          </xdr:spPr>
        </xdr:sp>
        <xdr:grpSp>
          <xdr:nvGrpSpPr>
            <xdr:cNvPr id="9" name="Group 70"/>
            <xdr:cNvGrpSpPr/>
          </xdr:nvGrpSpPr>
          <xdr:grpSpPr>
            <a:xfrm>
              <a:off x="633" y="183"/>
              <a:ext cx="570" cy="328"/>
              <a:chOff x="597" y="174"/>
              <a:chExt cx="570" cy="328"/>
            </a:xfrm>
          </xdr:grpSpPr>
          <xdr:sp>
            <xdr:nvSpPr>
              <xdr:cNvPr id="10" name="Line 4"/>
              <xdr:cNvSpPr>
                <a:spLocks noChangeShapeType="1"/>
              </xdr:cNvSpPr>
            </xdr:nvSpPr>
            <xdr:spPr>
              <a:xfrm flipV="1">
                <a:off x="664" y="239"/>
                <a:ext cx="0" cy="238"/>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11" name="Line 5"/>
              <xdr:cNvSpPr>
                <a:spLocks noChangeShapeType="1"/>
              </xdr:cNvSpPr>
            </xdr:nvSpPr>
            <xdr:spPr>
              <a:xfrm>
                <a:off x="664" y="477"/>
                <a:ext cx="369" cy="0"/>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12" name="Line 6"/>
              <xdr:cNvSpPr>
                <a:spLocks noChangeShapeType="1"/>
              </xdr:cNvSpPr>
            </xdr:nvSpPr>
            <xdr:spPr>
              <a:xfrm flipH="1">
                <a:off x="720" y="289"/>
                <a:ext cx="131" cy="131"/>
              </a:xfrm>
              <a:prstGeom prst="line">
                <a:avLst/>
              </a:prstGeom>
              <a:noFill/>
              <a:ln w="15875">
                <a:solidFill>
                  <a:srgbClr val="000000"/>
                </a:solidFill>
                <a:round/>
              </a:ln>
              <a:extLst>
                <a:ext uri="{909E8E84-426E-40DD-AFC4-6F175D3DCCD1}">
                  <a14:hiddenFill xmlns:a14="http://schemas.microsoft.com/office/drawing/2010/main">
                    <a:noFill/>
                  </a14:hiddenFill>
                </a:ext>
              </a:extLst>
            </xdr:spPr>
          </xdr:sp>
          <xdr:sp>
            <xdr:nvSpPr>
              <xdr:cNvPr id="13" name="Line 7"/>
              <xdr:cNvSpPr>
                <a:spLocks noChangeShapeType="1"/>
              </xdr:cNvSpPr>
            </xdr:nvSpPr>
            <xdr:spPr>
              <a:xfrm flipV="1">
                <a:off x="664" y="419"/>
                <a:ext cx="59" cy="0"/>
              </a:xfrm>
              <a:prstGeom prst="line">
                <a:avLst/>
              </a:prstGeom>
              <a:noFill/>
              <a:ln w="15875">
                <a:solidFill>
                  <a:srgbClr val="000000"/>
                </a:solidFill>
                <a:round/>
              </a:ln>
              <a:extLst>
                <a:ext uri="{909E8E84-426E-40DD-AFC4-6F175D3DCCD1}">
                  <a14:hiddenFill xmlns:a14="http://schemas.microsoft.com/office/drawing/2010/main">
                    <a:noFill/>
                  </a14:hiddenFill>
                </a:ext>
              </a:extLst>
            </xdr:spPr>
          </xdr:sp>
          <xdr:sp>
            <xdr:nvSpPr>
              <xdr:cNvPr id="14" name="Line 8"/>
              <xdr:cNvSpPr>
                <a:spLocks noChangeShapeType="1"/>
              </xdr:cNvSpPr>
            </xdr:nvSpPr>
            <xdr:spPr>
              <a:xfrm>
                <a:off x="850" y="289"/>
                <a:ext cx="164" cy="0"/>
              </a:xfrm>
              <a:prstGeom prst="line">
                <a:avLst/>
              </a:prstGeom>
              <a:noFill/>
              <a:ln w="15875">
                <a:solidFill>
                  <a:srgbClr val="000000"/>
                </a:solidFill>
                <a:round/>
              </a:ln>
              <a:extLst>
                <a:ext uri="{909E8E84-426E-40DD-AFC4-6F175D3DCCD1}">
                  <a14:hiddenFill xmlns:a14="http://schemas.microsoft.com/office/drawing/2010/main">
                    <a:noFill/>
                  </a14:hiddenFill>
                </a:ext>
              </a:extLst>
            </xdr:spPr>
          </xdr:sp>
          <xdr:sp>
            <xdr:nvSpPr>
              <xdr:cNvPr id="15" name="Line 9"/>
              <xdr:cNvSpPr>
                <a:spLocks noChangeShapeType="1"/>
              </xdr:cNvSpPr>
            </xdr:nvSpPr>
            <xdr:spPr>
              <a:xfrm flipH="1">
                <a:off x="665" y="420"/>
                <a:ext cx="56" cy="57"/>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16" name="Line 10"/>
              <xdr:cNvSpPr>
                <a:spLocks noChangeShapeType="1"/>
              </xdr:cNvSpPr>
            </xdr:nvSpPr>
            <xdr:spPr>
              <a:xfrm flipH="1">
                <a:off x="664" y="289"/>
                <a:ext cx="186"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17" name="Rectangle 11"/>
              <xdr:cNvSpPr/>
            </xdr:nvSpPr>
            <xdr:spPr>
              <a:xfrm>
                <a:off x="626" y="206"/>
                <a:ext cx="105" cy="28"/>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Iop </a:t>
                </a:r>
                <a:r>
                  <a:rPr lang="zh-TW" altLang="en-US" sz="1200" b="0" i="0" u="none" strike="noStrike" baseline="0">
                    <a:solidFill>
                      <a:srgbClr val="000000"/>
                    </a:solidFill>
                    <a:latin typeface="宋体" panose="02010600030101010101" pitchFamily="7" charset="-122"/>
                    <a:ea typeface="宋体" panose="02010600030101010101" pitchFamily="7" charset="-122"/>
                  </a:rPr>
                  <a:t>差动电流</a:t>
                </a:r>
                <a:endParaRPr lang="zh-TW" altLang="en-US"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18" name="Rectangle 12"/>
              <xdr:cNvSpPr/>
            </xdr:nvSpPr>
            <xdr:spPr>
              <a:xfrm>
                <a:off x="597" y="274"/>
                <a:ext cx="64" cy="29"/>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Iop.max</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19" name="Rectangle 13"/>
              <xdr:cNvSpPr/>
            </xdr:nvSpPr>
            <xdr:spPr>
              <a:xfrm>
                <a:off x="597" y="413"/>
                <a:ext cx="61" cy="28"/>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Iop.min</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20" name="Rectangle 14"/>
              <xdr:cNvSpPr/>
            </xdr:nvSpPr>
            <xdr:spPr>
              <a:xfrm>
                <a:off x="687" y="323"/>
                <a:ext cx="54" cy="28"/>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200" b="0" i="0" u="none" strike="noStrike" baseline="0">
                    <a:solidFill>
                      <a:srgbClr val="000000"/>
                    </a:solidFill>
                    <a:latin typeface="宋体" panose="02010600030101010101" pitchFamily="7" charset="-122"/>
                    <a:ea typeface="宋体" panose="02010600030101010101" pitchFamily="7" charset="-122"/>
                  </a:rPr>
                  <a:t>动作区</a:t>
                </a:r>
                <a:endParaRPr lang="zh-TW" altLang="en-US"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21" name="Rectangle 15"/>
              <xdr:cNvSpPr/>
            </xdr:nvSpPr>
            <xdr:spPr>
              <a:xfrm>
                <a:off x="787" y="379"/>
                <a:ext cx="54" cy="28"/>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200" b="0" i="0" u="none" strike="noStrike" baseline="0">
                    <a:solidFill>
                      <a:srgbClr val="000000"/>
                    </a:solidFill>
                    <a:latin typeface="宋体" panose="02010600030101010101" pitchFamily="7" charset="-122"/>
                    <a:ea typeface="宋体" panose="02010600030101010101" pitchFamily="7" charset="-122"/>
                  </a:rPr>
                  <a:t>制动区</a:t>
                </a:r>
                <a:endParaRPr lang="zh-TW" altLang="en-US"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22" name="Line 16"/>
              <xdr:cNvSpPr>
                <a:spLocks noChangeShapeType="1"/>
              </xdr:cNvSpPr>
            </xdr:nvSpPr>
            <xdr:spPr>
              <a:xfrm flipH="1">
                <a:off x="754" y="386"/>
                <a:ext cx="0" cy="91"/>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3" name="Line 17"/>
              <xdr:cNvSpPr>
                <a:spLocks noChangeShapeType="1"/>
              </xdr:cNvSpPr>
            </xdr:nvSpPr>
            <xdr:spPr>
              <a:xfrm>
                <a:off x="851" y="289"/>
                <a:ext cx="1" cy="188"/>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4" name="Rectangle 18"/>
              <xdr:cNvSpPr/>
            </xdr:nvSpPr>
            <xdr:spPr>
              <a:xfrm>
                <a:off x="1044" y="463"/>
                <a:ext cx="123" cy="28"/>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Ires </a:t>
                </a:r>
                <a:r>
                  <a:rPr lang="zh-TW" altLang="en-US" sz="1200" b="0" i="0" u="none" strike="noStrike" baseline="0">
                    <a:solidFill>
                      <a:srgbClr val="000000"/>
                    </a:solidFill>
                    <a:latin typeface="宋体" panose="02010600030101010101" pitchFamily="7" charset="-122"/>
                    <a:ea typeface="宋体" panose="02010600030101010101" pitchFamily="7" charset="-122"/>
                  </a:rPr>
                  <a:t>制动电流</a:t>
                </a:r>
                <a:endParaRPr lang="zh-TW" altLang="en-US"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25" name="Line 25"/>
              <xdr:cNvSpPr>
                <a:spLocks noChangeShapeType="1"/>
              </xdr:cNvSpPr>
            </xdr:nvSpPr>
            <xdr:spPr>
              <a:xfrm>
                <a:off x="665" y="447"/>
                <a:ext cx="29" cy="3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6" name="Line 26"/>
              <xdr:cNvSpPr>
                <a:spLocks noChangeShapeType="1"/>
              </xdr:cNvSpPr>
            </xdr:nvSpPr>
            <xdr:spPr>
              <a:xfrm>
                <a:off x="665" y="419"/>
                <a:ext cx="54" cy="5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7" name="Line 27"/>
              <xdr:cNvSpPr>
                <a:spLocks noChangeShapeType="1"/>
              </xdr:cNvSpPr>
            </xdr:nvSpPr>
            <xdr:spPr>
              <a:xfrm>
                <a:off x="740" y="402"/>
                <a:ext cx="70" cy="75"/>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8" name="Line 28"/>
              <xdr:cNvSpPr>
                <a:spLocks noChangeShapeType="1"/>
              </xdr:cNvSpPr>
            </xdr:nvSpPr>
            <xdr:spPr>
              <a:xfrm>
                <a:off x="694" y="419"/>
                <a:ext cx="56" cy="5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29" name="Line 29"/>
              <xdr:cNvSpPr>
                <a:spLocks noChangeShapeType="1"/>
              </xdr:cNvSpPr>
            </xdr:nvSpPr>
            <xdr:spPr>
              <a:xfrm>
                <a:off x="723" y="418"/>
                <a:ext cx="56" cy="5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0" name="Line 30"/>
              <xdr:cNvSpPr>
                <a:spLocks noChangeShapeType="1"/>
              </xdr:cNvSpPr>
            </xdr:nvSpPr>
            <xdr:spPr>
              <a:xfrm>
                <a:off x="757" y="384"/>
                <a:ext cx="86" cy="93"/>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1" name="Line 31"/>
              <xdr:cNvSpPr>
                <a:spLocks noChangeShapeType="1"/>
              </xdr:cNvSpPr>
            </xdr:nvSpPr>
            <xdr:spPr>
              <a:xfrm>
                <a:off x="776" y="367"/>
                <a:ext cx="101" cy="10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2" name="Line 32"/>
              <xdr:cNvSpPr>
                <a:spLocks noChangeShapeType="1"/>
              </xdr:cNvSpPr>
            </xdr:nvSpPr>
            <xdr:spPr>
              <a:xfrm>
                <a:off x="793" y="349"/>
                <a:ext cx="119" cy="128"/>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3" name="Line 33"/>
              <xdr:cNvSpPr>
                <a:spLocks noChangeShapeType="1"/>
              </xdr:cNvSpPr>
            </xdr:nvSpPr>
            <xdr:spPr>
              <a:xfrm>
                <a:off x="810" y="330"/>
                <a:ext cx="139" cy="147"/>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4" name="Line 34"/>
              <xdr:cNvSpPr>
                <a:spLocks noChangeShapeType="1"/>
              </xdr:cNvSpPr>
            </xdr:nvSpPr>
            <xdr:spPr>
              <a:xfrm>
                <a:off x="829" y="312"/>
                <a:ext cx="156" cy="165"/>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5" name="Line 35"/>
              <xdr:cNvSpPr>
                <a:spLocks noChangeShapeType="1"/>
              </xdr:cNvSpPr>
            </xdr:nvSpPr>
            <xdr:spPr>
              <a:xfrm>
                <a:off x="846" y="293"/>
                <a:ext cx="177" cy="185"/>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6" name="Line 36"/>
              <xdr:cNvSpPr>
                <a:spLocks noChangeShapeType="1"/>
              </xdr:cNvSpPr>
            </xdr:nvSpPr>
            <xdr:spPr>
              <a:xfrm>
                <a:off x="879" y="290"/>
                <a:ext cx="139" cy="147"/>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7" name="Line 39"/>
              <xdr:cNvSpPr>
                <a:spLocks noChangeShapeType="1"/>
              </xdr:cNvSpPr>
            </xdr:nvSpPr>
            <xdr:spPr>
              <a:xfrm>
                <a:off x="916" y="289"/>
                <a:ext cx="101" cy="10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8" name="Line 40"/>
              <xdr:cNvSpPr>
                <a:spLocks noChangeShapeType="1"/>
              </xdr:cNvSpPr>
            </xdr:nvSpPr>
            <xdr:spPr>
              <a:xfrm>
                <a:off x="952" y="289"/>
                <a:ext cx="67" cy="73"/>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39" name="Line 41"/>
              <xdr:cNvSpPr>
                <a:spLocks noChangeShapeType="1"/>
              </xdr:cNvSpPr>
            </xdr:nvSpPr>
            <xdr:spPr>
              <a:xfrm>
                <a:off x="991" y="290"/>
                <a:ext cx="27" cy="29"/>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sp>
            <xdr:nvSpPr>
              <xdr:cNvPr id="40" name="Rectangle 50"/>
              <xdr:cNvSpPr/>
            </xdr:nvSpPr>
            <xdr:spPr>
              <a:xfrm>
                <a:off x="637" y="477"/>
                <a:ext cx="14" cy="20"/>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0</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1" name="Rectangle 51"/>
              <xdr:cNvSpPr/>
            </xdr:nvSpPr>
            <xdr:spPr>
              <a:xfrm>
                <a:off x="616" y="372"/>
                <a:ext cx="36" cy="21"/>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0.4</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2" name="Rectangle 52"/>
              <xdr:cNvSpPr/>
            </xdr:nvSpPr>
            <xdr:spPr>
              <a:xfrm>
                <a:off x="624" y="293"/>
                <a:ext cx="38" cy="24"/>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0.80</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3" name="Rectangle 53"/>
              <xdr:cNvSpPr/>
            </xdr:nvSpPr>
            <xdr:spPr>
              <a:xfrm>
                <a:off x="736" y="482"/>
                <a:ext cx="33" cy="20"/>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1.0</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4" name="Rectangle 57"/>
              <xdr:cNvSpPr/>
            </xdr:nvSpPr>
            <xdr:spPr>
              <a:xfrm>
                <a:off x="746" y="357"/>
                <a:ext cx="15" cy="20"/>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A</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5" name="Rectangle 59"/>
              <xdr:cNvSpPr/>
            </xdr:nvSpPr>
            <xdr:spPr>
              <a:xfrm>
                <a:off x="741" y="174"/>
                <a:ext cx="239" cy="30"/>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400" b="0" i="0" u="none" strike="noStrike" baseline="0">
                    <a:solidFill>
                      <a:srgbClr val="000000"/>
                    </a:solidFill>
                    <a:latin typeface="宋体" panose="02010600030101010101" pitchFamily="7" charset="-122"/>
                    <a:ea typeface="宋体" panose="02010600030101010101" pitchFamily="7" charset="-122"/>
                  </a:rPr>
                  <a:t>差动继电器动作特性曲线</a:t>
                </a:r>
                <a:endParaRPr lang="zh-TW" altLang="en-US" sz="14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6" name="Rectangle 68"/>
              <xdr:cNvSpPr/>
            </xdr:nvSpPr>
            <xdr:spPr>
              <a:xfrm>
                <a:off x="615" y="433"/>
                <a:ext cx="36" cy="23"/>
              </a:xfrm>
              <a:prstGeom prst="rect">
                <a:avLst/>
              </a:prstGeom>
              <a:solidFill>
                <a:srgbClr val="FFFFFF"/>
              </a:solidFill>
              <a:ln w="9525">
                <a:solidFill>
                  <a:srgbClr val="FFFFFF"/>
                </a:solidFill>
                <a:miter lim="800000"/>
              </a:ln>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en-US" altLang="zh-TW" sz="1200" b="0" i="0" u="none" strike="noStrike" baseline="0">
                    <a:solidFill>
                      <a:srgbClr val="000000"/>
                    </a:solidFill>
                    <a:latin typeface="宋体" panose="02010600030101010101" pitchFamily="7" charset="-122"/>
                    <a:ea typeface="宋体" panose="02010600030101010101" pitchFamily="7" charset="-122"/>
                  </a:rPr>
                  <a:t>0.3</a:t>
                </a:r>
                <a:endParaRPr lang="en-US" altLang="zh-TW" sz="12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7" name="Line 69"/>
              <xdr:cNvSpPr>
                <a:spLocks noChangeShapeType="1"/>
              </xdr:cNvSpPr>
            </xdr:nvSpPr>
            <xdr:spPr>
              <a:xfrm>
                <a:off x="663" y="387"/>
                <a:ext cx="91" cy="0"/>
              </a:xfrm>
              <a:prstGeom prst="line">
                <a:avLst/>
              </a:prstGeom>
              <a:noFill/>
              <a:ln w="9525">
                <a:solidFill>
                  <a:srgbClr val="000000"/>
                </a:solidFill>
                <a:prstDash val="dash"/>
                <a:round/>
              </a:ln>
              <a:extLst>
                <a:ext uri="{909E8E84-426E-40DD-AFC4-6F175D3DCCD1}">
                  <a14:hiddenFill xmlns:a14="http://schemas.microsoft.com/office/drawing/2010/main">
                    <a:noFill/>
                  </a14:hiddenFill>
                </a:ext>
              </a:extLst>
            </xdr:spPr>
          </xdr:sp>
        </xdr:grpSp>
      </xdr:grpSp>
      <xdr:sp>
        <xdr:nvSpPr>
          <xdr:cNvPr id="48" name="Oval 55"/>
          <xdr:cNvSpPr/>
        </xdr:nvSpPr>
        <xdr:spPr>
          <a:xfrm>
            <a:off x="673" y="396"/>
            <a:ext cx="8" cy="7"/>
          </a:xfrm>
          <a:prstGeom prst="ellipse">
            <a:avLst/>
          </a:prstGeom>
          <a:solidFill>
            <a:srgbClr val="000000"/>
          </a:solidFill>
          <a:ln w="9525">
            <a:solidFill>
              <a:srgbClr val="000000"/>
            </a:solidFill>
            <a:round/>
          </a:ln>
        </xdr:spPr>
      </xdr:sp>
    </xdr:grpSp>
    <xdr:clientData/>
  </xdr:twoCellAnchor>
  <xdr:twoCellAnchor editAs="oneCell">
    <xdr:from>
      <xdr:col>4</xdr:col>
      <xdr:colOff>0</xdr:colOff>
      <xdr:row>28</xdr:row>
      <xdr:rowOff>9525</xdr:rowOff>
    </xdr:from>
    <xdr:to>
      <xdr:col>8</xdr:col>
      <xdr:colOff>257175</xdr:colOff>
      <xdr:row>37</xdr:row>
      <xdr:rowOff>3810</xdr:rowOff>
    </xdr:to>
    <xdr:pic>
      <xdr:nvPicPr>
        <xdr:cNvPr id="49" name="圖片 45"/>
        <xdr:cNvPicPr>
          <a:picLocks noChangeAspect="1"/>
        </xdr:cNvPicPr>
      </xdr:nvPicPr>
      <xdr:blipFill>
        <a:blip r:embed="rId3">
          <a:extLst>
            <a:ext uri="{28A0092B-C50C-407E-A947-70E740481C1C}">
              <a14:useLocalDpi xmlns:a14="http://schemas.microsoft.com/office/drawing/2010/main" val="0"/>
            </a:ext>
          </a:extLst>
        </a:blip>
        <a:srcRect/>
        <a:stretch>
          <a:fillRect/>
        </a:stretch>
      </xdr:blipFill>
      <xdr:spPr>
        <a:xfrm>
          <a:off x="5267325" y="5774055"/>
          <a:ext cx="3571875" cy="1623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386715</xdr:colOff>
      <xdr:row>28</xdr:row>
      <xdr:rowOff>0</xdr:rowOff>
    </xdr:from>
    <xdr:to>
      <xdr:col>13</xdr:col>
      <xdr:colOff>358140</xdr:colOff>
      <xdr:row>36</xdr:row>
      <xdr:rowOff>156210</xdr:rowOff>
    </xdr:to>
    <xdr:pic>
      <xdr:nvPicPr>
        <xdr:cNvPr id="50" name="圖片 46"/>
        <xdr:cNvPicPr>
          <a:picLocks noChangeAspect="1"/>
        </xdr:cNvPicPr>
      </xdr:nvPicPr>
      <xdr:blipFill>
        <a:blip r:embed="rId4">
          <a:extLst>
            <a:ext uri="{28A0092B-C50C-407E-A947-70E740481C1C}">
              <a14:useLocalDpi xmlns:a14="http://schemas.microsoft.com/office/drawing/2010/main" val="0"/>
            </a:ext>
          </a:extLst>
        </a:blip>
        <a:srcRect/>
        <a:stretch>
          <a:fillRect/>
        </a:stretch>
      </xdr:blipFill>
      <xdr:spPr>
        <a:xfrm>
          <a:off x="8968740" y="5764530"/>
          <a:ext cx="3400425" cy="16040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112395</xdr:colOff>
      <xdr:row>2</xdr:row>
      <xdr:rowOff>9525</xdr:rowOff>
    </xdr:from>
    <xdr:to>
      <xdr:col>12</xdr:col>
      <xdr:colOff>560070</xdr:colOff>
      <xdr:row>27</xdr:row>
      <xdr:rowOff>171450</xdr:rowOff>
    </xdr:to>
    <xdr:grpSp>
      <xdr:nvGrpSpPr>
        <xdr:cNvPr id="209" name="Group 272"/>
        <xdr:cNvGrpSpPr/>
      </xdr:nvGrpSpPr>
      <xdr:grpSpPr>
        <a:xfrm>
          <a:off x="112395" y="535305"/>
          <a:ext cx="8677275" cy="5114925"/>
          <a:chOff x="1056" y="566"/>
          <a:chExt cx="4032" cy="2353"/>
        </a:xfrm>
      </xdr:grpSpPr>
      <xdr:sp>
        <xdr:nvSpPr>
          <xdr:cNvPr id="210" name="Rectangle 2"/>
          <xdr:cNvSpPr>
            <a:spLocks noChangeArrowheads="1"/>
          </xdr:cNvSpPr>
        </xdr:nvSpPr>
        <xdr:spPr>
          <a:xfrm>
            <a:off x="4513" y="738"/>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一级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1" name="Rectangle 3"/>
          <xdr:cNvSpPr>
            <a:spLocks noChangeArrowheads="1"/>
          </xdr:cNvSpPr>
        </xdr:nvSpPr>
        <xdr:spPr>
          <a:xfrm>
            <a:off x="2255" y="738"/>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价格昂贵、作用重大，稀有的大型数控机床</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2" name="Rectangle 4"/>
          <xdr:cNvSpPr>
            <a:spLocks noChangeArrowheads="1"/>
          </xdr:cNvSpPr>
        </xdr:nvSpPr>
        <xdr:spPr>
          <a:xfrm>
            <a:off x="1392" y="738"/>
            <a:ext cx="863" cy="34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金属加工车间</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3" name="Rectangle 5"/>
          <xdr:cNvSpPr>
            <a:spLocks noChangeArrowheads="1"/>
          </xdr:cNvSpPr>
        </xdr:nvSpPr>
        <xdr:spPr>
          <a:xfrm>
            <a:off x="1056" y="738"/>
            <a:ext cx="336" cy="34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1</a:t>
            </a:r>
            <a:endParaRPr lang="en-US" altLang="zh-TW" sz="1000" b="0" i="0" u="none" strike="noStrike" baseline="0">
              <a:solidFill>
                <a:srgbClr val="800080"/>
              </a:solidFill>
              <a:latin typeface="楷体_GB2312"/>
            </a:endParaRPr>
          </a:p>
          <a:p>
            <a:pPr algn="l" rtl="0">
              <a:lnSpc>
                <a:spcPts val="700"/>
              </a:lnSpc>
              <a:defRPr sz="1000"/>
            </a:pPr>
            <a:endParaRPr lang="en-US" altLang="zh-TW" sz="1000" b="0" i="0" u="none" strike="noStrike" baseline="0">
              <a:solidFill>
                <a:srgbClr val="800080"/>
              </a:solidFill>
              <a:latin typeface="楷体_GB2312"/>
            </a:endParaRPr>
          </a:p>
        </xdr:txBody>
      </xdr:sp>
      <xdr:sp>
        <xdr:nvSpPr>
          <xdr:cNvPr id="214" name="Rectangle 6"/>
          <xdr:cNvSpPr>
            <a:spLocks noChangeArrowheads="1"/>
          </xdr:cNvSpPr>
        </xdr:nvSpPr>
        <xdr:spPr>
          <a:xfrm>
            <a:off x="4513" y="2747"/>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一级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5" name="Rectangle 7"/>
          <xdr:cNvSpPr>
            <a:spLocks noChangeArrowheads="1"/>
          </xdr:cNvSpPr>
        </xdr:nvSpPr>
        <xdr:spPr>
          <a:xfrm>
            <a:off x="2255" y="2747"/>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离心式压缩机润滑油泵</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6" name="Rectangle 8"/>
          <xdr:cNvSpPr>
            <a:spLocks noChangeArrowheads="1"/>
          </xdr:cNvSpPr>
        </xdr:nvSpPr>
        <xdr:spPr>
          <a:xfrm>
            <a:off x="4513" y="2575"/>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7" name="Rectangle 9"/>
          <xdr:cNvSpPr>
            <a:spLocks noChangeArrowheads="1"/>
          </xdr:cNvSpPr>
        </xdr:nvSpPr>
        <xdr:spPr>
          <a:xfrm>
            <a:off x="2255" y="2575"/>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800080"/>
                </a:solidFill>
                <a:latin typeface="楷体_GB2312"/>
              </a:rPr>
              <a:t>有高位油箱的离心式压缩机、润滑油泵</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defRPr sz="1000"/>
            </a:pPr>
            <a:endParaRPr lang="zh-TW" altLang="en-US" sz="1000" b="0" i="0" u="none" strike="noStrike" baseline="0">
              <a:solidFill>
                <a:srgbClr val="800080"/>
              </a:solidFill>
              <a:latin typeface="楷体_GB2312"/>
            </a:endParaRPr>
          </a:p>
        </xdr:txBody>
      </xdr:sp>
      <xdr:sp>
        <xdr:nvSpPr>
          <xdr:cNvPr id="218" name="Rectangle 10"/>
          <xdr:cNvSpPr>
            <a:spLocks noChangeArrowheads="1"/>
          </xdr:cNvSpPr>
        </xdr:nvSpPr>
        <xdr:spPr>
          <a:xfrm>
            <a:off x="4513" y="2402"/>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19" name="Rectangle 11"/>
          <xdr:cNvSpPr>
            <a:spLocks noChangeArrowheads="1"/>
          </xdr:cNvSpPr>
        </xdr:nvSpPr>
        <xdr:spPr>
          <a:xfrm>
            <a:off x="2255" y="2402"/>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单台</a:t>
            </a:r>
            <a:r>
              <a:rPr lang="en-US" altLang="zh-TW" sz="1000" b="0" i="0" u="none" strike="noStrike" baseline="0">
                <a:solidFill>
                  <a:srgbClr val="800080"/>
                </a:solidFill>
                <a:latin typeface="宋体" panose="02010600030101010101" pitchFamily="7" charset="-122"/>
                <a:ea typeface="宋体" panose="02010600030101010101" pitchFamily="7" charset="-122"/>
              </a:rPr>
              <a:t>60m3/min</a:t>
            </a:r>
            <a:r>
              <a:rPr lang="zh-TW" altLang="en-US" sz="1000" b="0" i="0" u="none" strike="noStrike" baseline="0">
                <a:solidFill>
                  <a:srgbClr val="800080"/>
                </a:solidFill>
                <a:latin typeface="楷体_GB2312"/>
              </a:rPr>
              <a:t>以上空压机</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20" name="Rectangle 12"/>
          <xdr:cNvSpPr>
            <a:spLocks noChangeArrowheads="1"/>
          </xdr:cNvSpPr>
        </xdr:nvSpPr>
        <xdr:spPr>
          <a:xfrm>
            <a:off x="1392" y="2402"/>
            <a:ext cx="863" cy="51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空压站</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21" name="Rectangle 13"/>
          <xdr:cNvSpPr>
            <a:spLocks noChangeArrowheads="1"/>
          </xdr:cNvSpPr>
        </xdr:nvSpPr>
        <xdr:spPr>
          <a:xfrm>
            <a:off x="1056" y="2402"/>
            <a:ext cx="336" cy="51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9</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22" name="Rectangle 14"/>
          <xdr:cNvSpPr>
            <a:spLocks noChangeArrowheads="1"/>
          </xdr:cNvSpPr>
        </xdr:nvSpPr>
        <xdr:spPr>
          <a:xfrm>
            <a:off x="4513" y="2116"/>
            <a:ext cx="575" cy="28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1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1000"/>
              </a:lnSpc>
              <a:defRPr sz="1000"/>
            </a:pPr>
            <a:endParaRPr lang="zh-TW" altLang="en-US" sz="1000" b="0" i="0" u="none" strike="noStrike" baseline="0">
              <a:solidFill>
                <a:srgbClr val="800080"/>
              </a:solidFill>
              <a:latin typeface="楷体_GB2312"/>
            </a:endParaRPr>
          </a:p>
        </xdr:txBody>
      </xdr:sp>
      <xdr:sp>
        <xdr:nvSpPr>
          <xdr:cNvPr id="223" name="Rectangle 15"/>
          <xdr:cNvSpPr>
            <a:spLocks noChangeArrowheads="1"/>
          </xdr:cNvSpPr>
        </xdr:nvSpPr>
        <xdr:spPr>
          <a:xfrm>
            <a:off x="2255" y="2116"/>
            <a:ext cx="2257" cy="28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800080"/>
                </a:solidFill>
                <a:latin typeface="楷体_GB2312"/>
              </a:rPr>
              <a:t>冷却水泵、鼓风机、润滑泵、高压水泵、水压机、真空泵、液压泵、收线用电设备、漆泵电加热设备</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defRPr sz="1000"/>
            </a:pPr>
            <a:endParaRPr lang="zh-TW" altLang="en-US" sz="1000" b="0" i="0" u="none" strike="noStrike" baseline="0">
              <a:solidFill>
                <a:srgbClr val="800080"/>
              </a:solidFill>
              <a:latin typeface="楷体_GB2312"/>
            </a:endParaRPr>
          </a:p>
        </xdr:txBody>
      </xdr:sp>
      <xdr:sp>
        <xdr:nvSpPr>
          <xdr:cNvPr id="224" name="Rectangle 16"/>
          <xdr:cNvSpPr>
            <a:spLocks noChangeArrowheads="1"/>
          </xdr:cNvSpPr>
        </xdr:nvSpPr>
        <xdr:spPr>
          <a:xfrm>
            <a:off x="1392" y="2116"/>
            <a:ext cx="863" cy="28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100"/>
              </a:lnSpc>
              <a:defRPr sz="1000"/>
            </a:pPr>
            <a:r>
              <a:rPr lang="zh-TW" altLang="en-US" sz="1000" b="0" i="0" u="none" strike="noStrike" baseline="0">
                <a:solidFill>
                  <a:srgbClr val="800080"/>
                </a:solidFill>
                <a:latin typeface="楷体_GB2312"/>
              </a:rPr>
              <a:t>线缆车间</a:t>
            </a:r>
            <a:endParaRPr lang="zh-TW" altLang="en-US" sz="1000" b="0" i="0" u="none" strike="noStrike" baseline="0">
              <a:solidFill>
                <a:srgbClr val="800080"/>
              </a:solidFill>
              <a:latin typeface="楷体_GB2312"/>
            </a:endParaRPr>
          </a:p>
          <a:p>
            <a:pPr algn="l" rtl="0">
              <a:lnSpc>
                <a:spcPts val="1000"/>
              </a:lnSpc>
              <a:defRPr sz="1000"/>
            </a:pPr>
            <a:endParaRPr lang="zh-TW" altLang="en-US" sz="1000" b="0" i="0" u="none" strike="noStrike" baseline="0">
              <a:solidFill>
                <a:srgbClr val="800080"/>
              </a:solidFill>
              <a:latin typeface="楷体_GB2312"/>
            </a:endParaRPr>
          </a:p>
        </xdr:txBody>
      </xdr:sp>
      <xdr:sp>
        <xdr:nvSpPr>
          <xdr:cNvPr id="225" name="Rectangle 17"/>
          <xdr:cNvSpPr>
            <a:spLocks noChangeArrowheads="1"/>
          </xdr:cNvSpPr>
        </xdr:nvSpPr>
        <xdr:spPr>
          <a:xfrm>
            <a:off x="1056" y="2116"/>
            <a:ext cx="336" cy="28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8</a:t>
            </a:r>
            <a:endParaRPr lang="en-US" altLang="zh-TW" sz="1000" b="0" i="0" u="none" strike="noStrike" baseline="0">
              <a:solidFill>
                <a:srgbClr val="800080"/>
              </a:solidFill>
              <a:latin typeface="楷体_GB2312"/>
            </a:endParaRPr>
          </a:p>
          <a:p>
            <a:pPr algn="l" rtl="0">
              <a:lnSpc>
                <a:spcPts val="1000"/>
              </a:lnSpc>
              <a:defRPr sz="1000"/>
            </a:pPr>
            <a:endParaRPr lang="en-US" altLang="zh-TW" sz="1000" b="0" i="0" u="none" strike="noStrike" baseline="0">
              <a:solidFill>
                <a:srgbClr val="800080"/>
              </a:solidFill>
              <a:latin typeface="楷体_GB2312"/>
            </a:endParaRPr>
          </a:p>
        </xdr:txBody>
      </xdr:sp>
      <xdr:sp>
        <xdr:nvSpPr>
          <xdr:cNvPr id="226" name="Rectangle 18"/>
          <xdr:cNvSpPr>
            <a:spLocks noChangeArrowheads="1"/>
          </xdr:cNvSpPr>
        </xdr:nvSpPr>
        <xdr:spPr>
          <a:xfrm>
            <a:off x="4513" y="1943"/>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27" name="Rectangle 19"/>
          <xdr:cNvSpPr>
            <a:spLocks noChangeArrowheads="1"/>
          </xdr:cNvSpPr>
        </xdr:nvSpPr>
        <xdr:spPr>
          <a:xfrm>
            <a:off x="2255" y="1943"/>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压塑机及供热锅炉</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28" name="Rectangle 20"/>
          <xdr:cNvSpPr>
            <a:spLocks noChangeArrowheads="1"/>
          </xdr:cNvSpPr>
        </xdr:nvSpPr>
        <xdr:spPr>
          <a:xfrm>
            <a:off x="1392" y="1943"/>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层压制品车间</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29" name="Rectangle 21"/>
          <xdr:cNvSpPr>
            <a:spLocks noChangeArrowheads="1"/>
          </xdr:cNvSpPr>
        </xdr:nvSpPr>
        <xdr:spPr>
          <a:xfrm>
            <a:off x="1056" y="1943"/>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7</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30" name="Rectangle 22"/>
          <xdr:cNvSpPr>
            <a:spLocks noChangeArrowheads="1"/>
          </xdr:cNvSpPr>
        </xdr:nvSpPr>
        <xdr:spPr>
          <a:xfrm>
            <a:off x="4513" y="1771"/>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1" name="Rectangle 23"/>
          <xdr:cNvSpPr>
            <a:spLocks noChangeArrowheads="1"/>
          </xdr:cNvSpPr>
        </xdr:nvSpPr>
        <xdr:spPr>
          <a:xfrm>
            <a:off x="2255" y="1771"/>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隧道窑鼓风机、卷扬机</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2" name="Rectangle 24"/>
          <xdr:cNvSpPr>
            <a:spLocks noChangeArrowheads="1"/>
          </xdr:cNvSpPr>
        </xdr:nvSpPr>
        <xdr:spPr>
          <a:xfrm>
            <a:off x="1392" y="1771"/>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模具成型车间</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3" name="Rectangle 25"/>
          <xdr:cNvSpPr>
            <a:spLocks noChangeArrowheads="1"/>
          </xdr:cNvSpPr>
        </xdr:nvSpPr>
        <xdr:spPr>
          <a:xfrm>
            <a:off x="1056" y="1771"/>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6</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34" name="Rectangle 26"/>
          <xdr:cNvSpPr>
            <a:spLocks noChangeArrowheads="1"/>
          </xdr:cNvSpPr>
        </xdr:nvSpPr>
        <xdr:spPr>
          <a:xfrm>
            <a:off x="4513" y="1599"/>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5" name="Rectangle 27"/>
          <xdr:cNvSpPr>
            <a:spLocks noChangeArrowheads="1"/>
          </xdr:cNvSpPr>
        </xdr:nvSpPr>
        <xdr:spPr>
          <a:xfrm>
            <a:off x="2255" y="1599"/>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大型电镀用整流设备、自动流水作业生产线</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6" name="Rectangle 28"/>
          <xdr:cNvSpPr>
            <a:spLocks noChangeArrowheads="1"/>
          </xdr:cNvSpPr>
        </xdr:nvSpPr>
        <xdr:spPr>
          <a:xfrm>
            <a:off x="1392" y="1599"/>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800080"/>
                </a:solidFill>
                <a:latin typeface="楷体_GB2312"/>
              </a:rPr>
              <a:t>电镀车间　</a:t>
            </a:r>
            <a:endParaRPr lang="zh-TW" altLang="en-US" sz="1000" b="0" i="0" u="none" strike="noStrike" baseline="0">
              <a:solidFill>
                <a:srgbClr val="800080"/>
              </a:solidFill>
              <a:latin typeface="楷体_GB2312"/>
            </a:endParaRPr>
          </a:p>
          <a:p>
            <a:pPr algn="l" rtl="0">
              <a:defRPr sz="1000"/>
            </a:pPr>
            <a:endParaRPr lang="zh-TW" altLang="en-US" sz="1000" b="0" i="0" u="none" strike="noStrike" baseline="0">
              <a:solidFill>
                <a:srgbClr val="800080"/>
              </a:solidFill>
              <a:latin typeface="楷体_GB2312"/>
            </a:endParaRPr>
          </a:p>
        </xdr:txBody>
      </xdr:sp>
      <xdr:sp>
        <xdr:nvSpPr>
          <xdr:cNvPr id="237" name="Rectangle 29"/>
          <xdr:cNvSpPr>
            <a:spLocks noChangeArrowheads="1"/>
          </xdr:cNvSpPr>
        </xdr:nvSpPr>
        <xdr:spPr>
          <a:xfrm>
            <a:off x="1056" y="1599"/>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5</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38" name="Rectangle 30"/>
          <xdr:cNvSpPr>
            <a:spLocks noChangeArrowheads="1"/>
          </xdr:cNvSpPr>
        </xdr:nvSpPr>
        <xdr:spPr>
          <a:xfrm>
            <a:off x="4513" y="1427"/>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39" name="Rectangle 31"/>
          <xdr:cNvSpPr>
            <a:spLocks noChangeArrowheads="1"/>
          </xdr:cNvSpPr>
        </xdr:nvSpPr>
        <xdr:spPr>
          <a:xfrm>
            <a:off x="2255" y="1427"/>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锻造专用起重机、水压机、高压水泵、油压机</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0" name="Rectangle 32"/>
          <xdr:cNvSpPr>
            <a:spLocks noChangeArrowheads="1"/>
          </xdr:cNvSpPr>
        </xdr:nvSpPr>
        <xdr:spPr>
          <a:xfrm>
            <a:off x="1392" y="1427"/>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锻压车间</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1" name="Rectangle 33"/>
          <xdr:cNvSpPr>
            <a:spLocks noChangeArrowheads="1"/>
          </xdr:cNvSpPr>
        </xdr:nvSpPr>
        <xdr:spPr>
          <a:xfrm>
            <a:off x="1056" y="1427"/>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4</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42" name="Rectangle 34"/>
          <xdr:cNvSpPr>
            <a:spLocks noChangeArrowheads="1"/>
          </xdr:cNvSpPr>
        </xdr:nvSpPr>
        <xdr:spPr>
          <a:xfrm>
            <a:off x="4513" y="1255"/>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3" name="Rectangle 35"/>
          <xdr:cNvSpPr>
            <a:spLocks noChangeArrowheads="1"/>
          </xdr:cNvSpPr>
        </xdr:nvSpPr>
        <xdr:spPr>
          <a:xfrm>
            <a:off x="2255" y="1255"/>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800080"/>
                </a:solidFill>
                <a:latin typeface="楷体_GB2312"/>
              </a:rPr>
              <a:t>井式炉专用淬火起重机、井式炉油槽抽油泵</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defRPr sz="1000"/>
            </a:pPr>
            <a:endParaRPr lang="zh-TW" altLang="en-US" sz="1000" b="0" i="0" u="none" strike="noStrike" baseline="0">
              <a:solidFill>
                <a:srgbClr val="800080"/>
              </a:solidFill>
              <a:latin typeface="楷体_GB2312"/>
            </a:endParaRPr>
          </a:p>
        </xdr:txBody>
      </xdr:sp>
      <xdr:sp>
        <xdr:nvSpPr>
          <xdr:cNvPr id="244" name="Rectangle 36"/>
          <xdr:cNvSpPr>
            <a:spLocks noChangeArrowheads="1"/>
          </xdr:cNvSpPr>
        </xdr:nvSpPr>
        <xdr:spPr>
          <a:xfrm>
            <a:off x="1392" y="1255"/>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热处理车间</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5" name="Rectangle 37"/>
          <xdr:cNvSpPr>
            <a:spLocks noChangeArrowheads="1"/>
          </xdr:cNvSpPr>
        </xdr:nvSpPr>
        <xdr:spPr>
          <a:xfrm>
            <a:off x="1056" y="1255"/>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3</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46" name="Rectangle 38"/>
          <xdr:cNvSpPr>
            <a:spLocks noChangeArrowheads="1"/>
          </xdr:cNvSpPr>
        </xdr:nvSpPr>
        <xdr:spPr>
          <a:xfrm>
            <a:off x="4513" y="1083"/>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三级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7" name="Rectangle 39"/>
          <xdr:cNvSpPr>
            <a:spLocks noChangeArrowheads="1"/>
          </xdr:cNvSpPr>
        </xdr:nvSpPr>
        <xdr:spPr>
          <a:xfrm>
            <a:off x="2255" y="1083"/>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1000" b="0" i="0" u="none" strike="noStrike" baseline="0">
                <a:solidFill>
                  <a:srgbClr val="800080"/>
                </a:solidFill>
                <a:latin typeface="楷体_GB2312"/>
              </a:rPr>
              <a:t>冲天炉、鼓风机、</a:t>
            </a:r>
            <a:r>
              <a:rPr lang="en-US" altLang="zh-TW" sz="1000" b="0" i="0" u="none" strike="noStrike" baseline="0">
                <a:solidFill>
                  <a:srgbClr val="800080"/>
                </a:solidFill>
                <a:latin typeface="宋体" panose="02010600030101010101" pitchFamily="7" charset="-122"/>
                <a:ea typeface="宋体" panose="02010600030101010101" pitchFamily="7" charset="-122"/>
              </a:rPr>
              <a:t>30t</a:t>
            </a:r>
            <a:r>
              <a:rPr lang="zh-TW" altLang="en-US" sz="1000" b="0" i="0" u="none" strike="noStrike" baseline="0">
                <a:solidFill>
                  <a:srgbClr val="800080"/>
                </a:solidFill>
                <a:latin typeface="楷体_GB2312"/>
              </a:rPr>
              <a:t>及以上的浇铸起重机</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8" name="Rectangle 40"/>
          <xdr:cNvSpPr>
            <a:spLocks noChangeArrowheads="1"/>
          </xdr:cNvSpPr>
        </xdr:nvSpPr>
        <xdr:spPr>
          <a:xfrm>
            <a:off x="1392" y="1083"/>
            <a:ext cx="863"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铸造车间</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49" name="Rectangle 41"/>
          <xdr:cNvSpPr>
            <a:spLocks noChangeArrowheads="1"/>
          </xdr:cNvSpPr>
        </xdr:nvSpPr>
        <xdr:spPr>
          <a:xfrm>
            <a:off x="1056" y="1083"/>
            <a:ext cx="336"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000" b="0" i="0" u="none" strike="noStrike" baseline="0">
                <a:solidFill>
                  <a:srgbClr val="800080"/>
                </a:solidFill>
                <a:latin typeface="宋体" panose="02010600030101010101" pitchFamily="7" charset="-122"/>
                <a:ea typeface="宋体" panose="02010600030101010101" pitchFamily="7" charset="-122"/>
              </a:rPr>
              <a:t>2</a:t>
            </a:r>
            <a:endParaRPr lang="en-US" altLang="zh-TW" sz="1000" b="0" i="0" u="none" strike="noStrike" baseline="0">
              <a:solidFill>
                <a:srgbClr val="800080"/>
              </a:solidFill>
              <a:latin typeface="楷体_GB2312"/>
            </a:endParaRPr>
          </a:p>
          <a:p>
            <a:pPr algn="l" rtl="0">
              <a:defRPr sz="1000"/>
            </a:pPr>
            <a:endParaRPr lang="en-US" altLang="zh-TW" sz="1000" b="0" i="0" u="none" strike="noStrike" baseline="0">
              <a:solidFill>
                <a:srgbClr val="800080"/>
              </a:solidFill>
              <a:latin typeface="楷体_GB2312"/>
            </a:endParaRPr>
          </a:p>
        </xdr:txBody>
      </xdr:sp>
      <xdr:sp>
        <xdr:nvSpPr>
          <xdr:cNvPr id="250" name="Rectangle 42"/>
          <xdr:cNvSpPr>
            <a:spLocks noChangeArrowheads="1"/>
          </xdr:cNvSpPr>
        </xdr:nvSpPr>
        <xdr:spPr>
          <a:xfrm>
            <a:off x="4513" y="910"/>
            <a:ext cx="575"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200"/>
              </a:lnSpc>
              <a:defRPr sz="1000"/>
            </a:pPr>
            <a:r>
              <a:rPr lang="zh-TW" altLang="en-US" sz="1000" b="0" i="0" u="none" strike="noStrike" baseline="0">
                <a:solidFill>
                  <a:srgbClr val="800080"/>
                </a:solidFill>
                <a:latin typeface="楷体_GB2312"/>
              </a:rPr>
              <a:t>二级</a:t>
            </a:r>
            <a:endParaRPr lang="zh-TW" altLang="en-US" sz="1000" b="0" i="0" u="none" strike="noStrike" baseline="0">
              <a:solidFill>
                <a:srgbClr val="800080"/>
              </a:solidFill>
              <a:latin typeface="楷体_GB2312"/>
            </a:endParaRPr>
          </a:p>
          <a:p>
            <a:pPr algn="l" rtl="0">
              <a:lnSpc>
                <a:spcPts val="900"/>
              </a:lnSpc>
              <a:defRPr sz="1000"/>
            </a:pPr>
            <a:endParaRPr lang="zh-TW" altLang="en-US" sz="1000" b="0" i="0" u="none" strike="noStrike" baseline="0">
              <a:solidFill>
                <a:srgbClr val="800080"/>
              </a:solidFill>
              <a:latin typeface="楷体_GB2312"/>
            </a:endParaRPr>
          </a:p>
        </xdr:txBody>
      </xdr:sp>
      <xdr:sp>
        <xdr:nvSpPr>
          <xdr:cNvPr id="251" name="Rectangle 43"/>
          <xdr:cNvSpPr>
            <a:spLocks noChangeArrowheads="1"/>
          </xdr:cNvSpPr>
        </xdr:nvSpPr>
        <xdr:spPr>
          <a:xfrm>
            <a:off x="2255" y="910"/>
            <a:ext cx="2257" cy="17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800080"/>
                </a:solidFill>
                <a:latin typeface="楷体_GB2312"/>
              </a:rPr>
              <a:t>价格贵，作用大，数量多的数控机床</a:t>
            </a:r>
            <a:r>
              <a:rPr lang="zh-TW" altLang="en-US" sz="1000" b="0" i="0" u="none" strike="noStrike" baseline="0">
                <a:solidFill>
                  <a:srgbClr val="800080"/>
                </a:solidFill>
                <a:latin typeface="宋体" panose="02010600030101010101" pitchFamily="7" charset="-122"/>
                <a:ea typeface="宋体" panose="02010600030101010101" pitchFamily="7" charset="-122"/>
              </a:rPr>
              <a:t> </a:t>
            </a:r>
            <a:endParaRPr lang="zh-TW" altLang="en-US" sz="1000" b="0" i="0" u="none" strike="noStrike" baseline="0">
              <a:solidFill>
                <a:srgbClr val="800080"/>
              </a:solidFill>
              <a:latin typeface="楷体_GB2312"/>
            </a:endParaRPr>
          </a:p>
          <a:p>
            <a:pPr algn="l" rtl="0">
              <a:defRPr sz="1000"/>
            </a:pPr>
            <a:endParaRPr lang="zh-TW" altLang="en-US" sz="1000" b="0" i="0" u="none" strike="noStrike" baseline="0">
              <a:solidFill>
                <a:srgbClr val="800080"/>
              </a:solidFill>
              <a:latin typeface="楷体_GB2312"/>
            </a:endParaRPr>
          </a:p>
        </xdr:txBody>
      </xdr:sp>
      <xdr:sp>
        <xdr:nvSpPr>
          <xdr:cNvPr id="252" name="Rectangle 44"/>
          <xdr:cNvSpPr>
            <a:spLocks noChangeArrowheads="1"/>
          </xdr:cNvSpPr>
        </xdr:nvSpPr>
        <xdr:spPr>
          <a:xfrm>
            <a:off x="4513" y="566"/>
            <a:ext cx="575" cy="17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003366"/>
                </a:solidFill>
                <a:latin typeface="楷体_GB2312"/>
              </a:rPr>
              <a:t>负荷级别</a:t>
            </a:r>
            <a:r>
              <a:rPr lang="zh-TW" altLang="en-US" sz="1000" b="0" i="0" u="none" strike="noStrike" baseline="0">
                <a:solidFill>
                  <a:srgbClr val="003366"/>
                </a:solidFill>
                <a:latin typeface="Times New Roman" panose="02020603050405020304" pitchFamily="12"/>
                <a:cs typeface="Times New Roman" panose="02020603050405020304" pitchFamily="12"/>
              </a:rPr>
              <a:t> </a:t>
            </a:r>
            <a:endParaRPr lang="zh-TW" altLang="en-US" sz="1000" b="0" i="0" u="none" strike="noStrike" baseline="0">
              <a:solidFill>
                <a:srgbClr val="003366"/>
              </a:solidFill>
              <a:latin typeface="楷体_GB2312"/>
            </a:endParaRPr>
          </a:p>
          <a:p>
            <a:pPr algn="l" rtl="0">
              <a:defRPr sz="1000"/>
            </a:pPr>
            <a:endParaRPr lang="zh-TW" altLang="en-US" sz="1000" b="0" i="0" u="none" strike="noStrike" baseline="0">
              <a:solidFill>
                <a:srgbClr val="003366"/>
              </a:solidFill>
              <a:latin typeface="楷体_GB2312"/>
            </a:endParaRPr>
          </a:p>
        </xdr:txBody>
      </xdr:sp>
      <xdr:sp>
        <xdr:nvSpPr>
          <xdr:cNvPr id="253" name="Rectangle 45"/>
          <xdr:cNvSpPr>
            <a:spLocks noChangeArrowheads="1"/>
          </xdr:cNvSpPr>
        </xdr:nvSpPr>
        <xdr:spPr>
          <a:xfrm>
            <a:off x="2255" y="566"/>
            <a:ext cx="2257" cy="17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003366"/>
                </a:solidFill>
                <a:latin typeface="楷体_GB2312"/>
              </a:rPr>
              <a:t>用</a:t>
            </a:r>
            <a:r>
              <a:rPr lang="zh-TW" altLang="en-US" sz="1000" b="0" i="0" u="none" strike="noStrike" baseline="0">
                <a:solidFill>
                  <a:srgbClr val="003366"/>
                </a:solidFill>
                <a:latin typeface="Times New Roman" panose="02020603050405020304" pitchFamily="12"/>
                <a:cs typeface="Times New Roman" panose="02020603050405020304" pitchFamily="12"/>
              </a:rPr>
              <a:t> </a:t>
            </a:r>
            <a:r>
              <a:rPr lang="zh-TW" altLang="en-US" sz="1000" b="0" i="0" u="none" strike="noStrike" baseline="0">
                <a:solidFill>
                  <a:srgbClr val="003366"/>
                </a:solidFill>
                <a:latin typeface="楷体_GB2312"/>
              </a:rPr>
              <a:t>电</a:t>
            </a:r>
            <a:r>
              <a:rPr lang="zh-TW" altLang="en-US" sz="1000" b="0" i="0" u="none" strike="noStrike" baseline="0">
                <a:solidFill>
                  <a:srgbClr val="003366"/>
                </a:solidFill>
                <a:latin typeface="Times New Roman" panose="02020603050405020304" pitchFamily="12"/>
                <a:cs typeface="Times New Roman" panose="02020603050405020304" pitchFamily="12"/>
              </a:rPr>
              <a:t> </a:t>
            </a:r>
            <a:r>
              <a:rPr lang="zh-TW" altLang="en-US" sz="1000" b="0" i="0" u="none" strike="noStrike" baseline="0">
                <a:solidFill>
                  <a:srgbClr val="003366"/>
                </a:solidFill>
                <a:latin typeface="楷体_GB2312"/>
              </a:rPr>
              <a:t>设</a:t>
            </a:r>
            <a:r>
              <a:rPr lang="zh-TW" altLang="en-US" sz="1000" b="0" i="0" u="none" strike="noStrike" baseline="0">
                <a:solidFill>
                  <a:srgbClr val="003366"/>
                </a:solidFill>
                <a:latin typeface="Times New Roman" panose="02020603050405020304" pitchFamily="12"/>
                <a:cs typeface="Times New Roman" panose="02020603050405020304" pitchFamily="12"/>
              </a:rPr>
              <a:t> </a:t>
            </a:r>
            <a:r>
              <a:rPr lang="zh-TW" altLang="en-US" sz="1000" b="0" i="0" u="none" strike="noStrike" baseline="0">
                <a:solidFill>
                  <a:srgbClr val="003366"/>
                </a:solidFill>
                <a:latin typeface="楷体_GB2312"/>
              </a:rPr>
              <a:t>备</a:t>
            </a:r>
            <a:r>
              <a:rPr lang="zh-TW" altLang="en-US" sz="1000" b="0" i="0" u="none" strike="noStrike" baseline="0">
                <a:solidFill>
                  <a:srgbClr val="003366"/>
                </a:solidFill>
                <a:latin typeface="Times New Roman" panose="02020603050405020304" pitchFamily="12"/>
                <a:cs typeface="Times New Roman" panose="02020603050405020304" pitchFamily="12"/>
              </a:rPr>
              <a:t> </a:t>
            </a:r>
            <a:endParaRPr lang="zh-TW" altLang="en-US" sz="1000" b="0" i="0" u="none" strike="noStrike" baseline="0">
              <a:solidFill>
                <a:srgbClr val="003366"/>
              </a:solidFill>
              <a:latin typeface="楷体_GB2312"/>
            </a:endParaRPr>
          </a:p>
          <a:p>
            <a:pPr algn="l" rtl="0">
              <a:defRPr sz="1000"/>
            </a:pPr>
            <a:endParaRPr lang="zh-TW" altLang="en-US" sz="1000" b="0" i="0" u="none" strike="noStrike" baseline="0">
              <a:solidFill>
                <a:srgbClr val="003366"/>
              </a:solidFill>
              <a:latin typeface="楷体_GB2312"/>
            </a:endParaRPr>
          </a:p>
        </xdr:txBody>
      </xdr:sp>
      <xdr:sp>
        <xdr:nvSpPr>
          <xdr:cNvPr id="254" name="Rectangle 46"/>
          <xdr:cNvSpPr>
            <a:spLocks noChangeArrowheads="1"/>
          </xdr:cNvSpPr>
        </xdr:nvSpPr>
        <xdr:spPr>
          <a:xfrm>
            <a:off x="1392" y="566"/>
            <a:ext cx="863" cy="17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003366"/>
                </a:solidFill>
                <a:latin typeface="楷体_GB2312"/>
              </a:rPr>
              <a:t>车</a:t>
            </a:r>
            <a:r>
              <a:rPr lang="zh-TW" altLang="en-US" sz="1000" b="0" i="0" u="none" strike="noStrike" baseline="0">
                <a:solidFill>
                  <a:srgbClr val="003366"/>
                </a:solidFill>
                <a:latin typeface="Times New Roman" panose="02020603050405020304" pitchFamily="12"/>
                <a:cs typeface="Times New Roman" panose="02020603050405020304" pitchFamily="12"/>
              </a:rPr>
              <a:t>  </a:t>
            </a:r>
            <a:r>
              <a:rPr lang="zh-TW" altLang="en-US" sz="1000" b="0" i="0" u="none" strike="noStrike" baseline="0">
                <a:solidFill>
                  <a:srgbClr val="003366"/>
                </a:solidFill>
                <a:latin typeface="楷体_GB2312"/>
              </a:rPr>
              <a:t>间</a:t>
            </a:r>
            <a:r>
              <a:rPr lang="zh-TW" altLang="en-US" sz="1000" b="0" i="0" u="none" strike="noStrike" baseline="0">
                <a:solidFill>
                  <a:srgbClr val="003366"/>
                </a:solidFill>
                <a:latin typeface="Times New Roman" panose="02020603050405020304" pitchFamily="12"/>
                <a:cs typeface="Times New Roman" panose="02020603050405020304" pitchFamily="12"/>
              </a:rPr>
              <a:t> </a:t>
            </a:r>
            <a:endParaRPr lang="zh-TW" altLang="en-US" sz="1000" b="0" i="0" u="none" strike="noStrike" baseline="0">
              <a:solidFill>
                <a:srgbClr val="003366"/>
              </a:solidFill>
              <a:latin typeface="楷体_GB2312"/>
            </a:endParaRPr>
          </a:p>
          <a:p>
            <a:pPr algn="l" rtl="0">
              <a:defRPr sz="1000"/>
            </a:pPr>
            <a:endParaRPr lang="zh-TW" altLang="en-US" sz="1000" b="0" i="0" u="none" strike="noStrike" baseline="0">
              <a:solidFill>
                <a:srgbClr val="003366"/>
              </a:solidFill>
              <a:latin typeface="楷体_GB2312"/>
            </a:endParaRPr>
          </a:p>
        </xdr:txBody>
      </xdr:sp>
      <xdr:sp>
        <xdr:nvSpPr>
          <xdr:cNvPr id="255" name="Rectangle 47"/>
          <xdr:cNvSpPr>
            <a:spLocks noChangeArrowheads="1"/>
          </xdr:cNvSpPr>
        </xdr:nvSpPr>
        <xdr:spPr>
          <a:xfrm>
            <a:off x="1056" y="566"/>
            <a:ext cx="336" cy="17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000" b="0" i="0" u="none" strike="noStrike" baseline="0">
                <a:solidFill>
                  <a:srgbClr val="003366"/>
                </a:solidFill>
                <a:latin typeface="楷体_GB2312"/>
              </a:rPr>
              <a:t>序</a:t>
            </a:r>
            <a:r>
              <a:rPr lang="zh-TW" altLang="en-US" sz="1000" b="0" i="0" u="none" strike="noStrike" baseline="0">
                <a:solidFill>
                  <a:srgbClr val="003366"/>
                </a:solidFill>
                <a:latin typeface="Times New Roman" panose="02020603050405020304" pitchFamily="12"/>
                <a:cs typeface="Times New Roman" panose="02020603050405020304" pitchFamily="12"/>
              </a:rPr>
              <a:t> </a:t>
            </a:r>
            <a:r>
              <a:rPr lang="zh-TW" altLang="en-US" sz="1000" b="0" i="0" u="none" strike="noStrike" baseline="0">
                <a:solidFill>
                  <a:srgbClr val="003366"/>
                </a:solidFill>
                <a:latin typeface="楷体_GB2312"/>
              </a:rPr>
              <a:t>号</a:t>
            </a:r>
            <a:r>
              <a:rPr lang="zh-TW" altLang="en-US" sz="1000" b="0" i="0" u="none" strike="noStrike" baseline="0">
                <a:solidFill>
                  <a:srgbClr val="003366"/>
                </a:solidFill>
                <a:latin typeface="Times New Roman" panose="02020603050405020304" pitchFamily="12"/>
                <a:cs typeface="Times New Roman" panose="02020603050405020304" pitchFamily="12"/>
              </a:rPr>
              <a:t> </a:t>
            </a:r>
            <a:endParaRPr lang="zh-TW" altLang="en-US" sz="1000" b="0" i="0" u="none" strike="noStrike" baseline="0">
              <a:solidFill>
                <a:srgbClr val="003366"/>
              </a:solidFill>
              <a:latin typeface="楷体_GB2312"/>
            </a:endParaRPr>
          </a:p>
          <a:p>
            <a:pPr algn="l" rtl="0">
              <a:defRPr sz="1000"/>
            </a:pPr>
            <a:endParaRPr lang="zh-TW" altLang="en-US" sz="1000" b="0" i="0" u="none" strike="noStrike" baseline="0">
              <a:solidFill>
                <a:srgbClr val="003366"/>
              </a:solidFill>
              <a:latin typeface="楷体_GB2312"/>
            </a:endParaRPr>
          </a:p>
        </xdr:txBody>
      </xdr:sp>
      <xdr:sp>
        <xdr:nvSpPr>
          <xdr:cNvPr id="256" name="Line 48"/>
          <xdr:cNvSpPr>
            <a:spLocks noChangeShapeType="1"/>
          </xdr:cNvSpPr>
        </xdr:nvSpPr>
        <xdr:spPr>
          <a:xfrm>
            <a:off x="1056" y="566"/>
            <a:ext cx="4032" cy="0"/>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57" name="Line 49"/>
          <xdr:cNvSpPr>
            <a:spLocks noChangeShapeType="1"/>
          </xdr:cNvSpPr>
        </xdr:nvSpPr>
        <xdr:spPr>
          <a:xfrm>
            <a:off x="1056" y="738"/>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58" name="Line 50"/>
          <xdr:cNvSpPr>
            <a:spLocks noChangeShapeType="1"/>
          </xdr:cNvSpPr>
        </xdr:nvSpPr>
        <xdr:spPr>
          <a:xfrm>
            <a:off x="1056" y="1084"/>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59" name="Line 51"/>
          <xdr:cNvSpPr>
            <a:spLocks noChangeShapeType="1"/>
          </xdr:cNvSpPr>
        </xdr:nvSpPr>
        <xdr:spPr>
          <a:xfrm>
            <a:off x="1056" y="1256"/>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0" name="Line 52"/>
          <xdr:cNvSpPr>
            <a:spLocks noChangeShapeType="1"/>
          </xdr:cNvSpPr>
        </xdr:nvSpPr>
        <xdr:spPr>
          <a:xfrm>
            <a:off x="1056" y="1428"/>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1" name="Line 53"/>
          <xdr:cNvSpPr>
            <a:spLocks noChangeShapeType="1"/>
          </xdr:cNvSpPr>
        </xdr:nvSpPr>
        <xdr:spPr>
          <a:xfrm>
            <a:off x="1056" y="1600"/>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2" name="Line 54"/>
          <xdr:cNvSpPr>
            <a:spLocks noChangeShapeType="1"/>
          </xdr:cNvSpPr>
        </xdr:nvSpPr>
        <xdr:spPr>
          <a:xfrm>
            <a:off x="1056" y="1772"/>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3" name="Line 55"/>
          <xdr:cNvSpPr>
            <a:spLocks noChangeShapeType="1"/>
          </xdr:cNvSpPr>
        </xdr:nvSpPr>
        <xdr:spPr>
          <a:xfrm>
            <a:off x="1056" y="1944"/>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4" name="Line 56"/>
          <xdr:cNvSpPr>
            <a:spLocks noChangeShapeType="1"/>
          </xdr:cNvSpPr>
        </xdr:nvSpPr>
        <xdr:spPr>
          <a:xfrm>
            <a:off x="1056" y="2116"/>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5" name="Line 57"/>
          <xdr:cNvSpPr>
            <a:spLocks noChangeShapeType="1"/>
          </xdr:cNvSpPr>
        </xdr:nvSpPr>
        <xdr:spPr>
          <a:xfrm>
            <a:off x="1056" y="2403"/>
            <a:ext cx="40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6" name="Line 58"/>
          <xdr:cNvSpPr>
            <a:spLocks noChangeShapeType="1"/>
          </xdr:cNvSpPr>
        </xdr:nvSpPr>
        <xdr:spPr>
          <a:xfrm>
            <a:off x="1056" y="2919"/>
            <a:ext cx="4032"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7" name="Line 59"/>
          <xdr:cNvSpPr>
            <a:spLocks noChangeShapeType="1"/>
          </xdr:cNvSpPr>
        </xdr:nvSpPr>
        <xdr:spPr>
          <a:xfrm>
            <a:off x="1056" y="566"/>
            <a:ext cx="0" cy="172"/>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8" name="Line 60"/>
          <xdr:cNvSpPr>
            <a:spLocks noChangeShapeType="1"/>
          </xdr:cNvSpPr>
        </xdr:nvSpPr>
        <xdr:spPr>
          <a:xfrm>
            <a:off x="1392" y="566"/>
            <a:ext cx="0" cy="2353"/>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69" name="Line 61"/>
          <xdr:cNvSpPr>
            <a:spLocks noChangeShapeType="1"/>
          </xdr:cNvSpPr>
        </xdr:nvSpPr>
        <xdr:spPr>
          <a:xfrm>
            <a:off x="2256" y="566"/>
            <a:ext cx="0" cy="2353"/>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0" name="Line 62"/>
          <xdr:cNvSpPr>
            <a:spLocks noChangeShapeType="1"/>
          </xdr:cNvSpPr>
        </xdr:nvSpPr>
        <xdr:spPr>
          <a:xfrm>
            <a:off x="4512" y="566"/>
            <a:ext cx="0" cy="2353"/>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1" name="Line 63"/>
          <xdr:cNvSpPr>
            <a:spLocks noChangeShapeType="1"/>
          </xdr:cNvSpPr>
        </xdr:nvSpPr>
        <xdr:spPr>
          <a:xfrm>
            <a:off x="5088" y="566"/>
            <a:ext cx="0" cy="172"/>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2" name="Line 64"/>
          <xdr:cNvSpPr>
            <a:spLocks noChangeShapeType="1"/>
          </xdr:cNvSpPr>
        </xdr:nvSpPr>
        <xdr:spPr>
          <a:xfrm>
            <a:off x="2256" y="912"/>
            <a:ext cx="28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3" name="Line 65"/>
          <xdr:cNvSpPr>
            <a:spLocks noChangeShapeType="1"/>
          </xdr:cNvSpPr>
        </xdr:nvSpPr>
        <xdr:spPr>
          <a:xfrm>
            <a:off x="2256" y="2575"/>
            <a:ext cx="28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4" name="Line 66"/>
          <xdr:cNvSpPr>
            <a:spLocks noChangeShapeType="1"/>
          </xdr:cNvSpPr>
        </xdr:nvSpPr>
        <xdr:spPr>
          <a:xfrm>
            <a:off x="2256" y="2747"/>
            <a:ext cx="2832"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5" name="Line 67"/>
          <xdr:cNvSpPr>
            <a:spLocks noChangeShapeType="1"/>
          </xdr:cNvSpPr>
        </xdr:nvSpPr>
        <xdr:spPr>
          <a:xfrm>
            <a:off x="1056" y="738"/>
            <a:ext cx="0" cy="2181"/>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276" name="Line 68"/>
          <xdr:cNvSpPr>
            <a:spLocks noChangeShapeType="1"/>
          </xdr:cNvSpPr>
        </xdr:nvSpPr>
        <xdr:spPr>
          <a:xfrm>
            <a:off x="5088" y="738"/>
            <a:ext cx="0" cy="2181"/>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grpSp>
    <xdr:clientData/>
  </xdr:twoCellAnchor>
  <xdr:twoCellAnchor>
    <xdr:from>
      <xdr:col>0</xdr:col>
      <xdr:colOff>104775</xdr:colOff>
      <xdr:row>31</xdr:row>
      <xdr:rowOff>9525</xdr:rowOff>
    </xdr:from>
    <xdr:to>
      <xdr:col>12</xdr:col>
      <xdr:colOff>609600</xdr:colOff>
      <xdr:row>57</xdr:row>
      <xdr:rowOff>171450</xdr:rowOff>
    </xdr:to>
    <xdr:grpSp>
      <xdr:nvGrpSpPr>
        <xdr:cNvPr id="277" name="Group 273"/>
        <xdr:cNvGrpSpPr/>
      </xdr:nvGrpSpPr>
      <xdr:grpSpPr>
        <a:xfrm>
          <a:off x="104775" y="6410325"/>
          <a:ext cx="8734425" cy="5313045"/>
          <a:chOff x="144" y="240"/>
          <a:chExt cx="5424" cy="3501"/>
        </a:xfrm>
      </xdr:grpSpPr>
      <xdr:sp>
        <xdr:nvSpPr>
          <xdr:cNvPr id="278" name="Rectangle 70"/>
          <xdr:cNvSpPr>
            <a:spLocks noChangeArrowheads="1"/>
          </xdr:cNvSpPr>
        </xdr:nvSpPr>
        <xdr:spPr>
          <a:xfrm>
            <a:off x="4994" y="240"/>
            <a:ext cx="574" cy="384"/>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endParaRPr lang="zh-TW" altLang="en-US" sz="1200" b="0" i="0" u="none" strike="noStrike" baseline="0">
              <a:solidFill>
                <a:srgbClr val="000000"/>
              </a:solidFill>
              <a:latin typeface="楷体_GB2312"/>
            </a:endParaRPr>
          </a:p>
          <a:p>
            <a:pPr algn="l" rtl="0">
              <a:lnSpc>
                <a:spcPts val="1100"/>
              </a:lnSpc>
              <a:defRPr sz="1000"/>
            </a:pPr>
            <a:endParaRPr lang="zh-TW" altLang="en-US" sz="1200" b="0" i="0" u="none" strike="noStrike" baseline="0">
              <a:solidFill>
                <a:srgbClr val="000000"/>
              </a:solidFill>
              <a:latin typeface="楷体_GB2312"/>
            </a:endParaRPr>
          </a:p>
        </xdr:txBody>
      </xdr:sp>
      <xdr:sp>
        <xdr:nvSpPr>
          <xdr:cNvPr id="279" name="Rectangle 71"/>
          <xdr:cNvSpPr>
            <a:spLocks noChangeArrowheads="1"/>
          </xdr:cNvSpPr>
        </xdr:nvSpPr>
        <xdr:spPr>
          <a:xfrm>
            <a:off x="4415" y="240"/>
            <a:ext cx="580" cy="384"/>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200" b="0" i="0" u="none" strike="noStrike" baseline="0">
                <a:solidFill>
                  <a:srgbClr val="003366"/>
                </a:solidFill>
                <a:latin typeface="楷体_GB2312"/>
              </a:rPr>
              <a:t>功率因数</a:t>
            </a:r>
            <a:endParaRPr lang="zh-TW" altLang="en-US" sz="1200" b="0" i="0" u="none" strike="noStrike" baseline="0">
              <a:solidFill>
                <a:srgbClr val="003366"/>
              </a:solidFill>
              <a:latin typeface="楷体_GB2312"/>
            </a:endParaRPr>
          </a:p>
          <a:p>
            <a:pPr algn="l" rtl="0">
              <a:lnSpc>
                <a:spcPts val="1300"/>
              </a:lnSpc>
              <a:defRPr sz="1000"/>
            </a:pPr>
            <a:endParaRPr lang="zh-TW" altLang="en-US" sz="1200" b="0" i="0" u="none" strike="noStrike" baseline="0">
              <a:solidFill>
                <a:srgbClr val="003366"/>
              </a:solidFill>
              <a:latin typeface="楷体_GB2312"/>
            </a:endParaRPr>
          </a:p>
          <a:p>
            <a:pPr algn="l" rtl="0">
              <a:lnSpc>
                <a:spcPts val="1300"/>
              </a:lnSpc>
              <a:defRPr sz="1000"/>
            </a:pPr>
            <a:endParaRPr lang="zh-TW" altLang="en-US" sz="1200" b="0" i="0" u="none" strike="noStrike" baseline="0">
              <a:solidFill>
                <a:srgbClr val="003366"/>
              </a:solidFill>
              <a:latin typeface="楷体_GB2312"/>
            </a:endParaRPr>
          </a:p>
        </xdr:txBody>
      </xdr:sp>
      <xdr:sp>
        <xdr:nvSpPr>
          <xdr:cNvPr id="280" name="Rectangle 72"/>
          <xdr:cNvSpPr>
            <a:spLocks noChangeArrowheads="1"/>
          </xdr:cNvSpPr>
        </xdr:nvSpPr>
        <xdr:spPr>
          <a:xfrm>
            <a:off x="3794" y="240"/>
            <a:ext cx="621" cy="384"/>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200" b="0" i="0" u="none" strike="noStrike" baseline="0">
                <a:solidFill>
                  <a:srgbClr val="003366"/>
                </a:solidFill>
                <a:latin typeface="楷体_GB2312"/>
              </a:rPr>
              <a:t>最大容量设备台数</a:t>
            </a:r>
            <a:r>
              <a:rPr lang="zh-TW" altLang="en-US" sz="1200" b="0" i="0" u="none" strike="noStrike" baseline="0">
                <a:solidFill>
                  <a:srgbClr val="003366"/>
                </a:solidFill>
                <a:latin typeface="Times New Roman" panose="02020603050405020304" pitchFamily="12"/>
                <a:cs typeface="Times New Roman" panose="02020603050405020304" pitchFamily="12"/>
              </a:rPr>
              <a:t> </a:t>
            </a:r>
            <a:endParaRPr lang="zh-TW" altLang="en-US" sz="1200" b="0" i="0" u="none" strike="noStrike" baseline="0">
              <a:solidFill>
                <a:srgbClr val="003366"/>
              </a:solidFill>
              <a:latin typeface="楷体_GB2312"/>
            </a:endParaRPr>
          </a:p>
          <a:p>
            <a:pPr algn="l" rtl="0">
              <a:defRPr sz="1000"/>
            </a:pPr>
            <a:endParaRPr lang="zh-TW" altLang="en-US" sz="1200" b="0" i="0" u="none" strike="noStrike" baseline="0">
              <a:solidFill>
                <a:srgbClr val="003366"/>
              </a:solidFill>
              <a:latin typeface="楷体_GB2312"/>
            </a:endParaRPr>
          </a:p>
        </xdr:txBody>
      </xdr:sp>
      <xdr:sp>
        <xdr:nvSpPr>
          <xdr:cNvPr id="281" name="Rectangle 73"/>
          <xdr:cNvSpPr>
            <a:spLocks noChangeArrowheads="1"/>
          </xdr:cNvSpPr>
        </xdr:nvSpPr>
        <xdr:spPr>
          <a:xfrm>
            <a:off x="2687" y="240"/>
            <a:ext cx="1106" cy="19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zh-TW" altLang="en-US" sz="1200" b="0" i="0" u="none" strike="noStrike" baseline="0">
                <a:solidFill>
                  <a:srgbClr val="003366"/>
                </a:solidFill>
                <a:latin typeface="楷体_GB2312"/>
              </a:rPr>
              <a:t>二项式系数</a:t>
            </a:r>
            <a:r>
              <a:rPr lang="zh-TW" altLang="en-US" sz="1200" b="0" i="0" u="none" strike="noStrike" baseline="0">
                <a:solidFill>
                  <a:srgbClr val="003366"/>
                </a:solidFill>
                <a:latin typeface="Times New Roman" panose="02020603050405020304" pitchFamily="12"/>
                <a:cs typeface="Times New Roman" panose="02020603050405020304" pitchFamily="12"/>
              </a:rPr>
              <a:t> </a:t>
            </a:r>
            <a:endParaRPr lang="zh-TW" altLang="en-US" sz="1200" b="0" i="0" u="none" strike="noStrike" baseline="0">
              <a:solidFill>
                <a:srgbClr val="003366"/>
              </a:solidFill>
              <a:latin typeface="楷体_GB2312"/>
            </a:endParaRPr>
          </a:p>
          <a:p>
            <a:pPr algn="l" rtl="0">
              <a:defRPr sz="1000"/>
            </a:pPr>
            <a:endParaRPr lang="zh-TW" altLang="en-US" sz="1200" b="0" i="0" u="none" strike="noStrike" baseline="0">
              <a:solidFill>
                <a:srgbClr val="003366"/>
              </a:solidFill>
              <a:latin typeface="楷体_GB2312"/>
            </a:endParaRPr>
          </a:p>
        </xdr:txBody>
      </xdr:sp>
      <xdr:sp>
        <xdr:nvSpPr>
          <xdr:cNvPr id="282" name="Rectangle 74"/>
          <xdr:cNvSpPr>
            <a:spLocks noChangeArrowheads="1"/>
          </xdr:cNvSpPr>
        </xdr:nvSpPr>
        <xdr:spPr>
          <a:xfrm>
            <a:off x="1966" y="240"/>
            <a:ext cx="722" cy="384"/>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zh-TW" altLang="en-US" sz="1200" b="0" i="0" u="none" strike="noStrike" baseline="0">
                <a:solidFill>
                  <a:srgbClr val="003366"/>
                </a:solidFill>
                <a:latin typeface="楷体_GB2312"/>
              </a:rPr>
              <a:t>需要系数</a:t>
            </a:r>
            <a:r>
              <a:rPr lang="en-US" altLang="zh-TW" sz="1200" b="0" i="0" u="none" strike="noStrike" baseline="0">
                <a:solidFill>
                  <a:srgbClr val="003366"/>
                </a:solidFill>
                <a:latin typeface="Times New Roman" panose="02020603050405020304" pitchFamily="12"/>
                <a:cs typeface="Times New Roman" panose="02020603050405020304" pitchFamily="12"/>
              </a:rPr>
              <a:t>Kd </a:t>
            </a:r>
            <a:endParaRPr lang="en-US" altLang="zh-TW" sz="1200" b="0" i="0" u="none" strike="noStrike" baseline="0">
              <a:solidFill>
                <a:srgbClr val="003366"/>
              </a:solidFill>
              <a:latin typeface="Times New Roman" panose="02020603050405020304" pitchFamily="12"/>
              <a:cs typeface="Times New Roman" panose="02020603050405020304" pitchFamily="12"/>
            </a:endParaRPr>
          </a:p>
          <a:p>
            <a:pPr algn="l" rtl="0">
              <a:lnSpc>
                <a:spcPts val="1200"/>
              </a:lnSpc>
              <a:defRPr sz="1000"/>
            </a:pPr>
            <a:endParaRPr lang="en-US" altLang="zh-TW" sz="1200" b="0" i="0" u="none" strike="noStrike" baseline="0">
              <a:solidFill>
                <a:srgbClr val="003366"/>
              </a:solidFill>
              <a:latin typeface="Times New Roman" panose="02020603050405020304" pitchFamily="12"/>
              <a:cs typeface="Times New Roman" panose="02020603050405020304" pitchFamily="12"/>
            </a:endParaRPr>
          </a:p>
        </xdr:txBody>
      </xdr:sp>
      <xdr:sp>
        <xdr:nvSpPr>
          <xdr:cNvPr id="283" name="Rectangle 75"/>
          <xdr:cNvSpPr>
            <a:spLocks noChangeArrowheads="1"/>
          </xdr:cNvSpPr>
        </xdr:nvSpPr>
        <xdr:spPr>
          <a:xfrm>
            <a:off x="144" y="240"/>
            <a:ext cx="1822" cy="384"/>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zh-TW" altLang="en-US" sz="1200" b="0" i="0" u="none" strike="noStrike" baseline="0">
                <a:solidFill>
                  <a:srgbClr val="003366"/>
                </a:solidFill>
                <a:latin typeface="楷体_GB2312"/>
              </a:rPr>
              <a:t>用电设备组名称</a:t>
            </a:r>
            <a:r>
              <a:rPr lang="zh-TW" altLang="en-US" sz="1200" b="0" i="0" u="none" strike="noStrike" baseline="0">
                <a:solidFill>
                  <a:srgbClr val="003366"/>
                </a:solidFill>
                <a:latin typeface="Times New Roman" panose="02020603050405020304" pitchFamily="12"/>
                <a:cs typeface="Times New Roman" panose="02020603050405020304" pitchFamily="12"/>
              </a:rPr>
              <a:t> </a:t>
            </a:r>
            <a:endParaRPr lang="zh-TW" altLang="en-US" sz="1200" b="0" i="0" u="none" strike="noStrike" baseline="0">
              <a:solidFill>
                <a:srgbClr val="003366"/>
              </a:solidFill>
              <a:latin typeface="楷体_GB2312"/>
            </a:endParaRPr>
          </a:p>
          <a:p>
            <a:pPr algn="l" rtl="0">
              <a:lnSpc>
                <a:spcPts val="1000"/>
              </a:lnSpc>
              <a:defRPr sz="1000"/>
            </a:pPr>
            <a:endParaRPr lang="zh-TW" altLang="en-US" sz="1200" b="0" i="0" u="none" strike="noStrike" baseline="0">
              <a:solidFill>
                <a:srgbClr val="003366"/>
              </a:solidFill>
              <a:latin typeface="楷体_GB2312"/>
            </a:endParaRPr>
          </a:p>
        </xdr:txBody>
      </xdr:sp>
      <xdr:sp>
        <xdr:nvSpPr>
          <xdr:cNvPr id="284" name="Rectangle 76"/>
          <xdr:cNvSpPr>
            <a:spLocks noChangeArrowheads="1"/>
          </xdr:cNvSpPr>
        </xdr:nvSpPr>
        <xdr:spPr>
          <a:xfrm>
            <a:off x="4994" y="3241"/>
            <a:ext cx="574"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85" name="Rectangle 77"/>
          <xdr:cNvSpPr>
            <a:spLocks noChangeArrowheads="1"/>
          </xdr:cNvSpPr>
        </xdr:nvSpPr>
        <xdr:spPr>
          <a:xfrm>
            <a:off x="4415" y="3241"/>
            <a:ext cx="580"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86" name="Rectangle 78"/>
          <xdr:cNvSpPr>
            <a:spLocks noChangeArrowheads="1"/>
          </xdr:cNvSpPr>
        </xdr:nvSpPr>
        <xdr:spPr>
          <a:xfrm>
            <a:off x="3794" y="3241"/>
            <a:ext cx="621"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87" name="Rectangle 79"/>
          <xdr:cNvSpPr>
            <a:spLocks noChangeArrowheads="1"/>
          </xdr:cNvSpPr>
        </xdr:nvSpPr>
        <xdr:spPr>
          <a:xfrm>
            <a:off x="3214" y="3241"/>
            <a:ext cx="580"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88" name="Rectangle 80"/>
          <xdr:cNvSpPr>
            <a:spLocks noChangeArrowheads="1"/>
          </xdr:cNvSpPr>
        </xdr:nvSpPr>
        <xdr:spPr>
          <a:xfrm>
            <a:off x="2687" y="3241"/>
            <a:ext cx="526"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89" name="Rectangle 81"/>
          <xdr:cNvSpPr>
            <a:spLocks noChangeArrowheads="1"/>
          </xdr:cNvSpPr>
        </xdr:nvSpPr>
        <xdr:spPr>
          <a:xfrm>
            <a:off x="1966" y="3241"/>
            <a:ext cx="722"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1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1</a:t>
            </a:r>
            <a:endParaRPr lang="en-US" altLang="zh-TW" sz="900" b="0" i="0" u="none" strike="noStrike" baseline="0">
              <a:solidFill>
                <a:srgbClr val="800080"/>
              </a:solidFill>
              <a:latin typeface="楷体_GB2312"/>
            </a:endParaRPr>
          </a:p>
          <a:p>
            <a:pPr algn="l" rtl="0">
              <a:lnSpc>
                <a:spcPts val="11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0.7</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90" name="Rectangle 82"/>
          <xdr:cNvSpPr>
            <a:spLocks noChangeArrowheads="1"/>
          </xdr:cNvSpPr>
        </xdr:nvSpPr>
        <xdr:spPr>
          <a:xfrm>
            <a:off x="144" y="3241"/>
            <a:ext cx="1822" cy="50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900" b="0" i="0" u="none" strike="noStrike" baseline="0">
                <a:solidFill>
                  <a:srgbClr val="800080"/>
                </a:solidFill>
                <a:latin typeface="楷体_GB2312"/>
              </a:rPr>
              <a:t>生产厂房、办公室、实验室照明</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变配电室、仓库照明</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生活照明</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室外照明</a:t>
            </a:r>
            <a:endParaRPr lang="zh-TW" altLang="en-US" sz="900" b="0" i="0" u="none" strike="noStrike" baseline="0">
              <a:solidFill>
                <a:srgbClr val="800080"/>
              </a:solidFill>
              <a:latin typeface="楷体_GB2312"/>
            </a:endParaRPr>
          </a:p>
          <a:p>
            <a:pPr algn="l" rtl="0">
              <a:lnSpc>
                <a:spcPts val="900"/>
              </a:lnSpc>
              <a:defRPr sz="1000"/>
            </a:pPr>
            <a:endParaRPr lang="zh-TW" altLang="en-US" sz="900" b="0" i="0" u="none" strike="noStrike" baseline="0">
              <a:solidFill>
                <a:srgbClr val="800080"/>
              </a:solidFill>
              <a:latin typeface="楷体_GB2312"/>
            </a:endParaRPr>
          </a:p>
        </xdr:txBody>
      </xdr:sp>
      <xdr:sp>
        <xdr:nvSpPr>
          <xdr:cNvPr id="291" name="Rectangle 83"/>
          <xdr:cNvSpPr>
            <a:spLocks noChangeArrowheads="1"/>
          </xdr:cNvSpPr>
        </xdr:nvSpPr>
        <xdr:spPr>
          <a:xfrm>
            <a:off x="4994" y="2857"/>
            <a:ext cx="574"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2.29</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2.68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2.68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92" name="Rectangle 84"/>
          <xdr:cNvSpPr>
            <a:spLocks noChangeArrowheads="1"/>
          </xdr:cNvSpPr>
        </xdr:nvSpPr>
        <xdr:spPr>
          <a:xfrm>
            <a:off x="4415" y="2857"/>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93" name="Rectangle 85"/>
          <xdr:cNvSpPr>
            <a:spLocks noChangeArrowheads="1"/>
          </xdr:cNvSpPr>
        </xdr:nvSpPr>
        <xdr:spPr>
          <a:xfrm>
            <a:off x="3794" y="2857"/>
            <a:ext cx="621"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94" name="Rectangle 86"/>
          <xdr:cNvSpPr>
            <a:spLocks noChangeArrowheads="1"/>
          </xdr:cNvSpPr>
        </xdr:nvSpPr>
        <xdr:spPr>
          <a:xfrm>
            <a:off x="3214" y="2857"/>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95" name="Rectangle 87"/>
          <xdr:cNvSpPr>
            <a:spLocks noChangeArrowheads="1"/>
          </xdr:cNvSpPr>
        </xdr:nvSpPr>
        <xdr:spPr>
          <a:xfrm>
            <a:off x="2687" y="2857"/>
            <a:ext cx="526"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296" name="Rectangle 88"/>
          <xdr:cNvSpPr>
            <a:spLocks noChangeArrowheads="1"/>
          </xdr:cNvSpPr>
        </xdr:nvSpPr>
        <xdr:spPr>
          <a:xfrm>
            <a:off x="1966" y="2857"/>
            <a:ext cx="7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0.4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97" name="Rectangle 89"/>
          <xdr:cNvSpPr>
            <a:spLocks noChangeArrowheads="1"/>
          </xdr:cNvSpPr>
        </xdr:nvSpPr>
        <xdr:spPr>
          <a:xfrm>
            <a:off x="144" y="2857"/>
            <a:ext cx="18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900" b="0" i="0" u="none" strike="noStrike" baseline="0">
                <a:solidFill>
                  <a:srgbClr val="800080"/>
                </a:solidFill>
                <a:latin typeface="楷体_GB2312"/>
              </a:rPr>
              <a:t>自动弧焊变压器</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单头手动弧焊变压器</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多头手动弧焊变压器</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298" name="Rectangle 90"/>
          <xdr:cNvSpPr>
            <a:spLocks noChangeArrowheads="1"/>
          </xdr:cNvSpPr>
        </xdr:nvSpPr>
        <xdr:spPr>
          <a:xfrm>
            <a:off x="4994" y="2590"/>
            <a:ext cx="574"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1.33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1.02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299" name="Rectangle 91"/>
          <xdr:cNvSpPr>
            <a:spLocks noChangeArrowheads="1"/>
          </xdr:cNvSpPr>
        </xdr:nvSpPr>
        <xdr:spPr>
          <a:xfrm>
            <a:off x="4415" y="2590"/>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00" name="Rectangle 92"/>
          <xdr:cNvSpPr>
            <a:spLocks noChangeArrowheads="1"/>
          </xdr:cNvSpPr>
        </xdr:nvSpPr>
        <xdr:spPr>
          <a:xfrm>
            <a:off x="3794" y="2590"/>
            <a:ext cx="621"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800"/>
              </a:lnSpc>
              <a:defRPr sz="1000"/>
            </a:pPr>
            <a:endParaRPr lang="en-US" altLang="zh-TW" sz="900" b="0" i="0" u="none" strike="noStrike" baseline="0">
              <a:solidFill>
                <a:srgbClr val="800080"/>
              </a:solidFill>
              <a:latin typeface="楷体_GB2312"/>
            </a:endParaRPr>
          </a:p>
        </xdr:txBody>
      </xdr:sp>
      <xdr:sp>
        <xdr:nvSpPr>
          <xdr:cNvPr id="301" name="Rectangle 93"/>
          <xdr:cNvSpPr>
            <a:spLocks noChangeArrowheads="1"/>
          </xdr:cNvSpPr>
        </xdr:nvSpPr>
        <xdr:spPr>
          <a:xfrm>
            <a:off x="3214" y="2590"/>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800"/>
              </a:lnSpc>
              <a:defRPr sz="1000"/>
            </a:pPr>
            <a:endParaRPr lang="en-US" altLang="zh-TW" sz="900" b="0" i="0" u="none" strike="noStrike" baseline="0">
              <a:solidFill>
                <a:srgbClr val="800080"/>
              </a:solidFill>
              <a:latin typeface="楷体_GB2312"/>
            </a:endParaRPr>
          </a:p>
        </xdr:txBody>
      </xdr:sp>
      <xdr:sp>
        <xdr:nvSpPr>
          <xdr:cNvPr id="302" name="Rectangle 94"/>
          <xdr:cNvSpPr>
            <a:spLocks noChangeArrowheads="1"/>
          </xdr:cNvSpPr>
        </xdr:nvSpPr>
        <xdr:spPr>
          <a:xfrm>
            <a:off x="2687" y="2590"/>
            <a:ext cx="526"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800"/>
              </a:lnSpc>
              <a:defRPr sz="1000"/>
            </a:pPr>
            <a:endParaRPr lang="en-US" altLang="zh-TW" sz="900" b="0" i="0" u="none" strike="noStrike" baseline="0">
              <a:solidFill>
                <a:srgbClr val="800080"/>
              </a:solidFill>
              <a:latin typeface="楷体_GB2312"/>
            </a:endParaRPr>
          </a:p>
        </xdr:txBody>
      </xdr:sp>
      <xdr:sp>
        <xdr:nvSpPr>
          <xdr:cNvPr id="303" name="Rectangle 95"/>
          <xdr:cNvSpPr>
            <a:spLocks noChangeArrowheads="1"/>
          </xdr:cNvSpPr>
        </xdr:nvSpPr>
        <xdr:spPr>
          <a:xfrm>
            <a:off x="1966" y="2590"/>
            <a:ext cx="7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04" name="Rectangle 96"/>
          <xdr:cNvSpPr>
            <a:spLocks noChangeArrowheads="1"/>
          </xdr:cNvSpPr>
        </xdr:nvSpPr>
        <xdr:spPr>
          <a:xfrm>
            <a:off x="144" y="2590"/>
            <a:ext cx="18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900" b="0" i="0" u="none" strike="noStrike" baseline="0">
                <a:solidFill>
                  <a:srgbClr val="800080"/>
                </a:solidFill>
                <a:latin typeface="楷体_GB2312"/>
              </a:rPr>
              <a:t>点焊机、缝焊机</a:t>
            </a:r>
            <a:endParaRPr lang="zh-TW" altLang="en-US" sz="900" b="0" i="0" u="none" strike="noStrike" baseline="0">
              <a:solidFill>
                <a:srgbClr val="800080"/>
              </a:solidFill>
              <a:latin typeface="楷体_GB2312"/>
            </a:endParaRPr>
          </a:p>
          <a:p>
            <a:pPr algn="l" rtl="0">
              <a:defRPr sz="1000"/>
            </a:pPr>
            <a:r>
              <a:rPr lang="zh-TW" altLang="en-US" sz="900" b="0" i="0" u="none" strike="noStrike" baseline="0">
                <a:solidFill>
                  <a:srgbClr val="800080"/>
                </a:solidFill>
                <a:latin typeface="楷体_GB2312"/>
              </a:rPr>
              <a:t>对焊机</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05" name="Rectangle 97"/>
          <xdr:cNvSpPr>
            <a:spLocks noChangeArrowheads="1"/>
          </xdr:cNvSpPr>
        </xdr:nvSpPr>
        <xdr:spPr>
          <a:xfrm>
            <a:off x="4994" y="2206"/>
            <a:ext cx="574"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1.33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2.68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06" name="Rectangle 98"/>
          <xdr:cNvSpPr>
            <a:spLocks noChangeArrowheads="1"/>
          </xdr:cNvSpPr>
        </xdr:nvSpPr>
        <xdr:spPr>
          <a:xfrm>
            <a:off x="4415" y="2206"/>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07" name="Rectangle 99"/>
          <xdr:cNvSpPr>
            <a:spLocks noChangeArrowheads="1"/>
          </xdr:cNvSpPr>
        </xdr:nvSpPr>
        <xdr:spPr>
          <a:xfrm>
            <a:off x="3794" y="2206"/>
            <a:ext cx="621"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308" name="Rectangle 100"/>
          <xdr:cNvSpPr>
            <a:spLocks noChangeArrowheads="1"/>
          </xdr:cNvSpPr>
        </xdr:nvSpPr>
        <xdr:spPr>
          <a:xfrm>
            <a:off x="3214" y="2206"/>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309" name="Rectangle 101"/>
          <xdr:cNvSpPr>
            <a:spLocks noChangeArrowheads="1"/>
          </xdr:cNvSpPr>
        </xdr:nvSpPr>
        <xdr:spPr>
          <a:xfrm>
            <a:off x="2687" y="2206"/>
            <a:ext cx="526"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310" name="Rectangle 102"/>
          <xdr:cNvSpPr>
            <a:spLocks noChangeArrowheads="1"/>
          </xdr:cNvSpPr>
        </xdr:nvSpPr>
        <xdr:spPr>
          <a:xfrm>
            <a:off x="1966" y="2206"/>
            <a:ext cx="7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0.9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11" name="Rectangle 103"/>
          <xdr:cNvSpPr>
            <a:spLocks noChangeArrowheads="1"/>
          </xdr:cNvSpPr>
        </xdr:nvSpPr>
        <xdr:spPr>
          <a:xfrm>
            <a:off x="144" y="2206"/>
            <a:ext cx="18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900" b="0" i="0" u="none" strike="noStrike" baseline="0">
                <a:solidFill>
                  <a:srgbClr val="800080"/>
                </a:solidFill>
                <a:latin typeface="楷体_GB2312"/>
              </a:rPr>
              <a:t>高频感应电炉（不带补偿）</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工频感应电炉（不带补偿）</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电弧熔炉</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12" name="Rectangle 104"/>
          <xdr:cNvSpPr>
            <a:spLocks noChangeArrowheads="1"/>
          </xdr:cNvSpPr>
        </xdr:nvSpPr>
        <xdr:spPr>
          <a:xfrm>
            <a:off x="4994" y="1823"/>
            <a:ext cx="574"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13" name="Rectangle 105"/>
          <xdr:cNvSpPr>
            <a:spLocks noChangeArrowheads="1"/>
          </xdr:cNvSpPr>
        </xdr:nvSpPr>
        <xdr:spPr>
          <a:xfrm>
            <a:off x="4415" y="1823"/>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0.95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0.95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1.0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14" name="Rectangle 106"/>
          <xdr:cNvSpPr>
            <a:spLocks noChangeArrowheads="1"/>
          </xdr:cNvSpPr>
        </xdr:nvSpPr>
        <xdr:spPr>
          <a:xfrm>
            <a:off x="3794" y="1823"/>
            <a:ext cx="621"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2</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315" name="Rectangle 107"/>
          <xdr:cNvSpPr>
            <a:spLocks noChangeArrowheads="1"/>
          </xdr:cNvSpPr>
        </xdr:nvSpPr>
        <xdr:spPr>
          <a:xfrm>
            <a:off x="3214" y="1823"/>
            <a:ext cx="580"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 </a:t>
            </a:r>
            <a:endParaRPr lang="en-US" altLang="zh-TW" sz="900" b="0" i="0" u="none" strike="noStrike" baseline="0">
              <a:solidFill>
                <a:srgbClr val="800080"/>
              </a:solidFill>
              <a:latin typeface="楷体_GB2312"/>
            </a:endParaRPr>
          </a:p>
          <a:p>
            <a:pPr algn="l" rtl="0">
              <a:lnSpc>
                <a:spcPts val="900"/>
              </a:lnSpc>
              <a:defRPr sz="1000"/>
            </a:pPr>
            <a:endParaRPr lang="en-US" altLang="zh-TW" sz="900" b="0" i="0" u="none" strike="noStrike" baseline="0">
              <a:solidFill>
                <a:srgbClr val="800080"/>
              </a:solidFill>
              <a:latin typeface="楷体_GB2312"/>
            </a:endParaRPr>
          </a:p>
        </xdr:txBody>
      </xdr:sp>
      <xdr:sp>
        <xdr:nvSpPr>
          <xdr:cNvPr id="316" name="Rectangle 108"/>
          <xdr:cNvSpPr>
            <a:spLocks noChangeArrowheads="1"/>
          </xdr:cNvSpPr>
        </xdr:nvSpPr>
        <xdr:spPr>
          <a:xfrm>
            <a:off x="2687" y="1823"/>
            <a:ext cx="526"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17" name="Rectangle 109"/>
          <xdr:cNvSpPr>
            <a:spLocks noChangeArrowheads="1"/>
          </xdr:cNvSpPr>
        </xdr:nvSpPr>
        <xdr:spPr>
          <a:xfrm>
            <a:off x="1966" y="1823"/>
            <a:ext cx="7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0.75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18" name="Rectangle 110"/>
          <xdr:cNvSpPr>
            <a:spLocks noChangeArrowheads="1"/>
          </xdr:cNvSpPr>
        </xdr:nvSpPr>
        <xdr:spPr>
          <a:xfrm>
            <a:off x="144" y="1823"/>
            <a:ext cx="1822" cy="38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900" b="0" i="0" u="none" strike="noStrike" baseline="0">
                <a:solidFill>
                  <a:srgbClr val="800080"/>
                </a:solidFill>
                <a:latin typeface="楷体_GB2312"/>
              </a:rPr>
              <a:t>自动装料电阻炉</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非自动装料电阻炉</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小型电阻炉、干燥箱</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19" name="Rectangle 111"/>
          <xdr:cNvSpPr>
            <a:spLocks noChangeArrowheads="1"/>
          </xdr:cNvSpPr>
        </xdr:nvSpPr>
        <xdr:spPr>
          <a:xfrm>
            <a:off x="4994" y="1555"/>
            <a:ext cx="574"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1.73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1.73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0" name="Rectangle 112"/>
          <xdr:cNvSpPr>
            <a:spLocks noChangeArrowheads="1"/>
          </xdr:cNvSpPr>
        </xdr:nvSpPr>
        <xdr:spPr>
          <a:xfrm>
            <a:off x="4415" y="1555"/>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1" name="Rectangle 113"/>
          <xdr:cNvSpPr>
            <a:spLocks noChangeArrowheads="1"/>
          </xdr:cNvSpPr>
        </xdr:nvSpPr>
        <xdr:spPr>
          <a:xfrm>
            <a:off x="3794" y="1555"/>
            <a:ext cx="621"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3</a:t>
            </a:r>
            <a:endParaRPr lang="en-US" altLang="zh-TW" sz="900" b="0" i="0" u="none" strike="noStrike" baseline="0">
              <a:solidFill>
                <a:srgbClr val="800080"/>
              </a:solidFill>
              <a:latin typeface="楷体_GB23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3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2" name="Rectangle 114"/>
          <xdr:cNvSpPr>
            <a:spLocks noChangeArrowheads="1"/>
          </xdr:cNvSpPr>
        </xdr:nvSpPr>
        <xdr:spPr>
          <a:xfrm>
            <a:off x="3214" y="1555"/>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3" name="Rectangle 115"/>
          <xdr:cNvSpPr>
            <a:spLocks noChangeArrowheads="1"/>
          </xdr:cNvSpPr>
        </xdr:nvSpPr>
        <xdr:spPr>
          <a:xfrm>
            <a:off x="2687" y="1555"/>
            <a:ext cx="526"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0.06</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0.09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4" name="Rectangle 116"/>
          <xdr:cNvSpPr>
            <a:spLocks noChangeArrowheads="1"/>
          </xdr:cNvSpPr>
        </xdr:nvSpPr>
        <xdr:spPr>
          <a:xfrm>
            <a:off x="1966" y="1555"/>
            <a:ext cx="7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0.15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0.25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5" name="Rectangle 117"/>
          <xdr:cNvSpPr>
            <a:spLocks noChangeArrowheads="1"/>
          </xdr:cNvSpPr>
        </xdr:nvSpPr>
        <xdr:spPr>
          <a:xfrm>
            <a:off x="144" y="1555"/>
            <a:ext cx="18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900" b="0" i="0" u="none" strike="noStrike" baseline="0">
                <a:solidFill>
                  <a:srgbClr val="800080"/>
                </a:solidFill>
                <a:latin typeface="楷体_GB2312"/>
              </a:rPr>
              <a:t>锅炉房和机加、机修、装配车间的吊车</a:t>
            </a:r>
            <a:endParaRPr lang="zh-TW" altLang="en-US" sz="900" b="0" i="0" u="none" strike="noStrike" baseline="0">
              <a:solidFill>
                <a:srgbClr val="800080"/>
              </a:solidFill>
              <a:latin typeface="楷体_GB2312"/>
            </a:endParaRPr>
          </a:p>
          <a:p>
            <a:pPr algn="l" rtl="0">
              <a:defRPr sz="1000"/>
            </a:pPr>
            <a:r>
              <a:rPr lang="zh-TW" altLang="en-US" sz="900" b="0" i="0" u="none" strike="noStrike" baseline="0">
                <a:solidFill>
                  <a:srgbClr val="800080"/>
                </a:solidFill>
                <a:latin typeface="楷体_GB2312"/>
              </a:rPr>
              <a:t>铸造车间吊车</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26" name="Rectangle 118"/>
          <xdr:cNvSpPr>
            <a:spLocks noChangeArrowheads="1"/>
          </xdr:cNvSpPr>
        </xdr:nvSpPr>
        <xdr:spPr>
          <a:xfrm>
            <a:off x="4994" y="1288"/>
            <a:ext cx="574"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0.88</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0.88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7" name="Rectangle 119"/>
          <xdr:cNvSpPr>
            <a:spLocks noChangeArrowheads="1"/>
          </xdr:cNvSpPr>
        </xdr:nvSpPr>
        <xdr:spPr>
          <a:xfrm>
            <a:off x="4415" y="1288"/>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8" name="Rectangle 120"/>
          <xdr:cNvSpPr>
            <a:spLocks noChangeArrowheads="1"/>
          </xdr:cNvSpPr>
        </xdr:nvSpPr>
        <xdr:spPr>
          <a:xfrm>
            <a:off x="3794" y="1288"/>
            <a:ext cx="621"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a:t>
            </a:r>
            <a:endParaRPr lang="en-US" altLang="zh-TW" sz="900" b="0" i="0" u="none" strike="noStrike" baseline="0">
              <a:solidFill>
                <a:srgbClr val="800080"/>
              </a:solidFill>
              <a:latin typeface="楷体_GB23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29" name="Rectangle 121"/>
          <xdr:cNvSpPr>
            <a:spLocks noChangeArrowheads="1"/>
          </xdr:cNvSpPr>
        </xdr:nvSpPr>
        <xdr:spPr>
          <a:xfrm>
            <a:off x="3214" y="1288"/>
            <a:ext cx="580"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0" name="Rectangle 122"/>
          <xdr:cNvSpPr>
            <a:spLocks noChangeArrowheads="1"/>
          </xdr:cNvSpPr>
        </xdr:nvSpPr>
        <xdr:spPr>
          <a:xfrm>
            <a:off x="2687" y="1288"/>
            <a:ext cx="526"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1" name="Rectangle 123"/>
          <xdr:cNvSpPr>
            <a:spLocks noChangeArrowheads="1"/>
          </xdr:cNvSpPr>
        </xdr:nvSpPr>
        <xdr:spPr>
          <a:xfrm>
            <a:off x="1966" y="1288"/>
            <a:ext cx="7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0.6</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2" name="Rectangle 124"/>
          <xdr:cNvSpPr>
            <a:spLocks noChangeArrowheads="1"/>
          </xdr:cNvSpPr>
        </xdr:nvSpPr>
        <xdr:spPr>
          <a:xfrm>
            <a:off x="144" y="1288"/>
            <a:ext cx="1822" cy="267"/>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900" b="0" i="0" u="none" strike="noStrike" baseline="0">
                <a:solidFill>
                  <a:srgbClr val="800080"/>
                </a:solidFill>
                <a:latin typeface="楷体_GB2312"/>
              </a:rPr>
              <a:t>非联锁的连续运输机械</a:t>
            </a:r>
            <a:endParaRPr lang="zh-TW" altLang="en-US" sz="900" b="0" i="0" u="none" strike="noStrike" baseline="0">
              <a:solidFill>
                <a:srgbClr val="800080"/>
              </a:solidFill>
              <a:latin typeface="楷体_GB2312"/>
            </a:endParaRPr>
          </a:p>
          <a:p>
            <a:pPr algn="l" rtl="0">
              <a:defRPr sz="1000"/>
            </a:pPr>
            <a:r>
              <a:rPr lang="zh-TW" altLang="en-US" sz="900" b="0" i="0" u="none" strike="noStrike" baseline="0">
                <a:solidFill>
                  <a:srgbClr val="800080"/>
                </a:solidFill>
                <a:latin typeface="楷体_GB2312"/>
              </a:rPr>
              <a:t>联锁的连续运输机械</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33" name="Rectangle 125"/>
          <xdr:cNvSpPr>
            <a:spLocks noChangeArrowheads="1"/>
          </xdr:cNvSpPr>
        </xdr:nvSpPr>
        <xdr:spPr>
          <a:xfrm>
            <a:off x="4994" y="1117"/>
            <a:ext cx="574"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4" name="Rectangle 126"/>
          <xdr:cNvSpPr>
            <a:spLocks noChangeArrowheads="1"/>
          </xdr:cNvSpPr>
        </xdr:nvSpPr>
        <xdr:spPr>
          <a:xfrm>
            <a:off x="4415" y="1117"/>
            <a:ext cx="580"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0.8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5" name="Rectangle 127"/>
          <xdr:cNvSpPr>
            <a:spLocks noChangeArrowheads="1"/>
          </xdr:cNvSpPr>
        </xdr:nvSpPr>
        <xdr:spPr>
          <a:xfrm>
            <a:off x="3794" y="1117"/>
            <a:ext cx="621"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6" name="Rectangle 128"/>
          <xdr:cNvSpPr>
            <a:spLocks noChangeArrowheads="1"/>
          </xdr:cNvSpPr>
        </xdr:nvSpPr>
        <xdr:spPr>
          <a:xfrm>
            <a:off x="3214" y="1117"/>
            <a:ext cx="580"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7" name="Rectangle 129"/>
          <xdr:cNvSpPr>
            <a:spLocks noChangeArrowheads="1"/>
          </xdr:cNvSpPr>
        </xdr:nvSpPr>
        <xdr:spPr>
          <a:xfrm>
            <a:off x="2687" y="1117"/>
            <a:ext cx="526"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8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8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8" name="Rectangle 130"/>
          <xdr:cNvSpPr>
            <a:spLocks noChangeArrowheads="1"/>
          </xdr:cNvSpPr>
        </xdr:nvSpPr>
        <xdr:spPr>
          <a:xfrm>
            <a:off x="1966" y="1117"/>
            <a:ext cx="722"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0.7</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0.8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39" name="Rectangle 131"/>
          <xdr:cNvSpPr>
            <a:spLocks noChangeArrowheads="1"/>
          </xdr:cNvSpPr>
        </xdr:nvSpPr>
        <xdr:spPr>
          <a:xfrm>
            <a:off x="144" y="1117"/>
            <a:ext cx="1822" cy="17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900" b="0" i="0" u="none" strike="noStrike" baseline="0">
                <a:solidFill>
                  <a:srgbClr val="800080"/>
                </a:solidFill>
                <a:latin typeface="楷体_GB2312"/>
              </a:rPr>
              <a:t>通风机、水泵、空压机</a:t>
            </a:r>
            <a:r>
              <a:rPr lang="zh-TW" altLang="en-US" sz="900" b="0" i="0" u="none" strike="noStrike" baseline="0">
                <a:solidFill>
                  <a:srgbClr val="800080"/>
                </a:solidFill>
                <a:latin typeface="Times New Roman" panose="02020603050405020304" pitchFamily="12"/>
                <a:cs typeface="Times New Roman" panose="02020603050405020304" pitchFamily="12"/>
              </a:rPr>
              <a:t> </a:t>
            </a:r>
            <a:endParaRPr lang="zh-TW" altLang="en-US" sz="900" b="0" i="0" u="none" strike="noStrike" baseline="0">
              <a:solidFill>
                <a:srgbClr val="800080"/>
              </a:solidFill>
              <a:latin typeface="楷体_GB2312"/>
            </a:endParaRPr>
          </a:p>
          <a:p>
            <a:pPr algn="l" rtl="0">
              <a:defRPr sz="1000"/>
            </a:pPr>
            <a:endParaRPr lang="zh-TW" altLang="en-US" sz="900" b="0" i="0" u="none" strike="noStrike" baseline="0">
              <a:solidFill>
                <a:srgbClr val="800080"/>
              </a:solidFill>
              <a:latin typeface="楷体_GB2312"/>
            </a:endParaRPr>
          </a:p>
        </xdr:txBody>
      </xdr:sp>
      <xdr:sp>
        <xdr:nvSpPr>
          <xdr:cNvPr id="340" name="Rectangle 132"/>
          <xdr:cNvSpPr>
            <a:spLocks noChangeArrowheads="1"/>
          </xdr:cNvSpPr>
        </xdr:nvSpPr>
        <xdr:spPr>
          <a:xfrm>
            <a:off x="4994" y="624"/>
            <a:ext cx="574"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1.73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1.73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1.33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1.17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1" name="Rectangle 133"/>
          <xdr:cNvSpPr>
            <a:spLocks noChangeArrowheads="1"/>
          </xdr:cNvSpPr>
        </xdr:nvSpPr>
        <xdr:spPr>
          <a:xfrm>
            <a:off x="4415" y="624"/>
            <a:ext cx="580"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0.65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2" name="Rectangle 134"/>
          <xdr:cNvSpPr>
            <a:spLocks noChangeArrowheads="1"/>
          </xdr:cNvSpPr>
        </xdr:nvSpPr>
        <xdr:spPr>
          <a:xfrm>
            <a:off x="3794" y="624"/>
            <a:ext cx="621"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a:t>
            </a:r>
            <a:endParaRPr lang="en-US" altLang="zh-TW" sz="900" b="0" i="0" u="none" strike="noStrike" baseline="0">
              <a:solidFill>
                <a:srgbClr val="800080"/>
              </a:solidFill>
              <a:latin typeface="楷体_GB23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a:t>
            </a:r>
            <a:endParaRPr lang="en-US" altLang="zh-TW" sz="900" b="0" i="0" u="none" strike="noStrike" baseline="0">
              <a:solidFill>
                <a:srgbClr val="800080"/>
              </a:solidFill>
              <a:latin typeface="楷体_GB23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3" name="Rectangle 135"/>
          <xdr:cNvSpPr>
            <a:spLocks noChangeArrowheads="1"/>
          </xdr:cNvSpPr>
        </xdr:nvSpPr>
        <xdr:spPr>
          <a:xfrm>
            <a:off x="3214" y="624"/>
            <a:ext cx="580"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4" name="Rectangle 136"/>
          <xdr:cNvSpPr>
            <a:spLocks noChangeArrowheads="1"/>
          </xdr:cNvSpPr>
        </xdr:nvSpPr>
        <xdr:spPr>
          <a:xfrm>
            <a:off x="2687" y="624"/>
            <a:ext cx="526"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0.24</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0.26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5" name="Rectangle 137"/>
          <xdr:cNvSpPr>
            <a:spLocks noChangeArrowheads="1"/>
          </xdr:cNvSpPr>
        </xdr:nvSpPr>
        <xdr:spPr>
          <a:xfrm>
            <a:off x="1966" y="624"/>
            <a:ext cx="722"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1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0.16</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0.2</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1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0.18</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0.25</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0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0.25</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0.3</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1100"/>
              </a:lnSpc>
              <a:defRPr sz="1000"/>
            </a:pPr>
            <a:r>
              <a:rPr lang="en-US" altLang="zh-TW" sz="900" b="0" i="0" u="none" strike="noStrike" baseline="0">
                <a:solidFill>
                  <a:srgbClr val="800080"/>
                </a:solidFill>
                <a:latin typeface="Times New Roman" panose="02020603050405020304" pitchFamily="12"/>
                <a:cs typeface="Times New Roman" panose="02020603050405020304" pitchFamily="12"/>
              </a:rPr>
              <a:t>0.3</a:t>
            </a:r>
            <a:r>
              <a:rPr lang="zh-TW" altLang="en-US" sz="900" b="0" i="0" u="none" strike="noStrike" baseline="0">
                <a:solidFill>
                  <a:srgbClr val="800080"/>
                </a:solidFill>
                <a:latin typeface="楷体_GB2312"/>
              </a:rPr>
              <a:t>～</a:t>
            </a:r>
            <a:r>
              <a:rPr lang="en-US" altLang="zh-TW" sz="900" b="0" i="0" u="none" strike="noStrike" baseline="0">
                <a:solidFill>
                  <a:srgbClr val="800080"/>
                </a:solidFill>
                <a:latin typeface="Times New Roman" panose="02020603050405020304" pitchFamily="12"/>
                <a:cs typeface="Times New Roman" panose="02020603050405020304" pitchFamily="12"/>
              </a:rPr>
              <a:t>0.35 </a:t>
            </a:r>
            <a:endParaRPr lang="en-US" altLang="zh-TW" sz="900" b="0" i="0" u="none" strike="noStrike" baseline="0">
              <a:solidFill>
                <a:srgbClr val="800080"/>
              </a:solidFill>
              <a:latin typeface="Times New Roman" panose="02020603050405020304" pitchFamily="12"/>
              <a:cs typeface="Times New Roman" panose="02020603050405020304" pitchFamily="12"/>
            </a:endParaRPr>
          </a:p>
          <a:p>
            <a:pPr algn="l" rtl="0">
              <a:lnSpc>
                <a:spcPts val="900"/>
              </a:lnSpc>
              <a:defRPr sz="1000"/>
            </a:pPr>
            <a:endParaRPr lang="en-US" altLang="zh-TW" sz="9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46" name="Rectangle 138"/>
          <xdr:cNvSpPr>
            <a:spLocks noChangeArrowheads="1"/>
          </xdr:cNvSpPr>
        </xdr:nvSpPr>
        <xdr:spPr>
          <a:xfrm>
            <a:off x="144" y="624"/>
            <a:ext cx="1822" cy="493"/>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000"/>
              </a:lnSpc>
              <a:defRPr sz="1000"/>
            </a:pPr>
            <a:r>
              <a:rPr lang="zh-TW" altLang="en-US" sz="900" b="0" i="0" u="none" strike="noStrike" baseline="0">
                <a:solidFill>
                  <a:srgbClr val="800080"/>
                </a:solidFill>
                <a:latin typeface="楷体_GB2312"/>
              </a:rPr>
              <a:t>小批量生产金属冷加工机床</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大批量生产金属冷加工机床</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小批量生产金属热加工机床</a:t>
            </a:r>
            <a:endParaRPr lang="zh-TW" altLang="en-US" sz="900" b="0" i="0" u="none" strike="noStrike" baseline="0">
              <a:solidFill>
                <a:srgbClr val="800080"/>
              </a:solidFill>
              <a:latin typeface="楷体_GB2312"/>
            </a:endParaRPr>
          </a:p>
          <a:p>
            <a:pPr algn="l" rtl="0">
              <a:lnSpc>
                <a:spcPts val="1000"/>
              </a:lnSpc>
              <a:defRPr sz="1000"/>
            </a:pPr>
            <a:r>
              <a:rPr lang="zh-TW" altLang="en-US" sz="900" b="0" i="0" u="none" strike="noStrike" baseline="0">
                <a:solidFill>
                  <a:srgbClr val="800080"/>
                </a:solidFill>
                <a:latin typeface="楷体_GB2312"/>
              </a:rPr>
              <a:t>大批量生产金属热加工机床</a:t>
            </a:r>
            <a:r>
              <a:rPr lang="zh-TW" altLang="en-US" sz="900" b="0" i="0" u="none" strike="noStrike" baseline="0">
                <a:solidFill>
                  <a:srgbClr val="800080"/>
                </a:solidFill>
                <a:latin typeface="Times New Roman" panose="02020603050405020304" pitchFamily="12"/>
                <a:cs typeface="Times New Roman" panose="02020603050405020304" pitchFamily="12"/>
              </a:rPr>
              <a:t> </a:t>
            </a:r>
            <a:endParaRPr lang="zh-TW" altLang="en-US" sz="900" b="0" i="0" u="none" strike="noStrike" baseline="0">
              <a:solidFill>
                <a:srgbClr val="800080"/>
              </a:solidFill>
              <a:latin typeface="楷体_GB2312"/>
            </a:endParaRPr>
          </a:p>
          <a:p>
            <a:pPr algn="l" rtl="0">
              <a:lnSpc>
                <a:spcPts val="800"/>
              </a:lnSpc>
              <a:defRPr sz="1000"/>
            </a:pPr>
            <a:endParaRPr lang="zh-TW" altLang="en-US" sz="900" b="0" i="0" u="none" strike="noStrike" baseline="0">
              <a:solidFill>
                <a:srgbClr val="800080"/>
              </a:solidFill>
              <a:latin typeface="楷体_GB2312"/>
            </a:endParaRPr>
          </a:p>
        </xdr:txBody>
      </xdr:sp>
      <xdr:sp>
        <xdr:nvSpPr>
          <xdr:cNvPr id="347" name="Rectangle 139"/>
          <xdr:cNvSpPr>
            <a:spLocks noChangeArrowheads="1"/>
          </xdr:cNvSpPr>
        </xdr:nvSpPr>
        <xdr:spPr>
          <a:xfrm>
            <a:off x="3214" y="432"/>
            <a:ext cx="580" cy="19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en-US" altLang="zh-TW" sz="1200" b="0" i="0" u="none" strike="noStrike" baseline="0">
                <a:solidFill>
                  <a:srgbClr val="003366"/>
                </a:solidFill>
                <a:latin typeface="Times New Roman" panose="02020603050405020304" pitchFamily="12"/>
                <a:cs typeface="Times New Roman" panose="02020603050405020304" pitchFamily="12"/>
              </a:rPr>
              <a:t>b</a:t>
            </a:r>
            <a:endParaRPr lang="en-US" altLang="zh-TW" sz="1200" b="0" i="0" u="none" strike="noStrike" baseline="0">
              <a:solidFill>
                <a:srgbClr val="003366"/>
              </a:solidFill>
              <a:latin typeface="楷体_GB2312"/>
            </a:endParaRPr>
          </a:p>
          <a:p>
            <a:pPr algn="l" rtl="0">
              <a:lnSpc>
                <a:spcPts val="1100"/>
              </a:lnSpc>
              <a:defRPr sz="1000"/>
            </a:pPr>
            <a:endParaRPr lang="en-US" altLang="zh-TW" sz="1200" b="0" i="0" u="none" strike="noStrike" baseline="0">
              <a:solidFill>
                <a:srgbClr val="003366"/>
              </a:solidFill>
              <a:latin typeface="楷体_GB2312"/>
            </a:endParaRPr>
          </a:p>
        </xdr:txBody>
      </xdr:sp>
      <xdr:sp>
        <xdr:nvSpPr>
          <xdr:cNvPr id="348" name="Rectangle 140"/>
          <xdr:cNvSpPr>
            <a:spLocks noChangeArrowheads="1"/>
          </xdr:cNvSpPr>
        </xdr:nvSpPr>
        <xdr:spPr>
          <a:xfrm>
            <a:off x="2687" y="432"/>
            <a:ext cx="526" cy="192"/>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1300"/>
              </a:lnSpc>
              <a:defRPr sz="1000"/>
            </a:pPr>
            <a:r>
              <a:rPr lang="en-US" altLang="zh-TW" sz="1200" b="0" i="0" u="none" strike="noStrike" baseline="0">
                <a:solidFill>
                  <a:srgbClr val="003366"/>
                </a:solidFill>
                <a:latin typeface="Times New Roman" panose="02020603050405020304" pitchFamily="12"/>
                <a:cs typeface="Times New Roman" panose="02020603050405020304" pitchFamily="12"/>
              </a:rPr>
              <a:t>a</a:t>
            </a:r>
            <a:endParaRPr lang="en-US" altLang="zh-TW" sz="1200" b="0" i="0" u="none" strike="noStrike" baseline="0">
              <a:solidFill>
                <a:srgbClr val="003366"/>
              </a:solidFill>
              <a:latin typeface="楷体_GB2312"/>
            </a:endParaRPr>
          </a:p>
          <a:p>
            <a:pPr algn="l" rtl="0">
              <a:lnSpc>
                <a:spcPts val="1100"/>
              </a:lnSpc>
              <a:defRPr sz="1000"/>
            </a:pPr>
            <a:endParaRPr lang="en-US" altLang="zh-TW" sz="1200" b="0" i="0" u="none" strike="noStrike" baseline="0">
              <a:solidFill>
                <a:srgbClr val="003366"/>
              </a:solidFill>
              <a:latin typeface="楷体_GB2312"/>
            </a:endParaRPr>
          </a:p>
        </xdr:txBody>
      </xdr:sp>
      <xdr:sp>
        <xdr:nvSpPr>
          <xdr:cNvPr id="349" name="Line 141"/>
          <xdr:cNvSpPr>
            <a:spLocks noChangeShapeType="1"/>
          </xdr:cNvSpPr>
        </xdr:nvSpPr>
        <xdr:spPr>
          <a:xfrm>
            <a:off x="144" y="240"/>
            <a:ext cx="5424"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0" name="Line 142"/>
          <xdr:cNvSpPr>
            <a:spLocks noChangeShapeType="1"/>
          </xdr:cNvSpPr>
        </xdr:nvSpPr>
        <xdr:spPr>
          <a:xfrm>
            <a:off x="144" y="622"/>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1" name="Line 143"/>
          <xdr:cNvSpPr>
            <a:spLocks noChangeShapeType="1"/>
          </xdr:cNvSpPr>
        </xdr:nvSpPr>
        <xdr:spPr>
          <a:xfrm>
            <a:off x="144" y="1120"/>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2" name="Line 144"/>
          <xdr:cNvSpPr>
            <a:spLocks noChangeShapeType="1"/>
          </xdr:cNvSpPr>
        </xdr:nvSpPr>
        <xdr:spPr>
          <a:xfrm>
            <a:off x="144" y="1290"/>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3" name="Line 145"/>
          <xdr:cNvSpPr>
            <a:spLocks noChangeShapeType="1"/>
          </xdr:cNvSpPr>
        </xdr:nvSpPr>
        <xdr:spPr>
          <a:xfrm>
            <a:off x="144" y="1558"/>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4" name="Line 146"/>
          <xdr:cNvSpPr>
            <a:spLocks noChangeShapeType="1"/>
          </xdr:cNvSpPr>
        </xdr:nvSpPr>
        <xdr:spPr>
          <a:xfrm>
            <a:off x="144" y="1826"/>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5" name="Line 147"/>
          <xdr:cNvSpPr>
            <a:spLocks noChangeShapeType="1"/>
          </xdr:cNvSpPr>
        </xdr:nvSpPr>
        <xdr:spPr>
          <a:xfrm>
            <a:off x="144" y="2209"/>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6" name="Line 148"/>
          <xdr:cNvSpPr>
            <a:spLocks noChangeShapeType="1"/>
          </xdr:cNvSpPr>
        </xdr:nvSpPr>
        <xdr:spPr>
          <a:xfrm>
            <a:off x="144" y="2592"/>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7" name="Line 149"/>
          <xdr:cNvSpPr>
            <a:spLocks noChangeShapeType="1"/>
          </xdr:cNvSpPr>
        </xdr:nvSpPr>
        <xdr:spPr>
          <a:xfrm>
            <a:off x="144" y="2860"/>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8" name="Line 150"/>
          <xdr:cNvSpPr>
            <a:spLocks noChangeShapeType="1"/>
          </xdr:cNvSpPr>
        </xdr:nvSpPr>
        <xdr:spPr>
          <a:xfrm>
            <a:off x="144" y="3243"/>
            <a:ext cx="542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59" name="Line 151"/>
          <xdr:cNvSpPr>
            <a:spLocks noChangeShapeType="1"/>
          </xdr:cNvSpPr>
        </xdr:nvSpPr>
        <xdr:spPr>
          <a:xfrm>
            <a:off x="144" y="3741"/>
            <a:ext cx="5424"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0" name="Line 152"/>
          <xdr:cNvSpPr>
            <a:spLocks noChangeShapeType="1"/>
          </xdr:cNvSpPr>
        </xdr:nvSpPr>
        <xdr:spPr>
          <a:xfrm>
            <a:off x="144" y="240"/>
            <a:ext cx="0" cy="3501"/>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1" name="Line 153"/>
          <xdr:cNvSpPr>
            <a:spLocks noChangeShapeType="1"/>
          </xdr:cNvSpPr>
        </xdr:nvSpPr>
        <xdr:spPr>
          <a:xfrm>
            <a:off x="1968" y="240"/>
            <a:ext cx="0" cy="3501"/>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2" name="Line 154"/>
          <xdr:cNvSpPr>
            <a:spLocks noChangeShapeType="1"/>
          </xdr:cNvSpPr>
        </xdr:nvSpPr>
        <xdr:spPr>
          <a:xfrm>
            <a:off x="2688" y="240"/>
            <a:ext cx="0" cy="3501"/>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3" name="Line 155"/>
          <xdr:cNvSpPr>
            <a:spLocks noChangeShapeType="1"/>
          </xdr:cNvSpPr>
        </xdr:nvSpPr>
        <xdr:spPr>
          <a:xfrm>
            <a:off x="3792" y="240"/>
            <a:ext cx="0" cy="3501"/>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4" name="Line 156"/>
          <xdr:cNvSpPr>
            <a:spLocks noChangeShapeType="1"/>
          </xdr:cNvSpPr>
        </xdr:nvSpPr>
        <xdr:spPr>
          <a:xfrm>
            <a:off x="4416" y="240"/>
            <a:ext cx="0" cy="3501"/>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5" name="Line 157"/>
          <xdr:cNvSpPr>
            <a:spLocks noChangeShapeType="1"/>
          </xdr:cNvSpPr>
        </xdr:nvSpPr>
        <xdr:spPr>
          <a:xfrm>
            <a:off x="4992" y="240"/>
            <a:ext cx="0" cy="3501"/>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6" name="Line 158"/>
          <xdr:cNvSpPr>
            <a:spLocks noChangeShapeType="1"/>
          </xdr:cNvSpPr>
        </xdr:nvSpPr>
        <xdr:spPr>
          <a:xfrm>
            <a:off x="5568" y="240"/>
            <a:ext cx="0" cy="3501"/>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7" name="Line 159"/>
          <xdr:cNvSpPr>
            <a:spLocks noChangeShapeType="1"/>
          </xdr:cNvSpPr>
        </xdr:nvSpPr>
        <xdr:spPr>
          <a:xfrm>
            <a:off x="3216" y="431"/>
            <a:ext cx="0" cy="331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68" name="Line 160"/>
          <xdr:cNvSpPr>
            <a:spLocks noChangeShapeType="1"/>
          </xdr:cNvSpPr>
        </xdr:nvSpPr>
        <xdr:spPr>
          <a:xfrm>
            <a:off x="2688" y="431"/>
            <a:ext cx="1104"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grpSp>
    <xdr:clientData/>
  </xdr:twoCellAnchor>
  <xdr:twoCellAnchor>
    <xdr:from>
      <xdr:col>0</xdr:col>
      <xdr:colOff>57150</xdr:colOff>
      <xdr:row>61</xdr:row>
      <xdr:rowOff>57150</xdr:rowOff>
    </xdr:from>
    <xdr:to>
      <xdr:col>12</xdr:col>
      <xdr:colOff>609600</xdr:colOff>
      <xdr:row>84</xdr:row>
      <xdr:rowOff>152400</xdr:rowOff>
    </xdr:to>
    <xdr:grpSp>
      <xdr:nvGrpSpPr>
        <xdr:cNvPr id="369" name="Group 274"/>
        <xdr:cNvGrpSpPr/>
      </xdr:nvGrpSpPr>
      <xdr:grpSpPr>
        <a:xfrm>
          <a:off x="57150" y="12531090"/>
          <a:ext cx="8782050" cy="4652010"/>
          <a:chOff x="113" y="1117"/>
          <a:chExt cx="5534" cy="2683"/>
        </a:xfrm>
      </xdr:grpSpPr>
      <xdr:sp>
        <xdr:nvSpPr>
          <xdr:cNvPr id="370" name="Rectangle 162"/>
          <xdr:cNvSpPr>
            <a:spLocks noChangeArrowheads="1"/>
          </xdr:cNvSpPr>
        </xdr:nvSpPr>
        <xdr:spPr>
          <a:xfrm>
            <a:off x="4711" y="1519"/>
            <a:ext cx="936" cy="228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0.75</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0.88</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1.77</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1.02</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1.02</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1.98</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a:t>
            </a:r>
            <a:endParaRPr lang="en-US" altLang="zh-TW" sz="1800" b="0" i="0" u="none" strike="noStrike" baseline="0">
              <a:solidFill>
                <a:srgbClr val="000000"/>
              </a:solidFill>
              <a:latin typeface="楷体_GB2312"/>
            </a:endParaRPr>
          </a:p>
          <a:p>
            <a:pPr algn="l" rtl="0">
              <a:lnSpc>
                <a:spcPts val="21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a:t>
            </a:r>
            <a:endParaRPr lang="en-US" altLang="zh-TW" sz="1800" b="0" i="0" u="none" strike="noStrike" baseline="0">
              <a:solidFill>
                <a:srgbClr val="000000"/>
              </a:solidFill>
              <a:latin typeface="楷体_GB2312"/>
            </a:endParaRPr>
          </a:p>
          <a:p>
            <a:pPr algn="l" rtl="0">
              <a:lnSpc>
                <a:spcPts val="1900"/>
              </a:lnSpc>
              <a:defRPr sz="1000"/>
            </a:pPr>
            <a:endParaRPr lang="en-US" altLang="zh-TW" sz="1800" b="0" i="0" u="none" strike="noStrike" baseline="0">
              <a:solidFill>
                <a:srgbClr val="000000"/>
              </a:solidFill>
              <a:latin typeface="楷体_GB2312"/>
            </a:endParaRPr>
          </a:p>
        </xdr:txBody>
      </xdr:sp>
      <xdr:sp>
        <xdr:nvSpPr>
          <xdr:cNvPr id="371" name="Rectangle 163"/>
          <xdr:cNvSpPr>
            <a:spLocks noChangeArrowheads="1"/>
          </xdr:cNvSpPr>
        </xdr:nvSpPr>
        <xdr:spPr>
          <a:xfrm>
            <a:off x="3780" y="1519"/>
            <a:ext cx="930" cy="228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0.80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0.75</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0.65</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0.45</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a:t>
            </a:r>
            <a:endParaRPr lang="en-US" altLang="zh-TW" sz="1800" b="0" i="0" u="none" strike="noStrike" baseline="0">
              <a:solidFill>
                <a:srgbClr val="000000"/>
              </a:solidFill>
              <a:latin typeface="楷体_GB2312"/>
            </a:endParaRPr>
          </a:p>
          <a:p>
            <a:pPr algn="l" rtl="0">
              <a:lnSpc>
                <a:spcPts val="21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a:t>
            </a:r>
            <a:endParaRPr lang="en-US" altLang="zh-TW" sz="1800" b="0" i="0" u="none" strike="noStrike" baseline="0">
              <a:solidFill>
                <a:srgbClr val="000000"/>
              </a:solidFill>
              <a:latin typeface="楷体_GB2312"/>
            </a:endParaRPr>
          </a:p>
          <a:p>
            <a:pPr algn="l" rtl="0">
              <a:lnSpc>
                <a:spcPts val="1900"/>
              </a:lnSpc>
              <a:defRPr sz="1000"/>
            </a:pPr>
            <a:endParaRPr lang="en-US" altLang="zh-TW" sz="1800" b="0" i="0" u="none" strike="noStrike" baseline="0">
              <a:solidFill>
                <a:srgbClr val="000000"/>
              </a:solidFill>
              <a:latin typeface="楷体_GB2312"/>
            </a:endParaRPr>
          </a:p>
        </xdr:txBody>
      </xdr:sp>
      <xdr:sp>
        <xdr:nvSpPr>
          <xdr:cNvPr id="372" name="Rectangle 164"/>
          <xdr:cNvSpPr>
            <a:spLocks noChangeArrowheads="1"/>
          </xdr:cNvSpPr>
        </xdr:nvSpPr>
        <xdr:spPr>
          <a:xfrm>
            <a:off x="2490" y="1519"/>
            <a:ext cx="1290" cy="228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0.75</a:t>
            </a:r>
            <a:r>
              <a:rPr lang="zh-TW" altLang="en-US" sz="1800" b="0" i="0" u="none" strike="noStrike" baseline="0">
                <a:solidFill>
                  <a:srgbClr val="000000"/>
                </a:solidFill>
                <a:latin typeface="楷体_GB2312"/>
              </a:rPr>
              <a:t>～</a:t>
            </a:r>
            <a:r>
              <a:rPr lang="en-US" altLang="zh-TW" sz="1800" b="0" i="0" u="none" strike="noStrike" baseline="0">
                <a:solidFill>
                  <a:srgbClr val="000000"/>
                </a:solidFill>
                <a:latin typeface="宋体" panose="02010600030101010101" pitchFamily="7" charset="-122"/>
                <a:ea typeface="宋体" panose="02010600030101010101" pitchFamily="7" charset="-122"/>
              </a:rPr>
              <a:t>0.85</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0.52</a:t>
            </a:r>
            <a:r>
              <a:rPr lang="zh-TW" altLang="en-US" sz="1800" b="0" i="0" u="none" strike="noStrike" baseline="0">
                <a:solidFill>
                  <a:srgbClr val="000000"/>
                </a:solidFill>
                <a:latin typeface="楷体_GB2312"/>
              </a:rPr>
              <a:t>～</a:t>
            </a:r>
            <a:r>
              <a:rPr lang="en-US" altLang="zh-TW" sz="1800" b="0" i="0" u="none" strike="noStrike" baseline="0">
                <a:solidFill>
                  <a:srgbClr val="000000"/>
                </a:solidFill>
                <a:latin typeface="宋体" panose="02010600030101010101" pitchFamily="7" charset="-122"/>
                <a:ea typeface="宋体" panose="02010600030101010101" pitchFamily="7" charset="-122"/>
              </a:rPr>
              <a:t>0.60</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0.65</a:t>
            </a:r>
            <a:r>
              <a:rPr lang="zh-TW" altLang="en-US" sz="1800" b="0" i="0" u="none" strike="noStrike" baseline="0">
                <a:solidFill>
                  <a:srgbClr val="000000"/>
                </a:solidFill>
                <a:latin typeface="楷体_GB2312"/>
              </a:rPr>
              <a:t>～</a:t>
            </a: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0.25</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0.45</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0.80</a:t>
            </a:r>
            <a:endParaRPr lang="en-US" altLang="zh-TW" sz="1800" b="0" i="0" u="none" strike="noStrike" baseline="0">
              <a:solidFill>
                <a:srgbClr val="000000"/>
              </a:solidFill>
              <a:latin typeface="楷体_GB2312"/>
            </a:endParaRPr>
          </a:p>
          <a:p>
            <a:pPr algn="l" rtl="0">
              <a:lnSpc>
                <a:spcPts val="23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0.40</a:t>
            </a:r>
            <a:r>
              <a:rPr lang="zh-TW" altLang="en-US" sz="1800" b="0" i="0" u="none" strike="noStrike" baseline="0">
                <a:solidFill>
                  <a:srgbClr val="000000"/>
                </a:solidFill>
                <a:latin typeface="楷体_GB2312"/>
              </a:rPr>
              <a:t>～</a:t>
            </a: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0.50</a:t>
            </a:r>
            <a:r>
              <a:rPr lang="zh-TW" altLang="en-US" sz="1800" b="0" i="0" u="none" strike="noStrike" baseline="0">
                <a:solidFill>
                  <a:srgbClr val="000000"/>
                </a:solidFill>
                <a:latin typeface="楷体_GB2312"/>
              </a:rPr>
              <a:t>～</a:t>
            </a:r>
            <a:r>
              <a:rPr lang="en-US" altLang="zh-TW" sz="1800" b="0" i="0" u="none" strike="noStrike" baseline="0">
                <a:solidFill>
                  <a:srgbClr val="000000"/>
                </a:solidFill>
                <a:latin typeface="宋体" panose="02010600030101010101" pitchFamily="7" charset="-122"/>
                <a:ea typeface="宋体" panose="02010600030101010101" pitchFamily="7" charset="-122"/>
              </a:rPr>
              <a:t>0.70</a:t>
            </a:r>
            <a:endParaRPr lang="en-US" altLang="zh-TW" sz="1800" b="0" i="0" u="none" strike="noStrike" baseline="0">
              <a:solidFill>
                <a:srgbClr val="000000"/>
              </a:solidFill>
              <a:latin typeface="楷体_GB2312"/>
            </a:endParaRPr>
          </a:p>
          <a:p>
            <a:pPr algn="l" rtl="0">
              <a:lnSpc>
                <a:spcPts val="22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1.0</a:t>
            </a:r>
            <a:endParaRPr lang="en-US" altLang="zh-TW" sz="1800" b="0" i="0" u="none" strike="noStrike" baseline="0">
              <a:solidFill>
                <a:srgbClr val="000000"/>
              </a:solidFill>
              <a:latin typeface="楷体_GB2312"/>
            </a:endParaRPr>
          </a:p>
          <a:p>
            <a:pPr algn="l" rtl="0">
              <a:lnSpc>
                <a:spcPts val="1900"/>
              </a:lnSpc>
              <a:defRPr sz="1000"/>
            </a:pPr>
            <a:endParaRPr lang="en-US" altLang="zh-TW" sz="1800" b="0" i="0" u="none" strike="noStrike" baseline="0">
              <a:solidFill>
                <a:srgbClr val="000000"/>
              </a:solidFill>
              <a:latin typeface="楷体_GB2312"/>
            </a:endParaRPr>
          </a:p>
        </xdr:txBody>
      </xdr:sp>
      <xdr:sp>
        <xdr:nvSpPr>
          <xdr:cNvPr id="373" name="Rectangle 165"/>
          <xdr:cNvSpPr>
            <a:spLocks noChangeArrowheads="1"/>
          </xdr:cNvSpPr>
        </xdr:nvSpPr>
        <xdr:spPr>
          <a:xfrm>
            <a:off x="113" y="1519"/>
            <a:ext cx="2377" cy="228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300"/>
              </a:lnSpc>
              <a:defRPr sz="1000"/>
            </a:pPr>
            <a:r>
              <a:rPr lang="zh-TW" altLang="en-US" sz="1800" b="0" i="0" u="none" strike="noStrike" baseline="0">
                <a:solidFill>
                  <a:srgbClr val="000000"/>
                </a:solidFill>
                <a:latin typeface="楷体_GB2312"/>
              </a:rPr>
              <a:t>通风机和水泵</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运输机、传达带</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混凝土及砂浆搅拌机</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破碎机、筛、泥泵、砾石洗涤机</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起重机、掘土机、升降机</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电焊机</a:t>
            </a:r>
            <a:endParaRPr lang="zh-TW" altLang="en-US" sz="1800" b="0" i="0" u="none" strike="noStrike" baseline="0">
              <a:solidFill>
                <a:srgbClr val="000000"/>
              </a:solidFill>
              <a:latin typeface="楷体_GB2312"/>
            </a:endParaRPr>
          </a:p>
          <a:p>
            <a:pPr algn="l" rtl="0">
              <a:defRPr sz="1000"/>
            </a:pPr>
            <a:r>
              <a:rPr lang="zh-TW" altLang="en-US" sz="1800" b="0" i="0" u="none" strike="noStrike" baseline="0">
                <a:solidFill>
                  <a:srgbClr val="000000"/>
                </a:solidFill>
                <a:latin typeface="楷体_GB2312"/>
              </a:rPr>
              <a:t>建筑室内照明</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工地住宅、办公室照明</a:t>
            </a:r>
            <a:endParaRPr lang="zh-TW" altLang="en-US" sz="1800" b="0" i="0" u="none" strike="noStrike" baseline="0">
              <a:solidFill>
                <a:srgbClr val="000000"/>
              </a:solidFill>
              <a:latin typeface="楷体_GB2312"/>
            </a:endParaRPr>
          </a:p>
          <a:p>
            <a:pPr algn="l" rtl="0">
              <a:lnSpc>
                <a:spcPts val="2300"/>
              </a:lnSpc>
              <a:defRPr sz="1000"/>
            </a:pPr>
            <a:r>
              <a:rPr lang="zh-TW" altLang="en-US" sz="1800" b="0" i="0" u="none" strike="noStrike" baseline="0">
                <a:solidFill>
                  <a:srgbClr val="000000"/>
                </a:solidFill>
                <a:latin typeface="楷体_GB2312"/>
              </a:rPr>
              <a:t>变电所</a:t>
            </a:r>
            <a:endParaRPr lang="zh-TW" altLang="en-US" sz="1800" b="0" i="0" u="none" strike="noStrike" baseline="0">
              <a:solidFill>
                <a:srgbClr val="000000"/>
              </a:solidFill>
              <a:latin typeface="楷体_GB2312"/>
            </a:endParaRPr>
          </a:p>
          <a:p>
            <a:pPr algn="l" rtl="0">
              <a:defRPr sz="1000"/>
            </a:pPr>
            <a:r>
              <a:rPr lang="zh-TW" altLang="en-US" sz="1800" b="0" i="0" u="none" strike="noStrike" baseline="0">
                <a:solidFill>
                  <a:srgbClr val="000000"/>
                </a:solidFill>
                <a:latin typeface="楷体_GB2312"/>
              </a:rPr>
              <a:t>室外照明</a:t>
            </a:r>
            <a:endParaRPr lang="zh-TW" altLang="en-US" sz="1800" b="0" i="0" u="none" strike="noStrike" baseline="0">
              <a:solidFill>
                <a:srgbClr val="000000"/>
              </a:solidFill>
              <a:latin typeface="楷体_GB2312"/>
            </a:endParaRPr>
          </a:p>
          <a:p>
            <a:pPr algn="l" rtl="0">
              <a:lnSpc>
                <a:spcPts val="1900"/>
              </a:lnSpc>
              <a:defRPr sz="1000"/>
            </a:pPr>
            <a:r>
              <a:rPr lang="en-US" altLang="zh-TW" sz="1800" b="0" i="0" u="none" strike="noStrike" baseline="0">
                <a:solidFill>
                  <a:srgbClr val="000000"/>
                </a:solidFill>
                <a:latin typeface="楷体_GB2312"/>
              </a:rPr>
              <a:t>(</a:t>
            </a:r>
            <a:r>
              <a:rPr lang="zh-TW" altLang="en-US" sz="1800" b="0" i="0" u="none" strike="noStrike" baseline="0">
                <a:solidFill>
                  <a:srgbClr val="000000"/>
                </a:solidFill>
                <a:latin typeface="楷体_GB2312"/>
              </a:rPr>
              <a:t>淘宝店铺</a:t>
            </a:r>
            <a:r>
              <a:rPr lang="en-US" altLang="zh-TW" sz="1800" b="0" i="0" u="none" strike="noStrike" baseline="0">
                <a:solidFill>
                  <a:srgbClr val="000000"/>
                </a:solidFill>
                <a:latin typeface="楷体_GB2312"/>
              </a:rPr>
              <a:t>:</a:t>
            </a:r>
            <a:r>
              <a:rPr lang="zh-TW" altLang="en-US" sz="1800" b="0" i="0" u="none" strike="noStrike" baseline="0">
                <a:solidFill>
                  <a:srgbClr val="000000"/>
                </a:solidFill>
                <a:latin typeface="楷体_GB2312"/>
              </a:rPr>
              <a:t>爱学习工作室</a:t>
            </a:r>
            <a:r>
              <a:rPr lang="en-US" altLang="zh-TW" sz="1800" b="0" i="0" u="none" strike="noStrike" baseline="0">
                <a:solidFill>
                  <a:srgbClr val="000000"/>
                </a:solidFill>
                <a:latin typeface="楷体_GB2312"/>
              </a:rPr>
              <a:t>)</a:t>
            </a:r>
            <a:endParaRPr lang="zh-TW" altLang="en-US" sz="1800" b="0" i="0" u="none" strike="noStrike" baseline="0">
              <a:solidFill>
                <a:srgbClr val="000000"/>
              </a:solidFill>
              <a:latin typeface="楷体_GB2312"/>
            </a:endParaRPr>
          </a:p>
        </xdr:txBody>
      </xdr:sp>
      <xdr:sp>
        <xdr:nvSpPr>
          <xdr:cNvPr id="374" name="Rectangle 166"/>
          <xdr:cNvSpPr>
            <a:spLocks noChangeArrowheads="1"/>
          </xdr:cNvSpPr>
        </xdr:nvSpPr>
        <xdr:spPr>
          <a:xfrm>
            <a:off x="4711" y="1117"/>
            <a:ext cx="936" cy="40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000000"/>
                </a:solidFill>
                <a:latin typeface="宋体" panose="02010600030101010101" pitchFamily="7" charset="-122"/>
                <a:ea typeface="宋体" panose="02010600030101010101" pitchFamily="7" charset="-122"/>
              </a:rPr>
              <a:t>tan</a:t>
            </a:r>
            <a:r>
              <a:rPr lang="el-GR" altLang="zh-TW" sz="1800" b="0" i="1" u="none" strike="noStrike" baseline="0">
                <a:solidFill>
                  <a:srgbClr val="000000"/>
                </a:solidFill>
                <a:latin typeface="楷体_GB2312"/>
              </a:rPr>
              <a:t>φ</a:t>
            </a:r>
            <a:endParaRPr lang="el-GR" altLang="zh-TW" sz="1800" b="0" i="0" u="none" strike="noStrike" baseline="0">
              <a:solidFill>
                <a:srgbClr val="000000"/>
              </a:solidFill>
              <a:latin typeface="楷体_GB2312"/>
            </a:endParaRPr>
          </a:p>
          <a:p>
            <a:pPr algn="l" rtl="0">
              <a:lnSpc>
                <a:spcPts val="1700"/>
              </a:lnSpc>
              <a:defRPr sz="1000"/>
            </a:pPr>
            <a:endParaRPr lang="el-GR" altLang="zh-TW" sz="1800" b="0" i="0" u="none" strike="noStrike" baseline="0">
              <a:solidFill>
                <a:srgbClr val="000000"/>
              </a:solidFill>
              <a:latin typeface="楷体_GB2312"/>
            </a:endParaRPr>
          </a:p>
        </xdr:txBody>
      </xdr:sp>
      <xdr:sp>
        <xdr:nvSpPr>
          <xdr:cNvPr id="375" name="Rectangle 167"/>
          <xdr:cNvSpPr>
            <a:spLocks noChangeArrowheads="1"/>
          </xdr:cNvSpPr>
        </xdr:nvSpPr>
        <xdr:spPr>
          <a:xfrm>
            <a:off x="3780" y="1117"/>
            <a:ext cx="930" cy="40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000000"/>
                </a:solidFill>
                <a:latin typeface="楷体_GB2312"/>
              </a:rPr>
              <a:t>功率因数</a:t>
            </a:r>
            <a:r>
              <a:rPr lang="en-US" altLang="zh-TW" sz="1800" b="0" i="0" u="none" strike="noStrike" baseline="0">
                <a:solidFill>
                  <a:srgbClr val="000000"/>
                </a:solidFill>
                <a:latin typeface="宋体" panose="02010600030101010101" pitchFamily="7" charset="-122"/>
                <a:ea typeface="宋体" panose="02010600030101010101" pitchFamily="7" charset="-122"/>
              </a:rPr>
              <a:t>cos</a:t>
            </a:r>
            <a:r>
              <a:rPr lang="el-GR" altLang="zh-TW" sz="1800" b="0" i="1" u="none" strike="noStrike" baseline="0">
                <a:solidFill>
                  <a:srgbClr val="000000"/>
                </a:solidFill>
                <a:latin typeface="楷体_GB2312"/>
              </a:rPr>
              <a:t>φ</a:t>
            </a:r>
            <a:endParaRPr lang="el-GR" altLang="zh-TW" sz="1800" b="0" i="0" u="none" strike="noStrike" baseline="0">
              <a:solidFill>
                <a:srgbClr val="000000"/>
              </a:solidFill>
              <a:latin typeface="楷体_GB2312"/>
            </a:endParaRPr>
          </a:p>
          <a:p>
            <a:pPr algn="l" rtl="0">
              <a:lnSpc>
                <a:spcPts val="1900"/>
              </a:lnSpc>
              <a:defRPr sz="1000"/>
            </a:pPr>
            <a:endParaRPr lang="el-GR" altLang="zh-TW" sz="1800" b="0" i="0" u="none" strike="noStrike" baseline="0">
              <a:solidFill>
                <a:srgbClr val="000000"/>
              </a:solidFill>
              <a:latin typeface="楷体_GB2312"/>
            </a:endParaRPr>
          </a:p>
        </xdr:txBody>
      </xdr:sp>
      <xdr:sp>
        <xdr:nvSpPr>
          <xdr:cNvPr id="376" name="Rectangle 168"/>
          <xdr:cNvSpPr>
            <a:spLocks noChangeArrowheads="1"/>
          </xdr:cNvSpPr>
        </xdr:nvSpPr>
        <xdr:spPr>
          <a:xfrm>
            <a:off x="2490" y="1117"/>
            <a:ext cx="1290" cy="40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800" b="0" i="0" u="none" strike="noStrike" baseline="0">
                <a:solidFill>
                  <a:srgbClr val="000000"/>
                </a:solidFill>
                <a:latin typeface="楷体_GB2312"/>
              </a:rPr>
              <a:t>需要系数</a:t>
            </a:r>
            <a:r>
              <a:rPr lang="en-US" altLang="zh-TW" sz="1800" b="0" i="0" u="none" strike="noStrike" baseline="0">
                <a:solidFill>
                  <a:srgbClr val="000000"/>
                </a:solidFill>
                <a:latin typeface="宋体" panose="02010600030101010101" pitchFamily="7" charset="-122"/>
                <a:ea typeface="宋体" panose="02010600030101010101" pitchFamily="7" charset="-122"/>
              </a:rPr>
              <a:t>kd</a:t>
            </a:r>
            <a:endParaRPr lang="en-US" altLang="zh-TW" sz="1800" b="0" i="0" u="none" strike="noStrike" baseline="0">
              <a:solidFill>
                <a:srgbClr val="000000"/>
              </a:solidFill>
              <a:latin typeface="楷体_GB2312"/>
            </a:endParaRPr>
          </a:p>
          <a:p>
            <a:pPr algn="l" rtl="0">
              <a:lnSpc>
                <a:spcPts val="1900"/>
              </a:lnSpc>
              <a:defRPr sz="1000"/>
            </a:pPr>
            <a:endParaRPr lang="en-US" altLang="zh-TW" sz="1800" b="0" i="0" u="none" strike="noStrike" baseline="0">
              <a:solidFill>
                <a:srgbClr val="000000"/>
              </a:solidFill>
              <a:latin typeface="楷体_GB2312"/>
            </a:endParaRPr>
          </a:p>
        </xdr:txBody>
      </xdr:sp>
      <xdr:sp>
        <xdr:nvSpPr>
          <xdr:cNvPr id="377" name="Rectangle 169"/>
          <xdr:cNvSpPr>
            <a:spLocks noChangeArrowheads="1"/>
          </xdr:cNvSpPr>
        </xdr:nvSpPr>
        <xdr:spPr>
          <a:xfrm>
            <a:off x="113" y="1117"/>
            <a:ext cx="2377" cy="402"/>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800" b="0" i="0" u="none" strike="noStrike" baseline="0">
                <a:solidFill>
                  <a:srgbClr val="000000"/>
                </a:solidFill>
                <a:latin typeface="楷体_GB2312"/>
              </a:rPr>
              <a:t>用</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电</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设</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备</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组</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名</a:t>
            </a:r>
            <a:r>
              <a:rPr lang="zh-TW" altLang="en-US" sz="1800" b="0" i="0" u="none" strike="noStrike" baseline="0">
                <a:solidFill>
                  <a:srgbClr val="000000"/>
                </a:solidFill>
                <a:latin typeface="宋体" panose="02010600030101010101" pitchFamily="7" charset="-122"/>
                <a:ea typeface="宋体" panose="02010600030101010101" pitchFamily="7" charset="-122"/>
              </a:rPr>
              <a:t> </a:t>
            </a:r>
            <a:r>
              <a:rPr lang="zh-TW" altLang="en-US" sz="1800" b="0" i="0" u="none" strike="noStrike" baseline="0">
                <a:solidFill>
                  <a:srgbClr val="000000"/>
                </a:solidFill>
                <a:latin typeface="楷体_GB2312"/>
              </a:rPr>
              <a:t>称</a:t>
            </a:r>
            <a:endParaRPr lang="zh-TW" altLang="en-US" sz="1800" b="0" i="0" u="none" strike="noStrike" baseline="0">
              <a:solidFill>
                <a:srgbClr val="000000"/>
              </a:solidFill>
              <a:latin typeface="楷体_GB2312"/>
            </a:endParaRPr>
          </a:p>
          <a:p>
            <a:pPr algn="l" rtl="0">
              <a:lnSpc>
                <a:spcPts val="1900"/>
              </a:lnSpc>
              <a:defRPr sz="1000"/>
            </a:pPr>
            <a:endParaRPr lang="zh-TW" altLang="en-US" sz="1800" b="0" i="0" u="none" strike="noStrike" baseline="0">
              <a:solidFill>
                <a:srgbClr val="000000"/>
              </a:solidFill>
              <a:latin typeface="楷体_GB2312"/>
            </a:endParaRPr>
          </a:p>
        </xdr:txBody>
      </xdr:sp>
      <xdr:sp>
        <xdr:nvSpPr>
          <xdr:cNvPr id="378" name="Line 170"/>
          <xdr:cNvSpPr>
            <a:spLocks noChangeShapeType="1"/>
          </xdr:cNvSpPr>
        </xdr:nvSpPr>
        <xdr:spPr>
          <a:xfrm>
            <a:off x="113" y="1117"/>
            <a:ext cx="5534" cy="0"/>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79" name="Line 171"/>
          <xdr:cNvSpPr>
            <a:spLocks noChangeShapeType="1"/>
          </xdr:cNvSpPr>
        </xdr:nvSpPr>
        <xdr:spPr>
          <a:xfrm>
            <a:off x="113" y="3800"/>
            <a:ext cx="5534" cy="0"/>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0" name="Line 172"/>
          <xdr:cNvSpPr>
            <a:spLocks noChangeShapeType="1"/>
          </xdr:cNvSpPr>
        </xdr:nvSpPr>
        <xdr:spPr>
          <a:xfrm>
            <a:off x="113" y="1117"/>
            <a:ext cx="0" cy="403"/>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1" name="Line 173"/>
          <xdr:cNvSpPr>
            <a:spLocks noChangeShapeType="1"/>
          </xdr:cNvSpPr>
        </xdr:nvSpPr>
        <xdr:spPr>
          <a:xfrm>
            <a:off x="5647" y="1117"/>
            <a:ext cx="0" cy="2683"/>
          </a:xfrm>
          <a:prstGeom prst="line">
            <a:avLst/>
          </a:prstGeom>
          <a:noFill/>
          <a:ln w="9525"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2" name="Line 174"/>
          <xdr:cNvSpPr>
            <a:spLocks noChangeShapeType="1"/>
          </xdr:cNvSpPr>
        </xdr:nvSpPr>
        <xdr:spPr>
          <a:xfrm>
            <a:off x="113" y="1520"/>
            <a:ext cx="5534" cy="0"/>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3" name="Line 175"/>
          <xdr:cNvSpPr>
            <a:spLocks noChangeShapeType="1"/>
          </xdr:cNvSpPr>
        </xdr:nvSpPr>
        <xdr:spPr>
          <a:xfrm>
            <a:off x="113" y="1520"/>
            <a:ext cx="0" cy="2280"/>
          </a:xfrm>
          <a:prstGeom prst="line">
            <a:avLst/>
          </a:prstGeom>
          <a:noFill/>
          <a:ln w="9525"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4" name="Line 176"/>
          <xdr:cNvSpPr>
            <a:spLocks noChangeShapeType="1"/>
          </xdr:cNvSpPr>
        </xdr:nvSpPr>
        <xdr:spPr>
          <a:xfrm>
            <a:off x="2490" y="1117"/>
            <a:ext cx="0" cy="2683"/>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5" name="Line 177"/>
          <xdr:cNvSpPr>
            <a:spLocks noChangeShapeType="1"/>
          </xdr:cNvSpPr>
        </xdr:nvSpPr>
        <xdr:spPr>
          <a:xfrm>
            <a:off x="3780" y="1117"/>
            <a:ext cx="0" cy="2683"/>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86" name="Line 178"/>
          <xdr:cNvSpPr>
            <a:spLocks noChangeShapeType="1"/>
          </xdr:cNvSpPr>
        </xdr:nvSpPr>
        <xdr:spPr>
          <a:xfrm>
            <a:off x="4713" y="1117"/>
            <a:ext cx="0" cy="2683"/>
          </a:xfrm>
          <a:prstGeom prst="line">
            <a:avLst/>
          </a:prstGeom>
          <a:noFill/>
          <a:ln w="12700" cap="rnd">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grpSp>
    <xdr:clientData/>
  </xdr:twoCellAnchor>
  <xdr:twoCellAnchor>
    <xdr:from>
      <xdr:col>0</xdr:col>
      <xdr:colOff>200025</xdr:colOff>
      <xdr:row>90</xdr:row>
      <xdr:rowOff>47625</xdr:rowOff>
    </xdr:from>
    <xdr:to>
      <xdr:col>12</xdr:col>
      <xdr:colOff>485775</xdr:colOff>
      <xdr:row>114</xdr:row>
      <xdr:rowOff>152400</xdr:rowOff>
    </xdr:to>
    <xdr:grpSp>
      <xdr:nvGrpSpPr>
        <xdr:cNvPr id="387" name="Group 275"/>
        <xdr:cNvGrpSpPr/>
      </xdr:nvGrpSpPr>
      <xdr:grpSpPr>
        <a:xfrm>
          <a:off x="200025" y="18396585"/>
          <a:ext cx="8515350" cy="4859655"/>
          <a:chOff x="624" y="1152"/>
          <a:chExt cx="4368" cy="2092"/>
        </a:xfrm>
      </xdr:grpSpPr>
      <xdr:sp>
        <xdr:nvSpPr>
          <xdr:cNvPr id="388" name="Rectangle 180"/>
          <xdr:cNvSpPr>
            <a:spLocks noChangeArrowheads="1"/>
          </xdr:cNvSpPr>
        </xdr:nvSpPr>
        <xdr:spPr>
          <a:xfrm>
            <a:off x="3023" y="2388"/>
            <a:ext cx="1969" cy="856"/>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600" b="0" i="0" u="none" strike="noStrike" baseline="0">
                <a:solidFill>
                  <a:srgbClr val="800080"/>
                </a:solidFill>
                <a:latin typeface="Times New Roman" panose="02020603050405020304" pitchFamily="12"/>
                <a:cs typeface="Times New Roman" panose="02020603050405020304" pitchFamily="12"/>
              </a:rPr>
              <a:t> </a:t>
            </a:r>
            <a:endParaRPr lang="zh-TW" altLang="en-US" sz="1600" b="0" i="0" u="none" strike="noStrike" baseline="0">
              <a:solidFill>
                <a:srgbClr val="800080"/>
              </a:solidFill>
              <a:latin typeface="楷体_GB23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0.9~1.0</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0.85</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0.8 </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16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89" name="Rectangle 181"/>
          <xdr:cNvSpPr>
            <a:spLocks noChangeArrowheads="1"/>
          </xdr:cNvSpPr>
        </xdr:nvSpPr>
        <xdr:spPr>
          <a:xfrm>
            <a:off x="624" y="2388"/>
            <a:ext cx="2399" cy="856"/>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zh-TW" altLang="en-US" sz="1600" b="0" i="0" u="none" strike="noStrike" baseline="0">
                <a:solidFill>
                  <a:srgbClr val="000000"/>
                </a:solidFill>
                <a:latin typeface="楷体_GB2312"/>
              </a:rPr>
              <a:t>确定配电所母线的最大负荷</a:t>
            </a:r>
            <a:r>
              <a:rPr lang="zh-TW" altLang="en-US" sz="1600" b="0" i="0" u="none" strike="noStrike" baseline="0">
                <a:solidFill>
                  <a:srgbClr val="000000"/>
                </a:solidFill>
                <a:latin typeface="Times New Roman" panose="02020603050405020304" pitchFamily="12"/>
                <a:cs typeface="Times New Roman" panose="02020603050405020304" pitchFamily="12"/>
              </a:rPr>
              <a:t> </a:t>
            </a:r>
            <a:endParaRPr lang="zh-TW" altLang="en-US" sz="1600" b="0" i="0" u="none" strike="noStrike" baseline="0">
              <a:solidFill>
                <a:srgbClr val="000000"/>
              </a:solidFill>
              <a:latin typeface="楷体_GB2312"/>
            </a:endParaRPr>
          </a:p>
          <a:p>
            <a:pPr algn="l" rtl="0">
              <a:lnSpc>
                <a:spcPts val="2000"/>
              </a:lnSpc>
              <a:defRPr sz="1000"/>
            </a:pPr>
            <a:r>
              <a:rPr lang="zh-TW" altLang="en-US" sz="1600" b="0" i="0" u="none" strike="noStrike" baseline="0">
                <a:solidFill>
                  <a:srgbClr val="800080"/>
                </a:solidFill>
                <a:latin typeface="Times New Roman" panose="02020603050405020304" pitchFamily="12"/>
                <a:cs typeface="Times New Roman" panose="02020603050405020304" pitchFamily="12"/>
              </a:rPr>
              <a:t>        </a:t>
            </a:r>
            <a:r>
              <a:rPr lang="zh-TW" altLang="en-US" sz="1600" b="0" i="0" u="none" strike="noStrike" baseline="0">
                <a:solidFill>
                  <a:srgbClr val="800080"/>
                </a:solidFill>
                <a:latin typeface="楷体_GB2312"/>
              </a:rPr>
              <a:t>负荷小于</a:t>
            </a:r>
            <a:r>
              <a:rPr lang="en-US" altLang="zh-TW" sz="1600" b="0" i="0" u="none" strike="noStrike" baseline="0">
                <a:solidFill>
                  <a:srgbClr val="800080"/>
                </a:solidFill>
                <a:latin typeface="Times New Roman" panose="02020603050405020304" pitchFamily="12"/>
                <a:cs typeface="Times New Roman" panose="02020603050405020304" pitchFamily="12"/>
              </a:rPr>
              <a:t>5000kW</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lnSpc>
                <a:spcPts val="2000"/>
              </a:lnSpc>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        </a:t>
            </a:r>
            <a:r>
              <a:rPr lang="zh-TW" altLang="en-US" sz="1600" b="0" i="0" u="none" strike="noStrike" baseline="0">
                <a:solidFill>
                  <a:srgbClr val="800080"/>
                </a:solidFill>
                <a:latin typeface="楷体_GB2312"/>
              </a:rPr>
              <a:t>计算负荷小于</a:t>
            </a:r>
            <a:r>
              <a:rPr lang="en-US" altLang="zh-TW" sz="1600" b="0" i="0" u="none" strike="noStrike" baseline="0">
                <a:solidFill>
                  <a:srgbClr val="800080"/>
                </a:solidFill>
                <a:latin typeface="Times New Roman" panose="02020603050405020304" pitchFamily="12"/>
                <a:cs typeface="Times New Roman" panose="02020603050405020304" pitchFamily="12"/>
              </a:rPr>
              <a:t>5000~10000kW</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lnSpc>
                <a:spcPts val="2100"/>
              </a:lnSpc>
              <a:defRPr sz="1000"/>
            </a:pPr>
            <a:r>
              <a:rPr lang="en-US" altLang="zh-TW" sz="1600" b="0" i="0" u="none" strike="noStrike" baseline="0">
                <a:solidFill>
                  <a:srgbClr val="800080"/>
                </a:solidFill>
                <a:latin typeface="宋体" panose="02010600030101010101" pitchFamily="7" charset="-122"/>
                <a:ea typeface="宋体" panose="02010600030101010101" pitchFamily="7" charset="-122"/>
              </a:rPr>
              <a:t>    </a:t>
            </a:r>
            <a:r>
              <a:rPr lang="zh-TW" altLang="en-US" sz="1600" b="0" i="0" u="none" strike="noStrike" baseline="0">
                <a:solidFill>
                  <a:srgbClr val="800080"/>
                </a:solidFill>
                <a:latin typeface="楷体_GB2312"/>
              </a:rPr>
              <a:t>计算负荷大于</a:t>
            </a:r>
            <a:r>
              <a:rPr lang="en-US" altLang="zh-TW" sz="1600" b="0" i="0" u="none" strike="noStrike" baseline="0">
                <a:solidFill>
                  <a:srgbClr val="800080"/>
                </a:solidFill>
                <a:latin typeface="Times New Roman" panose="02020603050405020304" pitchFamily="12"/>
                <a:cs typeface="Times New Roman" panose="02020603050405020304" pitchFamily="12"/>
              </a:rPr>
              <a:t>10000kW </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lnSpc>
                <a:spcPts val="1600"/>
              </a:lnSpc>
              <a:defRPr sz="1000"/>
            </a:pPr>
            <a:endParaRPr lang="en-US" altLang="zh-TW" sz="16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90" name="Rectangle 182"/>
          <xdr:cNvSpPr>
            <a:spLocks noChangeArrowheads="1"/>
          </xdr:cNvSpPr>
        </xdr:nvSpPr>
        <xdr:spPr>
          <a:xfrm>
            <a:off x="3023" y="1537"/>
            <a:ext cx="1969" cy="85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600" b="0" i="0" u="none" strike="noStrike" baseline="0">
                <a:solidFill>
                  <a:srgbClr val="800080"/>
                </a:solidFill>
                <a:latin typeface="Times New Roman" panose="02020603050405020304" pitchFamily="12"/>
                <a:cs typeface="Times New Roman" panose="02020603050405020304" pitchFamily="12"/>
              </a:rPr>
              <a:t> </a:t>
            </a:r>
            <a:endParaRPr lang="zh-TW" altLang="en-US" sz="1600" b="0" i="0" u="none" strike="noStrike" baseline="0">
              <a:solidFill>
                <a:srgbClr val="800080"/>
              </a:solidFill>
              <a:latin typeface="楷体_GB23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0.7~0.8</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0.7~0.9</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r>
              <a:rPr lang="en-US" altLang="zh-TW" sz="1600" b="0" i="0" u="none" strike="noStrike" baseline="0">
                <a:solidFill>
                  <a:srgbClr val="800080"/>
                </a:solidFill>
                <a:latin typeface="Times New Roman" panose="02020603050405020304" pitchFamily="12"/>
                <a:cs typeface="Times New Roman" panose="02020603050405020304" pitchFamily="12"/>
              </a:rPr>
              <a:t>0.8~1.0 </a:t>
            </a:r>
            <a:endParaRPr lang="en-US" altLang="zh-TW" sz="1600" b="0" i="0" u="none" strike="noStrike" baseline="0">
              <a:solidFill>
                <a:srgbClr val="800080"/>
              </a:solidFill>
              <a:latin typeface="Times New Roman" panose="02020603050405020304" pitchFamily="12"/>
              <a:cs typeface="Times New Roman" panose="02020603050405020304" pitchFamily="12"/>
            </a:endParaRPr>
          </a:p>
          <a:p>
            <a:pPr algn="l" rtl="0">
              <a:defRPr sz="1000"/>
            </a:pPr>
            <a:endParaRPr lang="en-US" altLang="zh-TW" sz="1600" b="0" i="0" u="none" strike="noStrike" baseline="0">
              <a:solidFill>
                <a:srgbClr val="800080"/>
              </a:solidFill>
              <a:latin typeface="Times New Roman" panose="02020603050405020304" pitchFamily="12"/>
              <a:cs typeface="Times New Roman" panose="02020603050405020304" pitchFamily="12"/>
            </a:endParaRPr>
          </a:p>
        </xdr:txBody>
      </xdr:sp>
      <xdr:sp>
        <xdr:nvSpPr>
          <xdr:cNvPr id="391" name="Rectangle 183"/>
          <xdr:cNvSpPr>
            <a:spLocks noChangeArrowheads="1"/>
          </xdr:cNvSpPr>
        </xdr:nvSpPr>
        <xdr:spPr>
          <a:xfrm>
            <a:off x="624" y="1537"/>
            <a:ext cx="2399" cy="851"/>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zh-TW" altLang="en-US" sz="1600" b="0" i="0" u="none" strike="noStrike" baseline="0">
                <a:solidFill>
                  <a:srgbClr val="000000"/>
                </a:solidFill>
                <a:latin typeface="楷体_GB2312"/>
              </a:rPr>
              <a:t>确定车间变电所低压线路最大负荷</a:t>
            </a:r>
            <a:r>
              <a:rPr lang="zh-TW" altLang="en-US" sz="1600" b="0" i="0" u="none" strike="noStrike" baseline="0">
                <a:solidFill>
                  <a:srgbClr val="000000"/>
                </a:solidFill>
                <a:latin typeface="Times New Roman" panose="02020603050405020304" pitchFamily="12"/>
                <a:cs typeface="Times New Roman" panose="02020603050405020304" pitchFamily="12"/>
              </a:rPr>
              <a:t> </a:t>
            </a:r>
            <a:endParaRPr lang="zh-TW" altLang="en-US" sz="1600" b="0" i="0" u="none" strike="noStrike" baseline="0">
              <a:solidFill>
                <a:srgbClr val="000000"/>
              </a:solidFill>
              <a:latin typeface="楷体_GB2312"/>
            </a:endParaRPr>
          </a:p>
          <a:p>
            <a:pPr algn="l" rtl="0">
              <a:lnSpc>
                <a:spcPts val="2000"/>
              </a:lnSpc>
              <a:defRPr sz="1000"/>
            </a:pPr>
            <a:r>
              <a:rPr lang="zh-TW" altLang="en-US" sz="1600" b="0" i="0" u="none" strike="noStrike" baseline="0">
                <a:solidFill>
                  <a:srgbClr val="800080"/>
                </a:solidFill>
                <a:latin typeface="Times New Roman" panose="02020603050405020304" pitchFamily="12"/>
                <a:cs typeface="Times New Roman" panose="02020603050405020304" pitchFamily="12"/>
              </a:rPr>
              <a:t>        </a:t>
            </a:r>
            <a:r>
              <a:rPr lang="zh-TW" altLang="en-US" sz="1600" b="0" i="0" u="none" strike="noStrike" baseline="0">
                <a:solidFill>
                  <a:srgbClr val="800080"/>
                </a:solidFill>
                <a:latin typeface="楷体_GB2312"/>
              </a:rPr>
              <a:t>冷加工车间</a:t>
            </a:r>
            <a:endParaRPr lang="zh-TW" altLang="en-US" sz="1600" b="0" i="0" u="none" strike="noStrike" baseline="0">
              <a:solidFill>
                <a:srgbClr val="800080"/>
              </a:solidFill>
              <a:latin typeface="楷体_GB2312"/>
            </a:endParaRPr>
          </a:p>
          <a:p>
            <a:pPr algn="l" rtl="0">
              <a:lnSpc>
                <a:spcPts val="2000"/>
              </a:lnSpc>
              <a:defRPr sz="1000"/>
            </a:pPr>
            <a:r>
              <a:rPr lang="zh-TW" altLang="en-US" sz="1600" b="0" i="0" u="none" strike="noStrike" baseline="0">
                <a:solidFill>
                  <a:srgbClr val="800080"/>
                </a:solidFill>
                <a:latin typeface="Times New Roman" panose="02020603050405020304" pitchFamily="12"/>
                <a:cs typeface="Times New Roman" panose="02020603050405020304" pitchFamily="12"/>
              </a:rPr>
              <a:t>        </a:t>
            </a:r>
            <a:r>
              <a:rPr lang="zh-TW" altLang="en-US" sz="1600" b="0" i="0" u="none" strike="noStrike" baseline="0">
                <a:solidFill>
                  <a:srgbClr val="800080"/>
                </a:solidFill>
                <a:latin typeface="楷体_GB2312"/>
              </a:rPr>
              <a:t>热加工车间</a:t>
            </a:r>
            <a:endParaRPr lang="zh-TW" altLang="en-US" sz="1600" b="0" i="0" u="none" strike="noStrike" baseline="0">
              <a:solidFill>
                <a:srgbClr val="800080"/>
              </a:solidFill>
              <a:latin typeface="楷体_GB2312"/>
            </a:endParaRPr>
          </a:p>
          <a:p>
            <a:pPr algn="l" rtl="0">
              <a:lnSpc>
                <a:spcPts val="2000"/>
              </a:lnSpc>
              <a:defRPr sz="1000"/>
            </a:pPr>
            <a:r>
              <a:rPr lang="zh-TW" altLang="en-US" sz="1600" b="0" i="0" u="none" strike="noStrike" baseline="0">
                <a:solidFill>
                  <a:srgbClr val="800080"/>
                </a:solidFill>
                <a:latin typeface="宋体" panose="02010600030101010101" pitchFamily="7" charset="-122"/>
                <a:ea typeface="宋体" panose="02010600030101010101" pitchFamily="7" charset="-122"/>
              </a:rPr>
              <a:t>    </a:t>
            </a:r>
            <a:r>
              <a:rPr lang="zh-TW" altLang="en-US" sz="1600" b="0" i="0" u="none" strike="noStrike" baseline="0">
                <a:solidFill>
                  <a:srgbClr val="800080"/>
                </a:solidFill>
                <a:latin typeface="楷体_GB2312"/>
              </a:rPr>
              <a:t>动力站</a:t>
            </a:r>
            <a:r>
              <a:rPr lang="zh-TW" altLang="en-US" sz="1600" b="0" i="0" u="none" strike="noStrike" baseline="0">
                <a:solidFill>
                  <a:srgbClr val="800080"/>
                </a:solidFill>
                <a:latin typeface="Times New Roman" panose="02020603050405020304" pitchFamily="12"/>
                <a:cs typeface="Times New Roman" panose="02020603050405020304" pitchFamily="12"/>
              </a:rPr>
              <a:t> </a:t>
            </a:r>
            <a:endParaRPr lang="zh-TW" altLang="en-US" sz="1600" b="0" i="0" u="none" strike="noStrike" baseline="0">
              <a:solidFill>
                <a:srgbClr val="800080"/>
              </a:solidFill>
              <a:latin typeface="楷体_GB2312"/>
            </a:endParaRPr>
          </a:p>
          <a:p>
            <a:pPr algn="l" rtl="0">
              <a:lnSpc>
                <a:spcPts val="1700"/>
              </a:lnSpc>
              <a:defRPr sz="1000"/>
            </a:pPr>
            <a:endParaRPr lang="zh-TW" altLang="en-US" sz="1600" b="0" i="0" u="none" strike="noStrike" baseline="0">
              <a:solidFill>
                <a:srgbClr val="800080"/>
              </a:solidFill>
              <a:latin typeface="楷体_GB2312"/>
            </a:endParaRPr>
          </a:p>
        </xdr:txBody>
      </xdr:sp>
      <xdr:sp>
        <xdr:nvSpPr>
          <xdr:cNvPr id="392" name="Rectangle 184"/>
          <xdr:cNvSpPr>
            <a:spLocks noChangeArrowheads="1"/>
          </xdr:cNvSpPr>
        </xdr:nvSpPr>
        <xdr:spPr>
          <a:xfrm>
            <a:off x="3023" y="1152"/>
            <a:ext cx="1969" cy="385"/>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003366"/>
                </a:solidFill>
                <a:latin typeface="Times New Roman" panose="02020603050405020304" pitchFamily="12"/>
                <a:cs typeface="Times New Roman" panose="02020603050405020304" pitchFamily="12"/>
              </a:rPr>
              <a:t>K</a:t>
            </a:r>
            <a:r>
              <a:rPr lang="el-GR" altLang="zh-TW" sz="1800" b="0" i="0" u="none" strike="noStrike" baseline="0">
                <a:solidFill>
                  <a:srgbClr val="003366"/>
                </a:solidFill>
                <a:latin typeface="楷体_GB2312"/>
              </a:rPr>
              <a:t>Σ</a:t>
            </a:r>
            <a:r>
              <a:rPr lang="el-GR" altLang="zh-TW" sz="1800" b="0" i="0" u="none" strike="noStrike" baseline="0">
                <a:solidFill>
                  <a:srgbClr val="003366"/>
                </a:solidFill>
                <a:latin typeface="Times New Roman" panose="02020603050405020304" pitchFamily="12"/>
                <a:cs typeface="Times New Roman" panose="02020603050405020304" pitchFamily="12"/>
              </a:rPr>
              <a:t> </a:t>
            </a:r>
            <a:endParaRPr lang="el-GR" altLang="zh-TW" sz="1800" b="0" i="0" u="none" strike="noStrike" baseline="0">
              <a:solidFill>
                <a:srgbClr val="003366"/>
              </a:solidFill>
              <a:latin typeface="楷体_GB2312"/>
            </a:endParaRPr>
          </a:p>
          <a:p>
            <a:pPr algn="l" rtl="0">
              <a:lnSpc>
                <a:spcPts val="1900"/>
              </a:lnSpc>
              <a:defRPr sz="1000"/>
            </a:pPr>
            <a:endParaRPr lang="el-GR" altLang="zh-TW" sz="1800" b="0" i="0" u="none" strike="noStrike" baseline="0">
              <a:solidFill>
                <a:srgbClr val="003366"/>
              </a:solidFill>
              <a:latin typeface="楷体_GB2312"/>
            </a:endParaRPr>
          </a:p>
        </xdr:txBody>
      </xdr:sp>
      <xdr:sp>
        <xdr:nvSpPr>
          <xdr:cNvPr id="393" name="Rectangle 185"/>
          <xdr:cNvSpPr>
            <a:spLocks noChangeArrowheads="1"/>
          </xdr:cNvSpPr>
        </xdr:nvSpPr>
        <xdr:spPr>
          <a:xfrm>
            <a:off x="624" y="1152"/>
            <a:ext cx="2399" cy="385"/>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003366"/>
                </a:solidFill>
                <a:latin typeface="楷体_GB2312"/>
              </a:rPr>
              <a:t>应用范围</a:t>
            </a:r>
            <a:r>
              <a:rPr lang="zh-TW" altLang="en-US" sz="1800" b="0" i="0" u="none" strike="noStrike" baseline="0">
                <a:solidFill>
                  <a:srgbClr val="003366"/>
                </a:solidFill>
                <a:latin typeface="Times New Roman" panose="02020603050405020304" pitchFamily="12"/>
                <a:cs typeface="Times New Roman" panose="02020603050405020304" pitchFamily="12"/>
              </a:rPr>
              <a:t> </a:t>
            </a:r>
            <a:endParaRPr lang="zh-TW" altLang="en-US" sz="1800" b="0" i="0" u="none" strike="noStrike" baseline="0">
              <a:solidFill>
                <a:srgbClr val="003366"/>
              </a:solidFill>
              <a:latin typeface="楷体_GB2312"/>
            </a:endParaRPr>
          </a:p>
          <a:p>
            <a:pPr algn="l" rtl="0">
              <a:lnSpc>
                <a:spcPts val="1800"/>
              </a:lnSpc>
              <a:defRPr sz="1000"/>
            </a:pPr>
            <a:endParaRPr lang="zh-TW" altLang="en-US" sz="1800" b="0" i="0" u="none" strike="noStrike" baseline="0">
              <a:solidFill>
                <a:srgbClr val="003366"/>
              </a:solidFill>
              <a:latin typeface="楷体_GB2312"/>
            </a:endParaRPr>
          </a:p>
        </xdr:txBody>
      </xdr:sp>
      <xdr:sp>
        <xdr:nvSpPr>
          <xdr:cNvPr id="394" name="Line 186"/>
          <xdr:cNvSpPr>
            <a:spLocks noChangeShapeType="1"/>
          </xdr:cNvSpPr>
        </xdr:nvSpPr>
        <xdr:spPr>
          <a:xfrm>
            <a:off x="624" y="1152"/>
            <a:ext cx="4368" cy="0"/>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95" name="Line 187"/>
          <xdr:cNvSpPr>
            <a:spLocks noChangeShapeType="1"/>
          </xdr:cNvSpPr>
        </xdr:nvSpPr>
        <xdr:spPr>
          <a:xfrm>
            <a:off x="624" y="1536"/>
            <a:ext cx="4368"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96" name="Line 188"/>
          <xdr:cNvSpPr>
            <a:spLocks noChangeShapeType="1"/>
          </xdr:cNvSpPr>
        </xdr:nvSpPr>
        <xdr:spPr>
          <a:xfrm>
            <a:off x="624" y="2390"/>
            <a:ext cx="4368"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97" name="Line 189"/>
          <xdr:cNvSpPr>
            <a:spLocks noChangeShapeType="1"/>
          </xdr:cNvSpPr>
        </xdr:nvSpPr>
        <xdr:spPr>
          <a:xfrm>
            <a:off x="624" y="3244"/>
            <a:ext cx="4368"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98" name="Line 190"/>
          <xdr:cNvSpPr>
            <a:spLocks noChangeShapeType="1"/>
          </xdr:cNvSpPr>
        </xdr:nvSpPr>
        <xdr:spPr>
          <a:xfrm>
            <a:off x="624" y="1152"/>
            <a:ext cx="0" cy="384"/>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399" name="Line 191"/>
          <xdr:cNvSpPr>
            <a:spLocks noChangeShapeType="1"/>
          </xdr:cNvSpPr>
        </xdr:nvSpPr>
        <xdr:spPr>
          <a:xfrm>
            <a:off x="3024" y="1152"/>
            <a:ext cx="0" cy="2092"/>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00" name="Line 192"/>
          <xdr:cNvSpPr>
            <a:spLocks noChangeShapeType="1"/>
          </xdr:cNvSpPr>
        </xdr:nvSpPr>
        <xdr:spPr>
          <a:xfrm>
            <a:off x="4992" y="1152"/>
            <a:ext cx="0" cy="384"/>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01" name="Line 193"/>
          <xdr:cNvSpPr>
            <a:spLocks noChangeShapeType="1"/>
          </xdr:cNvSpPr>
        </xdr:nvSpPr>
        <xdr:spPr>
          <a:xfrm>
            <a:off x="624" y="1536"/>
            <a:ext cx="0" cy="1708"/>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02" name="Line 194"/>
          <xdr:cNvSpPr>
            <a:spLocks noChangeShapeType="1"/>
          </xdr:cNvSpPr>
        </xdr:nvSpPr>
        <xdr:spPr>
          <a:xfrm>
            <a:off x="4992" y="1536"/>
            <a:ext cx="0" cy="1708"/>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grpSp>
    <xdr:clientData/>
  </xdr:twoCellAnchor>
  <xdr:twoCellAnchor>
    <xdr:from>
      <xdr:col>0</xdr:col>
      <xdr:colOff>190500</xdr:colOff>
      <xdr:row>117</xdr:row>
      <xdr:rowOff>114300</xdr:rowOff>
    </xdr:from>
    <xdr:to>
      <xdr:col>12</xdr:col>
      <xdr:colOff>409575</xdr:colOff>
      <xdr:row>144</xdr:row>
      <xdr:rowOff>19050</xdr:rowOff>
    </xdr:to>
    <xdr:pic>
      <xdr:nvPicPr>
        <xdr:cNvPr id="403" name="Picture 276"/>
        <xdr:cNvPicPr>
          <a:picLocks noChangeAspect="1" noChangeArrowheads="1"/>
        </xdr:cNvPicPr>
      </xdr:nvPicPr>
      <xdr:blipFill>
        <a:blip r:embed="rId1">
          <a:extLst>
            <a:ext uri="{28A0092B-C50C-407E-A947-70E740481C1C}">
              <a14:useLocalDpi xmlns:a14="http://schemas.microsoft.com/office/drawing/2010/main" val="0"/>
            </a:ext>
          </a:extLst>
        </a:blip>
        <a:srcRect l="27441" t="27734" r="10449" b="39323"/>
        <a:stretch>
          <a:fillRect/>
        </a:stretch>
      </xdr:blipFill>
      <xdr:spPr>
        <a:xfrm>
          <a:off x="190500" y="23812500"/>
          <a:ext cx="8448675" cy="525399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114300</xdr:colOff>
      <xdr:row>148</xdr:row>
      <xdr:rowOff>76200</xdr:rowOff>
    </xdr:from>
    <xdr:to>
      <xdr:col>12</xdr:col>
      <xdr:colOff>561975</xdr:colOff>
      <xdr:row>174</xdr:row>
      <xdr:rowOff>152400</xdr:rowOff>
    </xdr:to>
    <xdr:grpSp>
      <xdr:nvGrpSpPr>
        <xdr:cNvPr id="404" name="Group 277"/>
        <xdr:cNvGrpSpPr/>
      </xdr:nvGrpSpPr>
      <xdr:grpSpPr>
        <a:xfrm>
          <a:off x="114300" y="30045660"/>
          <a:ext cx="8677275" cy="5227320"/>
          <a:chOff x="657" y="1026"/>
          <a:chExt cx="4143" cy="3037"/>
        </a:xfrm>
      </xdr:grpSpPr>
      <xdr:sp>
        <xdr:nvSpPr>
          <xdr:cNvPr id="405" name="Rectangle 197"/>
          <xdr:cNvSpPr>
            <a:spLocks noChangeArrowheads="1"/>
          </xdr:cNvSpPr>
        </xdr:nvSpPr>
        <xdr:spPr>
          <a:xfrm>
            <a:off x="3417" y="1256"/>
            <a:ext cx="1383" cy="236"/>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0.88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06" name="Rectangle 198"/>
          <xdr:cNvSpPr>
            <a:spLocks noChangeArrowheads="1"/>
          </xdr:cNvSpPr>
        </xdr:nvSpPr>
        <xdr:spPr>
          <a:xfrm>
            <a:off x="2040" y="1256"/>
            <a:ext cx="1378" cy="236"/>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0.38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07" name="Rectangle 199"/>
          <xdr:cNvSpPr>
            <a:spLocks noChangeArrowheads="1"/>
          </xdr:cNvSpPr>
        </xdr:nvSpPr>
        <xdr:spPr>
          <a:xfrm>
            <a:off x="657" y="1256"/>
            <a:ext cx="1383" cy="236"/>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800" b="0" i="0" u="none" strike="noStrike" baseline="0">
                <a:solidFill>
                  <a:srgbClr val="FF0000"/>
                </a:solidFill>
                <a:latin typeface="楷体_GB2312"/>
              </a:rPr>
              <a:t>汽轮机制造厂</a:t>
            </a:r>
            <a:endParaRPr lang="zh-TW" altLang="en-US" sz="1800" b="0" i="0" u="none" strike="noStrike" baseline="0">
              <a:solidFill>
                <a:srgbClr val="FF0000"/>
              </a:solidFill>
              <a:latin typeface="楷体_GB2312"/>
            </a:endParaRPr>
          </a:p>
          <a:p>
            <a:pPr algn="l" rtl="0">
              <a:lnSpc>
                <a:spcPts val="1900"/>
              </a:lnSpc>
              <a:defRPr sz="1000"/>
            </a:pPr>
            <a:endParaRPr lang="zh-TW" altLang="en-US" sz="1800" b="0" i="0" u="none" strike="noStrike" baseline="0">
              <a:solidFill>
                <a:srgbClr val="FF0000"/>
              </a:solidFill>
              <a:latin typeface="楷体_GB2312"/>
            </a:endParaRPr>
          </a:p>
        </xdr:txBody>
      </xdr:sp>
      <xdr:sp>
        <xdr:nvSpPr>
          <xdr:cNvPr id="408" name="Rectangle 200"/>
          <xdr:cNvSpPr>
            <a:spLocks noChangeArrowheads="1"/>
          </xdr:cNvSpPr>
        </xdr:nvSpPr>
        <xdr:spPr>
          <a:xfrm>
            <a:off x="3417" y="1492"/>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0.73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09" name="Rectangle 201"/>
          <xdr:cNvSpPr>
            <a:spLocks noChangeArrowheads="1"/>
          </xdr:cNvSpPr>
        </xdr:nvSpPr>
        <xdr:spPr>
          <a:xfrm>
            <a:off x="2040" y="1492"/>
            <a:ext cx="1378"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0.27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0" name="Rectangle 202"/>
          <xdr:cNvSpPr>
            <a:spLocks noChangeArrowheads="1"/>
          </xdr:cNvSpPr>
        </xdr:nvSpPr>
        <xdr:spPr>
          <a:xfrm>
            <a:off x="657" y="1492"/>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锅炉制造厂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11" name="Rectangle 203"/>
          <xdr:cNvSpPr>
            <a:spLocks noChangeArrowheads="1"/>
          </xdr:cNvSpPr>
        </xdr:nvSpPr>
        <xdr:spPr>
          <a:xfrm>
            <a:off x="3417" y="1752"/>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0.74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2" name="Rectangle 204"/>
          <xdr:cNvSpPr>
            <a:spLocks noChangeArrowheads="1"/>
          </xdr:cNvSpPr>
        </xdr:nvSpPr>
        <xdr:spPr>
          <a:xfrm>
            <a:off x="2040" y="1752"/>
            <a:ext cx="1378"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0.32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3" name="Rectangle 205"/>
          <xdr:cNvSpPr>
            <a:spLocks noChangeArrowheads="1"/>
          </xdr:cNvSpPr>
        </xdr:nvSpPr>
        <xdr:spPr>
          <a:xfrm>
            <a:off x="657" y="1752"/>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柴油机制造厂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14" name="Rectangle 206"/>
          <xdr:cNvSpPr>
            <a:spLocks noChangeArrowheads="1"/>
          </xdr:cNvSpPr>
        </xdr:nvSpPr>
        <xdr:spPr>
          <a:xfrm>
            <a:off x="3417" y="2006"/>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0.71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5" name="Rectangle 207"/>
          <xdr:cNvSpPr>
            <a:spLocks noChangeArrowheads="1"/>
          </xdr:cNvSpPr>
        </xdr:nvSpPr>
        <xdr:spPr>
          <a:xfrm>
            <a:off x="2040" y="2006"/>
            <a:ext cx="1378"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0.32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6" name="Rectangle 208"/>
          <xdr:cNvSpPr>
            <a:spLocks noChangeArrowheads="1"/>
          </xdr:cNvSpPr>
        </xdr:nvSpPr>
        <xdr:spPr>
          <a:xfrm>
            <a:off x="657" y="2006"/>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重型机床制造厂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17" name="Rectangle 209"/>
          <xdr:cNvSpPr>
            <a:spLocks noChangeArrowheads="1"/>
          </xdr:cNvSpPr>
        </xdr:nvSpPr>
        <xdr:spPr>
          <a:xfrm>
            <a:off x="3417" y="2266"/>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0.81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8" name="Rectangle 210"/>
          <xdr:cNvSpPr>
            <a:spLocks noChangeArrowheads="1"/>
          </xdr:cNvSpPr>
        </xdr:nvSpPr>
        <xdr:spPr>
          <a:xfrm>
            <a:off x="2040" y="2266"/>
            <a:ext cx="1378"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0.37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19" name="Rectangle 211"/>
          <xdr:cNvSpPr>
            <a:spLocks noChangeArrowheads="1"/>
          </xdr:cNvSpPr>
        </xdr:nvSpPr>
        <xdr:spPr>
          <a:xfrm>
            <a:off x="657" y="2266"/>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仪器仪表制造厂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20" name="Rectangle 212"/>
          <xdr:cNvSpPr>
            <a:spLocks noChangeArrowheads="1"/>
          </xdr:cNvSpPr>
        </xdr:nvSpPr>
        <xdr:spPr>
          <a:xfrm>
            <a:off x="3417" y="2520"/>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0.81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1" name="Rectangle 213"/>
          <xdr:cNvSpPr>
            <a:spLocks noChangeArrowheads="1"/>
          </xdr:cNvSpPr>
        </xdr:nvSpPr>
        <xdr:spPr>
          <a:xfrm>
            <a:off x="2040" y="2520"/>
            <a:ext cx="1378"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0.33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2" name="Rectangle 214"/>
          <xdr:cNvSpPr>
            <a:spLocks noChangeArrowheads="1"/>
          </xdr:cNvSpPr>
        </xdr:nvSpPr>
        <xdr:spPr>
          <a:xfrm>
            <a:off x="657" y="2520"/>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电机制造厂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23" name="Rectangle 215"/>
          <xdr:cNvSpPr>
            <a:spLocks noChangeArrowheads="1"/>
          </xdr:cNvSpPr>
        </xdr:nvSpPr>
        <xdr:spPr>
          <a:xfrm>
            <a:off x="3417" y="3809"/>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0.72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4" name="Rectangle 216"/>
          <xdr:cNvSpPr>
            <a:spLocks noChangeArrowheads="1"/>
          </xdr:cNvSpPr>
        </xdr:nvSpPr>
        <xdr:spPr>
          <a:xfrm>
            <a:off x="2040" y="3809"/>
            <a:ext cx="1378"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0.4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5" name="Rectangle 217"/>
          <xdr:cNvSpPr>
            <a:spLocks noChangeArrowheads="1"/>
          </xdr:cNvSpPr>
        </xdr:nvSpPr>
        <xdr:spPr>
          <a:xfrm>
            <a:off x="657" y="3809"/>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800" b="0" i="0" u="none" strike="noStrike" baseline="0">
                <a:solidFill>
                  <a:srgbClr val="FF0000"/>
                </a:solidFill>
                <a:latin typeface="楷体_GB2312"/>
              </a:rPr>
              <a:t>通用机械厂</a:t>
            </a:r>
            <a:endParaRPr lang="zh-TW" altLang="en-US" sz="1800" b="0" i="0" u="none" strike="noStrike" baseline="0">
              <a:solidFill>
                <a:srgbClr val="FF0000"/>
              </a:solidFill>
              <a:latin typeface="楷体_GB2312"/>
            </a:endParaRPr>
          </a:p>
          <a:p>
            <a:pPr algn="l" rtl="0">
              <a:lnSpc>
                <a:spcPts val="1900"/>
              </a:lnSpc>
              <a:defRPr sz="1000"/>
            </a:pPr>
            <a:endParaRPr lang="zh-TW" altLang="en-US" sz="1800" b="0" i="0" u="none" strike="noStrike" baseline="0">
              <a:solidFill>
                <a:srgbClr val="FF0000"/>
              </a:solidFill>
              <a:latin typeface="楷体_GB2312"/>
            </a:endParaRPr>
          </a:p>
        </xdr:txBody>
      </xdr:sp>
      <xdr:sp>
        <xdr:nvSpPr>
          <xdr:cNvPr id="426" name="Rectangle 218"/>
          <xdr:cNvSpPr>
            <a:spLocks noChangeArrowheads="1"/>
          </xdr:cNvSpPr>
        </xdr:nvSpPr>
        <xdr:spPr>
          <a:xfrm>
            <a:off x="3417" y="3549"/>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0.72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7" name="Rectangle 219"/>
          <xdr:cNvSpPr>
            <a:spLocks noChangeArrowheads="1"/>
          </xdr:cNvSpPr>
        </xdr:nvSpPr>
        <xdr:spPr>
          <a:xfrm>
            <a:off x="2040" y="3549"/>
            <a:ext cx="1378"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0.5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28" name="Rectangle 220"/>
          <xdr:cNvSpPr>
            <a:spLocks noChangeArrowheads="1"/>
          </xdr:cNvSpPr>
        </xdr:nvSpPr>
        <xdr:spPr>
          <a:xfrm>
            <a:off x="657" y="3549"/>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橡胶厂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29" name="Rectangle 221"/>
          <xdr:cNvSpPr>
            <a:spLocks noChangeArrowheads="1"/>
          </xdr:cNvSpPr>
        </xdr:nvSpPr>
        <xdr:spPr>
          <a:xfrm>
            <a:off x="3417" y="3295"/>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0.75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0" name="Rectangle 222"/>
          <xdr:cNvSpPr>
            <a:spLocks noChangeArrowheads="1"/>
          </xdr:cNvSpPr>
        </xdr:nvSpPr>
        <xdr:spPr>
          <a:xfrm>
            <a:off x="2040" y="3295"/>
            <a:ext cx="1378"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0.35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1" name="Rectangle 223"/>
          <xdr:cNvSpPr>
            <a:spLocks noChangeArrowheads="1"/>
          </xdr:cNvSpPr>
        </xdr:nvSpPr>
        <xdr:spPr>
          <a:xfrm>
            <a:off x="657" y="3295"/>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电器开关制造厂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32" name="Rectangle 224"/>
          <xdr:cNvSpPr>
            <a:spLocks noChangeArrowheads="1"/>
          </xdr:cNvSpPr>
        </xdr:nvSpPr>
        <xdr:spPr>
          <a:xfrm>
            <a:off x="3417" y="3035"/>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0.73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3" name="Rectangle 225"/>
          <xdr:cNvSpPr>
            <a:spLocks noChangeArrowheads="1"/>
          </xdr:cNvSpPr>
        </xdr:nvSpPr>
        <xdr:spPr>
          <a:xfrm>
            <a:off x="2040" y="3035"/>
            <a:ext cx="1378"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0.35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4" name="Rectangle 226"/>
          <xdr:cNvSpPr>
            <a:spLocks noChangeArrowheads="1"/>
          </xdr:cNvSpPr>
        </xdr:nvSpPr>
        <xdr:spPr>
          <a:xfrm>
            <a:off x="657" y="3035"/>
            <a:ext cx="1383" cy="260"/>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defRPr sz="1000"/>
            </a:pPr>
            <a:r>
              <a:rPr lang="zh-TW" altLang="en-US" sz="1800" b="0" i="0" u="none" strike="noStrike" baseline="0">
                <a:solidFill>
                  <a:srgbClr val="FF0000"/>
                </a:solidFill>
                <a:latin typeface="楷体_GB2312"/>
              </a:rPr>
              <a:t>电线电缆制造厂</a:t>
            </a:r>
            <a:endParaRPr lang="zh-TW" altLang="en-US" sz="1800" b="0" i="0" u="none" strike="noStrike" baseline="0">
              <a:solidFill>
                <a:srgbClr val="FF0000"/>
              </a:solidFill>
              <a:latin typeface="楷体_GB2312"/>
            </a:endParaRPr>
          </a:p>
          <a:p>
            <a:pPr algn="l" rtl="0">
              <a:lnSpc>
                <a:spcPts val="1900"/>
              </a:lnSpc>
              <a:defRPr sz="1000"/>
            </a:pPr>
            <a:endParaRPr lang="zh-TW" altLang="en-US" sz="1800" b="0" i="0" u="none" strike="noStrike" baseline="0">
              <a:solidFill>
                <a:srgbClr val="FF0000"/>
              </a:solidFill>
              <a:latin typeface="楷体_GB2312"/>
            </a:endParaRPr>
          </a:p>
        </xdr:txBody>
      </xdr:sp>
      <xdr:sp>
        <xdr:nvSpPr>
          <xdr:cNvPr id="435" name="Rectangle 227"/>
          <xdr:cNvSpPr>
            <a:spLocks noChangeArrowheads="1"/>
          </xdr:cNvSpPr>
        </xdr:nvSpPr>
        <xdr:spPr>
          <a:xfrm>
            <a:off x="3417" y="2780"/>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0.78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6" name="Rectangle 228"/>
          <xdr:cNvSpPr>
            <a:spLocks noChangeArrowheads="1"/>
          </xdr:cNvSpPr>
        </xdr:nvSpPr>
        <xdr:spPr>
          <a:xfrm>
            <a:off x="2040" y="2780"/>
            <a:ext cx="1378"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000"/>
              </a:lnSpc>
              <a:defRPr sz="1000"/>
            </a:pPr>
            <a:r>
              <a:rPr lang="en-US" altLang="zh-TW" sz="1800" b="0" i="0" u="none" strike="noStrike" baseline="0">
                <a:solidFill>
                  <a:srgbClr val="FF0000"/>
                </a:solidFill>
                <a:latin typeface="Times New Roman" panose="02020603050405020304" pitchFamily="12"/>
                <a:cs typeface="Times New Roman" panose="02020603050405020304" pitchFamily="12"/>
              </a:rPr>
              <a:t>0.45 </a:t>
            </a:r>
            <a:endParaRPr lang="en-US" altLang="zh-TW" sz="1800" b="0" i="0" u="none" strike="noStrike" baseline="0">
              <a:solidFill>
                <a:srgbClr val="FF0000"/>
              </a:solidFill>
              <a:latin typeface="Times New Roman" panose="02020603050405020304" pitchFamily="12"/>
              <a:cs typeface="Times New Roman" panose="02020603050405020304" pitchFamily="12"/>
            </a:endParaRPr>
          </a:p>
          <a:p>
            <a:pPr algn="l" rtl="0">
              <a:lnSpc>
                <a:spcPts val="1900"/>
              </a:lnSpc>
              <a:defRPr sz="1000"/>
            </a:pPr>
            <a:endParaRPr lang="en-US" altLang="zh-TW" sz="1800" b="0" i="0" u="none" strike="noStrike" baseline="0">
              <a:solidFill>
                <a:srgbClr val="FF0000"/>
              </a:solidFill>
              <a:latin typeface="Times New Roman" panose="02020603050405020304" pitchFamily="12"/>
              <a:cs typeface="Times New Roman" panose="02020603050405020304" pitchFamily="12"/>
            </a:endParaRPr>
          </a:p>
        </xdr:txBody>
      </xdr:sp>
      <xdr:sp>
        <xdr:nvSpPr>
          <xdr:cNvPr id="437" name="Rectangle 229"/>
          <xdr:cNvSpPr>
            <a:spLocks noChangeArrowheads="1"/>
          </xdr:cNvSpPr>
        </xdr:nvSpPr>
        <xdr:spPr>
          <a:xfrm>
            <a:off x="657" y="2780"/>
            <a:ext cx="1383" cy="254"/>
          </a:xfrm>
          <a:prstGeom prst="rect">
            <a:avLst/>
          </a:prstGeom>
          <a:solidFill>
            <a:srgbClr val="CCFF66"/>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FF0000"/>
                </a:solidFill>
                <a:latin typeface="楷体_GB2312"/>
              </a:rPr>
              <a:t>石油机械制造厂</a:t>
            </a:r>
            <a:r>
              <a:rPr lang="zh-TW" altLang="en-US" sz="1800" b="0" i="0" u="none" strike="noStrike" baseline="0">
                <a:solidFill>
                  <a:srgbClr val="FF0000"/>
                </a:solidFill>
                <a:latin typeface="Times New Roman" panose="02020603050405020304" pitchFamily="12"/>
                <a:cs typeface="Times New Roman" panose="02020603050405020304" pitchFamily="12"/>
              </a:rPr>
              <a:t> </a:t>
            </a:r>
            <a:endParaRPr lang="zh-TW" altLang="en-US" sz="1800" b="0" i="0" u="none" strike="noStrike" baseline="0">
              <a:solidFill>
                <a:srgbClr val="FF0000"/>
              </a:solidFill>
              <a:latin typeface="楷体_GB2312"/>
            </a:endParaRPr>
          </a:p>
          <a:p>
            <a:pPr algn="l" rtl="0">
              <a:lnSpc>
                <a:spcPts val="1800"/>
              </a:lnSpc>
              <a:defRPr sz="1000"/>
            </a:pPr>
            <a:endParaRPr lang="zh-TW" altLang="en-US" sz="1800" b="0" i="0" u="none" strike="noStrike" baseline="0">
              <a:solidFill>
                <a:srgbClr val="FF0000"/>
              </a:solidFill>
              <a:latin typeface="楷体_GB2312"/>
            </a:endParaRPr>
          </a:p>
        </xdr:txBody>
      </xdr:sp>
      <xdr:sp>
        <xdr:nvSpPr>
          <xdr:cNvPr id="438" name="Rectangle 230"/>
          <xdr:cNvSpPr>
            <a:spLocks noChangeArrowheads="1"/>
          </xdr:cNvSpPr>
        </xdr:nvSpPr>
        <xdr:spPr>
          <a:xfrm>
            <a:off x="3417" y="1026"/>
            <a:ext cx="1383" cy="230"/>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000000"/>
                </a:solidFill>
                <a:latin typeface="楷体_GB2312"/>
              </a:rPr>
              <a:t>功率因数</a:t>
            </a:r>
            <a:r>
              <a:rPr lang="zh-TW" altLang="en-US" sz="1800" b="0" i="0" u="none" strike="noStrike" baseline="0">
                <a:solidFill>
                  <a:srgbClr val="000000"/>
                </a:solidFill>
                <a:latin typeface="Times New Roman" panose="02020603050405020304" pitchFamily="12"/>
                <a:cs typeface="Times New Roman" panose="02020603050405020304" pitchFamily="12"/>
              </a:rPr>
              <a:t> </a:t>
            </a:r>
            <a:endParaRPr lang="zh-TW" altLang="en-US" sz="1800" b="0" i="0" u="none" strike="noStrike" baseline="0">
              <a:solidFill>
                <a:srgbClr val="000000"/>
              </a:solidFill>
              <a:latin typeface="楷体_GB2312"/>
            </a:endParaRPr>
          </a:p>
          <a:p>
            <a:pPr algn="l" rtl="0">
              <a:lnSpc>
                <a:spcPts val="1800"/>
              </a:lnSpc>
              <a:defRPr sz="1000"/>
            </a:pPr>
            <a:endParaRPr lang="zh-TW" altLang="en-US" sz="1800" b="0" i="0" u="none" strike="noStrike" baseline="0">
              <a:solidFill>
                <a:srgbClr val="000000"/>
              </a:solidFill>
              <a:latin typeface="楷体_GB2312"/>
            </a:endParaRPr>
          </a:p>
        </xdr:txBody>
      </xdr:sp>
      <xdr:sp>
        <xdr:nvSpPr>
          <xdr:cNvPr id="439" name="Rectangle 231"/>
          <xdr:cNvSpPr>
            <a:spLocks noChangeArrowheads="1"/>
          </xdr:cNvSpPr>
        </xdr:nvSpPr>
        <xdr:spPr>
          <a:xfrm>
            <a:off x="2040" y="1026"/>
            <a:ext cx="1378" cy="230"/>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000000"/>
                </a:solidFill>
                <a:latin typeface="楷体_GB2312"/>
              </a:rPr>
              <a:t>需要系数</a:t>
            </a:r>
            <a:r>
              <a:rPr lang="zh-TW" altLang="en-US" sz="1800" b="0" i="0" u="none" strike="noStrike" baseline="0">
                <a:solidFill>
                  <a:srgbClr val="000000"/>
                </a:solidFill>
                <a:latin typeface="Times New Roman" panose="02020603050405020304" pitchFamily="12"/>
                <a:cs typeface="Times New Roman" panose="02020603050405020304" pitchFamily="12"/>
              </a:rPr>
              <a:t> </a:t>
            </a:r>
            <a:endParaRPr lang="zh-TW" altLang="en-US" sz="1800" b="0" i="0" u="none" strike="noStrike" baseline="0">
              <a:solidFill>
                <a:srgbClr val="000000"/>
              </a:solidFill>
              <a:latin typeface="楷体_GB2312"/>
            </a:endParaRPr>
          </a:p>
          <a:p>
            <a:pPr algn="l" rtl="0">
              <a:lnSpc>
                <a:spcPts val="1800"/>
              </a:lnSpc>
              <a:defRPr sz="1000"/>
            </a:pPr>
            <a:endParaRPr lang="zh-TW" altLang="en-US" sz="1800" b="0" i="0" u="none" strike="noStrike" baseline="0">
              <a:solidFill>
                <a:srgbClr val="000000"/>
              </a:solidFill>
              <a:latin typeface="楷体_GB2312"/>
            </a:endParaRPr>
          </a:p>
        </xdr:txBody>
      </xdr:sp>
      <xdr:sp>
        <xdr:nvSpPr>
          <xdr:cNvPr id="440" name="Rectangle 232"/>
          <xdr:cNvSpPr>
            <a:spLocks noChangeArrowheads="1"/>
          </xdr:cNvSpPr>
        </xdr:nvSpPr>
        <xdr:spPr>
          <a:xfrm>
            <a:off x="657" y="1026"/>
            <a:ext cx="1383" cy="230"/>
          </a:xfrm>
          <a:prstGeom prst="rect">
            <a:avLst/>
          </a:prstGeom>
          <a:solidFill>
            <a:srgbClr val="99CC00"/>
          </a:solidFill>
          <a:ln>
            <a:noFill/>
          </a:ln>
          <a:effectLst/>
          <a:extLs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DDDDDD"/>
                  </a:outerShdw>
                </a:effectLst>
              </a14:hiddenEffects>
            </a:ext>
          </a:extLst>
        </xdr:spPr>
        <xdr:txBody>
          <a:bodyPr vertOverflow="clip" wrap="square" lIns="91440" tIns="45720" rIns="91440" bIns="45720" anchor="t" upright="1"/>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algn="l" rtl="0">
              <a:lnSpc>
                <a:spcPts val="2200"/>
              </a:lnSpc>
              <a:defRPr sz="1000"/>
            </a:pPr>
            <a:r>
              <a:rPr lang="zh-TW" altLang="en-US" sz="1800" b="0" i="0" u="none" strike="noStrike" baseline="0">
                <a:solidFill>
                  <a:srgbClr val="000000"/>
                </a:solidFill>
                <a:latin typeface="楷体_GB2312"/>
              </a:rPr>
              <a:t>工厂类别</a:t>
            </a:r>
            <a:r>
              <a:rPr lang="zh-TW" altLang="en-US" sz="1800" b="0" i="0" u="none" strike="noStrike" baseline="0">
                <a:solidFill>
                  <a:srgbClr val="000000"/>
                </a:solidFill>
                <a:latin typeface="Times New Roman" panose="02020603050405020304" pitchFamily="12"/>
                <a:cs typeface="Times New Roman" panose="02020603050405020304" pitchFamily="12"/>
              </a:rPr>
              <a:t> </a:t>
            </a:r>
            <a:endParaRPr lang="zh-TW" altLang="en-US" sz="1800" b="0" i="0" u="none" strike="noStrike" baseline="0">
              <a:solidFill>
                <a:srgbClr val="000000"/>
              </a:solidFill>
              <a:latin typeface="楷体_GB2312"/>
            </a:endParaRPr>
          </a:p>
          <a:p>
            <a:pPr algn="l" rtl="0">
              <a:lnSpc>
                <a:spcPts val="1800"/>
              </a:lnSpc>
              <a:defRPr sz="1000"/>
            </a:pPr>
            <a:endParaRPr lang="zh-TW" altLang="en-US" sz="1800" b="0" i="0" u="none" strike="noStrike" baseline="0">
              <a:solidFill>
                <a:srgbClr val="000000"/>
              </a:solidFill>
              <a:latin typeface="楷体_GB2312"/>
            </a:endParaRPr>
          </a:p>
        </xdr:txBody>
      </xdr:sp>
      <xdr:sp>
        <xdr:nvSpPr>
          <xdr:cNvPr id="441" name="Line 233"/>
          <xdr:cNvSpPr>
            <a:spLocks noChangeShapeType="1"/>
          </xdr:cNvSpPr>
        </xdr:nvSpPr>
        <xdr:spPr>
          <a:xfrm>
            <a:off x="657" y="1026"/>
            <a:ext cx="1381" cy="0"/>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2" name="Line 234"/>
          <xdr:cNvSpPr>
            <a:spLocks noChangeShapeType="1"/>
          </xdr:cNvSpPr>
        </xdr:nvSpPr>
        <xdr:spPr>
          <a:xfrm>
            <a:off x="657" y="1256"/>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3" name="Line 235"/>
          <xdr:cNvSpPr>
            <a:spLocks noChangeShapeType="1"/>
          </xdr:cNvSpPr>
        </xdr:nvSpPr>
        <xdr:spPr>
          <a:xfrm>
            <a:off x="657" y="3035"/>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4" name="Line 236"/>
          <xdr:cNvSpPr>
            <a:spLocks noChangeShapeType="1"/>
          </xdr:cNvSpPr>
        </xdr:nvSpPr>
        <xdr:spPr>
          <a:xfrm>
            <a:off x="657" y="3292"/>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5" name="Line 237"/>
          <xdr:cNvSpPr>
            <a:spLocks noChangeShapeType="1"/>
          </xdr:cNvSpPr>
        </xdr:nvSpPr>
        <xdr:spPr>
          <a:xfrm>
            <a:off x="657" y="3549"/>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6" name="Line 238"/>
          <xdr:cNvSpPr>
            <a:spLocks noChangeShapeType="1"/>
          </xdr:cNvSpPr>
        </xdr:nvSpPr>
        <xdr:spPr>
          <a:xfrm>
            <a:off x="657" y="3806"/>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7" name="Line 239"/>
          <xdr:cNvSpPr>
            <a:spLocks noChangeShapeType="1"/>
          </xdr:cNvSpPr>
        </xdr:nvSpPr>
        <xdr:spPr>
          <a:xfrm>
            <a:off x="657" y="4063"/>
            <a:ext cx="4143"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8" name="Line 240"/>
          <xdr:cNvSpPr>
            <a:spLocks noChangeShapeType="1"/>
          </xdr:cNvSpPr>
        </xdr:nvSpPr>
        <xdr:spPr>
          <a:xfrm>
            <a:off x="657" y="1026"/>
            <a:ext cx="0" cy="230"/>
          </a:xfrm>
          <a:prstGeom prst="line">
            <a:avLst/>
          </a:prstGeom>
          <a:noFill/>
          <a:ln w="28575">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49" name="Line 241"/>
          <xdr:cNvSpPr>
            <a:spLocks noChangeShapeType="1"/>
          </xdr:cNvSpPr>
        </xdr:nvSpPr>
        <xdr:spPr>
          <a:xfrm>
            <a:off x="2038" y="1026"/>
            <a:ext cx="0" cy="3037"/>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0" name="Line 242"/>
          <xdr:cNvSpPr>
            <a:spLocks noChangeShapeType="1"/>
          </xdr:cNvSpPr>
        </xdr:nvSpPr>
        <xdr:spPr>
          <a:xfrm>
            <a:off x="3419" y="1026"/>
            <a:ext cx="0" cy="3037"/>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1" name="Line 243"/>
          <xdr:cNvSpPr>
            <a:spLocks noChangeShapeType="1"/>
          </xdr:cNvSpPr>
        </xdr:nvSpPr>
        <xdr:spPr>
          <a:xfrm>
            <a:off x="4800" y="1026"/>
            <a:ext cx="0" cy="3037"/>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2" name="Line 244"/>
          <xdr:cNvSpPr>
            <a:spLocks noChangeShapeType="1"/>
          </xdr:cNvSpPr>
        </xdr:nvSpPr>
        <xdr:spPr>
          <a:xfrm>
            <a:off x="657" y="2778"/>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3" name="Line 245"/>
          <xdr:cNvSpPr>
            <a:spLocks noChangeShapeType="1"/>
          </xdr:cNvSpPr>
        </xdr:nvSpPr>
        <xdr:spPr>
          <a:xfrm>
            <a:off x="657" y="2521"/>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4" name="Line 246"/>
          <xdr:cNvSpPr>
            <a:spLocks noChangeShapeType="1"/>
          </xdr:cNvSpPr>
        </xdr:nvSpPr>
        <xdr:spPr>
          <a:xfrm>
            <a:off x="657" y="2264"/>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5" name="Line 247"/>
          <xdr:cNvSpPr>
            <a:spLocks noChangeShapeType="1"/>
          </xdr:cNvSpPr>
        </xdr:nvSpPr>
        <xdr:spPr>
          <a:xfrm>
            <a:off x="657" y="2007"/>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6" name="Line 248"/>
          <xdr:cNvSpPr>
            <a:spLocks noChangeShapeType="1"/>
          </xdr:cNvSpPr>
        </xdr:nvSpPr>
        <xdr:spPr>
          <a:xfrm>
            <a:off x="657" y="1750"/>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7" name="Line 249"/>
          <xdr:cNvSpPr>
            <a:spLocks noChangeShapeType="1"/>
          </xdr:cNvSpPr>
        </xdr:nvSpPr>
        <xdr:spPr>
          <a:xfrm>
            <a:off x="657" y="1493"/>
            <a:ext cx="4143" cy="0"/>
          </a:xfrm>
          <a:prstGeom prst="line">
            <a:avLst/>
          </a:prstGeom>
          <a:noFill/>
          <a:ln w="12700">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8" name="Line 250"/>
          <xdr:cNvSpPr>
            <a:spLocks noChangeShapeType="1"/>
          </xdr:cNvSpPr>
        </xdr:nvSpPr>
        <xdr:spPr>
          <a:xfrm>
            <a:off x="2038" y="1026"/>
            <a:ext cx="2762" cy="0"/>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sp>
        <xdr:nvSpPr>
          <xdr:cNvPr id="459" name="Line 251"/>
          <xdr:cNvSpPr>
            <a:spLocks noChangeShapeType="1"/>
          </xdr:cNvSpPr>
        </xdr:nvSpPr>
        <xdr:spPr>
          <a:xfrm>
            <a:off x="657" y="1256"/>
            <a:ext cx="0" cy="2807"/>
          </a:xfrm>
          <a:prstGeom prst="line">
            <a:avLst/>
          </a:prstGeom>
          <a:noFill/>
          <a:ln w="28575" cap="sq">
            <a:solidFill>
              <a:srgbClr val="000000"/>
            </a:solidFill>
            <a:round/>
          </a:ln>
          <a:effectLst/>
          <a:extLst>
            <a:ext uri="{909E8E84-426E-40DD-AFC4-6F175D3DCCD1}">
              <a14:hiddenFill xmlns:a14="http://schemas.microsoft.com/office/drawing/2010/main">
                <a:noFill/>
              </a14:hiddenFill>
            </a:ext>
            <a:ext uri="{AF507438-7753-43E0-B8FC-AC1667EBCBE1}">
              <a14:hiddenEffects xmlns:a14="http://schemas.microsoft.com/office/drawing/2010/main">
                <a:effectLst>
                  <a:outerShdw dist="35921" dir="2700000" algn="ctr" rotWithShape="0">
                    <a:srgbClr val="DDDDDD"/>
                  </a:outerShdw>
                </a:effectLst>
              </a14:hiddenEffects>
            </a:ext>
          </a:extLst>
        </xdr:spPr>
      </xdr:sp>
    </xdr:grpSp>
    <xdr:clientData/>
  </xdr:twoCellAnchor>
  <xdr:twoCellAnchor>
    <xdr:from>
      <xdr:col>0</xdr:col>
      <xdr:colOff>171450</xdr:colOff>
      <xdr:row>176</xdr:row>
      <xdr:rowOff>47625</xdr:rowOff>
    </xdr:from>
    <xdr:to>
      <xdr:col>12</xdr:col>
      <xdr:colOff>552450</xdr:colOff>
      <xdr:row>203</xdr:row>
      <xdr:rowOff>66675</xdr:rowOff>
    </xdr:to>
    <xdr:pic>
      <xdr:nvPicPr>
        <xdr:cNvPr id="460" name="Picture 278"/>
        <xdr:cNvPicPr>
          <a:picLocks noChangeAspect="1" noChangeArrowheads="1"/>
        </xdr:cNvPicPr>
      </xdr:nvPicPr>
      <xdr:blipFill>
        <a:blip r:embed="rId2">
          <a:extLst>
            <a:ext uri="{28A0092B-C50C-407E-A947-70E740481C1C}">
              <a14:useLocalDpi xmlns:a14="http://schemas.microsoft.com/office/drawing/2010/main" val="0"/>
            </a:ext>
          </a:extLst>
        </a:blip>
        <a:srcRect l="34473" t="25781" r="16016" b="27473"/>
        <a:stretch>
          <a:fillRect/>
        </a:stretch>
      </xdr:blipFill>
      <xdr:spPr>
        <a:xfrm>
          <a:off x="171450" y="35564445"/>
          <a:ext cx="8610600" cy="536829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219075</xdr:colOff>
      <xdr:row>206</xdr:row>
      <xdr:rowOff>28575</xdr:rowOff>
    </xdr:from>
    <xdr:to>
      <xdr:col>12</xdr:col>
      <xdr:colOff>466725</xdr:colOff>
      <xdr:row>233</xdr:row>
      <xdr:rowOff>161925</xdr:rowOff>
    </xdr:to>
    <xdr:pic>
      <xdr:nvPicPr>
        <xdr:cNvPr id="461" name="Picture 279"/>
        <xdr:cNvPicPr>
          <a:picLocks noChangeAspect="1" noChangeArrowheads="1"/>
        </xdr:cNvPicPr>
      </xdr:nvPicPr>
      <xdr:blipFill>
        <a:blip r:embed="rId3">
          <a:extLst>
            <a:ext uri="{28A0092B-C50C-407E-A947-70E740481C1C}">
              <a14:useLocalDpi xmlns:a14="http://schemas.microsoft.com/office/drawing/2010/main" val="0"/>
            </a:ext>
          </a:extLst>
        </a:blip>
        <a:srcRect l="27539" t="32942" r="10254" b="26172"/>
        <a:stretch>
          <a:fillRect/>
        </a:stretch>
      </xdr:blipFill>
      <xdr:spPr>
        <a:xfrm>
          <a:off x="219075" y="41488995"/>
          <a:ext cx="8477250" cy="548259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142875</xdr:colOff>
      <xdr:row>236</xdr:row>
      <xdr:rowOff>9525</xdr:rowOff>
    </xdr:from>
    <xdr:to>
      <xdr:col>12</xdr:col>
      <xdr:colOff>457200</xdr:colOff>
      <xdr:row>263</xdr:row>
      <xdr:rowOff>171450</xdr:rowOff>
    </xdr:to>
    <xdr:pic>
      <xdr:nvPicPr>
        <xdr:cNvPr id="462" name="Picture 280"/>
        <xdr:cNvPicPr>
          <a:picLocks noChangeAspect="1" noChangeArrowheads="1"/>
        </xdr:cNvPicPr>
      </xdr:nvPicPr>
      <xdr:blipFill>
        <a:blip r:embed="rId4">
          <a:extLst>
            <a:ext uri="{28A0092B-C50C-407E-A947-70E740481C1C}">
              <a14:useLocalDpi xmlns:a14="http://schemas.microsoft.com/office/drawing/2010/main" val="0"/>
            </a:ext>
          </a:extLst>
        </a:blip>
        <a:srcRect l="27344" t="33594" r="10254" b="31641"/>
        <a:stretch>
          <a:fillRect/>
        </a:stretch>
      </xdr:blipFill>
      <xdr:spPr>
        <a:xfrm>
          <a:off x="142875" y="47413545"/>
          <a:ext cx="8543925" cy="551116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152400</xdr:colOff>
      <xdr:row>267</xdr:row>
      <xdr:rowOff>0</xdr:rowOff>
    </xdr:from>
    <xdr:to>
      <xdr:col>12</xdr:col>
      <xdr:colOff>419100</xdr:colOff>
      <xdr:row>293</xdr:row>
      <xdr:rowOff>152400</xdr:rowOff>
    </xdr:to>
    <xdr:pic>
      <xdr:nvPicPr>
        <xdr:cNvPr id="463" name="Picture 281"/>
        <xdr:cNvPicPr>
          <a:picLocks noChangeAspect="1" noChangeArrowheads="1"/>
        </xdr:cNvPicPr>
      </xdr:nvPicPr>
      <xdr:blipFill>
        <a:blip r:embed="rId5">
          <a:extLst>
            <a:ext uri="{28A0092B-C50C-407E-A947-70E740481C1C}">
              <a14:useLocalDpi xmlns:a14="http://schemas.microsoft.com/office/drawing/2010/main" val="0"/>
            </a:ext>
          </a:extLst>
        </a:blip>
        <a:srcRect l="27539" t="33464" r="10352" b="33203"/>
        <a:stretch>
          <a:fillRect/>
        </a:stretch>
      </xdr:blipFill>
      <xdr:spPr>
        <a:xfrm>
          <a:off x="152400" y="53545740"/>
          <a:ext cx="8496300" cy="530352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123825</xdr:colOff>
      <xdr:row>296</xdr:row>
      <xdr:rowOff>28575</xdr:rowOff>
    </xdr:from>
    <xdr:to>
      <xdr:col>12</xdr:col>
      <xdr:colOff>342900</xdr:colOff>
      <xdr:row>323</xdr:row>
      <xdr:rowOff>123825</xdr:rowOff>
    </xdr:to>
    <xdr:pic>
      <xdr:nvPicPr>
        <xdr:cNvPr id="464" name="Picture 282"/>
        <xdr:cNvPicPr>
          <a:picLocks noChangeAspect="1" noChangeArrowheads="1"/>
        </xdr:cNvPicPr>
      </xdr:nvPicPr>
      <xdr:blipFill>
        <a:blip r:embed="rId6">
          <a:extLst>
            <a:ext uri="{28A0092B-C50C-407E-A947-70E740481C1C}">
              <a14:useLocalDpi xmlns:a14="http://schemas.microsoft.com/office/drawing/2010/main" val="0"/>
            </a:ext>
          </a:extLst>
        </a:blip>
        <a:srcRect l="27441" t="28255" r="10254" b="19792"/>
        <a:stretch>
          <a:fillRect/>
        </a:stretch>
      </xdr:blipFill>
      <xdr:spPr>
        <a:xfrm>
          <a:off x="123825" y="59319795"/>
          <a:ext cx="8448675" cy="5444490"/>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123825</xdr:colOff>
      <xdr:row>326</xdr:row>
      <xdr:rowOff>66675</xdr:rowOff>
    </xdr:from>
    <xdr:to>
      <xdr:col>12</xdr:col>
      <xdr:colOff>285750</xdr:colOff>
      <xdr:row>353</xdr:row>
      <xdr:rowOff>133350</xdr:rowOff>
    </xdr:to>
    <xdr:pic>
      <xdr:nvPicPr>
        <xdr:cNvPr id="465" name="Picture 283"/>
        <xdr:cNvPicPr>
          <a:picLocks noChangeAspect="1" noChangeArrowheads="1"/>
        </xdr:cNvPicPr>
      </xdr:nvPicPr>
      <xdr:blipFill>
        <a:blip r:embed="rId7">
          <a:extLst>
            <a:ext uri="{28A0092B-C50C-407E-A947-70E740481C1C}">
              <a14:useLocalDpi xmlns:a14="http://schemas.microsoft.com/office/drawing/2010/main" val="0"/>
            </a:ext>
          </a:extLst>
        </a:blip>
        <a:srcRect l="27539" t="28645" r="10449" b="23438"/>
        <a:stretch>
          <a:fillRect/>
        </a:stretch>
      </xdr:blipFill>
      <xdr:spPr>
        <a:xfrm>
          <a:off x="123825" y="65301495"/>
          <a:ext cx="8391525" cy="541591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0</xdr:row>
      <xdr:rowOff>0</xdr:rowOff>
    </xdr:from>
    <xdr:to>
      <xdr:col>28</xdr:col>
      <xdr:colOff>457200</xdr:colOff>
      <xdr:row>18</xdr:row>
      <xdr:rowOff>53881</xdr:rowOff>
    </xdr:to>
    <xdr:pic>
      <xdr:nvPicPr>
        <xdr:cNvPr id="2" name="圖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9286875" y="0"/>
          <a:ext cx="10058400" cy="4549140"/>
        </a:xfrm>
        <a:prstGeom prst="rect">
          <a:avLst/>
        </a:prstGeom>
      </xdr:spPr>
    </xdr:pic>
    <xdr:clientData/>
  </xdr:twoCellAnchor>
  <xdr:twoCellAnchor editAs="oneCell">
    <xdr:from>
      <xdr:col>14</xdr:col>
      <xdr:colOff>0</xdr:colOff>
      <xdr:row>18</xdr:row>
      <xdr:rowOff>47625</xdr:rowOff>
    </xdr:from>
    <xdr:to>
      <xdr:col>22</xdr:col>
      <xdr:colOff>28575</xdr:colOff>
      <xdr:row>41</xdr:row>
      <xdr:rowOff>142875</xdr:rowOff>
    </xdr:to>
    <xdr:pic>
      <xdr:nvPicPr>
        <xdr:cNvPr id="3" name="圖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9286875" y="4543425"/>
          <a:ext cx="5514975" cy="5154930"/>
        </a:xfrm>
        <a:prstGeom prst="rect">
          <a:avLst/>
        </a:prstGeom>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153035</xdr:colOff>
      <xdr:row>14</xdr:row>
      <xdr:rowOff>116205</xdr:rowOff>
    </xdr:from>
    <xdr:to>
      <xdr:col>10</xdr:col>
      <xdr:colOff>648335</xdr:colOff>
      <xdr:row>23</xdr:row>
      <xdr:rowOff>130454</xdr:rowOff>
    </xdr:to>
    <xdr:pic>
      <xdr:nvPicPr>
        <xdr:cNvPr id="3" name="圖片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686810" y="3198495"/>
          <a:ext cx="10058400" cy="1806575"/>
        </a:xfrm>
        <a:prstGeom prst="rect">
          <a:avLst/>
        </a:prstGeom>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14</xdr:col>
      <xdr:colOff>9525</xdr:colOff>
      <xdr:row>1</xdr:row>
      <xdr:rowOff>609600</xdr:rowOff>
    </xdr:from>
    <xdr:to>
      <xdr:col>14</xdr:col>
      <xdr:colOff>904875</xdr:colOff>
      <xdr:row>1</xdr:row>
      <xdr:rowOff>990600</xdr:rowOff>
    </xdr:to>
    <xdr:sp>
      <xdr:nvSpPr>
        <xdr:cNvPr id="2" name="Object 1" hidden="1"/>
        <xdr:cNvSpPr/>
      </xdr:nvSpPr>
      <xdr:spPr>
        <a:xfrm>
          <a:off x="6781800" y="937260"/>
          <a:ext cx="895350" cy="381000"/>
        </a:xfrm>
        <a:prstGeom prst="rect">
          <a:avLst/>
        </a:prstGeom>
      </xdr:spPr>
    </xdr:sp>
    <xdr:clientData/>
  </xdr:twoCellAnchor>
  <xdr:twoCellAnchor>
    <xdr:from>
      <xdr:col>11</xdr:col>
      <xdr:colOff>0</xdr:colOff>
      <xdr:row>1</xdr:row>
      <xdr:rowOff>723900</xdr:rowOff>
    </xdr:from>
    <xdr:to>
      <xdr:col>12</xdr:col>
      <xdr:colOff>0</xdr:colOff>
      <xdr:row>1</xdr:row>
      <xdr:rowOff>1095375</xdr:rowOff>
    </xdr:to>
    <xdr:sp>
      <xdr:nvSpPr>
        <xdr:cNvPr id="3" name="Object 2" hidden="1"/>
        <xdr:cNvSpPr/>
      </xdr:nvSpPr>
      <xdr:spPr>
        <a:xfrm>
          <a:off x="4629150" y="1051560"/>
          <a:ext cx="1133475" cy="342900"/>
        </a:xfrm>
        <a:prstGeom prst="rect">
          <a:avLst/>
        </a:prstGeom>
      </xdr:spPr>
    </xdr:sp>
    <xdr:clientData/>
  </xdr:twoCellAnchor>
  <xdr:twoCellAnchor>
    <xdr:from>
      <xdr:col>15</xdr:col>
      <xdr:colOff>0</xdr:colOff>
      <xdr:row>1</xdr:row>
      <xdr:rowOff>619125</xdr:rowOff>
    </xdr:from>
    <xdr:to>
      <xdr:col>16</xdr:col>
      <xdr:colOff>0</xdr:colOff>
      <xdr:row>1</xdr:row>
      <xdr:rowOff>981075</xdr:rowOff>
    </xdr:to>
    <xdr:sp>
      <xdr:nvSpPr>
        <xdr:cNvPr id="4" name="Object 3" hidden="1"/>
        <xdr:cNvSpPr/>
      </xdr:nvSpPr>
      <xdr:spPr>
        <a:xfrm>
          <a:off x="7686675" y="946785"/>
          <a:ext cx="914400" cy="361950"/>
        </a:xfrm>
        <a:prstGeom prst="rect">
          <a:avLst/>
        </a:prstGeom>
      </xdr:spPr>
    </xdr:sp>
    <xdr:clientData/>
  </xdr:twoCellAnchor>
  <xdr:twoCellAnchor>
    <xdr:from>
      <xdr:col>16</xdr:col>
      <xdr:colOff>47625</xdr:colOff>
      <xdr:row>2</xdr:row>
      <xdr:rowOff>0</xdr:rowOff>
    </xdr:from>
    <xdr:to>
      <xdr:col>16</xdr:col>
      <xdr:colOff>400050</xdr:colOff>
      <xdr:row>2</xdr:row>
      <xdr:rowOff>180975</xdr:rowOff>
    </xdr:to>
    <xdr:sp>
      <xdr:nvSpPr>
        <xdr:cNvPr id="5" name="Object 4" hidden="1"/>
        <xdr:cNvSpPr/>
      </xdr:nvSpPr>
      <xdr:spPr>
        <a:xfrm>
          <a:off x="8648700" y="1394460"/>
          <a:ext cx="352425" cy="180975"/>
        </a:xfrm>
        <a:prstGeom prst="rect">
          <a:avLst/>
        </a:prstGeom>
      </xdr:spPr>
    </xdr:sp>
    <xdr:clientData/>
  </xdr:twoCellAnchor>
  <xdr:twoCellAnchor>
    <xdr:from>
      <xdr:col>13</xdr:col>
      <xdr:colOff>152400</xdr:colOff>
      <xdr:row>2</xdr:row>
      <xdr:rowOff>66675</xdr:rowOff>
    </xdr:from>
    <xdr:to>
      <xdr:col>13</xdr:col>
      <xdr:colOff>238125</xdr:colOff>
      <xdr:row>2</xdr:row>
      <xdr:rowOff>228600</xdr:rowOff>
    </xdr:to>
    <xdr:sp>
      <xdr:nvSpPr>
        <xdr:cNvPr id="6" name="Object 5" hidden="1"/>
        <xdr:cNvSpPr/>
      </xdr:nvSpPr>
      <xdr:spPr>
        <a:xfrm>
          <a:off x="6543675" y="1461135"/>
          <a:ext cx="85725" cy="131445"/>
        </a:xfrm>
        <a:prstGeom prst="rect">
          <a:avLst/>
        </a:prstGeom>
      </xdr:spPr>
    </xdr:sp>
    <xdr:clientData/>
  </xdr:twoCellAnchor>
  <xdr:twoCellAnchor>
    <xdr:from>
      <xdr:col>17</xdr:col>
      <xdr:colOff>104775</xdr:colOff>
      <xdr:row>2</xdr:row>
      <xdr:rowOff>47625</xdr:rowOff>
    </xdr:from>
    <xdr:to>
      <xdr:col>17</xdr:col>
      <xdr:colOff>304800</xdr:colOff>
      <xdr:row>2</xdr:row>
      <xdr:rowOff>285750</xdr:rowOff>
    </xdr:to>
    <xdr:sp>
      <xdr:nvSpPr>
        <xdr:cNvPr id="7" name="Object 6" hidden="1"/>
        <xdr:cNvSpPr/>
      </xdr:nvSpPr>
      <xdr:spPr>
        <a:xfrm>
          <a:off x="9124950" y="1442085"/>
          <a:ext cx="200025" cy="150495"/>
        </a:xfrm>
        <a:prstGeom prst="rect">
          <a:avLst/>
        </a:prstGeom>
      </xdr:spPr>
    </xdr:sp>
    <xdr:clientData/>
  </xdr:twoCellAnchor>
  <xdr:twoCellAnchor>
    <xdr:from>
      <xdr:col>18</xdr:col>
      <xdr:colOff>19050</xdr:colOff>
      <xdr:row>1</xdr:row>
      <xdr:rowOff>876300</xdr:rowOff>
    </xdr:from>
    <xdr:to>
      <xdr:col>19</xdr:col>
      <xdr:colOff>0</xdr:colOff>
      <xdr:row>1</xdr:row>
      <xdr:rowOff>1190625</xdr:rowOff>
    </xdr:to>
    <xdr:sp>
      <xdr:nvSpPr>
        <xdr:cNvPr id="8" name="Object 7" hidden="1"/>
        <xdr:cNvSpPr/>
      </xdr:nvSpPr>
      <xdr:spPr>
        <a:xfrm>
          <a:off x="9439275" y="1203960"/>
          <a:ext cx="647700" cy="190500"/>
        </a:xfrm>
        <a:prstGeom prst="rect">
          <a:avLst/>
        </a:prstGeom>
      </xdr:spPr>
    </xdr:sp>
    <xdr:clientData/>
  </xdr:twoCellAnchor>
  <xdr:twoCellAnchor>
    <xdr:from>
      <xdr:col>19</xdr:col>
      <xdr:colOff>9525</xdr:colOff>
      <xdr:row>1</xdr:row>
      <xdr:rowOff>676275</xdr:rowOff>
    </xdr:from>
    <xdr:to>
      <xdr:col>20</xdr:col>
      <xdr:colOff>9525</xdr:colOff>
      <xdr:row>2</xdr:row>
      <xdr:rowOff>28575</xdr:rowOff>
    </xdr:to>
    <xdr:sp>
      <xdr:nvSpPr>
        <xdr:cNvPr id="9" name="Object 8" hidden="1"/>
        <xdr:cNvSpPr/>
      </xdr:nvSpPr>
      <xdr:spPr>
        <a:xfrm>
          <a:off x="10096500" y="1003935"/>
          <a:ext cx="2209800" cy="419100"/>
        </a:xfrm>
        <a:prstGeom prst="rect">
          <a:avLst/>
        </a:prstGeom>
      </xdr:spPr>
    </xdr:sp>
    <xdr:clientData/>
  </xdr:twoCellAnchor>
  <xdr:twoCellAnchor>
    <xdr:from>
      <xdr:col>20</xdr:col>
      <xdr:colOff>76200</xdr:colOff>
      <xdr:row>1</xdr:row>
      <xdr:rowOff>723900</xdr:rowOff>
    </xdr:from>
    <xdr:to>
      <xdr:col>20</xdr:col>
      <xdr:colOff>1409700</xdr:colOff>
      <xdr:row>1</xdr:row>
      <xdr:rowOff>1171575</xdr:rowOff>
    </xdr:to>
    <xdr:sp>
      <xdr:nvSpPr>
        <xdr:cNvPr id="10" name="Object 9" hidden="1"/>
        <xdr:cNvSpPr/>
      </xdr:nvSpPr>
      <xdr:spPr>
        <a:xfrm>
          <a:off x="12372975" y="1051560"/>
          <a:ext cx="1333500" cy="342900"/>
        </a:xfrm>
        <a:prstGeom prst="rect">
          <a:avLst/>
        </a:prstGeom>
      </xdr:spPr>
    </xdr:sp>
    <xdr:clientData/>
  </xdr:twoCellAnchor>
  <xdr:twoCellAnchor>
    <xdr:from>
      <xdr:col>14</xdr:col>
      <xdr:colOff>9525</xdr:colOff>
      <xdr:row>1</xdr:row>
      <xdr:rowOff>609600</xdr:rowOff>
    </xdr:from>
    <xdr:to>
      <xdr:col>14</xdr:col>
      <xdr:colOff>904875</xdr:colOff>
      <xdr:row>1</xdr:row>
      <xdr:rowOff>990600</xdr:rowOff>
    </xdr:to>
    <xdr:pic>
      <xdr:nvPicPr>
        <xdr:cNvPr id="472065" name="Picture 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781800" y="937260"/>
          <a:ext cx="895350" cy="381000"/>
        </a:xfrm>
        <a:prstGeom prst="rect">
          <a:avLst/>
        </a:prstGeom>
        <a:solidFill>
          <a:srgbClr val="FFFFFF"/>
        </a:solidFill>
      </xdr:spPr>
    </xdr:pic>
    <xdr:clientData/>
  </xdr:twoCellAnchor>
  <xdr:twoCellAnchor>
    <xdr:from>
      <xdr:col>11</xdr:col>
      <xdr:colOff>0</xdr:colOff>
      <xdr:row>1</xdr:row>
      <xdr:rowOff>723900</xdr:rowOff>
    </xdr:from>
    <xdr:to>
      <xdr:col>12</xdr:col>
      <xdr:colOff>0</xdr:colOff>
      <xdr:row>2</xdr:row>
      <xdr:rowOff>0</xdr:rowOff>
    </xdr:to>
    <xdr:pic>
      <xdr:nvPicPr>
        <xdr:cNvPr id="472066" name="Picture 2"/>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4629150" y="1051560"/>
          <a:ext cx="1133475" cy="342900"/>
        </a:xfrm>
        <a:prstGeom prst="rect">
          <a:avLst/>
        </a:prstGeom>
        <a:solidFill>
          <a:srgbClr val="FFFFFF"/>
        </a:solidFill>
      </xdr:spPr>
    </xdr:pic>
    <xdr:clientData/>
  </xdr:twoCellAnchor>
  <xdr:twoCellAnchor>
    <xdr:from>
      <xdr:col>15</xdr:col>
      <xdr:colOff>0</xdr:colOff>
      <xdr:row>1</xdr:row>
      <xdr:rowOff>619125</xdr:rowOff>
    </xdr:from>
    <xdr:to>
      <xdr:col>16</xdr:col>
      <xdr:colOff>0</xdr:colOff>
      <xdr:row>1</xdr:row>
      <xdr:rowOff>981075</xdr:rowOff>
    </xdr:to>
    <xdr:pic>
      <xdr:nvPicPr>
        <xdr:cNvPr id="472067" name="Picture 3"/>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7686675" y="946785"/>
          <a:ext cx="914400" cy="361950"/>
        </a:xfrm>
        <a:prstGeom prst="rect">
          <a:avLst/>
        </a:prstGeom>
        <a:solidFill>
          <a:srgbClr val="FFFFFF"/>
        </a:solidFill>
      </xdr:spPr>
    </xdr:pic>
    <xdr:clientData/>
  </xdr:twoCellAnchor>
  <xdr:twoCellAnchor>
    <xdr:from>
      <xdr:col>16</xdr:col>
      <xdr:colOff>47625</xdr:colOff>
      <xdr:row>2</xdr:row>
      <xdr:rowOff>0</xdr:rowOff>
    </xdr:from>
    <xdr:to>
      <xdr:col>16</xdr:col>
      <xdr:colOff>400050</xdr:colOff>
      <xdr:row>3</xdr:row>
      <xdr:rowOff>0</xdr:rowOff>
    </xdr:to>
    <xdr:pic>
      <xdr:nvPicPr>
        <xdr:cNvPr id="472068" name="Picture 4"/>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8648700" y="1394460"/>
          <a:ext cx="352425" cy="198120"/>
        </a:xfrm>
        <a:prstGeom prst="rect">
          <a:avLst/>
        </a:prstGeom>
        <a:solidFill>
          <a:srgbClr val="FFFFFF"/>
        </a:solidFill>
      </xdr:spPr>
    </xdr:pic>
    <xdr:clientData/>
  </xdr:twoCellAnchor>
  <xdr:twoCellAnchor>
    <xdr:from>
      <xdr:col>13</xdr:col>
      <xdr:colOff>152400</xdr:colOff>
      <xdr:row>2</xdr:row>
      <xdr:rowOff>66675</xdr:rowOff>
    </xdr:from>
    <xdr:to>
      <xdr:col>13</xdr:col>
      <xdr:colOff>238125</xdr:colOff>
      <xdr:row>3</xdr:row>
      <xdr:rowOff>0</xdr:rowOff>
    </xdr:to>
    <xdr:pic>
      <xdr:nvPicPr>
        <xdr:cNvPr id="472069" name="Picture 5"/>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6543675" y="1461135"/>
          <a:ext cx="85725" cy="131445"/>
        </a:xfrm>
        <a:prstGeom prst="rect">
          <a:avLst/>
        </a:prstGeom>
        <a:solidFill>
          <a:srgbClr val="FFFFFF"/>
        </a:solidFill>
      </xdr:spPr>
    </xdr:pic>
    <xdr:clientData/>
  </xdr:twoCellAnchor>
  <xdr:twoCellAnchor>
    <xdr:from>
      <xdr:col>17</xdr:col>
      <xdr:colOff>104775</xdr:colOff>
      <xdr:row>2</xdr:row>
      <xdr:rowOff>47625</xdr:rowOff>
    </xdr:from>
    <xdr:to>
      <xdr:col>17</xdr:col>
      <xdr:colOff>304800</xdr:colOff>
      <xdr:row>3</xdr:row>
      <xdr:rowOff>0</xdr:rowOff>
    </xdr:to>
    <xdr:pic>
      <xdr:nvPicPr>
        <xdr:cNvPr id="472070" name="Picture 6"/>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9124950" y="1442085"/>
          <a:ext cx="200025" cy="150495"/>
        </a:xfrm>
        <a:prstGeom prst="rect">
          <a:avLst/>
        </a:prstGeom>
        <a:solidFill>
          <a:srgbClr val="FFFFFF"/>
        </a:solidFill>
      </xdr:spPr>
    </xdr:pic>
    <xdr:clientData/>
  </xdr:twoCellAnchor>
  <xdr:twoCellAnchor>
    <xdr:from>
      <xdr:col>18</xdr:col>
      <xdr:colOff>19050</xdr:colOff>
      <xdr:row>1</xdr:row>
      <xdr:rowOff>876300</xdr:rowOff>
    </xdr:from>
    <xdr:to>
      <xdr:col>19</xdr:col>
      <xdr:colOff>0</xdr:colOff>
      <xdr:row>2</xdr:row>
      <xdr:rowOff>0</xdr:rowOff>
    </xdr:to>
    <xdr:pic>
      <xdr:nvPicPr>
        <xdr:cNvPr id="472071" name="Picture 7"/>
        <xdr:cNvPicPr>
          <a:picLocks noChangeAspect="1"/>
        </xdr:cNvPicPr>
      </xdr:nvPicPr>
      <xdr:blipFill>
        <a:blip r:embed="rId7" cstate="print">
          <a:extLst>
            <a:ext uri="{28A0092B-C50C-407E-A947-70E740481C1C}">
              <a14:useLocalDpi xmlns:a14="http://schemas.microsoft.com/office/drawing/2010/main" val="0"/>
            </a:ext>
          </a:extLst>
        </a:blip>
        <a:srcRect/>
        <a:stretch>
          <a:fillRect/>
        </a:stretch>
      </xdr:blipFill>
      <xdr:spPr>
        <a:xfrm>
          <a:off x="9439275" y="1203960"/>
          <a:ext cx="647700" cy="190500"/>
        </a:xfrm>
        <a:prstGeom prst="rect">
          <a:avLst/>
        </a:prstGeom>
        <a:solidFill>
          <a:srgbClr val="FFFFFF"/>
        </a:solidFill>
        <a:ln w="9525">
          <a:solidFill>
            <a:srgbClr val="000000"/>
          </a:solidFill>
          <a:miter lim="800000"/>
          <a:headEnd/>
          <a:tailEnd/>
        </a:ln>
      </xdr:spPr>
    </xdr:pic>
    <xdr:clientData/>
  </xdr:twoCellAnchor>
  <xdr:twoCellAnchor>
    <xdr:from>
      <xdr:col>19</xdr:col>
      <xdr:colOff>9525</xdr:colOff>
      <xdr:row>1</xdr:row>
      <xdr:rowOff>676275</xdr:rowOff>
    </xdr:from>
    <xdr:to>
      <xdr:col>20</xdr:col>
      <xdr:colOff>9525</xdr:colOff>
      <xdr:row>2</xdr:row>
      <xdr:rowOff>28575</xdr:rowOff>
    </xdr:to>
    <xdr:pic>
      <xdr:nvPicPr>
        <xdr:cNvPr id="472072" name="Picture 8"/>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10096500" y="1003935"/>
          <a:ext cx="2209800" cy="419100"/>
        </a:xfrm>
        <a:prstGeom prst="rect">
          <a:avLst/>
        </a:prstGeom>
        <a:solidFill>
          <a:srgbClr val="FFFFFF"/>
        </a:solidFill>
      </xdr:spPr>
    </xdr:pic>
    <xdr:clientData/>
  </xdr:twoCellAnchor>
  <xdr:twoCellAnchor>
    <xdr:from>
      <xdr:col>20</xdr:col>
      <xdr:colOff>76200</xdr:colOff>
      <xdr:row>1</xdr:row>
      <xdr:rowOff>723900</xdr:rowOff>
    </xdr:from>
    <xdr:to>
      <xdr:col>20</xdr:col>
      <xdr:colOff>1409700</xdr:colOff>
      <xdr:row>2</xdr:row>
      <xdr:rowOff>0</xdr:rowOff>
    </xdr:to>
    <xdr:pic>
      <xdr:nvPicPr>
        <xdr:cNvPr id="472073" name="Picture 9"/>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12372975" y="1051560"/>
          <a:ext cx="1333500" cy="342900"/>
        </a:xfrm>
        <a:prstGeom prst="rect">
          <a:avLst/>
        </a:prstGeom>
        <a:solidFill>
          <a:srgbClr val="FFFFFF"/>
        </a:solidFill>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14</xdr:col>
      <xdr:colOff>9525</xdr:colOff>
      <xdr:row>2</xdr:row>
      <xdr:rowOff>609600</xdr:rowOff>
    </xdr:from>
    <xdr:to>
      <xdr:col>14</xdr:col>
      <xdr:colOff>904875</xdr:colOff>
      <xdr:row>2</xdr:row>
      <xdr:rowOff>990600</xdr:rowOff>
    </xdr:to>
    <xdr:sp>
      <xdr:nvSpPr>
        <xdr:cNvPr id="2" name="Object 1" hidden="1"/>
        <xdr:cNvSpPr/>
      </xdr:nvSpPr>
      <xdr:spPr>
        <a:xfrm>
          <a:off x="6781800" y="1135380"/>
          <a:ext cx="895350" cy="381000"/>
        </a:xfrm>
        <a:prstGeom prst="rect">
          <a:avLst/>
        </a:prstGeom>
      </xdr:spPr>
    </xdr:sp>
    <xdr:clientData/>
  </xdr:twoCellAnchor>
  <xdr:twoCellAnchor>
    <xdr:from>
      <xdr:col>11</xdr:col>
      <xdr:colOff>0</xdr:colOff>
      <xdr:row>2</xdr:row>
      <xdr:rowOff>723900</xdr:rowOff>
    </xdr:from>
    <xdr:to>
      <xdr:col>12</xdr:col>
      <xdr:colOff>0</xdr:colOff>
      <xdr:row>2</xdr:row>
      <xdr:rowOff>1095375</xdr:rowOff>
    </xdr:to>
    <xdr:sp>
      <xdr:nvSpPr>
        <xdr:cNvPr id="3" name="Object 2" hidden="1"/>
        <xdr:cNvSpPr/>
      </xdr:nvSpPr>
      <xdr:spPr>
        <a:xfrm>
          <a:off x="4629150" y="1249680"/>
          <a:ext cx="1133475" cy="342900"/>
        </a:xfrm>
        <a:prstGeom prst="rect">
          <a:avLst/>
        </a:prstGeom>
      </xdr:spPr>
    </xdr:sp>
    <xdr:clientData/>
  </xdr:twoCellAnchor>
  <xdr:twoCellAnchor>
    <xdr:from>
      <xdr:col>15</xdr:col>
      <xdr:colOff>0</xdr:colOff>
      <xdr:row>2</xdr:row>
      <xdr:rowOff>619125</xdr:rowOff>
    </xdr:from>
    <xdr:to>
      <xdr:col>16</xdr:col>
      <xdr:colOff>0</xdr:colOff>
      <xdr:row>2</xdr:row>
      <xdr:rowOff>981075</xdr:rowOff>
    </xdr:to>
    <xdr:sp>
      <xdr:nvSpPr>
        <xdr:cNvPr id="4" name="Object 3" hidden="1"/>
        <xdr:cNvSpPr/>
      </xdr:nvSpPr>
      <xdr:spPr>
        <a:xfrm>
          <a:off x="7686675" y="1144905"/>
          <a:ext cx="914400" cy="361950"/>
        </a:xfrm>
        <a:prstGeom prst="rect">
          <a:avLst/>
        </a:prstGeom>
      </xdr:spPr>
    </xdr:sp>
    <xdr:clientData/>
  </xdr:twoCellAnchor>
  <xdr:twoCellAnchor>
    <xdr:from>
      <xdr:col>16</xdr:col>
      <xdr:colOff>47625</xdr:colOff>
      <xdr:row>3</xdr:row>
      <xdr:rowOff>0</xdr:rowOff>
    </xdr:from>
    <xdr:to>
      <xdr:col>16</xdr:col>
      <xdr:colOff>400050</xdr:colOff>
      <xdr:row>3</xdr:row>
      <xdr:rowOff>180975</xdr:rowOff>
    </xdr:to>
    <xdr:sp>
      <xdr:nvSpPr>
        <xdr:cNvPr id="5" name="Object 4" hidden="1"/>
        <xdr:cNvSpPr/>
      </xdr:nvSpPr>
      <xdr:spPr>
        <a:xfrm>
          <a:off x="8648700" y="1592580"/>
          <a:ext cx="352425" cy="180975"/>
        </a:xfrm>
        <a:prstGeom prst="rect">
          <a:avLst/>
        </a:prstGeom>
      </xdr:spPr>
    </xdr:sp>
    <xdr:clientData/>
  </xdr:twoCellAnchor>
  <xdr:twoCellAnchor>
    <xdr:from>
      <xdr:col>13</xdr:col>
      <xdr:colOff>152400</xdr:colOff>
      <xdr:row>3</xdr:row>
      <xdr:rowOff>66675</xdr:rowOff>
    </xdr:from>
    <xdr:to>
      <xdr:col>13</xdr:col>
      <xdr:colOff>238125</xdr:colOff>
      <xdr:row>3</xdr:row>
      <xdr:rowOff>228600</xdr:rowOff>
    </xdr:to>
    <xdr:sp>
      <xdr:nvSpPr>
        <xdr:cNvPr id="6" name="Object 5" hidden="1"/>
        <xdr:cNvSpPr/>
      </xdr:nvSpPr>
      <xdr:spPr>
        <a:xfrm>
          <a:off x="6543675" y="1659255"/>
          <a:ext cx="85725" cy="131445"/>
        </a:xfrm>
        <a:prstGeom prst="rect">
          <a:avLst/>
        </a:prstGeom>
      </xdr:spPr>
    </xdr:sp>
    <xdr:clientData/>
  </xdr:twoCellAnchor>
  <xdr:twoCellAnchor>
    <xdr:from>
      <xdr:col>17</xdr:col>
      <xdr:colOff>104775</xdr:colOff>
      <xdr:row>3</xdr:row>
      <xdr:rowOff>47625</xdr:rowOff>
    </xdr:from>
    <xdr:to>
      <xdr:col>17</xdr:col>
      <xdr:colOff>304800</xdr:colOff>
      <xdr:row>3</xdr:row>
      <xdr:rowOff>285750</xdr:rowOff>
    </xdr:to>
    <xdr:sp>
      <xdr:nvSpPr>
        <xdr:cNvPr id="7" name="Object 6" hidden="1"/>
        <xdr:cNvSpPr/>
      </xdr:nvSpPr>
      <xdr:spPr>
        <a:xfrm>
          <a:off x="9124950" y="1640205"/>
          <a:ext cx="200025" cy="150495"/>
        </a:xfrm>
        <a:prstGeom prst="rect">
          <a:avLst/>
        </a:prstGeom>
      </xdr:spPr>
    </xdr:sp>
    <xdr:clientData/>
  </xdr:twoCellAnchor>
  <xdr:twoCellAnchor>
    <xdr:from>
      <xdr:col>18</xdr:col>
      <xdr:colOff>19050</xdr:colOff>
      <xdr:row>2</xdr:row>
      <xdr:rowOff>876300</xdr:rowOff>
    </xdr:from>
    <xdr:to>
      <xdr:col>19</xdr:col>
      <xdr:colOff>0</xdr:colOff>
      <xdr:row>2</xdr:row>
      <xdr:rowOff>1190625</xdr:rowOff>
    </xdr:to>
    <xdr:sp>
      <xdr:nvSpPr>
        <xdr:cNvPr id="8" name="Object 7" hidden="1"/>
        <xdr:cNvSpPr/>
      </xdr:nvSpPr>
      <xdr:spPr>
        <a:xfrm>
          <a:off x="9439275" y="1402080"/>
          <a:ext cx="647700" cy="190500"/>
        </a:xfrm>
        <a:prstGeom prst="rect">
          <a:avLst/>
        </a:prstGeom>
      </xdr:spPr>
    </xdr:sp>
    <xdr:clientData/>
  </xdr:twoCellAnchor>
  <xdr:twoCellAnchor>
    <xdr:from>
      <xdr:col>19</xdr:col>
      <xdr:colOff>9525</xdr:colOff>
      <xdr:row>2</xdr:row>
      <xdr:rowOff>676275</xdr:rowOff>
    </xdr:from>
    <xdr:to>
      <xdr:col>20</xdr:col>
      <xdr:colOff>9525</xdr:colOff>
      <xdr:row>3</xdr:row>
      <xdr:rowOff>28575</xdr:rowOff>
    </xdr:to>
    <xdr:sp>
      <xdr:nvSpPr>
        <xdr:cNvPr id="9" name="Object 8" hidden="1"/>
        <xdr:cNvSpPr/>
      </xdr:nvSpPr>
      <xdr:spPr>
        <a:xfrm>
          <a:off x="10096500" y="1202055"/>
          <a:ext cx="2209800" cy="419100"/>
        </a:xfrm>
        <a:prstGeom prst="rect">
          <a:avLst/>
        </a:prstGeom>
      </xdr:spPr>
    </xdr:sp>
    <xdr:clientData/>
  </xdr:twoCellAnchor>
  <xdr:twoCellAnchor>
    <xdr:from>
      <xdr:col>20</xdr:col>
      <xdr:colOff>76200</xdr:colOff>
      <xdr:row>2</xdr:row>
      <xdr:rowOff>723900</xdr:rowOff>
    </xdr:from>
    <xdr:to>
      <xdr:col>20</xdr:col>
      <xdr:colOff>1409700</xdr:colOff>
      <xdr:row>2</xdr:row>
      <xdr:rowOff>1171575</xdr:rowOff>
    </xdr:to>
    <xdr:sp>
      <xdr:nvSpPr>
        <xdr:cNvPr id="10" name="Object 9" hidden="1"/>
        <xdr:cNvSpPr/>
      </xdr:nvSpPr>
      <xdr:spPr>
        <a:xfrm>
          <a:off x="12372975" y="1249680"/>
          <a:ext cx="1333500" cy="342900"/>
        </a:xfrm>
        <a:prstGeom prst="rect">
          <a:avLst/>
        </a:prstGeom>
      </xdr:spPr>
    </xdr:sp>
    <xdr:clientData/>
  </xdr:twoCellAnchor>
  <xdr:twoCellAnchor>
    <xdr:from>
      <xdr:col>14</xdr:col>
      <xdr:colOff>9525</xdr:colOff>
      <xdr:row>2</xdr:row>
      <xdr:rowOff>609600</xdr:rowOff>
    </xdr:from>
    <xdr:to>
      <xdr:col>14</xdr:col>
      <xdr:colOff>904875</xdr:colOff>
      <xdr:row>2</xdr:row>
      <xdr:rowOff>990600</xdr:rowOff>
    </xdr:to>
    <xdr:pic>
      <xdr:nvPicPr>
        <xdr:cNvPr id="473089" name="Picture 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6781800" y="1135380"/>
          <a:ext cx="895350" cy="381000"/>
        </a:xfrm>
        <a:prstGeom prst="rect">
          <a:avLst/>
        </a:prstGeom>
        <a:solidFill>
          <a:srgbClr val="FFFFFF"/>
        </a:solidFill>
      </xdr:spPr>
    </xdr:pic>
    <xdr:clientData/>
  </xdr:twoCellAnchor>
  <xdr:twoCellAnchor>
    <xdr:from>
      <xdr:col>11</xdr:col>
      <xdr:colOff>0</xdr:colOff>
      <xdr:row>2</xdr:row>
      <xdr:rowOff>723900</xdr:rowOff>
    </xdr:from>
    <xdr:to>
      <xdr:col>12</xdr:col>
      <xdr:colOff>0</xdr:colOff>
      <xdr:row>3</xdr:row>
      <xdr:rowOff>0</xdr:rowOff>
    </xdr:to>
    <xdr:pic>
      <xdr:nvPicPr>
        <xdr:cNvPr id="473090" name="Picture 2"/>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4629150" y="1249680"/>
          <a:ext cx="1133475" cy="342900"/>
        </a:xfrm>
        <a:prstGeom prst="rect">
          <a:avLst/>
        </a:prstGeom>
        <a:solidFill>
          <a:srgbClr val="FFFFFF"/>
        </a:solidFill>
      </xdr:spPr>
    </xdr:pic>
    <xdr:clientData/>
  </xdr:twoCellAnchor>
  <xdr:twoCellAnchor>
    <xdr:from>
      <xdr:col>15</xdr:col>
      <xdr:colOff>0</xdr:colOff>
      <xdr:row>2</xdr:row>
      <xdr:rowOff>619125</xdr:rowOff>
    </xdr:from>
    <xdr:to>
      <xdr:col>16</xdr:col>
      <xdr:colOff>0</xdr:colOff>
      <xdr:row>2</xdr:row>
      <xdr:rowOff>981075</xdr:rowOff>
    </xdr:to>
    <xdr:pic>
      <xdr:nvPicPr>
        <xdr:cNvPr id="473091" name="Picture 3"/>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7686675" y="1144905"/>
          <a:ext cx="914400" cy="361950"/>
        </a:xfrm>
        <a:prstGeom prst="rect">
          <a:avLst/>
        </a:prstGeom>
        <a:solidFill>
          <a:srgbClr val="FFFFFF"/>
        </a:solidFill>
      </xdr:spPr>
    </xdr:pic>
    <xdr:clientData/>
  </xdr:twoCellAnchor>
  <xdr:twoCellAnchor>
    <xdr:from>
      <xdr:col>16</xdr:col>
      <xdr:colOff>47625</xdr:colOff>
      <xdr:row>3</xdr:row>
      <xdr:rowOff>0</xdr:rowOff>
    </xdr:from>
    <xdr:to>
      <xdr:col>16</xdr:col>
      <xdr:colOff>400050</xdr:colOff>
      <xdr:row>4</xdr:row>
      <xdr:rowOff>0</xdr:rowOff>
    </xdr:to>
    <xdr:pic>
      <xdr:nvPicPr>
        <xdr:cNvPr id="473092" name="Picture 4"/>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8648700" y="1592580"/>
          <a:ext cx="352425" cy="198120"/>
        </a:xfrm>
        <a:prstGeom prst="rect">
          <a:avLst/>
        </a:prstGeom>
        <a:solidFill>
          <a:srgbClr val="FFFFFF"/>
        </a:solidFill>
      </xdr:spPr>
    </xdr:pic>
    <xdr:clientData/>
  </xdr:twoCellAnchor>
  <xdr:twoCellAnchor>
    <xdr:from>
      <xdr:col>13</xdr:col>
      <xdr:colOff>152400</xdr:colOff>
      <xdr:row>3</xdr:row>
      <xdr:rowOff>66675</xdr:rowOff>
    </xdr:from>
    <xdr:to>
      <xdr:col>13</xdr:col>
      <xdr:colOff>238125</xdr:colOff>
      <xdr:row>4</xdr:row>
      <xdr:rowOff>0</xdr:rowOff>
    </xdr:to>
    <xdr:pic>
      <xdr:nvPicPr>
        <xdr:cNvPr id="473093" name="Picture 5"/>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6543675" y="1659255"/>
          <a:ext cx="85725" cy="131445"/>
        </a:xfrm>
        <a:prstGeom prst="rect">
          <a:avLst/>
        </a:prstGeom>
        <a:solidFill>
          <a:srgbClr val="FFFFFF"/>
        </a:solidFill>
      </xdr:spPr>
    </xdr:pic>
    <xdr:clientData/>
  </xdr:twoCellAnchor>
  <xdr:twoCellAnchor>
    <xdr:from>
      <xdr:col>17</xdr:col>
      <xdr:colOff>104775</xdr:colOff>
      <xdr:row>3</xdr:row>
      <xdr:rowOff>47625</xdr:rowOff>
    </xdr:from>
    <xdr:to>
      <xdr:col>17</xdr:col>
      <xdr:colOff>304800</xdr:colOff>
      <xdr:row>4</xdr:row>
      <xdr:rowOff>0</xdr:rowOff>
    </xdr:to>
    <xdr:pic>
      <xdr:nvPicPr>
        <xdr:cNvPr id="473094" name="Picture 6"/>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9124950" y="1640205"/>
          <a:ext cx="200025" cy="150495"/>
        </a:xfrm>
        <a:prstGeom prst="rect">
          <a:avLst/>
        </a:prstGeom>
        <a:solidFill>
          <a:srgbClr val="FFFFFF"/>
        </a:solidFill>
      </xdr:spPr>
    </xdr:pic>
    <xdr:clientData/>
  </xdr:twoCellAnchor>
  <xdr:twoCellAnchor>
    <xdr:from>
      <xdr:col>18</xdr:col>
      <xdr:colOff>19050</xdr:colOff>
      <xdr:row>2</xdr:row>
      <xdr:rowOff>876300</xdr:rowOff>
    </xdr:from>
    <xdr:to>
      <xdr:col>19</xdr:col>
      <xdr:colOff>0</xdr:colOff>
      <xdr:row>3</xdr:row>
      <xdr:rowOff>0</xdr:rowOff>
    </xdr:to>
    <xdr:pic>
      <xdr:nvPicPr>
        <xdr:cNvPr id="473095" name="Picture 7"/>
        <xdr:cNvPicPr>
          <a:picLocks noChangeAspect="1"/>
        </xdr:cNvPicPr>
      </xdr:nvPicPr>
      <xdr:blipFill>
        <a:blip r:embed="rId7" cstate="print">
          <a:extLst>
            <a:ext uri="{28A0092B-C50C-407E-A947-70E740481C1C}">
              <a14:useLocalDpi xmlns:a14="http://schemas.microsoft.com/office/drawing/2010/main" val="0"/>
            </a:ext>
          </a:extLst>
        </a:blip>
        <a:srcRect/>
        <a:stretch>
          <a:fillRect/>
        </a:stretch>
      </xdr:blipFill>
      <xdr:spPr>
        <a:xfrm>
          <a:off x="9439275" y="1402080"/>
          <a:ext cx="647700" cy="190500"/>
        </a:xfrm>
        <a:prstGeom prst="rect">
          <a:avLst/>
        </a:prstGeom>
        <a:solidFill>
          <a:srgbClr val="FFFFFF"/>
        </a:solidFill>
        <a:ln w="9525">
          <a:solidFill>
            <a:srgbClr val="000000"/>
          </a:solidFill>
          <a:miter lim="800000"/>
          <a:headEnd/>
          <a:tailEnd/>
        </a:ln>
      </xdr:spPr>
    </xdr:pic>
    <xdr:clientData/>
  </xdr:twoCellAnchor>
  <xdr:twoCellAnchor>
    <xdr:from>
      <xdr:col>19</xdr:col>
      <xdr:colOff>9525</xdr:colOff>
      <xdr:row>2</xdr:row>
      <xdr:rowOff>676275</xdr:rowOff>
    </xdr:from>
    <xdr:to>
      <xdr:col>20</xdr:col>
      <xdr:colOff>9525</xdr:colOff>
      <xdr:row>3</xdr:row>
      <xdr:rowOff>28575</xdr:rowOff>
    </xdr:to>
    <xdr:pic>
      <xdr:nvPicPr>
        <xdr:cNvPr id="473096" name="Picture 8"/>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10096500" y="1202055"/>
          <a:ext cx="2209800" cy="419100"/>
        </a:xfrm>
        <a:prstGeom prst="rect">
          <a:avLst/>
        </a:prstGeom>
        <a:solidFill>
          <a:srgbClr val="FFFFFF"/>
        </a:solidFill>
      </xdr:spPr>
    </xdr:pic>
    <xdr:clientData/>
  </xdr:twoCellAnchor>
  <xdr:twoCellAnchor>
    <xdr:from>
      <xdr:col>20</xdr:col>
      <xdr:colOff>76200</xdr:colOff>
      <xdr:row>2</xdr:row>
      <xdr:rowOff>723900</xdr:rowOff>
    </xdr:from>
    <xdr:to>
      <xdr:col>20</xdr:col>
      <xdr:colOff>1409700</xdr:colOff>
      <xdr:row>3</xdr:row>
      <xdr:rowOff>0</xdr:rowOff>
    </xdr:to>
    <xdr:pic>
      <xdr:nvPicPr>
        <xdr:cNvPr id="473097" name="Picture 9"/>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12372975" y="1249680"/>
          <a:ext cx="1333500" cy="342900"/>
        </a:xfrm>
        <a:prstGeom prst="rect">
          <a:avLst/>
        </a:prstGeom>
        <a:solidFill>
          <a:srgbClr val="FFFFFF"/>
        </a:solidFill>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2</xdr:row>
      <xdr:rowOff>542925</xdr:rowOff>
    </xdr:from>
    <xdr:to>
      <xdr:col>13</xdr:col>
      <xdr:colOff>0</xdr:colOff>
      <xdr:row>2</xdr:row>
      <xdr:rowOff>847725</xdr:rowOff>
    </xdr:to>
    <xdr:sp>
      <xdr:nvSpPr>
        <xdr:cNvPr id="2" name="Object 1" hidden="1"/>
        <xdr:cNvSpPr/>
      </xdr:nvSpPr>
      <xdr:spPr>
        <a:xfrm>
          <a:off x="8486775" y="1068705"/>
          <a:ext cx="0" cy="304800"/>
        </a:xfrm>
        <a:prstGeom prst="rect">
          <a:avLst/>
        </a:prstGeom>
      </xdr:spPr>
    </xdr:sp>
    <xdr:clientData/>
  </xdr:twoCellAnchor>
  <xdr:twoCellAnchor>
    <xdr:from>
      <xdr:col>13</xdr:col>
      <xdr:colOff>0</xdr:colOff>
      <xdr:row>2</xdr:row>
      <xdr:rowOff>542925</xdr:rowOff>
    </xdr:from>
    <xdr:to>
      <xdr:col>13</xdr:col>
      <xdr:colOff>0</xdr:colOff>
      <xdr:row>2</xdr:row>
      <xdr:rowOff>819150</xdr:rowOff>
    </xdr:to>
    <xdr:sp>
      <xdr:nvSpPr>
        <xdr:cNvPr id="3" name="Object 2" hidden="1"/>
        <xdr:cNvSpPr/>
      </xdr:nvSpPr>
      <xdr:spPr>
        <a:xfrm>
          <a:off x="8486775" y="1068705"/>
          <a:ext cx="0" cy="276225"/>
        </a:xfrm>
        <a:prstGeom prst="rect">
          <a:avLst/>
        </a:prstGeom>
      </xdr:spPr>
    </xdr:sp>
    <xdr:clientData/>
  </xdr:twoCellAnchor>
  <xdr:twoCellAnchor>
    <xdr:from>
      <xdr:col>13</xdr:col>
      <xdr:colOff>0</xdr:colOff>
      <xdr:row>2</xdr:row>
      <xdr:rowOff>542925</xdr:rowOff>
    </xdr:from>
    <xdr:to>
      <xdr:col>13</xdr:col>
      <xdr:colOff>0</xdr:colOff>
      <xdr:row>2</xdr:row>
      <xdr:rowOff>838200</xdr:rowOff>
    </xdr:to>
    <xdr:sp>
      <xdr:nvSpPr>
        <xdr:cNvPr id="4" name="Object 3" hidden="1"/>
        <xdr:cNvSpPr/>
      </xdr:nvSpPr>
      <xdr:spPr>
        <a:xfrm>
          <a:off x="8486775" y="1068705"/>
          <a:ext cx="0" cy="295275"/>
        </a:xfrm>
        <a:prstGeom prst="rect">
          <a:avLst/>
        </a:prstGeom>
      </xdr:spPr>
    </xdr:sp>
    <xdr:clientData/>
  </xdr:twoCellAnchor>
  <xdr:twoCellAnchor>
    <xdr:from>
      <xdr:col>13</xdr:col>
      <xdr:colOff>0</xdr:colOff>
      <xdr:row>3</xdr:row>
      <xdr:rowOff>0</xdr:rowOff>
    </xdr:from>
    <xdr:to>
      <xdr:col>13</xdr:col>
      <xdr:colOff>0</xdr:colOff>
      <xdr:row>3</xdr:row>
      <xdr:rowOff>180975</xdr:rowOff>
    </xdr:to>
    <xdr:sp>
      <xdr:nvSpPr>
        <xdr:cNvPr id="5" name="Object 4" hidden="1"/>
        <xdr:cNvSpPr/>
      </xdr:nvSpPr>
      <xdr:spPr>
        <a:xfrm>
          <a:off x="8486775" y="1592580"/>
          <a:ext cx="0" cy="180975"/>
        </a:xfrm>
        <a:prstGeom prst="rect">
          <a:avLst/>
        </a:prstGeom>
      </xdr:spPr>
    </xdr:sp>
    <xdr:clientData/>
  </xdr:twoCellAnchor>
  <xdr:twoCellAnchor>
    <xdr:from>
      <xdr:col>13</xdr:col>
      <xdr:colOff>0</xdr:colOff>
      <xdr:row>3</xdr:row>
      <xdr:rowOff>66675</xdr:rowOff>
    </xdr:from>
    <xdr:to>
      <xdr:col>13</xdr:col>
      <xdr:colOff>0</xdr:colOff>
      <xdr:row>3</xdr:row>
      <xdr:rowOff>228600</xdr:rowOff>
    </xdr:to>
    <xdr:sp>
      <xdr:nvSpPr>
        <xdr:cNvPr id="6" name="Object 5" hidden="1"/>
        <xdr:cNvSpPr/>
      </xdr:nvSpPr>
      <xdr:spPr>
        <a:xfrm>
          <a:off x="8486775" y="1659255"/>
          <a:ext cx="0" cy="161925"/>
        </a:xfrm>
        <a:prstGeom prst="rect">
          <a:avLst/>
        </a:prstGeom>
      </xdr:spPr>
    </xdr:sp>
    <xdr:clientData/>
  </xdr:twoCellAnchor>
  <xdr:twoCellAnchor>
    <xdr:from>
      <xdr:col>13</xdr:col>
      <xdr:colOff>0</xdr:colOff>
      <xdr:row>3</xdr:row>
      <xdr:rowOff>47625</xdr:rowOff>
    </xdr:from>
    <xdr:to>
      <xdr:col>13</xdr:col>
      <xdr:colOff>0</xdr:colOff>
      <xdr:row>3</xdr:row>
      <xdr:rowOff>285750</xdr:rowOff>
    </xdr:to>
    <xdr:sp>
      <xdr:nvSpPr>
        <xdr:cNvPr id="7" name="Object 6" hidden="1"/>
        <xdr:cNvSpPr/>
      </xdr:nvSpPr>
      <xdr:spPr>
        <a:xfrm>
          <a:off x="8486775" y="1640205"/>
          <a:ext cx="0" cy="238125"/>
        </a:xfrm>
        <a:prstGeom prst="rect">
          <a:avLst/>
        </a:prstGeom>
      </xdr:spPr>
    </xdr:sp>
    <xdr:clientData/>
  </xdr:twoCellAnchor>
  <xdr:twoCellAnchor>
    <xdr:from>
      <xdr:col>13</xdr:col>
      <xdr:colOff>0</xdr:colOff>
      <xdr:row>2</xdr:row>
      <xdr:rowOff>590550</xdr:rowOff>
    </xdr:from>
    <xdr:to>
      <xdr:col>13</xdr:col>
      <xdr:colOff>0</xdr:colOff>
      <xdr:row>3</xdr:row>
      <xdr:rowOff>76200</xdr:rowOff>
    </xdr:to>
    <xdr:sp>
      <xdr:nvSpPr>
        <xdr:cNvPr id="8" name="Object 7" hidden="1"/>
        <xdr:cNvSpPr/>
      </xdr:nvSpPr>
      <xdr:spPr>
        <a:xfrm>
          <a:off x="8486775" y="1116330"/>
          <a:ext cx="0" cy="552450"/>
        </a:xfrm>
        <a:prstGeom prst="rect">
          <a:avLst/>
        </a:prstGeom>
      </xdr:spPr>
    </xdr:sp>
    <xdr:clientData/>
  </xdr:twoCellAnchor>
  <xdr:twoCellAnchor>
    <xdr:from>
      <xdr:col>13</xdr:col>
      <xdr:colOff>0</xdr:colOff>
      <xdr:row>2</xdr:row>
      <xdr:rowOff>600075</xdr:rowOff>
    </xdr:from>
    <xdr:to>
      <xdr:col>13</xdr:col>
      <xdr:colOff>0</xdr:colOff>
      <xdr:row>3</xdr:row>
      <xdr:rowOff>38100</xdr:rowOff>
    </xdr:to>
    <xdr:sp>
      <xdr:nvSpPr>
        <xdr:cNvPr id="9" name="Object 8" hidden="1"/>
        <xdr:cNvSpPr/>
      </xdr:nvSpPr>
      <xdr:spPr>
        <a:xfrm>
          <a:off x="8486775" y="1125855"/>
          <a:ext cx="0" cy="504825"/>
        </a:xfrm>
        <a:prstGeom prst="rect">
          <a:avLst/>
        </a:prstGeom>
      </xdr:spPr>
    </xdr:sp>
    <xdr:clientData/>
  </xdr:twoCellAnchor>
  <xdr:twoCellAnchor>
    <xdr:from>
      <xdr:col>6</xdr:col>
      <xdr:colOff>0</xdr:colOff>
      <xdr:row>3</xdr:row>
      <xdr:rowOff>171450</xdr:rowOff>
    </xdr:from>
    <xdr:to>
      <xdr:col>7</xdr:col>
      <xdr:colOff>0</xdr:colOff>
      <xdr:row>3</xdr:row>
      <xdr:rowOff>409575</xdr:rowOff>
    </xdr:to>
    <xdr:sp>
      <xdr:nvSpPr>
        <xdr:cNvPr id="10" name="Object 9" hidden="1"/>
        <xdr:cNvSpPr/>
      </xdr:nvSpPr>
      <xdr:spPr>
        <a:xfrm>
          <a:off x="3028950" y="1764030"/>
          <a:ext cx="1143000" cy="238125"/>
        </a:xfrm>
        <a:prstGeom prst="rect">
          <a:avLst/>
        </a:prstGeom>
      </xdr:spPr>
    </xdr:sp>
    <xdr:clientData/>
  </xdr:twoCellAnchor>
  <xdr:twoCellAnchor>
    <xdr:from>
      <xdr:col>13</xdr:col>
      <xdr:colOff>0</xdr:colOff>
      <xdr:row>2</xdr:row>
      <xdr:rowOff>0</xdr:rowOff>
    </xdr:from>
    <xdr:to>
      <xdr:col>13</xdr:col>
      <xdr:colOff>266700</xdr:colOff>
      <xdr:row>2</xdr:row>
      <xdr:rowOff>314325</xdr:rowOff>
    </xdr:to>
    <xdr:sp>
      <xdr:nvSpPr>
        <xdr:cNvPr id="11" name="Object 10" hidden="1"/>
        <xdr:cNvSpPr/>
      </xdr:nvSpPr>
      <xdr:spPr>
        <a:xfrm>
          <a:off x="8486775" y="525780"/>
          <a:ext cx="266700" cy="314325"/>
        </a:xfrm>
        <a:prstGeom prst="rect">
          <a:avLst/>
        </a:prstGeom>
      </xdr:spPr>
    </xdr:sp>
    <xdr:clientData/>
  </xdr:twoCellAnchor>
  <xdr:twoCellAnchor>
    <xdr:from>
      <xdr:col>11</xdr:col>
      <xdr:colOff>9525</xdr:colOff>
      <xdr:row>3</xdr:row>
      <xdr:rowOff>200025</xdr:rowOff>
    </xdr:from>
    <xdr:to>
      <xdr:col>12</xdr:col>
      <xdr:colOff>0</xdr:colOff>
      <xdr:row>3</xdr:row>
      <xdr:rowOff>438150</xdr:rowOff>
    </xdr:to>
    <xdr:sp>
      <xdr:nvSpPr>
        <xdr:cNvPr id="12" name="Object 11" hidden="1"/>
        <xdr:cNvSpPr/>
      </xdr:nvSpPr>
      <xdr:spPr>
        <a:xfrm>
          <a:off x="6991350" y="1792605"/>
          <a:ext cx="438150" cy="238125"/>
        </a:xfrm>
        <a:prstGeom prst="rect">
          <a:avLst/>
        </a:prstGeom>
      </xdr:spPr>
    </xdr:sp>
    <xdr:clientData/>
  </xdr:twoCellAnchor>
  <xdr:twoCellAnchor>
    <xdr:from>
      <xdr:col>12</xdr:col>
      <xdr:colOff>0</xdr:colOff>
      <xdr:row>3</xdr:row>
      <xdr:rowOff>76200</xdr:rowOff>
    </xdr:from>
    <xdr:to>
      <xdr:col>13</xdr:col>
      <xdr:colOff>0</xdr:colOff>
      <xdr:row>3</xdr:row>
      <xdr:rowOff>428625</xdr:rowOff>
    </xdr:to>
    <xdr:sp>
      <xdr:nvSpPr>
        <xdr:cNvPr id="13" name="Object 12" hidden="1"/>
        <xdr:cNvSpPr/>
      </xdr:nvSpPr>
      <xdr:spPr>
        <a:xfrm>
          <a:off x="7429500" y="1668780"/>
          <a:ext cx="1057275" cy="352425"/>
        </a:xfrm>
        <a:prstGeom prst="rect">
          <a:avLst/>
        </a:prstGeom>
      </xdr:spPr>
    </xdr:sp>
    <xdr:clientData/>
  </xdr:twoCellAnchor>
  <xdr:twoCellAnchor>
    <xdr:from>
      <xdr:col>7</xdr:col>
      <xdr:colOff>19050</xdr:colOff>
      <xdr:row>3</xdr:row>
      <xdr:rowOff>171450</xdr:rowOff>
    </xdr:from>
    <xdr:to>
      <xdr:col>7</xdr:col>
      <xdr:colOff>447675</xdr:colOff>
      <xdr:row>3</xdr:row>
      <xdr:rowOff>409575</xdr:rowOff>
    </xdr:to>
    <xdr:sp>
      <xdr:nvSpPr>
        <xdr:cNvPr id="14" name="Object 13" hidden="1"/>
        <xdr:cNvSpPr/>
      </xdr:nvSpPr>
      <xdr:spPr>
        <a:xfrm>
          <a:off x="4191000" y="1764030"/>
          <a:ext cx="428625" cy="238125"/>
        </a:xfrm>
        <a:prstGeom prst="rect">
          <a:avLst/>
        </a:prstGeom>
      </xdr:spPr>
    </xdr:sp>
    <xdr:clientData/>
  </xdr:twoCellAnchor>
  <xdr:twoCellAnchor>
    <xdr:from>
      <xdr:col>10</xdr:col>
      <xdr:colOff>0</xdr:colOff>
      <xdr:row>3</xdr:row>
      <xdr:rowOff>19050</xdr:rowOff>
    </xdr:from>
    <xdr:to>
      <xdr:col>11</xdr:col>
      <xdr:colOff>9525</xdr:colOff>
      <xdr:row>3</xdr:row>
      <xdr:rowOff>476250</xdr:rowOff>
    </xdr:to>
    <xdr:sp>
      <xdr:nvSpPr>
        <xdr:cNvPr id="15" name="Object 14" hidden="1"/>
        <xdr:cNvSpPr/>
      </xdr:nvSpPr>
      <xdr:spPr>
        <a:xfrm>
          <a:off x="5915025" y="1611630"/>
          <a:ext cx="1076325" cy="457200"/>
        </a:xfrm>
        <a:prstGeom prst="rect">
          <a:avLst/>
        </a:prstGeom>
      </xdr:spPr>
    </xdr:sp>
    <xdr:clientData/>
  </xdr:twoCellAnchor>
  <xdr:twoCellAnchor>
    <xdr:from>
      <xdr:col>13</xdr:col>
      <xdr:colOff>95250</xdr:colOff>
      <xdr:row>2</xdr:row>
      <xdr:rowOff>533400</xdr:rowOff>
    </xdr:from>
    <xdr:to>
      <xdr:col>13</xdr:col>
      <xdr:colOff>485775</xdr:colOff>
      <xdr:row>2</xdr:row>
      <xdr:rowOff>771525</xdr:rowOff>
    </xdr:to>
    <xdr:sp>
      <xdr:nvSpPr>
        <xdr:cNvPr id="16" name="Object 15" hidden="1"/>
        <xdr:cNvSpPr/>
      </xdr:nvSpPr>
      <xdr:spPr>
        <a:xfrm>
          <a:off x="8582025" y="1059180"/>
          <a:ext cx="390525" cy="238125"/>
        </a:xfrm>
        <a:prstGeom prst="rect">
          <a:avLst/>
        </a:prstGeom>
      </xdr:spPr>
    </xdr:sp>
    <xdr:clientData/>
  </xdr:twoCellAnchor>
  <xdr:twoCellAnchor>
    <xdr:from>
      <xdr:col>13</xdr:col>
      <xdr:colOff>85725</xdr:colOff>
      <xdr:row>2</xdr:row>
      <xdr:rowOff>838200</xdr:rowOff>
    </xdr:from>
    <xdr:to>
      <xdr:col>13</xdr:col>
      <xdr:colOff>523875</xdr:colOff>
      <xdr:row>3</xdr:row>
      <xdr:rowOff>104775</xdr:rowOff>
    </xdr:to>
    <xdr:sp>
      <xdr:nvSpPr>
        <xdr:cNvPr id="17" name="Object 16" hidden="1"/>
        <xdr:cNvSpPr/>
      </xdr:nvSpPr>
      <xdr:spPr>
        <a:xfrm>
          <a:off x="8572500" y="1363980"/>
          <a:ext cx="438150" cy="333375"/>
        </a:xfrm>
        <a:prstGeom prst="rect">
          <a:avLst/>
        </a:prstGeom>
      </xdr:spPr>
    </xdr:sp>
    <xdr:clientData/>
  </xdr:twoCellAnchor>
  <xdr:twoCellAnchor>
    <xdr:from>
      <xdr:col>13</xdr:col>
      <xdr:colOff>104775</xdr:colOff>
      <xdr:row>3</xdr:row>
      <xdr:rowOff>85725</xdr:rowOff>
    </xdr:from>
    <xdr:to>
      <xdr:col>13</xdr:col>
      <xdr:colOff>485775</xdr:colOff>
      <xdr:row>3</xdr:row>
      <xdr:rowOff>381000</xdr:rowOff>
    </xdr:to>
    <xdr:sp>
      <xdr:nvSpPr>
        <xdr:cNvPr id="18" name="Object 17" hidden="1"/>
        <xdr:cNvSpPr/>
      </xdr:nvSpPr>
      <xdr:spPr>
        <a:xfrm>
          <a:off x="8591550" y="1678305"/>
          <a:ext cx="381000" cy="295275"/>
        </a:xfrm>
        <a:prstGeom prst="rect">
          <a:avLst/>
        </a:prstGeom>
      </xdr:spPr>
    </xdr:sp>
    <xdr:clientData/>
  </xdr:twoCellAnchor>
  <xdr:twoCellAnchor>
    <xdr:from>
      <xdr:col>9</xdr:col>
      <xdr:colOff>66675</xdr:colOff>
      <xdr:row>3</xdr:row>
      <xdr:rowOff>171450</xdr:rowOff>
    </xdr:from>
    <xdr:to>
      <xdr:col>9</xdr:col>
      <xdr:colOff>695325</xdr:colOff>
      <xdr:row>3</xdr:row>
      <xdr:rowOff>438150</xdr:rowOff>
    </xdr:to>
    <xdr:sp>
      <xdr:nvSpPr>
        <xdr:cNvPr id="19" name="Object 18" hidden="1"/>
        <xdr:cNvSpPr/>
      </xdr:nvSpPr>
      <xdr:spPr>
        <a:xfrm>
          <a:off x="5229225" y="1764030"/>
          <a:ext cx="628650" cy="266700"/>
        </a:xfrm>
        <a:prstGeom prst="rect">
          <a:avLst/>
        </a:prstGeom>
      </xdr:spPr>
    </xdr:sp>
    <xdr:clientData/>
  </xdr:twoCellAnchor>
  <xdr:twoCellAnchor>
    <xdr:from>
      <xdr:col>13</xdr:col>
      <xdr:colOff>0</xdr:colOff>
      <xdr:row>2</xdr:row>
      <xdr:rowOff>542925</xdr:rowOff>
    </xdr:from>
    <xdr:to>
      <xdr:col>13</xdr:col>
      <xdr:colOff>0</xdr:colOff>
      <xdr:row>2</xdr:row>
      <xdr:rowOff>847725</xdr:rowOff>
    </xdr:to>
    <xdr:pic>
      <xdr:nvPicPr>
        <xdr:cNvPr id="474113"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486775" y="1068705"/>
          <a:ext cx="0" cy="304800"/>
        </a:xfrm>
        <a:prstGeom prst="rect">
          <a:avLst/>
        </a:prstGeom>
        <a:solidFill>
          <a:srgbClr val="FFFFFF"/>
        </a:solidFill>
      </xdr:spPr>
    </xdr:pic>
    <xdr:clientData/>
  </xdr:twoCellAnchor>
  <xdr:twoCellAnchor>
    <xdr:from>
      <xdr:col>13</xdr:col>
      <xdr:colOff>0</xdr:colOff>
      <xdr:row>2</xdr:row>
      <xdr:rowOff>542925</xdr:rowOff>
    </xdr:from>
    <xdr:to>
      <xdr:col>13</xdr:col>
      <xdr:colOff>0</xdr:colOff>
      <xdr:row>2</xdr:row>
      <xdr:rowOff>819150</xdr:rowOff>
    </xdr:to>
    <xdr:pic>
      <xdr:nvPicPr>
        <xdr:cNvPr id="474114" name="Picture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8486775" y="1068705"/>
          <a:ext cx="0" cy="276225"/>
        </a:xfrm>
        <a:prstGeom prst="rect">
          <a:avLst/>
        </a:prstGeom>
        <a:solidFill>
          <a:srgbClr val="FFFFFF"/>
        </a:solidFill>
      </xdr:spPr>
    </xdr:pic>
    <xdr:clientData/>
  </xdr:twoCellAnchor>
  <xdr:twoCellAnchor>
    <xdr:from>
      <xdr:col>13</xdr:col>
      <xdr:colOff>0</xdr:colOff>
      <xdr:row>2</xdr:row>
      <xdr:rowOff>542925</xdr:rowOff>
    </xdr:from>
    <xdr:to>
      <xdr:col>13</xdr:col>
      <xdr:colOff>0</xdr:colOff>
      <xdr:row>2</xdr:row>
      <xdr:rowOff>838200</xdr:rowOff>
    </xdr:to>
    <xdr:pic>
      <xdr:nvPicPr>
        <xdr:cNvPr id="474115" name="Picture 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8486775" y="1068705"/>
          <a:ext cx="0" cy="295275"/>
        </a:xfrm>
        <a:prstGeom prst="rect">
          <a:avLst/>
        </a:prstGeom>
        <a:solidFill>
          <a:srgbClr val="FFFFFF"/>
        </a:solidFill>
      </xdr:spPr>
    </xdr:pic>
    <xdr:clientData/>
  </xdr:twoCellAnchor>
  <xdr:twoCellAnchor>
    <xdr:from>
      <xdr:col>13</xdr:col>
      <xdr:colOff>0</xdr:colOff>
      <xdr:row>3</xdr:row>
      <xdr:rowOff>0</xdr:rowOff>
    </xdr:from>
    <xdr:to>
      <xdr:col>13</xdr:col>
      <xdr:colOff>0</xdr:colOff>
      <xdr:row>3</xdr:row>
      <xdr:rowOff>180975</xdr:rowOff>
    </xdr:to>
    <xdr:pic>
      <xdr:nvPicPr>
        <xdr:cNvPr id="474116" name="Picture 4"/>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8486775" y="1592580"/>
          <a:ext cx="0" cy="180975"/>
        </a:xfrm>
        <a:prstGeom prst="rect">
          <a:avLst/>
        </a:prstGeom>
        <a:solidFill>
          <a:srgbClr val="FFFFFF"/>
        </a:solidFill>
      </xdr:spPr>
    </xdr:pic>
    <xdr:clientData/>
  </xdr:twoCellAnchor>
  <xdr:twoCellAnchor>
    <xdr:from>
      <xdr:col>13</xdr:col>
      <xdr:colOff>0</xdr:colOff>
      <xdr:row>3</xdr:row>
      <xdr:rowOff>66675</xdr:rowOff>
    </xdr:from>
    <xdr:to>
      <xdr:col>13</xdr:col>
      <xdr:colOff>0</xdr:colOff>
      <xdr:row>3</xdr:row>
      <xdr:rowOff>228600</xdr:rowOff>
    </xdr:to>
    <xdr:pic>
      <xdr:nvPicPr>
        <xdr:cNvPr id="474117" name="Picture 5"/>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8486775" y="1659255"/>
          <a:ext cx="0" cy="161925"/>
        </a:xfrm>
        <a:prstGeom prst="rect">
          <a:avLst/>
        </a:prstGeom>
        <a:solidFill>
          <a:srgbClr val="FFFFFF"/>
        </a:solidFill>
      </xdr:spPr>
    </xdr:pic>
    <xdr:clientData/>
  </xdr:twoCellAnchor>
  <xdr:twoCellAnchor>
    <xdr:from>
      <xdr:col>13</xdr:col>
      <xdr:colOff>0</xdr:colOff>
      <xdr:row>3</xdr:row>
      <xdr:rowOff>47625</xdr:rowOff>
    </xdr:from>
    <xdr:to>
      <xdr:col>13</xdr:col>
      <xdr:colOff>0</xdr:colOff>
      <xdr:row>3</xdr:row>
      <xdr:rowOff>285750</xdr:rowOff>
    </xdr:to>
    <xdr:pic>
      <xdr:nvPicPr>
        <xdr:cNvPr id="474118" name="Picture 6"/>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8486775" y="1640205"/>
          <a:ext cx="0" cy="238125"/>
        </a:xfrm>
        <a:prstGeom prst="rect">
          <a:avLst/>
        </a:prstGeom>
        <a:solidFill>
          <a:srgbClr val="FFFFFF"/>
        </a:solidFill>
      </xdr:spPr>
    </xdr:pic>
    <xdr:clientData/>
  </xdr:twoCellAnchor>
  <xdr:twoCellAnchor>
    <xdr:from>
      <xdr:col>13</xdr:col>
      <xdr:colOff>0</xdr:colOff>
      <xdr:row>2</xdr:row>
      <xdr:rowOff>590550</xdr:rowOff>
    </xdr:from>
    <xdr:to>
      <xdr:col>13</xdr:col>
      <xdr:colOff>0</xdr:colOff>
      <xdr:row>3</xdr:row>
      <xdr:rowOff>76200</xdr:rowOff>
    </xdr:to>
    <xdr:pic>
      <xdr:nvPicPr>
        <xdr:cNvPr id="474119" name="Picture 7"/>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8486775" y="1116330"/>
          <a:ext cx="0" cy="552450"/>
        </a:xfrm>
        <a:prstGeom prst="rect">
          <a:avLst/>
        </a:prstGeom>
        <a:solidFill>
          <a:srgbClr val="FFFFFF"/>
        </a:solidFill>
      </xdr:spPr>
    </xdr:pic>
    <xdr:clientData/>
  </xdr:twoCellAnchor>
  <xdr:twoCellAnchor>
    <xdr:from>
      <xdr:col>13</xdr:col>
      <xdr:colOff>0</xdr:colOff>
      <xdr:row>2</xdr:row>
      <xdr:rowOff>600075</xdr:rowOff>
    </xdr:from>
    <xdr:to>
      <xdr:col>13</xdr:col>
      <xdr:colOff>0</xdr:colOff>
      <xdr:row>3</xdr:row>
      <xdr:rowOff>38100</xdr:rowOff>
    </xdr:to>
    <xdr:pic>
      <xdr:nvPicPr>
        <xdr:cNvPr id="474120" name="Picture 8"/>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8486775" y="1125855"/>
          <a:ext cx="0" cy="504825"/>
        </a:xfrm>
        <a:prstGeom prst="rect">
          <a:avLst/>
        </a:prstGeom>
        <a:solidFill>
          <a:srgbClr val="FFFFFF"/>
        </a:solidFill>
      </xdr:spPr>
    </xdr:pic>
    <xdr:clientData/>
  </xdr:twoCellAnchor>
  <xdr:twoCellAnchor>
    <xdr:from>
      <xdr:col>6</xdr:col>
      <xdr:colOff>0</xdr:colOff>
      <xdr:row>3</xdr:row>
      <xdr:rowOff>171450</xdr:rowOff>
    </xdr:from>
    <xdr:to>
      <xdr:col>7</xdr:col>
      <xdr:colOff>0</xdr:colOff>
      <xdr:row>3</xdr:row>
      <xdr:rowOff>409575</xdr:rowOff>
    </xdr:to>
    <xdr:pic>
      <xdr:nvPicPr>
        <xdr:cNvPr id="474121" name="Picture 9"/>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3028950" y="1764030"/>
          <a:ext cx="1143000" cy="238125"/>
        </a:xfrm>
        <a:prstGeom prst="rect">
          <a:avLst/>
        </a:prstGeom>
        <a:solidFill>
          <a:srgbClr val="FFFFFF"/>
        </a:solidFill>
      </xdr:spPr>
    </xdr:pic>
    <xdr:clientData/>
  </xdr:twoCellAnchor>
  <xdr:twoCellAnchor>
    <xdr:from>
      <xdr:col>13</xdr:col>
      <xdr:colOff>0</xdr:colOff>
      <xdr:row>2</xdr:row>
      <xdr:rowOff>0</xdr:rowOff>
    </xdr:from>
    <xdr:to>
      <xdr:col>13</xdr:col>
      <xdr:colOff>266700</xdr:colOff>
      <xdr:row>2</xdr:row>
      <xdr:rowOff>314325</xdr:rowOff>
    </xdr:to>
    <xdr:pic>
      <xdr:nvPicPr>
        <xdr:cNvPr id="474122" name="Picture 10"/>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8486775" y="525780"/>
          <a:ext cx="266700" cy="314325"/>
        </a:xfrm>
        <a:prstGeom prst="rect">
          <a:avLst/>
        </a:prstGeom>
        <a:solidFill>
          <a:srgbClr val="FFFFFF"/>
        </a:solidFill>
      </xdr:spPr>
    </xdr:pic>
    <xdr:clientData/>
  </xdr:twoCellAnchor>
  <xdr:twoCellAnchor>
    <xdr:from>
      <xdr:col>11</xdr:col>
      <xdr:colOff>9525</xdr:colOff>
      <xdr:row>3</xdr:row>
      <xdr:rowOff>200025</xdr:rowOff>
    </xdr:from>
    <xdr:to>
      <xdr:col>12</xdr:col>
      <xdr:colOff>0</xdr:colOff>
      <xdr:row>3</xdr:row>
      <xdr:rowOff>438150</xdr:rowOff>
    </xdr:to>
    <xdr:pic>
      <xdr:nvPicPr>
        <xdr:cNvPr id="474123" name="Picture 11"/>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6991350" y="1792605"/>
          <a:ext cx="438150" cy="238125"/>
        </a:xfrm>
        <a:prstGeom prst="rect">
          <a:avLst/>
        </a:prstGeom>
        <a:solidFill>
          <a:srgbClr val="FFFFFF"/>
        </a:solidFill>
      </xdr:spPr>
    </xdr:pic>
    <xdr:clientData/>
  </xdr:twoCellAnchor>
  <xdr:twoCellAnchor>
    <xdr:from>
      <xdr:col>12</xdr:col>
      <xdr:colOff>0</xdr:colOff>
      <xdr:row>3</xdr:row>
      <xdr:rowOff>76200</xdr:rowOff>
    </xdr:from>
    <xdr:to>
      <xdr:col>13</xdr:col>
      <xdr:colOff>0</xdr:colOff>
      <xdr:row>3</xdr:row>
      <xdr:rowOff>428625</xdr:rowOff>
    </xdr:to>
    <xdr:pic>
      <xdr:nvPicPr>
        <xdr:cNvPr id="474124" name="Picture 12"/>
        <xdr:cNvPicPr>
          <a:picLocks noChangeAspect="1" noChangeArrowheads="1"/>
        </xdr:cNvPicPr>
      </xdr:nvPicPr>
      <xdr:blipFill>
        <a:blip r:embed="rId12" cstate="print">
          <a:extLst>
            <a:ext uri="{28A0092B-C50C-407E-A947-70E740481C1C}">
              <a14:useLocalDpi xmlns:a14="http://schemas.microsoft.com/office/drawing/2010/main" val="0"/>
            </a:ext>
          </a:extLst>
        </a:blip>
        <a:srcRect/>
        <a:stretch>
          <a:fillRect/>
        </a:stretch>
      </xdr:blipFill>
      <xdr:spPr>
        <a:xfrm>
          <a:off x="7429500" y="1668780"/>
          <a:ext cx="1057275" cy="352425"/>
        </a:xfrm>
        <a:prstGeom prst="rect">
          <a:avLst/>
        </a:prstGeom>
        <a:solidFill>
          <a:srgbClr val="FFFFFF"/>
        </a:solidFill>
      </xdr:spPr>
    </xdr:pic>
    <xdr:clientData/>
  </xdr:twoCellAnchor>
  <xdr:twoCellAnchor>
    <xdr:from>
      <xdr:col>7</xdr:col>
      <xdr:colOff>19050</xdr:colOff>
      <xdr:row>3</xdr:row>
      <xdr:rowOff>171450</xdr:rowOff>
    </xdr:from>
    <xdr:to>
      <xdr:col>7</xdr:col>
      <xdr:colOff>447675</xdr:colOff>
      <xdr:row>3</xdr:row>
      <xdr:rowOff>409575</xdr:rowOff>
    </xdr:to>
    <xdr:pic>
      <xdr:nvPicPr>
        <xdr:cNvPr id="474125" name="Picture 13"/>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4191000" y="1764030"/>
          <a:ext cx="428625" cy="238125"/>
        </a:xfrm>
        <a:prstGeom prst="rect">
          <a:avLst/>
        </a:prstGeom>
        <a:solidFill>
          <a:srgbClr val="FFFFFF"/>
        </a:solidFill>
      </xdr:spPr>
    </xdr:pic>
    <xdr:clientData/>
  </xdr:twoCellAnchor>
  <xdr:twoCellAnchor>
    <xdr:from>
      <xdr:col>10</xdr:col>
      <xdr:colOff>0</xdr:colOff>
      <xdr:row>3</xdr:row>
      <xdr:rowOff>19050</xdr:rowOff>
    </xdr:from>
    <xdr:to>
      <xdr:col>11</xdr:col>
      <xdr:colOff>9525</xdr:colOff>
      <xdr:row>3</xdr:row>
      <xdr:rowOff>476250</xdr:rowOff>
    </xdr:to>
    <xdr:pic>
      <xdr:nvPicPr>
        <xdr:cNvPr id="474126" name="Picture 14"/>
        <xdr:cNvPicPr>
          <a:picLocks noChangeAspect="1" noChangeArrowheads="1"/>
        </xdr:cNvPicPr>
      </xdr:nvPicPr>
      <xdr:blipFill>
        <a:blip r:embed="rId14" cstate="print">
          <a:extLst>
            <a:ext uri="{28A0092B-C50C-407E-A947-70E740481C1C}">
              <a14:useLocalDpi xmlns:a14="http://schemas.microsoft.com/office/drawing/2010/main" val="0"/>
            </a:ext>
          </a:extLst>
        </a:blip>
        <a:srcRect/>
        <a:stretch>
          <a:fillRect/>
        </a:stretch>
      </xdr:blipFill>
      <xdr:spPr>
        <a:xfrm>
          <a:off x="5915025" y="1611630"/>
          <a:ext cx="1076325" cy="457200"/>
        </a:xfrm>
        <a:prstGeom prst="rect">
          <a:avLst/>
        </a:prstGeom>
        <a:solidFill>
          <a:srgbClr val="FFFFFF"/>
        </a:solidFill>
      </xdr:spPr>
    </xdr:pic>
    <xdr:clientData/>
  </xdr:twoCellAnchor>
  <xdr:twoCellAnchor>
    <xdr:from>
      <xdr:col>13</xdr:col>
      <xdr:colOff>95250</xdr:colOff>
      <xdr:row>2</xdr:row>
      <xdr:rowOff>533400</xdr:rowOff>
    </xdr:from>
    <xdr:to>
      <xdr:col>13</xdr:col>
      <xdr:colOff>485775</xdr:colOff>
      <xdr:row>2</xdr:row>
      <xdr:rowOff>771525</xdr:rowOff>
    </xdr:to>
    <xdr:pic>
      <xdr:nvPicPr>
        <xdr:cNvPr id="474127" name="Picture 15"/>
        <xdr:cNvPicPr>
          <a:picLocks noChangeAspect="1" noChangeArrowheads="1"/>
        </xdr:cNvPicPr>
      </xdr:nvPicPr>
      <xdr:blipFill>
        <a:blip r:embed="rId15" cstate="print">
          <a:extLst>
            <a:ext uri="{28A0092B-C50C-407E-A947-70E740481C1C}">
              <a14:useLocalDpi xmlns:a14="http://schemas.microsoft.com/office/drawing/2010/main" val="0"/>
            </a:ext>
          </a:extLst>
        </a:blip>
        <a:srcRect/>
        <a:stretch>
          <a:fillRect/>
        </a:stretch>
      </xdr:blipFill>
      <xdr:spPr>
        <a:xfrm>
          <a:off x="8582025" y="1059180"/>
          <a:ext cx="390525" cy="238125"/>
        </a:xfrm>
        <a:prstGeom prst="rect">
          <a:avLst/>
        </a:prstGeom>
        <a:solidFill>
          <a:srgbClr val="FFFFFF"/>
        </a:solidFill>
      </xdr:spPr>
    </xdr:pic>
    <xdr:clientData/>
  </xdr:twoCellAnchor>
  <xdr:twoCellAnchor>
    <xdr:from>
      <xdr:col>13</xdr:col>
      <xdr:colOff>85725</xdr:colOff>
      <xdr:row>2</xdr:row>
      <xdr:rowOff>838200</xdr:rowOff>
    </xdr:from>
    <xdr:to>
      <xdr:col>13</xdr:col>
      <xdr:colOff>523875</xdr:colOff>
      <xdr:row>3</xdr:row>
      <xdr:rowOff>104775</xdr:rowOff>
    </xdr:to>
    <xdr:pic>
      <xdr:nvPicPr>
        <xdr:cNvPr id="474128" name="Picture 16"/>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8572500" y="1363980"/>
          <a:ext cx="438150" cy="333375"/>
        </a:xfrm>
        <a:prstGeom prst="rect">
          <a:avLst/>
        </a:prstGeom>
        <a:solidFill>
          <a:srgbClr val="FFFFFF"/>
        </a:solidFill>
      </xdr:spPr>
    </xdr:pic>
    <xdr:clientData/>
  </xdr:twoCellAnchor>
  <xdr:twoCellAnchor>
    <xdr:from>
      <xdr:col>13</xdr:col>
      <xdr:colOff>104775</xdr:colOff>
      <xdr:row>3</xdr:row>
      <xdr:rowOff>85725</xdr:rowOff>
    </xdr:from>
    <xdr:to>
      <xdr:col>13</xdr:col>
      <xdr:colOff>485775</xdr:colOff>
      <xdr:row>3</xdr:row>
      <xdr:rowOff>381000</xdr:rowOff>
    </xdr:to>
    <xdr:pic>
      <xdr:nvPicPr>
        <xdr:cNvPr id="474129" name="Picture 17"/>
        <xdr:cNvPicPr>
          <a:picLocks noChangeAspect="1" noChangeArrowheads="1"/>
        </xdr:cNvPicPr>
      </xdr:nvPicPr>
      <xdr:blipFill>
        <a:blip r:embed="rId16" cstate="print">
          <a:extLst>
            <a:ext uri="{28A0092B-C50C-407E-A947-70E740481C1C}">
              <a14:useLocalDpi xmlns:a14="http://schemas.microsoft.com/office/drawing/2010/main" val="0"/>
            </a:ext>
          </a:extLst>
        </a:blip>
        <a:srcRect/>
        <a:stretch>
          <a:fillRect/>
        </a:stretch>
      </xdr:blipFill>
      <xdr:spPr>
        <a:xfrm>
          <a:off x="8591550" y="1678305"/>
          <a:ext cx="381000" cy="295275"/>
        </a:xfrm>
        <a:prstGeom prst="rect">
          <a:avLst/>
        </a:prstGeom>
        <a:solidFill>
          <a:srgbClr val="FFFFFF"/>
        </a:solidFill>
      </xdr:spPr>
    </xdr:pic>
    <xdr:clientData/>
  </xdr:twoCellAnchor>
  <xdr:twoCellAnchor>
    <xdr:from>
      <xdr:col>9</xdr:col>
      <xdr:colOff>66675</xdr:colOff>
      <xdr:row>3</xdr:row>
      <xdr:rowOff>171450</xdr:rowOff>
    </xdr:from>
    <xdr:to>
      <xdr:col>9</xdr:col>
      <xdr:colOff>695325</xdr:colOff>
      <xdr:row>3</xdr:row>
      <xdr:rowOff>438150</xdr:rowOff>
    </xdr:to>
    <xdr:pic>
      <xdr:nvPicPr>
        <xdr:cNvPr id="474130" name="Picture 18"/>
        <xdr:cNvPicPr>
          <a:picLocks noChangeAspect="1" noChangeArrowheads="1"/>
        </xdr:cNvPicPr>
      </xdr:nvPicPr>
      <xdr:blipFill>
        <a:blip r:embed="rId17" cstate="print">
          <a:extLst>
            <a:ext uri="{28A0092B-C50C-407E-A947-70E740481C1C}">
              <a14:useLocalDpi xmlns:a14="http://schemas.microsoft.com/office/drawing/2010/main" val="0"/>
            </a:ext>
          </a:extLst>
        </a:blip>
        <a:srcRect/>
        <a:stretch>
          <a:fillRect/>
        </a:stretch>
      </xdr:blipFill>
      <xdr:spPr>
        <a:xfrm>
          <a:off x="5229225" y="1764030"/>
          <a:ext cx="628650" cy="266700"/>
        </a:xfrm>
        <a:prstGeom prst="rect">
          <a:avLst/>
        </a:prstGeom>
        <a:solidFill>
          <a:srgbClr val="FFFFFF"/>
        </a:solidFill>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14</xdr:col>
      <xdr:colOff>0</xdr:colOff>
      <xdr:row>2</xdr:row>
      <xdr:rowOff>838200</xdr:rowOff>
    </xdr:from>
    <xdr:to>
      <xdr:col>14</xdr:col>
      <xdr:colOff>0</xdr:colOff>
      <xdr:row>2</xdr:row>
      <xdr:rowOff>1114425</xdr:rowOff>
    </xdr:to>
    <xdr:sp>
      <xdr:nvSpPr>
        <xdr:cNvPr id="2" name="Object 1" hidden="1"/>
        <xdr:cNvSpPr/>
      </xdr:nvSpPr>
      <xdr:spPr>
        <a:xfrm>
          <a:off x="11830050" y="1363980"/>
          <a:ext cx="0" cy="276225"/>
        </a:xfrm>
        <a:prstGeom prst="rect">
          <a:avLst/>
        </a:prstGeom>
      </xdr:spPr>
    </xdr:sp>
    <xdr:clientData/>
  </xdr:twoCellAnchor>
  <xdr:twoCellAnchor>
    <xdr:from>
      <xdr:col>15</xdr:col>
      <xdr:colOff>0</xdr:colOff>
      <xdr:row>2</xdr:row>
      <xdr:rowOff>733425</xdr:rowOff>
    </xdr:from>
    <xdr:to>
      <xdr:col>15</xdr:col>
      <xdr:colOff>0</xdr:colOff>
      <xdr:row>3</xdr:row>
      <xdr:rowOff>133350</xdr:rowOff>
    </xdr:to>
    <xdr:sp>
      <xdr:nvSpPr>
        <xdr:cNvPr id="3" name="Object 2" hidden="1"/>
        <xdr:cNvSpPr/>
      </xdr:nvSpPr>
      <xdr:spPr>
        <a:xfrm>
          <a:off x="13982700" y="1259205"/>
          <a:ext cx="0" cy="676275"/>
        </a:xfrm>
        <a:prstGeom prst="rect">
          <a:avLst/>
        </a:prstGeom>
      </xdr:spPr>
    </xdr:sp>
    <xdr:clientData/>
  </xdr:twoCellAnchor>
  <xdr:twoCellAnchor>
    <xdr:from>
      <xdr:col>15</xdr:col>
      <xdr:colOff>0</xdr:colOff>
      <xdr:row>2</xdr:row>
      <xdr:rowOff>704850</xdr:rowOff>
    </xdr:from>
    <xdr:to>
      <xdr:col>15</xdr:col>
      <xdr:colOff>0</xdr:colOff>
      <xdr:row>3</xdr:row>
      <xdr:rowOff>123825</xdr:rowOff>
    </xdr:to>
    <xdr:sp>
      <xdr:nvSpPr>
        <xdr:cNvPr id="4" name="Object 3" hidden="1"/>
        <xdr:cNvSpPr/>
      </xdr:nvSpPr>
      <xdr:spPr>
        <a:xfrm>
          <a:off x="13982700" y="1230630"/>
          <a:ext cx="0" cy="695325"/>
        </a:xfrm>
        <a:prstGeom prst="rect">
          <a:avLst/>
        </a:prstGeom>
      </xdr:spPr>
    </xdr:sp>
    <xdr:clientData/>
  </xdr:twoCellAnchor>
  <xdr:twoCellAnchor>
    <xdr:from>
      <xdr:col>13</xdr:col>
      <xdr:colOff>276225</xdr:colOff>
      <xdr:row>2</xdr:row>
      <xdr:rowOff>800100</xdr:rowOff>
    </xdr:from>
    <xdr:to>
      <xdr:col>13</xdr:col>
      <xdr:colOff>1781175</xdr:colOff>
      <xdr:row>2</xdr:row>
      <xdr:rowOff>1162050</xdr:rowOff>
    </xdr:to>
    <xdr:sp>
      <xdr:nvSpPr>
        <xdr:cNvPr id="5" name="Object 4" hidden="1"/>
        <xdr:cNvSpPr/>
      </xdr:nvSpPr>
      <xdr:spPr>
        <a:xfrm>
          <a:off x="9906000" y="1325880"/>
          <a:ext cx="1504950" cy="361950"/>
        </a:xfrm>
        <a:prstGeom prst="rect">
          <a:avLst/>
        </a:prstGeom>
      </xdr:spPr>
    </xdr:sp>
    <xdr:clientData/>
  </xdr:twoCellAnchor>
  <xdr:twoCellAnchor>
    <xdr:from>
      <xdr:col>14</xdr:col>
      <xdr:colOff>590550</xdr:colOff>
      <xdr:row>2</xdr:row>
      <xdr:rowOff>657225</xdr:rowOff>
    </xdr:from>
    <xdr:to>
      <xdr:col>14</xdr:col>
      <xdr:colOff>1685925</xdr:colOff>
      <xdr:row>2</xdr:row>
      <xdr:rowOff>1247775</xdr:rowOff>
    </xdr:to>
    <xdr:sp>
      <xdr:nvSpPr>
        <xdr:cNvPr id="6" name="Object 5" hidden="1"/>
        <xdr:cNvSpPr/>
      </xdr:nvSpPr>
      <xdr:spPr>
        <a:xfrm>
          <a:off x="12420600" y="1183005"/>
          <a:ext cx="1095375" cy="590550"/>
        </a:xfrm>
        <a:prstGeom prst="rect">
          <a:avLst/>
        </a:prstGeom>
      </xdr:spPr>
    </xdr:sp>
    <xdr:clientData/>
  </xdr:twoCellAnchor>
  <xdr:twoCellAnchor>
    <xdr:from>
      <xdr:col>11</xdr:col>
      <xdr:colOff>95250</xdr:colOff>
      <xdr:row>2</xdr:row>
      <xdr:rowOff>828675</xdr:rowOff>
    </xdr:from>
    <xdr:to>
      <xdr:col>11</xdr:col>
      <xdr:colOff>923925</xdr:colOff>
      <xdr:row>2</xdr:row>
      <xdr:rowOff>1247775</xdr:rowOff>
    </xdr:to>
    <xdr:sp>
      <xdr:nvSpPr>
        <xdr:cNvPr id="7" name="Object 6" hidden="1"/>
        <xdr:cNvSpPr/>
      </xdr:nvSpPr>
      <xdr:spPr>
        <a:xfrm>
          <a:off x="7562850" y="1354455"/>
          <a:ext cx="828675" cy="419100"/>
        </a:xfrm>
        <a:prstGeom prst="rect">
          <a:avLst/>
        </a:prstGeom>
      </xdr:spPr>
    </xdr:sp>
    <xdr:clientData/>
  </xdr:twoCellAnchor>
  <xdr:twoCellAnchor>
    <xdr:from>
      <xdr:col>12</xdr:col>
      <xdr:colOff>0</xdr:colOff>
      <xdr:row>2</xdr:row>
      <xdr:rowOff>800100</xdr:rowOff>
    </xdr:from>
    <xdr:to>
      <xdr:col>13</xdr:col>
      <xdr:colOff>0</xdr:colOff>
      <xdr:row>2</xdr:row>
      <xdr:rowOff>1257300</xdr:rowOff>
    </xdr:to>
    <xdr:sp>
      <xdr:nvSpPr>
        <xdr:cNvPr id="8" name="Object 7" hidden="1"/>
        <xdr:cNvSpPr/>
      </xdr:nvSpPr>
      <xdr:spPr>
        <a:xfrm>
          <a:off x="8477250" y="1325880"/>
          <a:ext cx="1152525" cy="457200"/>
        </a:xfrm>
        <a:prstGeom prst="rect">
          <a:avLst/>
        </a:prstGeom>
      </xdr:spPr>
    </xdr:sp>
    <xdr:clientData/>
  </xdr:twoCellAnchor>
  <xdr:twoCellAnchor>
    <xdr:from>
      <xdr:col>9</xdr:col>
      <xdr:colOff>0</xdr:colOff>
      <xdr:row>2</xdr:row>
      <xdr:rowOff>838200</xdr:rowOff>
    </xdr:from>
    <xdr:to>
      <xdr:col>9</xdr:col>
      <xdr:colOff>0</xdr:colOff>
      <xdr:row>2</xdr:row>
      <xdr:rowOff>1114425</xdr:rowOff>
    </xdr:to>
    <xdr:sp>
      <xdr:nvSpPr>
        <xdr:cNvPr id="9" name="Object 8" hidden="1"/>
        <xdr:cNvSpPr/>
      </xdr:nvSpPr>
      <xdr:spPr>
        <a:xfrm>
          <a:off x="6038850" y="1363980"/>
          <a:ext cx="0" cy="276225"/>
        </a:xfrm>
        <a:prstGeom prst="rect">
          <a:avLst/>
        </a:prstGeom>
      </xdr:spPr>
    </xdr:sp>
    <xdr:clientData/>
  </xdr:twoCellAnchor>
  <xdr:twoCellAnchor>
    <xdr:from>
      <xdr:col>14</xdr:col>
      <xdr:colOff>0</xdr:colOff>
      <xdr:row>2</xdr:row>
      <xdr:rowOff>838200</xdr:rowOff>
    </xdr:from>
    <xdr:to>
      <xdr:col>14</xdr:col>
      <xdr:colOff>0</xdr:colOff>
      <xdr:row>2</xdr:row>
      <xdr:rowOff>1114425</xdr:rowOff>
    </xdr:to>
    <xdr:pic>
      <xdr:nvPicPr>
        <xdr:cNvPr id="475137" name="Picture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830050" y="1363980"/>
          <a:ext cx="0" cy="276225"/>
        </a:xfrm>
        <a:prstGeom prst="rect">
          <a:avLst/>
        </a:prstGeom>
        <a:solidFill>
          <a:srgbClr val="FFFFFF"/>
        </a:solidFill>
      </xdr:spPr>
    </xdr:pic>
    <xdr:clientData/>
  </xdr:twoCellAnchor>
  <xdr:twoCellAnchor>
    <xdr:from>
      <xdr:col>15</xdr:col>
      <xdr:colOff>0</xdr:colOff>
      <xdr:row>2</xdr:row>
      <xdr:rowOff>733425</xdr:rowOff>
    </xdr:from>
    <xdr:to>
      <xdr:col>15</xdr:col>
      <xdr:colOff>0</xdr:colOff>
      <xdr:row>3</xdr:row>
      <xdr:rowOff>133350</xdr:rowOff>
    </xdr:to>
    <xdr:pic>
      <xdr:nvPicPr>
        <xdr:cNvPr id="475138" name="Picture 2"/>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982700" y="1259205"/>
          <a:ext cx="0" cy="676275"/>
        </a:xfrm>
        <a:prstGeom prst="rect">
          <a:avLst/>
        </a:prstGeom>
        <a:solidFill>
          <a:srgbClr val="FFFFFF"/>
        </a:solidFill>
      </xdr:spPr>
    </xdr:pic>
    <xdr:clientData/>
  </xdr:twoCellAnchor>
  <xdr:twoCellAnchor>
    <xdr:from>
      <xdr:col>15</xdr:col>
      <xdr:colOff>0</xdr:colOff>
      <xdr:row>2</xdr:row>
      <xdr:rowOff>704850</xdr:rowOff>
    </xdr:from>
    <xdr:to>
      <xdr:col>15</xdr:col>
      <xdr:colOff>0</xdr:colOff>
      <xdr:row>3</xdr:row>
      <xdr:rowOff>123825</xdr:rowOff>
    </xdr:to>
    <xdr:pic>
      <xdr:nvPicPr>
        <xdr:cNvPr id="475139" name="Picture 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3982700" y="1230630"/>
          <a:ext cx="0" cy="695325"/>
        </a:xfrm>
        <a:prstGeom prst="rect">
          <a:avLst/>
        </a:prstGeom>
        <a:solidFill>
          <a:srgbClr val="FFFFFF"/>
        </a:solidFill>
      </xdr:spPr>
    </xdr:pic>
    <xdr:clientData/>
  </xdr:twoCellAnchor>
  <xdr:twoCellAnchor>
    <xdr:from>
      <xdr:col>13</xdr:col>
      <xdr:colOff>276225</xdr:colOff>
      <xdr:row>2</xdr:row>
      <xdr:rowOff>800100</xdr:rowOff>
    </xdr:from>
    <xdr:to>
      <xdr:col>13</xdr:col>
      <xdr:colOff>1781175</xdr:colOff>
      <xdr:row>2</xdr:row>
      <xdr:rowOff>1162050</xdr:rowOff>
    </xdr:to>
    <xdr:pic>
      <xdr:nvPicPr>
        <xdr:cNvPr id="475140" name="Picture 4"/>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9906000" y="1325880"/>
          <a:ext cx="1504950" cy="361950"/>
        </a:xfrm>
        <a:prstGeom prst="rect">
          <a:avLst/>
        </a:prstGeom>
        <a:solidFill>
          <a:srgbClr val="FFFFFF"/>
        </a:solidFill>
      </xdr:spPr>
    </xdr:pic>
    <xdr:clientData/>
  </xdr:twoCellAnchor>
  <xdr:twoCellAnchor>
    <xdr:from>
      <xdr:col>14</xdr:col>
      <xdr:colOff>590550</xdr:colOff>
      <xdr:row>2</xdr:row>
      <xdr:rowOff>657225</xdr:rowOff>
    </xdr:from>
    <xdr:to>
      <xdr:col>14</xdr:col>
      <xdr:colOff>1685925</xdr:colOff>
      <xdr:row>2</xdr:row>
      <xdr:rowOff>1247775</xdr:rowOff>
    </xdr:to>
    <xdr:pic>
      <xdr:nvPicPr>
        <xdr:cNvPr id="475141" name="Picture 5"/>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12420600" y="1183005"/>
          <a:ext cx="1095375" cy="590550"/>
        </a:xfrm>
        <a:prstGeom prst="rect">
          <a:avLst/>
        </a:prstGeom>
        <a:solidFill>
          <a:srgbClr val="FFFFFF"/>
        </a:solidFill>
      </xdr:spPr>
    </xdr:pic>
    <xdr:clientData/>
  </xdr:twoCellAnchor>
  <xdr:twoCellAnchor>
    <xdr:from>
      <xdr:col>11</xdr:col>
      <xdr:colOff>95250</xdr:colOff>
      <xdr:row>2</xdr:row>
      <xdr:rowOff>828675</xdr:rowOff>
    </xdr:from>
    <xdr:to>
      <xdr:col>11</xdr:col>
      <xdr:colOff>923925</xdr:colOff>
      <xdr:row>2</xdr:row>
      <xdr:rowOff>1247775</xdr:rowOff>
    </xdr:to>
    <xdr:pic>
      <xdr:nvPicPr>
        <xdr:cNvPr id="475142" name="Picture 6"/>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7562850" y="1354455"/>
          <a:ext cx="828675" cy="419100"/>
        </a:xfrm>
        <a:prstGeom prst="rect">
          <a:avLst/>
        </a:prstGeom>
        <a:solidFill>
          <a:srgbClr val="FFFFFF"/>
        </a:solidFill>
      </xdr:spPr>
    </xdr:pic>
    <xdr:clientData/>
  </xdr:twoCellAnchor>
  <xdr:twoCellAnchor>
    <xdr:from>
      <xdr:col>12</xdr:col>
      <xdr:colOff>0</xdr:colOff>
      <xdr:row>2</xdr:row>
      <xdr:rowOff>800100</xdr:rowOff>
    </xdr:from>
    <xdr:to>
      <xdr:col>13</xdr:col>
      <xdr:colOff>0</xdr:colOff>
      <xdr:row>2</xdr:row>
      <xdr:rowOff>1257300</xdr:rowOff>
    </xdr:to>
    <xdr:pic>
      <xdr:nvPicPr>
        <xdr:cNvPr id="475143" name="Picture 7"/>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8477250" y="1325880"/>
          <a:ext cx="1152525" cy="457200"/>
        </a:xfrm>
        <a:prstGeom prst="rect">
          <a:avLst/>
        </a:prstGeom>
        <a:solidFill>
          <a:srgbClr val="FFFFFF"/>
        </a:solidFill>
      </xdr:spPr>
    </xdr:pic>
    <xdr:clientData/>
  </xdr:twoCellAnchor>
  <xdr:twoCellAnchor>
    <xdr:from>
      <xdr:col>9</xdr:col>
      <xdr:colOff>0</xdr:colOff>
      <xdr:row>2</xdr:row>
      <xdr:rowOff>838200</xdr:rowOff>
    </xdr:from>
    <xdr:to>
      <xdr:col>9</xdr:col>
      <xdr:colOff>0</xdr:colOff>
      <xdr:row>2</xdr:row>
      <xdr:rowOff>1114425</xdr:rowOff>
    </xdr:to>
    <xdr:pic>
      <xdr:nvPicPr>
        <xdr:cNvPr id="475144" name="Picture 8"/>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038850" y="1363980"/>
          <a:ext cx="0" cy="276225"/>
        </a:xfrm>
        <a:prstGeom prst="rect">
          <a:avLst/>
        </a:prstGeom>
        <a:solidFill>
          <a:srgbClr val="FFFFFF"/>
        </a:solidFill>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13</xdr:col>
      <xdr:colOff>19050</xdr:colOff>
      <xdr:row>2</xdr:row>
      <xdr:rowOff>647700</xdr:rowOff>
    </xdr:from>
    <xdr:to>
      <xdr:col>13</xdr:col>
      <xdr:colOff>1076325</xdr:colOff>
      <xdr:row>2</xdr:row>
      <xdr:rowOff>914400</xdr:rowOff>
    </xdr:to>
    <xdr:sp>
      <xdr:nvSpPr>
        <xdr:cNvPr id="2" name="Object 1" hidden="1"/>
        <xdr:cNvSpPr/>
      </xdr:nvSpPr>
      <xdr:spPr>
        <a:xfrm>
          <a:off x="7648575" y="1173480"/>
          <a:ext cx="1057275" cy="266700"/>
        </a:xfrm>
        <a:prstGeom prst="rect">
          <a:avLst/>
        </a:prstGeom>
      </xdr:spPr>
    </xdr:sp>
    <xdr:clientData/>
  </xdr:twoCellAnchor>
  <xdr:twoCellAnchor>
    <xdr:from>
      <xdr:col>13</xdr:col>
      <xdr:colOff>476250</xdr:colOff>
      <xdr:row>2</xdr:row>
      <xdr:rowOff>990600</xdr:rowOff>
    </xdr:from>
    <xdr:to>
      <xdr:col>13</xdr:col>
      <xdr:colOff>752475</xdr:colOff>
      <xdr:row>4</xdr:row>
      <xdr:rowOff>0</xdr:rowOff>
    </xdr:to>
    <xdr:sp>
      <xdr:nvSpPr>
        <xdr:cNvPr id="3" name="Object 2" hidden="1"/>
        <xdr:cNvSpPr/>
      </xdr:nvSpPr>
      <xdr:spPr>
        <a:xfrm>
          <a:off x="8105775" y="1516380"/>
          <a:ext cx="276225" cy="396240"/>
        </a:xfrm>
        <a:prstGeom prst="rect">
          <a:avLst/>
        </a:prstGeom>
      </xdr:spPr>
    </xdr:sp>
    <xdr:clientData/>
  </xdr:twoCellAnchor>
  <xdr:twoCellAnchor>
    <xdr:from>
      <xdr:col>14</xdr:col>
      <xdr:colOff>152400</xdr:colOff>
      <xdr:row>2</xdr:row>
      <xdr:rowOff>990600</xdr:rowOff>
    </xdr:from>
    <xdr:to>
      <xdr:col>14</xdr:col>
      <xdr:colOff>371475</xdr:colOff>
      <xdr:row>4</xdr:row>
      <xdr:rowOff>0</xdr:rowOff>
    </xdr:to>
    <xdr:sp>
      <xdr:nvSpPr>
        <xdr:cNvPr id="4" name="Object 3" hidden="1"/>
        <xdr:cNvSpPr/>
      </xdr:nvSpPr>
      <xdr:spPr>
        <a:xfrm>
          <a:off x="8905875" y="1516380"/>
          <a:ext cx="219075" cy="396240"/>
        </a:xfrm>
        <a:prstGeom prst="rect">
          <a:avLst/>
        </a:prstGeom>
      </xdr:spPr>
    </xdr:sp>
    <xdr:clientData/>
  </xdr:twoCellAnchor>
  <xdr:twoCellAnchor>
    <xdr:from>
      <xdr:col>15</xdr:col>
      <xdr:colOff>123825</xdr:colOff>
      <xdr:row>3</xdr:row>
      <xdr:rowOff>0</xdr:rowOff>
    </xdr:from>
    <xdr:to>
      <xdr:col>15</xdr:col>
      <xdr:colOff>342900</xdr:colOff>
      <xdr:row>4</xdr:row>
      <xdr:rowOff>0</xdr:rowOff>
    </xdr:to>
    <xdr:sp>
      <xdr:nvSpPr>
        <xdr:cNvPr id="5" name="Object 4" hidden="1"/>
        <xdr:cNvSpPr/>
      </xdr:nvSpPr>
      <xdr:spPr>
        <a:xfrm>
          <a:off x="9372600" y="1714500"/>
          <a:ext cx="219075" cy="198120"/>
        </a:xfrm>
        <a:prstGeom prst="rect">
          <a:avLst/>
        </a:prstGeom>
      </xdr:spPr>
    </xdr:sp>
    <xdr:clientData/>
  </xdr:twoCellAnchor>
  <xdr:twoCellAnchor>
    <xdr:from>
      <xdr:col>16</xdr:col>
      <xdr:colOff>0</xdr:colOff>
      <xdr:row>2</xdr:row>
      <xdr:rowOff>485775</xdr:rowOff>
    </xdr:from>
    <xdr:to>
      <xdr:col>17</xdr:col>
      <xdr:colOff>0</xdr:colOff>
      <xdr:row>2</xdr:row>
      <xdr:rowOff>914400</xdr:rowOff>
    </xdr:to>
    <xdr:sp>
      <xdr:nvSpPr>
        <xdr:cNvPr id="6" name="Object 5" hidden="1"/>
        <xdr:cNvSpPr/>
      </xdr:nvSpPr>
      <xdr:spPr>
        <a:xfrm>
          <a:off x="9677400" y="1011555"/>
          <a:ext cx="866775" cy="428625"/>
        </a:xfrm>
        <a:prstGeom prst="rect">
          <a:avLst/>
        </a:prstGeom>
      </xdr:spPr>
    </xdr:sp>
    <xdr:clientData/>
  </xdr:twoCellAnchor>
  <xdr:twoCellAnchor>
    <xdr:from>
      <xdr:col>16</xdr:col>
      <xdr:colOff>266700</xdr:colOff>
      <xdr:row>3</xdr:row>
      <xdr:rowOff>28575</xdr:rowOff>
    </xdr:from>
    <xdr:to>
      <xdr:col>16</xdr:col>
      <xdr:colOff>438150</xdr:colOff>
      <xdr:row>3</xdr:row>
      <xdr:rowOff>238125</xdr:rowOff>
    </xdr:to>
    <xdr:sp>
      <xdr:nvSpPr>
        <xdr:cNvPr id="7" name="Object 6" hidden="1"/>
        <xdr:cNvSpPr/>
      </xdr:nvSpPr>
      <xdr:spPr>
        <a:xfrm>
          <a:off x="9944100" y="1743075"/>
          <a:ext cx="171450" cy="169545"/>
        </a:xfrm>
        <a:prstGeom prst="rect">
          <a:avLst/>
        </a:prstGeom>
      </xdr:spPr>
    </xdr:sp>
    <xdr:clientData/>
  </xdr:twoCellAnchor>
  <xdr:twoCellAnchor>
    <xdr:from>
      <xdr:col>18</xdr:col>
      <xdr:colOff>152400</xdr:colOff>
      <xdr:row>2</xdr:row>
      <xdr:rowOff>752475</xdr:rowOff>
    </xdr:from>
    <xdr:to>
      <xdr:col>18</xdr:col>
      <xdr:colOff>647700</xdr:colOff>
      <xdr:row>3</xdr:row>
      <xdr:rowOff>9525</xdr:rowOff>
    </xdr:to>
    <xdr:sp>
      <xdr:nvSpPr>
        <xdr:cNvPr id="8" name="Object 7" hidden="1"/>
        <xdr:cNvSpPr/>
      </xdr:nvSpPr>
      <xdr:spPr>
        <a:xfrm>
          <a:off x="11258550" y="1278255"/>
          <a:ext cx="495300" cy="445770"/>
        </a:xfrm>
        <a:prstGeom prst="rect">
          <a:avLst/>
        </a:prstGeom>
      </xdr:spPr>
    </xdr:sp>
    <xdr:clientData/>
  </xdr:twoCellAnchor>
  <xdr:twoCellAnchor>
    <xdr:from>
      <xdr:col>18</xdr:col>
      <xdr:colOff>342900</xdr:colOff>
      <xdr:row>3</xdr:row>
      <xdr:rowOff>9525</xdr:rowOff>
    </xdr:from>
    <xdr:to>
      <xdr:col>18</xdr:col>
      <xdr:colOff>485775</xdr:colOff>
      <xdr:row>4</xdr:row>
      <xdr:rowOff>0</xdr:rowOff>
    </xdr:to>
    <xdr:sp>
      <xdr:nvSpPr>
        <xdr:cNvPr id="9" name="Object 8" hidden="1"/>
        <xdr:cNvSpPr/>
      </xdr:nvSpPr>
      <xdr:spPr>
        <a:xfrm>
          <a:off x="11449050" y="1724025"/>
          <a:ext cx="142875" cy="188595"/>
        </a:xfrm>
        <a:prstGeom prst="rect">
          <a:avLst/>
        </a:prstGeom>
      </xdr:spPr>
    </xdr:sp>
    <xdr:clientData/>
  </xdr:twoCellAnchor>
  <xdr:twoCellAnchor>
    <xdr:from>
      <xdr:col>19</xdr:col>
      <xdr:colOff>123825</xdr:colOff>
      <xdr:row>3</xdr:row>
      <xdr:rowOff>0</xdr:rowOff>
    </xdr:from>
    <xdr:to>
      <xdr:col>19</xdr:col>
      <xdr:colOff>342900</xdr:colOff>
      <xdr:row>4</xdr:row>
      <xdr:rowOff>0</xdr:rowOff>
    </xdr:to>
    <xdr:sp>
      <xdr:nvSpPr>
        <xdr:cNvPr id="10" name="Object 9" hidden="1"/>
        <xdr:cNvSpPr/>
      </xdr:nvSpPr>
      <xdr:spPr>
        <a:xfrm>
          <a:off x="12049125" y="1714500"/>
          <a:ext cx="219075" cy="198120"/>
        </a:xfrm>
        <a:prstGeom prst="rect">
          <a:avLst/>
        </a:prstGeom>
      </xdr:spPr>
    </xdr:sp>
    <xdr:clientData/>
  </xdr:twoCellAnchor>
  <xdr:twoCellAnchor>
    <xdr:from>
      <xdr:col>20</xdr:col>
      <xdr:colOff>0</xdr:colOff>
      <xdr:row>2</xdr:row>
      <xdr:rowOff>514350</xdr:rowOff>
    </xdr:from>
    <xdr:to>
      <xdr:col>20</xdr:col>
      <xdr:colOff>819150</xdr:colOff>
      <xdr:row>2</xdr:row>
      <xdr:rowOff>971550</xdr:rowOff>
    </xdr:to>
    <xdr:sp>
      <xdr:nvSpPr>
        <xdr:cNvPr id="11" name="Object 10" hidden="1"/>
        <xdr:cNvSpPr/>
      </xdr:nvSpPr>
      <xdr:spPr>
        <a:xfrm>
          <a:off x="12363450" y="1040130"/>
          <a:ext cx="819150" cy="457200"/>
        </a:xfrm>
        <a:prstGeom prst="rect">
          <a:avLst/>
        </a:prstGeom>
      </xdr:spPr>
    </xdr:sp>
    <xdr:clientData/>
  </xdr:twoCellAnchor>
  <xdr:twoCellAnchor>
    <xdr:from>
      <xdr:col>20</xdr:col>
      <xdr:colOff>314325</xdr:colOff>
      <xdr:row>3</xdr:row>
      <xdr:rowOff>57150</xdr:rowOff>
    </xdr:from>
    <xdr:to>
      <xdr:col>20</xdr:col>
      <xdr:colOff>495300</xdr:colOff>
      <xdr:row>3</xdr:row>
      <xdr:rowOff>219075</xdr:rowOff>
    </xdr:to>
    <xdr:sp>
      <xdr:nvSpPr>
        <xdr:cNvPr id="12" name="Object 11" hidden="1"/>
        <xdr:cNvSpPr/>
      </xdr:nvSpPr>
      <xdr:spPr>
        <a:xfrm>
          <a:off x="12677775" y="1771650"/>
          <a:ext cx="180975" cy="140970"/>
        </a:xfrm>
        <a:prstGeom prst="rect">
          <a:avLst/>
        </a:prstGeom>
      </xdr:spPr>
    </xdr:sp>
    <xdr:clientData/>
  </xdr:twoCellAnchor>
  <xdr:twoCellAnchor>
    <xdr:from>
      <xdr:col>13</xdr:col>
      <xdr:colOff>19050</xdr:colOff>
      <xdr:row>2</xdr:row>
      <xdr:rowOff>647700</xdr:rowOff>
    </xdr:from>
    <xdr:to>
      <xdr:col>13</xdr:col>
      <xdr:colOff>1076325</xdr:colOff>
      <xdr:row>3</xdr:row>
      <xdr:rowOff>0</xdr:rowOff>
    </xdr:to>
    <xdr:pic>
      <xdr:nvPicPr>
        <xdr:cNvPr id="476161" name="Picture 1"/>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7648575" y="1173480"/>
          <a:ext cx="1057275" cy="541020"/>
        </a:xfrm>
        <a:prstGeom prst="rect">
          <a:avLst/>
        </a:prstGeom>
        <a:solidFill>
          <a:srgbClr val="FFFFFF"/>
        </a:solidFill>
      </xdr:spPr>
    </xdr:pic>
    <xdr:clientData/>
  </xdr:twoCellAnchor>
  <xdr:twoCellAnchor>
    <xdr:from>
      <xdr:col>13</xdr:col>
      <xdr:colOff>476250</xdr:colOff>
      <xdr:row>3</xdr:row>
      <xdr:rowOff>0</xdr:rowOff>
    </xdr:from>
    <xdr:to>
      <xdr:col>13</xdr:col>
      <xdr:colOff>752475</xdr:colOff>
      <xdr:row>4</xdr:row>
      <xdr:rowOff>0</xdr:rowOff>
    </xdr:to>
    <xdr:pic>
      <xdr:nvPicPr>
        <xdr:cNvPr id="476162" name="Picture 2"/>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8105775" y="1714500"/>
          <a:ext cx="276225" cy="198120"/>
        </a:xfrm>
        <a:prstGeom prst="rect">
          <a:avLst/>
        </a:prstGeom>
        <a:solidFill>
          <a:srgbClr val="FFFFFF"/>
        </a:solidFill>
      </xdr:spPr>
    </xdr:pic>
    <xdr:clientData/>
  </xdr:twoCellAnchor>
  <xdr:twoCellAnchor>
    <xdr:from>
      <xdr:col>14</xdr:col>
      <xdr:colOff>152400</xdr:colOff>
      <xdr:row>3</xdr:row>
      <xdr:rowOff>0</xdr:rowOff>
    </xdr:from>
    <xdr:to>
      <xdr:col>14</xdr:col>
      <xdr:colOff>371475</xdr:colOff>
      <xdr:row>4</xdr:row>
      <xdr:rowOff>0</xdr:rowOff>
    </xdr:to>
    <xdr:pic>
      <xdr:nvPicPr>
        <xdr:cNvPr id="476163" name="Picture 3"/>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8905875" y="1714500"/>
          <a:ext cx="219075" cy="198120"/>
        </a:xfrm>
        <a:prstGeom prst="rect">
          <a:avLst/>
        </a:prstGeom>
        <a:solidFill>
          <a:srgbClr val="FFFFFF"/>
        </a:solidFill>
      </xdr:spPr>
    </xdr:pic>
    <xdr:clientData/>
  </xdr:twoCellAnchor>
  <xdr:twoCellAnchor>
    <xdr:from>
      <xdr:col>15</xdr:col>
      <xdr:colOff>123825</xdr:colOff>
      <xdr:row>3</xdr:row>
      <xdr:rowOff>0</xdr:rowOff>
    </xdr:from>
    <xdr:to>
      <xdr:col>15</xdr:col>
      <xdr:colOff>342900</xdr:colOff>
      <xdr:row>4</xdr:row>
      <xdr:rowOff>0</xdr:rowOff>
    </xdr:to>
    <xdr:pic>
      <xdr:nvPicPr>
        <xdr:cNvPr id="476164" name="Picture 4"/>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9372600" y="1714500"/>
          <a:ext cx="219075" cy="198120"/>
        </a:xfrm>
        <a:prstGeom prst="rect">
          <a:avLst/>
        </a:prstGeom>
        <a:solidFill>
          <a:srgbClr val="FFFFFF"/>
        </a:solidFill>
      </xdr:spPr>
    </xdr:pic>
    <xdr:clientData/>
  </xdr:twoCellAnchor>
  <xdr:twoCellAnchor>
    <xdr:from>
      <xdr:col>16</xdr:col>
      <xdr:colOff>0</xdr:colOff>
      <xdr:row>2</xdr:row>
      <xdr:rowOff>485775</xdr:rowOff>
    </xdr:from>
    <xdr:to>
      <xdr:col>17</xdr:col>
      <xdr:colOff>0</xdr:colOff>
      <xdr:row>3</xdr:row>
      <xdr:rowOff>0</xdr:rowOff>
    </xdr:to>
    <xdr:pic>
      <xdr:nvPicPr>
        <xdr:cNvPr id="476165" name="Picture 5"/>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9677400" y="1011555"/>
          <a:ext cx="866775" cy="702945"/>
        </a:xfrm>
        <a:prstGeom prst="rect">
          <a:avLst/>
        </a:prstGeom>
        <a:solidFill>
          <a:srgbClr val="FFFFFF"/>
        </a:solidFill>
      </xdr:spPr>
    </xdr:pic>
    <xdr:clientData/>
  </xdr:twoCellAnchor>
  <xdr:twoCellAnchor>
    <xdr:from>
      <xdr:col>16</xdr:col>
      <xdr:colOff>266700</xdr:colOff>
      <xdr:row>3</xdr:row>
      <xdr:rowOff>28575</xdr:rowOff>
    </xdr:from>
    <xdr:to>
      <xdr:col>16</xdr:col>
      <xdr:colOff>438150</xdr:colOff>
      <xdr:row>4</xdr:row>
      <xdr:rowOff>0</xdr:rowOff>
    </xdr:to>
    <xdr:pic>
      <xdr:nvPicPr>
        <xdr:cNvPr id="476166" name="Picture 6"/>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9944100" y="1743075"/>
          <a:ext cx="171450" cy="169545"/>
        </a:xfrm>
        <a:prstGeom prst="rect">
          <a:avLst/>
        </a:prstGeom>
        <a:solidFill>
          <a:srgbClr val="FFFFFF"/>
        </a:solidFill>
      </xdr:spPr>
    </xdr:pic>
    <xdr:clientData/>
  </xdr:twoCellAnchor>
  <xdr:twoCellAnchor>
    <xdr:from>
      <xdr:col>18</xdr:col>
      <xdr:colOff>152400</xdr:colOff>
      <xdr:row>2</xdr:row>
      <xdr:rowOff>752475</xdr:rowOff>
    </xdr:from>
    <xdr:to>
      <xdr:col>18</xdr:col>
      <xdr:colOff>647700</xdr:colOff>
      <xdr:row>3</xdr:row>
      <xdr:rowOff>9525</xdr:rowOff>
    </xdr:to>
    <xdr:pic>
      <xdr:nvPicPr>
        <xdr:cNvPr id="476167" name="Picture 7"/>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11258550" y="1278255"/>
          <a:ext cx="495300" cy="445770"/>
        </a:xfrm>
        <a:prstGeom prst="rect">
          <a:avLst/>
        </a:prstGeom>
        <a:solidFill>
          <a:srgbClr val="FFFFFF"/>
        </a:solidFill>
      </xdr:spPr>
    </xdr:pic>
    <xdr:clientData/>
  </xdr:twoCellAnchor>
  <xdr:twoCellAnchor>
    <xdr:from>
      <xdr:col>18</xdr:col>
      <xdr:colOff>342900</xdr:colOff>
      <xdr:row>3</xdr:row>
      <xdr:rowOff>9525</xdr:rowOff>
    </xdr:from>
    <xdr:to>
      <xdr:col>18</xdr:col>
      <xdr:colOff>485775</xdr:colOff>
      <xdr:row>4</xdr:row>
      <xdr:rowOff>0</xdr:rowOff>
    </xdr:to>
    <xdr:pic>
      <xdr:nvPicPr>
        <xdr:cNvPr id="476168" name="Picture 8"/>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11449050" y="1724025"/>
          <a:ext cx="142875" cy="188595"/>
        </a:xfrm>
        <a:prstGeom prst="rect">
          <a:avLst/>
        </a:prstGeom>
        <a:solidFill>
          <a:srgbClr val="FFFFFF"/>
        </a:solidFill>
      </xdr:spPr>
    </xdr:pic>
    <xdr:clientData/>
  </xdr:twoCellAnchor>
  <xdr:twoCellAnchor>
    <xdr:from>
      <xdr:col>19</xdr:col>
      <xdr:colOff>123825</xdr:colOff>
      <xdr:row>3</xdr:row>
      <xdr:rowOff>0</xdr:rowOff>
    </xdr:from>
    <xdr:to>
      <xdr:col>19</xdr:col>
      <xdr:colOff>342900</xdr:colOff>
      <xdr:row>4</xdr:row>
      <xdr:rowOff>0</xdr:rowOff>
    </xdr:to>
    <xdr:pic>
      <xdr:nvPicPr>
        <xdr:cNvPr id="476169" name="Picture 9"/>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12049125" y="1714500"/>
          <a:ext cx="219075" cy="198120"/>
        </a:xfrm>
        <a:prstGeom prst="rect">
          <a:avLst/>
        </a:prstGeom>
        <a:solidFill>
          <a:srgbClr val="FFFFFF"/>
        </a:solidFill>
      </xdr:spPr>
    </xdr:pic>
    <xdr:clientData/>
  </xdr:twoCellAnchor>
  <xdr:twoCellAnchor>
    <xdr:from>
      <xdr:col>20</xdr:col>
      <xdr:colOff>0</xdr:colOff>
      <xdr:row>2</xdr:row>
      <xdr:rowOff>514350</xdr:rowOff>
    </xdr:from>
    <xdr:to>
      <xdr:col>20</xdr:col>
      <xdr:colOff>819150</xdr:colOff>
      <xdr:row>3</xdr:row>
      <xdr:rowOff>0</xdr:rowOff>
    </xdr:to>
    <xdr:pic>
      <xdr:nvPicPr>
        <xdr:cNvPr id="476170" name="Picture 10"/>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12363450" y="1040130"/>
          <a:ext cx="819150" cy="674370"/>
        </a:xfrm>
        <a:prstGeom prst="rect">
          <a:avLst/>
        </a:prstGeom>
        <a:solidFill>
          <a:srgbClr val="FFFFFF"/>
        </a:solidFill>
      </xdr:spPr>
    </xdr:pic>
    <xdr:clientData/>
  </xdr:twoCellAnchor>
  <xdr:twoCellAnchor>
    <xdr:from>
      <xdr:col>20</xdr:col>
      <xdr:colOff>314325</xdr:colOff>
      <xdr:row>3</xdr:row>
      <xdr:rowOff>57150</xdr:rowOff>
    </xdr:from>
    <xdr:to>
      <xdr:col>20</xdr:col>
      <xdr:colOff>495300</xdr:colOff>
      <xdr:row>4</xdr:row>
      <xdr:rowOff>0</xdr:rowOff>
    </xdr:to>
    <xdr:pic>
      <xdr:nvPicPr>
        <xdr:cNvPr id="476171" name="Picture 11"/>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12677775" y="1771650"/>
          <a:ext cx="180975" cy="140970"/>
        </a:xfrm>
        <a:prstGeom prst="rect">
          <a:avLst/>
        </a:prstGeom>
        <a:solidFill>
          <a:srgbClr val="FFFFFF"/>
        </a:solidFill>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2</xdr:col>
      <xdr:colOff>247650</xdr:colOff>
      <xdr:row>24</xdr:row>
      <xdr:rowOff>161925</xdr:rowOff>
    </xdr:from>
    <xdr:to>
      <xdr:col>2</xdr:col>
      <xdr:colOff>857250</xdr:colOff>
      <xdr:row>27</xdr:row>
      <xdr:rowOff>28575</xdr:rowOff>
    </xdr:to>
    <xdr:pic>
      <xdr:nvPicPr>
        <xdr:cNvPr id="2" name="Picture 1"/>
        <xdr:cNvPicPr>
          <a:picLocks noChangeAspect="1" noChangeArrowheads="1"/>
        </xdr:cNvPicPr>
      </xdr:nvPicPr>
      <xdr:blipFill>
        <a:blip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a:xfrm>
          <a:off x="2066925" y="4993005"/>
          <a:ext cx="609600" cy="5829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xdr:colOff>
      <xdr:row>29</xdr:row>
      <xdr:rowOff>76200</xdr:rowOff>
    </xdr:from>
    <xdr:to>
      <xdr:col>11</xdr:col>
      <xdr:colOff>285750</xdr:colOff>
      <xdr:row>47</xdr:row>
      <xdr:rowOff>133350</xdr:rowOff>
    </xdr:to>
    <xdr:pic>
      <xdr:nvPicPr>
        <xdr:cNvPr id="3" name="圖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9050" y="6065520"/>
          <a:ext cx="8924925" cy="3623310"/>
        </a:xfrm>
        <a:prstGeom prst="rect">
          <a:avLst/>
        </a:prstGeom>
      </xdr:spPr>
    </xdr:pic>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3</xdr:col>
      <xdr:colOff>381000</xdr:colOff>
      <xdr:row>18</xdr:row>
      <xdr:rowOff>19050</xdr:rowOff>
    </xdr:from>
    <xdr:to>
      <xdr:col>7</xdr:col>
      <xdr:colOff>180975</xdr:colOff>
      <xdr:row>23</xdr:row>
      <xdr:rowOff>104775</xdr:rowOff>
    </xdr:to>
    <xdr:grpSp>
      <xdr:nvGrpSpPr>
        <xdr:cNvPr id="2" name="Group 34"/>
        <xdr:cNvGrpSpPr/>
      </xdr:nvGrpSpPr>
      <xdr:grpSpPr>
        <a:xfrm>
          <a:off x="1466850" y="2964180"/>
          <a:ext cx="3609975" cy="847725"/>
          <a:chOff x="154" y="318"/>
          <a:chExt cx="358" cy="89"/>
        </a:xfrm>
      </xdr:grpSpPr>
      <xdr:sp>
        <xdr:nvSpPr>
          <xdr:cNvPr id="3" name="Rectangle 1"/>
          <xdr:cNvSpPr>
            <a:spLocks noChangeArrowheads="1"/>
          </xdr:cNvSpPr>
        </xdr:nvSpPr>
        <xdr:spPr>
          <a:xfrm>
            <a:off x="154" y="328"/>
            <a:ext cx="311" cy="45"/>
          </a:xfrm>
          <a:prstGeom prst="rect">
            <a:avLst/>
          </a:prstGeom>
          <a:solidFill>
            <a:srgbClr val="FFFFFF"/>
          </a:solidFill>
          <a:ln w="9525">
            <a:solidFill>
              <a:srgbClr val="000000"/>
            </a:solidFill>
            <a:miter lim="800000"/>
          </a:ln>
        </xdr:spPr>
      </xdr:sp>
      <xdr:sp>
        <xdr:nvSpPr>
          <xdr:cNvPr id="4" name="Oval 2"/>
          <xdr:cNvSpPr>
            <a:spLocks noChangeArrowheads="1"/>
          </xdr:cNvSpPr>
        </xdr:nvSpPr>
        <xdr:spPr>
          <a:xfrm>
            <a:off x="163" y="375"/>
            <a:ext cx="8" cy="8"/>
          </a:xfrm>
          <a:prstGeom prst="ellipse">
            <a:avLst/>
          </a:prstGeom>
          <a:solidFill>
            <a:srgbClr val="000000"/>
          </a:solidFill>
          <a:ln w="9525">
            <a:solidFill>
              <a:srgbClr val="000000"/>
            </a:solidFill>
            <a:round/>
          </a:ln>
        </xdr:spPr>
      </xdr:sp>
      <xdr:sp>
        <xdr:nvSpPr>
          <xdr:cNvPr id="5" name="Oval 3"/>
          <xdr:cNvSpPr>
            <a:spLocks noChangeArrowheads="1"/>
          </xdr:cNvSpPr>
        </xdr:nvSpPr>
        <xdr:spPr>
          <a:xfrm>
            <a:off x="163" y="318"/>
            <a:ext cx="8" cy="8"/>
          </a:xfrm>
          <a:prstGeom prst="ellipse">
            <a:avLst/>
          </a:prstGeom>
          <a:solidFill>
            <a:srgbClr val="000000"/>
          </a:solidFill>
          <a:ln w="9525">
            <a:solidFill>
              <a:srgbClr val="000000"/>
            </a:solidFill>
            <a:round/>
          </a:ln>
        </xdr:spPr>
      </xdr:sp>
      <xdr:sp>
        <xdr:nvSpPr>
          <xdr:cNvPr id="6" name="Oval 4"/>
          <xdr:cNvSpPr>
            <a:spLocks noChangeArrowheads="1"/>
          </xdr:cNvSpPr>
        </xdr:nvSpPr>
        <xdr:spPr>
          <a:xfrm>
            <a:off x="216" y="375"/>
            <a:ext cx="8" cy="8"/>
          </a:xfrm>
          <a:prstGeom prst="ellipse">
            <a:avLst/>
          </a:prstGeom>
          <a:solidFill>
            <a:srgbClr val="000000"/>
          </a:solidFill>
          <a:ln w="9525">
            <a:solidFill>
              <a:srgbClr val="000000"/>
            </a:solidFill>
            <a:round/>
          </a:ln>
        </xdr:spPr>
      </xdr:sp>
      <xdr:sp>
        <xdr:nvSpPr>
          <xdr:cNvPr id="7" name="Oval 5"/>
          <xdr:cNvSpPr>
            <a:spLocks noChangeArrowheads="1"/>
          </xdr:cNvSpPr>
        </xdr:nvSpPr>
        <xdr:spPr>
          <a:xfrm>
            <a:off x="216" y="318"/>
            <a:ext cx="8" cy="8"/>
          </a:xfrm>
          <a:prstGeom prst="ellipse">
            <a:avLst/>
          </a:prstGeom>
          <a:solidFill>
            <a:srgbClr val="000000"/>
          </a:solidFill>
          <a:ln w="9525">
            <a:solidFill>
              <a:srgbClr val="000000"/>
            </a:solidFill>
            <a:round/>
          </a:ln>
        </xdr:spPr>
      </xdr:sp>
      <xdr:sp>
        <xdr:nvSpPr>
          <xdr:cNvPr id="8" name="Oval 6"/>
          <xdr:cNvSpPr>
            <a:spLocks noChangeArrowheads="1"/>
          </xdr:cNvSpPr>
        </xdr:nvSpPr>
        <xdr:spPr>
          <a:xfrm>
            <a:off x="274" y="375"/>
            <a:ext cx="8" cy="8"/>
          </a:xfrm>
          <a:prstGeom prst="ellipse">
            <a:avLst/>
          </a:prstGeom>
          <a:solidFill>
            <a:srgbClr val="000000"/>
          </a:solidFill>
          <a:ln w="9525">
            <a:solidFill>
              <a:srgbClr val="000000"/>
            </a:solidFill>
            <a:round/>
          </a:ln>
        </xdr:spPr>
      </xdr:sp>
      <xdr:sp>
        <xdr:nvSpPr>
          <xdr:cNvPr id="9" name="Oval 7"/>
          <xdr:cNvSpPr>
            <a:spLocks noChangeArrowheads="1"/>
          </xdr:cNvSpPr>
        </xdr:nvSpPr>
        <xdr:spPr>
          <a:xfrm>
            <a:off x="274" y="318"/>
            <a:ext cx="8" cy="8"/>
          </a:xfrm>
          <a:prstGeom prst="ellipse">
            <a:avLst/>
          </a:prstGeom>
          <a:solidFill>
            <a:srgbClr val="000000"/>
          </a:solidFill>
          <a:ln w="9525">
            <a:solidFill>
              <a:srgbClr val="000000"/>
            </a:solidFill>
            <a:round/>
          </a:ln>
        </xdr:spPr>
      </xdr:sp>
      <xdr:sp>
        <xdr:nvSpPr>
          <xdr:cNvPr id="10" name="Oval 8"/>
          <xdr:cNvSpPr>
            <a:spLocks noChangeArrowheads="1"/>
          </xdr:cNvSpPr>
        </xdr:nvSpPr>
        <xdr:spPr>
          <a:xfrm>
            <a:off x="329" y="375"/>
            <a:ext cx="8" cy="8"/>
          </a:xfrm>
          <a:prstGeom prst="ellipse">
            <a:avLst/>
          </a:prstGeom>
          <a:solidFill>
            <a:srgbClr val="000000"/>
          </a:solidFill>
          <a:ln w="9525">
            <a:solidFill>
              <a:srgbClr val="000000"/>
            </a:solidFill>
            <a:round/>
          </a:ln>
        </xdr:spPr>
      </xdr:sp>
      <xdr:sp>
        <xdr:nvSpPr>
          <xdr:cNvPr id="11" name="Oval 9"/>
          <xdr:cNvSpPr>
            <a:spLocks noChangeArrowheads="1"/>
          </xdr:cNvSpPr>
        </xdr:nvSpPr>
        <xdr:spPr>
          <a:xfrm>
            <a:off x="329" y="318"/>
            <a:ext cx="8" cy="8"/>
          </a:xfrm>
          <a:prstGeom prst="ellipse">
            <a:avLst/>
          </a:prstGeom>
          <a:solidFill>
            <a:srgbClr val="000000"/>
          </a:solidFill>
          <a:ln w="9525">
            <a:solidFill>
              <a:srgbClr val="000000"/>
            </a:solidFill>
            <a:round/>
          </a:ln>
        </xdr:spPr>
      </xdr:sp>
      <xdr:sp>
        <xdr:nvSpPr>
          <xdr:cNvPr id="12" name="Oval 10"/>
          <xdr:cNvSpPr>
            <a:spLocks noChangeArrowheads="1"/>
          </xdr:cNvSpPr>
        </xdr:nvSpPr>
        <xdr:spPr>
          <a:xfrm>
            <a:off x="382" y="375"/>
            <a:ext cx="8" cy="8"/>
          </a:xfrm>
          <a:prstGeom prst="ellipse">
            <a:avLst/>
          </a:prstGeom>
          <a:solidFill>
            <a:srgbClr val="000000"/>
          </a:solidFill>
          <a:ln w="9525">
            <a:solidFill>
              <a:srgbClr val="000000"/>
            </a:solidFill>
            <a:round/>
          </a:ln>
        </xdr:spPr>
      </xdr:sp>
      <xdr:sp>
        <xdr:nvSpPr>
          <xdr:cNvPr id="13" name="Oval 11"/>
          <xdr:cNvSpPr>
            <a:spLocks noChangeArrowheads="1"/>
          </xdr:cNvSpPr>
        </xdr:nvSpPr>
        <xdr:spPr>
          <a:xfrm>
            <a:off x="382" y="318"/>
            <a:ext cx="8" cy="8"/>
          </a:xfrm>
          <a:prstGeom prst="ellipse">
            <a:avLst/>
          </a:prstGeom>
          <a:solidFill>
            <a:srgbClr val="000000"/>
          </a:solidFill>
          <a:ln w="9525">
            <a:solidFill>
              <a:srgbClr val="000000"/>
            </a:solidFill>
            <a:round/>
          </a:ln>
        </xdr:spPr>
      </xdr:sp>
      <xdr:sp>
        <xdr:nvSpPr>
          <xdr:cNvPr id="14" name="Oval 12"/>
          <xdr:cNvSpPr>
            <a:spLocks noChangeArrowheads="1"/>
          </xdr:cNvSpPr>
        </xdr:nvSpPr>
        <xdr:spPr>
          <a:xfrm>
            <a:off x="440" y="375"/>
            <a:ext cx="8" cy="8"/>
          </a:xfrm>
          <a:prstGeom prst="ellipse">
            <a:avLst/>
          </a:prstGeom>
          <a:solidFill>
            <a:srgbClr val="000000"/>
          </a:solidFill>
          <a:ln w="9525">
            <a:solidFill>
              <a:srgbClr val="000000"/>
            </a:solidFill>
            <a:round/>
          </a:ln>
        </xdr:spPr>
      </xdr:sp>
      <xdr:sp>
        <xdr:nvSpPr>
          <xdr:cNvPr id="15" name="Oval 13"/>
          <xdr:cNvSpPr>
            <a:spLocks noChangeArrowheads="1"/>
          </xdr:cNvSpPr>
        </xdr:nvSpPr>
        <xdr:spPr>
          <a:xfrm>
            <a:off x="440" y="318"/>
            <a:ext cx="8" cy="8"/>
          </a:xfrm>
          <a:prstGeom prst="ellipse">
            <a:avLst/>
          </a:prstGeom>
          <a:solidFill>
            <a:srgbClr val="000000"/>
          </a:solidFill>
          <a:ln w="9525">
            <a:solidFill>
              <a:srgbClr val="000000"/>
            </a:solidFill>
            <a:round/>
          </a:ln>
        </xdr:spPr>
      </xdr:sp>
      <xdr:sp>
        <xdr:nvSpPr>
          <xdr:cNvPr id="16" name="Line 15"/>
          <xdr:cNvSpPr>
            <a:spLocks noChangeShapeType="1"/>
          </xdr:cNvSpPr>
        </xdr:nvSpPr>
        <xdr:spPr>
          <a:xfrm>
            <a:off x="489" y="328"/>
            <a:ext cx="0" cy="49"/>
          </a:xfrm>
          <a:prstGeom prst="line">
            <a:avLst/>
          </a:prstGeom>
          <a:noFill/>
          <a:ln w="9525">
            <a:solidFill>
              <a:srgbClr val="000000"/>
            </a:solidFill>
            <a:round/>
            <a:headEnd type="oval" w="sm" len="sm"/>
            <a:tailEnd type="oval" w="sm" len="sm"/>
          </a:ln>
          <a:extLst>
            <a:ext uri="{909E8E84-426E-40DD-AFC4-6F175D3DCCD1}">
              <a14:hiddenFill xmlns:a14="http://schemas.microsoft.com/office/drawing/2010/main">
                <a:noFill/>
              </a14:hiddenFill>
            </a:ext>
          </a:extLst>
        </xdr:spPr>
      </xdr:sp>
      <xdr:sp>
        <xdr:nvSpPr>
          <xdr:cNvPr id="17" name="Line 16"/>
          <xdr:cNvSpPr>
            <a:spLocks noChangeShapeType="1"/>
          </xdr:cNvSpPr>
        </xdr:nvSpPr>
        <xdr:spPr>
          <a:xfrm rot="-5400000">
            <a:off x="417" y="382"/>
            <a:ext cx="0" cy="49"/>
          </a:xfrm>
          <a:prstGeom prst="line">
            <a:avLst/>
          </a:prstGeom>
          <a:noFill/>
          <a:ln w="9525">
            <a:solidFill>
              <a:srgbClr val="000000"/>
            </a:solidFill>
            <a:round/>
            <a:headEnd type="oval" w="sm" len="sm"/>
            <a:tailEnd type="oval" w="sm" len="sm"/>
          </a:ln>
          <a:extLst>
            <a:ext uri="{909E8E84-426E-40DD-AFC4-6F175D3DCCD1}">
              <a14:hiddenFill xmlns:a14="http://schemas.microsoft.com/office/drawing/2010/main">
                <a:noFill/>
              </a14:hiddenFill>
            </a:ext>
          </a:extLst>
        </xdr:spPr>
      </xdr:sp>
      <xdr:sp>
        <xdr:nvSpPr>
          <xdr:cNvPr id="18" name="Text Box 17"/>
          <xdr:cNvSpPr txBox="1">
            <a:spLocks noChangeArrowheads="1"/>
          </xdr:cNvSpPr>
        </xdr:nvSpPr>
        <xdr:spPr>
          <a:xfrm>
            <a:off x="410" y="387"/>
            <a:ext cx="19" cy="19"/>
          </a:xfrm>
          <a:prstGeom prst="rect">
            <a:avLst/>
          </a:prstGeom>
          <a:noFill/>
          <a:ln>
            <a:noFill/>
          </a:ln>
          <a:extLst>
            <a:ext uri="{909E8E84-426E-40DD-AFC4-6F175D3DCCD1}">
              <a14:hiddenFill xmlns:a14="http://schemas.microsoft.com/office/drawing/2010/main">
                <a:solidFill>
                  <a:srgbClr xmlns:mc="http://schemas.openxmlformats.org/markup-compatibility/2006" xmlns:a14="http://schemas.microsoft.com/office/drawing/2010/main"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xmlns:a14="http://schemas.microsoft.com/office/drawing/2010/main"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altLang="zh-TW" sz="800" b="0" i="0" u="none" strike="noStrike" baseline="0">
                <a:solidFill>
                  <a:srgbClr val="000000"/>
                </a:solidFill>
                <a:latin typeface="MS PGothic" panose="020B0600070205080204" charset="-128"/>
                <a:ea typeface="MS PGothic" panose="020B0600070205080204" charset="-128"/>
              </a:rPr>
              <a:t>L</a:t>
            </a:r>
            <a:endParaRPr lang="en-US" altLang="zh-TW" sz="800" b="0" i="0" u="none" strike="noStrike" baseline="0">
              <a:solidFill>
                <a:srgbClr val="000000"/>
              </a:solidFill>
              <a:latin typeface="MS PGothic" panose="020B0600070205080204" charset="-128"/>
              <a:ea typeface="MS PGothic" panose="020B0600070205080204" charset="-128"/>
            </a:endParaRPr>
          </a:p>
        </xdr:txBody>
      </xdr:sp>
      <xdr:sp>
        <xdr:nvSpPr>
          <xdr:cNvPr id="19" name="Text Box 18"/>
          <xdr:cNvSpPr txBox="1">
            <a:spLocks noChangeArrowheads="1"/>
          </xdr:cNvSpPr>
        </xdr:nvSpPr>
        <xdr:spPr>
          <a:xfrm>
            <a:off x="493" y="343"/>
            <a:ext cx="19" cy="19"/>
          </a:xfrm>
          <a:prstGeom prst="rect">
            <a:avLst/>
          </a:prstGeom>
          <a:noFill/>
          <a:ln>
            <a:noFill/>
          </a:ln>
          <a:extLst>
            <a:ext uri="{909E8E84-426E-40DD-AFC4-6F175D3DCCD1}">
              <a14:hiddenFill xmlns:a14="http://schemas.microsoft.com/office/drawing/2010/main">
                <a:solidFill>
                  <a:srgbClr xmlns:mc="http://schemas.openxmlformats.org/markup-compatibility/2006" xmlns:a14="http://schemas.microsoft.com/office/drawing/2010/main"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xmlns:a14="http://schemas.microsoft.com/office/drawing/2010/main"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altLang="zh-TW" sz="800" b="0" i="0" u="none" strike="noStrike" baseline="0">
                <a:solidFill>
                  <a:srgbClr val="000000"/>
                </a:solidFill>
                <a:latin typeface="MS PGothic" panose="020B0600070205080204" charset="-128"/>
                <a:ea typeface="MS PGothic" panose="020B0600070205080204" charset="-128"/>
              </a:rPr>
              <a:t>W</a:t>
            </a:r>
            <a:endParaRPr lang="en-US" altLang="zh-TW" sz="800" b="0" i="0" u="none" strike="noStrike" baseline="0">
              <a:solidFill>
                <a:srgbClr val="000000"/>
              </a:solidFill>
              <a:latin typeface="MS PGothic" panose="020B0600070205080204" charset="-128"/>
              <a:ea typeface="MS PGothic" panose="020B0600070205080204" charset="-128"/>
            </a:endParaRPr>
          </a:p>
        </xdr:txBody>
      </xdr:sp>
    </xdr:grpSp>
    <xdr:clientData/>
  </xdr:twoCellAnchor>
  <xdr:twoCellAnchor>
    <xdr:from>
      <xdr:col>4</xdr:col>
      <xdr:colOff>28575</xdr:colOff>
      <xdr:row>24</xdr:row>
      <xdr:rowOff>57150</xdr:rowOff>
    </xdr:from>
    <xdr:to>
      <xdr:col>4</xdr:col>
      <xdr:colOff>104775</xdr:colOff>
      <xdr:row>24</xdr:row>
      <xdr:rowOff>133350</xdr:rowOff>
    </xdr:to>
    <xdr:sp>
      <xdr:nvSpPr>
        <xdr:cNvPr id="20" name="Oval 33"/>
        <xdr:cNvSpPr>
          <a:spLocks noChangeArrowheads="1"/>
        </xdr:cNvSpPr>
      </xdr:nvSpPr>
      <xdr:spPr>
        <a:xfrm>
          <a:off x="1876425" y="3916680"/>
          <a:ext cx="76200" cy="76200"/>
        </a:xfrm>
        <a:prstGeom prst="ellipse">
          <a:avLst/>
        </a:prstGeom>
        <a:solidFill>
          <a:srgbClr val="000000"/>
        </a:solidFill>
        <a:ln w="9525">
          <a:solidFill>
            <a:srgbClr val="000000"/>
          </a:solidFill>
          <a:round/>
        </a:ln>
      </xdr:spPr>
    </xdr:sp>
    <xdr:clientData/>
  </xdr:twoCellAnchor>
  <xdr:twoCellAnchor>
    <xdr:from>
      <xdr:col>6</xdr:col>
      <xdr:colOff>57150</xdr:colOff>
      <xdr:row>26</xdr:row>
      <xdr:rowOff>114300</xdr:rowOff>
    </xdr:from>
    <xdr:to>
      <xdr:col>6</xdr:col>
      <xdr:colOff>485775</xdr:colOff>
      <xdr:row>33</xdr:row>
      <xdr:rowOff>19050</xdr:rowOff>
    </xdr:to>
    <xdr:sp>
      <xdr:nvSpPr>
        <xdr:cNvPr id="21" name="Line 35"/>
        <xdr:cNvSpPr>
          <a:spLocks noChangeShapeType="1"/>
        </xdr:cNvSpPr>
      </xdr:nvSpPr>
      <xdr:spPr>
        <a:xfrm flipH="1" flipV="1">
          <a:off x="4181475" y="4288155"/>
          <a:ext cx="428625" cy="101917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381000</xdr:colOff>
      <xdr:row>49</xdr:row>
      <xdr:rowOff>19050</xdr:rowOff>
    </xdr:from>
    <xdr:to>
      <xdr:col>7</xdr:col>
      <xdr:colOff>180975</xdr:colOff>
      <xdr:row>54</xdr:row>
      <xdr:rowOff>104775</xdr:rowOff>
    </xdr:to>
    <xdr:grpSp>
      <xdr:nvGrpSpPr>
        <xdr:cNvPr id="22" name="Group 36"/>
        <xdr:cNvGrpSpPr/>
      </xdr:nvGrpSpPr>
      <xdr:grpSpPr>
        <a:xfrm>
          <a:off x="1466850" y="7901940"/>
          <a:ext cx="3609975" cy="847725"/>
          <a:chOff x="154" y="318"/>
          <a:chExt cx="358" cy="89"/>
        </a:xfrm>
      </xdr:grpSpPr>
      <xdr:sp>
        <xdr:nvSpPr>
          <xdr:cNvPr id="23" name="Rectangle 37"/>
          <xdr:cNvSpPr>
            <a:spLocks noChangeArrowheads="1"/>
          </xdr:cNvSpPr>
        </xdr:nvSpPr>
        <xdr:spPr>
          <a:xfrm>
            <a:off x="154" y="328"/>
            <a:ext cx="311" cy="45"/>
          </a:xfrm>
          <a:prstGeom prst="rect">
            <a:avLst/>
          </a:prstGeom>
          <a:solidFill>
            <a:srgbClr val="FFFFFF"/>
          </a:solidFill>
          <a:ln w="9525">
            <a:solidFill>
              <a:srgbClr val="000000"/>
            </a:solidFill>
            <a:miter lim="800000"/>
          </a:ln>
        </xdr:spPr>
      </xdr:sp>
      <xdr:sp>
        <xdr:nvSpPr>
          <xdr:cNvPr id="24" name="Oval 38"/>
          <xdr:cNvSpPr>
            <a:spLocks noChangeArrowheads="1"/>
          </xdr:cNvSpPr>
        </xdr:nvSpPr>
        <xdr:spPr>
          <a:xfrm>
            <a:off x="163" y="375"/>
            <a:ext cx="8" cy="8"/>
          </a:xfrm>
          <a:prstGeom prst="ellipse">
            <a:avLst/>
          </a:prstGeom>
          <a:solidFill>
            <a:srgbClr val="000000"/>
          </a:solidFill>
          <a:ln w="9525">
            <a:solidFill>
              <a:srgbClr val="000000"/>
            </a:solidFill>
            <a:round/>
          </a:ln>
        </xdr:spPr>
      </xdr:sp>
      <xdr:sp>
        <xdr:nvSpPr>
          <xdr:cNvPr id="25" name="Oval 39"/>
          <xdr:cNvSpPr>
            <a:spLocks noChangeArrowheads="1"/>
          </xdr:cNvSpPr>
        </xdr:nvSpPr>
        <xdr:spPr>
          <a:xfrm>
            <a:off x="163" y="318"/>
            <a:ext cx="8" cy="8"/>
          </a:xfrm>
          <a:prstGeom prst="ellipse">
            <a:avLst/>
          </a:prstGeom>
          <a:solidFill>
            <a:srgbClr val="000000"/>
          </a:solidFill>
          <a:ln w="9525">
            <a:solidFill>
              <a:srgbClr val="000000"/>
            </a:solidFill>
            <a:round/>
          </a:ln>
        </xdr:spPr>
      </xdr:sp>
      <xdr:sp>
        <xdr:nvSpPr>
          <xdr:cNvPr id="26" name="Oval 40"/>
          <xdr:cNvSpPr>
            <a:spLocks noChangeArrowheads="1"/>
          </xdr:cNvSpPr>
        </xdr:nvSpPr>
        <xdr:spPr>
          <a:xfrm>
            <a:off x="216" y="375"/>
            <a:ext cx="8" cy="8"/>
          </a:xfrm>
          <a:prstGeom prst="ellipse">
            <a:avLst/>
          </a:prstGeom>
          <a:solidFill>
            <a:srgbClr val="000000"/>
          </a:solidFill>
          <a:ln w="9525">
            <a:solidFill>
              <a:srgbClr val="000000"/>
            </a:solidFill>
            <a:round/>
          </a:ln>
        </xdr:spPr>
      </xdr:sp>
      <xdr:sp>
        <xdr:nvSpPr>
          <xdr:cNvPr id="27" name="Oval 41"/>
          <xdr:cNvSpPr>
            <a:spLocks noChangeArrowheads="1"/>
          </xdr:cNvSpPr>
        </xdr:nvSpPr>
        <xdr:spPr>
          <a:xfrm>
            <a:off x="216" y="318"/>
            <a:ext cx="8" cy="8"/>
          </a:xfrm>
          <a:prstGeom prst="ellipse">
            <a:avLst/>
          </a:prstGeom>
          <a:solidFill>
            <a:srgbClr val="000000"/>
          </a:solidFill>
          <a:ln w="9525">
            <a:solidFill>
              <a:srgbClr val="000000"/>
            </a:solidFill>
            <a:round/>
          </a:ln>
        </xdr:spPr>
      </xdr:sp>
      <xdr:sp>
        <xdr:nvSpPr>
          <xdr:cNvPr id="28" name="Oval 42"/>
          <xdr:cNvSpPr>
            <a:spLocks noChangeArrowheads="1"/>
          </xdr:cNvSpPr>
        </xdr:nvSpPr>
        <xdr:spPr>
          <a:xfrm>
            <a:off x="274" y="375"/>
            <a:ext cx="8" cy="8"/>
          </a:xfrm>
          <a:prstGeom prst="ellipse">
            <a:avLst/>
          </a:prstGeom>
          <a:solidFill>
            <a:srgbClr val="000000"/>
          </a:solidFill>
          <a:ln w="9525">
            <a:solidFill>
              <a:srgbClr val="000000"/>
            </a:solidFill>
            <a:round/>
          </a:ln>
        </xdr:spPr>
      </xdr:sp>
      <xdr:sp>
        <xdr:nvSpPr>
          <xdr:cNvPr id="29" name="Oval 43"/>
          <xdr:cNvSpPr>
            <a:spLocks noChangeArrowheads="1"/>
          </xdr:cNvSpPr>
        </xdr:nvSpPr>
        <xdr:spPr>
          <a:xfrm>
            <a:off x="274" y="318"/>
            <a:ext cx="8" cy="8"/>
          </a:xfrm>
          <a:prstGeom prst="ellipse">
            <a:avLst/>
          </a:prstGeom>
          <a:solidFill>
            <a:srgbClr val="000000"/>
          </a:solidFill>
          <a:ln w="9525">
            <a:solidFill>
              <a:srgbClr val="000000"/>
            </a:solidFill>
            <a:round/>
          </a:ln>
        </xdr:spPr>
      </xdr:sp>
      <xdr:sp>
        <xdr:nvSpPr>
          <xdr:cNvPr id="30" name="Oval 44"/>
          <xdr:cNvSpPr>
            <a:spLocks noChangeArrowheads="1"/>
          </xdr:cNvSpPr>
        </xdr:nvSpPr>
        <xdr:spPr>
          <a:xfrm>
            <a:off x="329" y="375"/>
            <a:ext cx="8" cy="8"/>
          </a:xfrm>
          <a:prstGeom prst="ellipse">
            <a:avLst/>
          </a:prstGeom>
          <a:solidFill>
            <a:srgbClr val="000000"/>
          </a:solidFill>
          <a:ln w="9525">
            <a:solidFill>
              <a:srgbClr val="000000"/>
            </a:solidFill>
            <a:round/>
          </a:ln>
        </xdr:spPr>
      </xdr:sp>
      <xdr:sp>
        <xdr:nvSpPr>
          <xdr:cNvPr id="31" name="Oval 45"/>
          <xdr:cNvSpPr>
            <a:spLocks noChangeArrowheads="1"/>
          </xdr:cNvSpPr>
        </xdr:nvSpPr>
        <xdr:spPr>
          <a:xfrm>
            <a:off x="329" y="318"/>
            <a:ext cx="8" cy="8"/>
          </a:xfrm>
          <a:prstGeom prst="ellipse">
            <a:avLst/>
          </a:prstGeom>
          <a:solidFill>
            <a:srgbClr val="000000"/>
          </a:solidFill>
          <a:ln w="9525">
            <a:solidFill>
              <a:srgbClr val="000000"/>
            </a:solidFill>
            <a:round/>
          </a:ln>
        </xdr:spPr>
      </xdr:sp>
      <xdr:sp>
        <xdr:nvSpPr>
          <xdr:cNvPr id="32" name="Oval 46"/>
          <xdr:cNvSpPr>
            <a:spLocks noChangeArrowheads="1"/>
          </xdr:cNvSpPr>
        </xdr:nvSpPr>
        <xdr:spPr>
          <a:xfrm>
            <a:off x="382" y="375"/>
            <a:ext cx="8" cy="8"/>
          </a:xfrm>
          <a:prstGeom prst="ellipse">
            <a:avLst/>
          </a:prstGeom>
          <a:solidFill>
            <a:srgbClr val="000000"/>
          </a:solidFill>
          <a:ln w="9525">
            <a:solidFill>
              <a:srgbClr val="000000"/>
            </a:solidFill>
            <a:round/>
          </a:ln>
        </xdr:spPr>
      </xdr:sp>
      <xdr:sp>
        <xdr:nvSpPr>
          <xdr:cNvPr id="33" name="Oval 47"/>
          <xdr:cNvSpPr>
            <a:spLocks noChangeArrowheads="1"/>
          </xdr:cNvSpPr>
        </xdr:nvSpPr>
        <xdr:spPr>
          <a:xfrm>
            <a:off x="382" y="318"/>
            <a:ext cx="8" cy="8"/>
          </a:xfrm>
          <a:prstGeom prst="ellipse">
            <a:avLst/>
          </a:prstGeom>
          <a:solidFill>
            <a:srgbClr val="000000"/>
          </a:solidFill>
          <a:ln w="9525">
            <a:solidFill>
              <a:srgbClr val="000000"/>
            </a:solidFill>
            <a:round/>
          </a:ln>
        </xdr:spPr>
      </xdr:sp>
      <xdr:sp>
        <xdr:nvSpPr>
          <xdr:cNvPr id="34" name="Oval 48"/>
          <xdr:cNvSpPr>
            <a:spLocks noChangeArrowheads="1"/>
          </xdr:cNvSpPr>
        </xdr:nvSpPr>
        <xdr:spPr>
          <a:xfrm>
            <a:off x="440" y="375"/>
            <a:ext cx="8" cy="8"/>
          </a:xfrm>
          <a:prstGeom prst="ellipse">
            <a:avLst/>
          </a:prstGeom>
          <a:solidFill>
            <a:srgbClr val="000000"/>
          </a:solidFill>
          <a:ln w="9525">
            <a:solidFill>
              <a:srgbClr val="000000"/>
            </a:solidFill>
            <a:round/>
          </a:ln>
        </xdr:spPr>
      </xdr:sp>
      <xdr:sp>
        <xdr:nvSpPr>
          <xdr:cNvPr id="35" name="Oval 49"/>
          <xdr:cNvSpPr>
            <a:spLocks noChangeArrowheads="1"/>
          </xdr:cNvSpPr>
        </xdr:nvSpPr>
        <xdr:spPr>
          <a:xfrm>
            <a:off x="440" y="318"/>
            <a:ext cx="8" cy="8"/>
          </a:xfrm>
          <a:prstGeom prst="ellipse">
            <a:avLst/>
          </a:prstGeom>
          <a:solidFill>
            <a:srgbClr val="000000"/>
          </a:solidFill>
          <a:ln w="9525">
            <a:solidFill>
              <a:srgbClr val="000000"/>
            </a:solidFill>
            <a:round/>
          </a:ln>
        </xdr:spPr>
      </xdr:sp>
      <xdr:sp>
        <xdr:nvSpPr>
          <xdr:cNvPr id="36" name="Line 50"/>
          <xdr:cNvSpPr>
            <a:spLocks noChangeShapeType="1"/>
          </xdr:cNvSpPr>
        </xdr:nvSpPr>
        <xdr:spPr>
          <a:xfrm>
            <a:off x="489" y="328"/>
            <a:ext cx="0" cy="49"/>
          </a:xfrm>
          <a:prstGeom prst="line">
            <a:avLst/>
          </a:prstGeom>
          <a:noFill/>
          <a:ln w="9525">
            <a:solidFill>
              <a:srgbClr val="000000"/>
            </a:solidFill>
            <a:round/>
            <a:headEnd type="oval" w="sm" len="sm"/>
            <a:tailEnd type="oval" w="sm" len="sm"/>
          </a:ln>
          <a:extLst>
            <a:ext uri="{909E8E84-426E-40DD-AFC4-6F175D3DCCD1}">
              <a14:hiddenFill xmlns:a14="http://schemas.microsoft.com/office/drawing/2010/main">
                <a:noFill/>
              </a14:hiddenFill>
            </a:ext>
          </a:extLst>
        </xdr:spPr>
      </xdr:sp>
      <xdr:sp>
        <xdr:nvSpPr>
          <xdr:cNvPr id="37" name="Line 51"/>
          <xdr:cNvSpPr>
            <a:spLocks noChangeShapeType="1"/>
          </xdr:cNvSpPr>
        </xdr:nvSpPr>
        <xdr:spPr>
          <a:xfrm rot="-5400000">
            <a:off x="417" y="382"/>
            <a:ext cx="0" cy="49"/>
          </a:xfrm>
          <a:prstGeom prst="line">
            <a:avLst/>
          </a:prstGeom>
          <a:noFill/>
          <a:ln w="9525">
            <a:solidFill>
              <a:srgbClr val="000000"/>
            </a:solidFill>
            <a:round/>
            <a:headEnd type="oval" w="sm" len="sm"/>
            <a:tailEnd type="oval" w="sm" len="sm"/>
          </a:ln>
          <a:extLst>
            <a:ext uri="{909E8E84-426E-40DD-AFC4-6F175D3DCCD1}">
              <a14:hiddenFill xmlns:a14="http://schemas.microsoft.com/office/drawing/2010/main">
                <a:noFill/>
              </a14:hiddenFill>
            </a:ext>
          </a:extLst>
        </xdr:spPr>
      </xdr:sp>
      <xdr:sp>
        <xdr:nvSpPr>
          <xdr:cNvPr id="38" name="Text Box 52"/>
          <xdr:cNvSpPr txBox="1">
            <a:spLocks noChangeArrowheads="1"/>
          </xdr:cNvSpPr>
        </xdr:nvSpPr>
        <xdr:spPr>
          <a:xfrm>
            <a:off x="410" y="387"/>
            <a:ext cx="19" cy="19"/>
          </a:xfrm>
          <a:prstGeom prst="rect">
            <a:avLst/>
          </a:prstGeom>
          <a:noFill/>
          <a:ln>
            <a:noFill/>
          </a:ln>
          <a:extLst>
            <a:ext uri="{909E8E84-426E-40DD-AFC4-6F175D3DCCD1}">
              <a14:hiddenFill xmlns:a14="http://schemas.microsoft.com/office/drawing/2010/main">
                <a:solidFill>
                  <a:srgbClr xmlns:mc="http://schemas.openxmlformats.org/markup-compatibility/2006" xmlns:a14="http://schemas.microsoft.com/office/drawing/2010/main"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xmlns:a14="http://schemas.microsoft.com/office/drawing/2010/main"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altLang="zh-TW" sz="800" b="0" i="0" u="none" strike="noStrike" baseline="0">
                <a:solidFill>
                  <a:srgbClr val="000000"/>
                </a:solidFill>
                <a:latin typeface="MS PGothic" panose="020B0600070205080204" charset="-128"/>
                <a:ea typeface="MS PGothic" panose="020B0600070205080204" charset="-128"/>
              </a:rPr>
              <a:t>L</a:t>
            </a:r>
            <a:endParaRPr lang="en-US" altLang="zh-TW" sz="800" b="0" i="0" u="none" strike="noStrike" baseline="0">
              <a:solidFill>
                <a:srgbClr val="000000"/>
              </a:solidFill>
              <a:latin typeface="MS PGothic" panose="020B0600070205080204" charset="-128"/>
              <a:ea typeface="MS PGothic" panose="020B0600070205080204" charset="-128"/>
            </a:endParaRPr>
          </a:p>
        </xdr:txBody>
      </xdr:sp>
      <xdr:sp>
        <xdr:nvSpPr>
          <xdr:cNvPr id="39" name="Text Box 53"/>
          <xdr:cNvSpPr txBox="1">
            <a:spLocks noChangeArrowheads="1"/>
          </xdr:cNvSpPr>
        </xdr:nvSpPr>
        <xdr:spPr>
          <a:xfrm>
            <a:off x="493" y="343"/>
            <a:ext cx="19" cy="19"/>
          </a:xfrm>
          <a:prstGeom prst="rect">
            <a:avLst/>
          </a:prstGeom>
          <a:noFill/>
          <a:ln>
            <a:noFill/>
          </a:ln>
          <a:extLst>
            <a:ext uri="{909E8E84-426E-40DD-AFC4-6F175D3DCCD1}">
              <a14:hiddenFill xmlns:a14="http://schemas.microsoft.com/office/drawing/2010/main">
                <a:solidFill>
                  <a:srgbClr xmlns:mc="http://schemas.openxmlformats.org/markup-compatibility/2006" xmlns:a14="http://schemas.microsoft.com/office/drawing/2010/main"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xmlns:a14="http://schemas.microsoft.com/office/drawing/2010/main" val="000000" mc:Ignorable="a14" a14:legacySpreadsheetColorIndex="64"/>
                </a:solidFill>
                <a:miter lim="800000"/>
                <a:headEnd/>
                <a:tailEnd/>
              </a14:hiddenLine>
            </a:ext>
          </a:extLst>
        </xdr:spPr>
        <xdr:txBody>
          <a:bodyPr vertOverflow="clip" wrap="square" lIns="27432" tIns="18288" rIns="27432" bIns="18288" anchor="ctr" upright="1"/>
          <a:lstStyle/>
          <a:p>
            <a:pPr algn="ctr" rtl="0">
              <a:defRPr sz="1000"/>
            </a:pPr>
            <a:r>
              <a:rPr lang="en-US" altLang="zh-TW" sz="800" b="0" i="0" u="none" strike="noStrike" baseline="0">
                <a:solidFill>
                  <a:srgbClr val="000000"/>
                </a:solidFill>
                <a:latin typeface="MS PGothic" panose="020B0600070205080204" charset="-128"/>
                <a:ea typeface="MS PGothic" panose="020B0600070205080204" charset="-128"/>
              </a:rPr>
              <a:t>W</a:t>
            </a:r>
            <a:endParaRPr lang="en-US" altLang="zh-TW" sz="800" b="0" i="0" u="none" strike="noStrike" baseline="0">
              <a:solidFill>
                <a:srgbClr val="000000"/>
              </a:solidFill>
              <a:latin typeface="MS PGothic" panose="020B0600070205080204" charset="-128"/>
              <a:ea typeface="MS PGothic" panose="020B0600070205080204" charset="-128"/>
            </a:endParaRPr>
          </a:p>
        </xdr:txBody>
      </xdr:sp>
    </xdr:grpSp>
    <xdr:clientData/>
  </xdr:twoCellAnchor>
  <xdr:twoCellAnchor>
    <xdr:from>
      <xdr:col>4</xdr:col>
      <xdr:colOff>28575</xdr:colOff>
      <xdr:row>55</xdr:row>
      <xdr:rowOff>57150</xdr:rowOff>
    </xdr:from>
    <xdr:to>
      <xdr:col>4</xdr:col>
      <xdr:colOff>104775</xdr:colOff>
      <xdr:row>55</xdr:row>
      <xdr:rowOff>133350</xdr:rowOff>
    </xdr:to>
    <xdr:sp>
      <xdr:nvSpPr>
        <xdr:cNvPr id="40" name="Oval 54"/>
        <xdr:cNvSpPr>
          <a:spLocks noChangeArrowheads="1"/>
        </xdr:cNvSpPr>
      </xdr:nvSpPr>
      <xdr:spPr>
        <a:xfrm>
          <a:off x="1876425" y="8854440"/>
          <a:ext cx="76200" cy="76200"/>
        </a:xfrm>
        <a:prstGeom prst="ellipse">
          <a:avLst/>
        </a:prstGeom>
        <a:solidFill>
          <a:srgbClr val="000000"/>
        </a:solidFill>
        <a:ln w="9525">
          <a:solidFill>
            <a:srgbClr val="000000"/>
          </a:solidFill>
          <a:round/>
        </a:ln>
      </xdr:spPr>
    </xdr:sp>
    <xdr:clientData/>
  </xdr:twoCellAnchor>
  <xdr:twoCellAnchor>
    <xdr:from>
      <xdr:col>6</xdr:col>
      <xdr:colOff>57150</xdr:colOff>
      <xdr:row>57</xdr:row>
      <xdr:rowOff>114300</xdr:rowOff>
    </xdr:from>
    <xdr:to>
      <xdr:col>6</xdr:col>
      <xdr:colOff>485775</xdr:colOff>
      <xdr:row>64</xdr:row>
      <xdr:rowOff>19050</xdr:rowOff>
    </xdr:to>
    <xdr:sp>
      <xdr:nvSpPr>
        <xdr:cNvPr id="41" name="Line 55"/>
        <xdr:cNvSpPr>
          <a:spLocks noChangeShapeType="1"/>
        </xdr:cNvSpPr>
      </xdr:nvSpPr>
      <xdr:spPr>
        <a:xfrm flipH="1" flipV="1">
          <a:off x="4181475" y="9225915"/>
          <a:ext cx="428625" cy="101917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xdr:from>
      <xdr:col>13</xdr:col>
      <xdr:colOff>815340</xdr:colOff>
      <xdr:row>6</xdr:row>
      <xdr:rowOff>26670</xdr:rowOff>
    </xdr:from>
    <xdr:to>
      <xdr:col>13</xdr:col>
      <xdr:colOff>1020536</xdr:colOff>
      <xdr:row>6</xdr:row>
      <xdr:rowOff>29158</xdr:rowOff>
    </xdr:to>
    <xdr:cxnSp>
      <xdr:nvCxnSpPr>
        <xdr:cNvPr id="2" name="直接连接符 2"/>
        <xdr:cNvCxnSpPr/>
      </xdr:nvCxnSpPr>
      <xdr:spPr>
        <a:xfrm>
          <a:off x="10873740" y="1299210"/>
          <a:ext cx="205105" cy="19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765810</xdr:colOff>
      <xdr:row>6</xdr:row>
      <xdr:rowOff>19050</xdr:rowOff>
    </xdr:from>
    <xdr:to>
      <xdr:col>13</xdr:col>
      <xdr:colOff>815340</xdr:colOff>
      <xdr:row>6</xdr:row>
      <xdr:rowOff>171450</xdr:rowOff>
    </xdr:to>
    <xdr:cxnSp>
      <xdr:nvCxnSpPr>
        <xdr:cNvPr id="3" name="直接连接符 4"/>
        <xdr:cNvCxnSpPr/>
      </xdr:nvCxnSpPr>
      <xdr:spPr>
        <a:xfrm rot="5400000">
          <a:off x="10772775" y="1343025"/>
          <a:ext cx="152400" cy="495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723900</xdr:colOff>
      <xdr:row>6</xdr:row>
      <xdr:rowOff>102870</xdr:rowOff>
    </xdr:from>
    <xdr:to>
      <xdr:col>13</xdr:col>
      <xdr:colOff>773431</xdr:colOff>
      <xdr:row>6</xdr:row>
      <xdr:rowOff>175260</xdr:rowOff>
    </xdr:to>
    <xdr:cxnSp>
      <xdr:nvCxnSpPr>
        <xdr:cNvPr id="4" name="直接连接符 8"/>
        <xdr:cNvCxnSpPr/>
      </xdr:nvCxnSpPr>
      <xdr:spPr>
        <a:xfrm rot="16200000" flipV="1">
          <a:off x="10770870" y="1386205"/>
          <a:ext cx="72390" cy="5016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708662</xdr:colOff>
      <xdr:row>6</xdr:row>
      <xdr:rowOff>110490</xdr:rowOff>
    </xdr:from>
    <xdr:to>
      <xdr:col>13</xdr:col>
      <xdr:colOff>727710</xdr:colOff>
      <xdr:row>6</xdr:row>
      <xdr:rowOff>171450</xdr:rowOff>
    </xdr:to>
    <xdr:cxnSp>
      <xdr:nvCxnSpPr>
        <xdr:cNvPr id="5" name="直接连接符 10"/>
        <xdr:cNvCxnSpPr/>
      </xdr:nvCxnSpPr>
      <xdr:spPr>
        <a:xfrm rot="5400000">
          <a:off x="10746105" y="1403985"/>
          <a:ext cx="60960" cy="184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815340</xdr:colOff>
      <xdr:row>11</xdr:row>
      <xdr:rowOff>26670</xdr:rowOff>
    </xdr:from>
    <xdr:to>
      <xdr:col>13</xdr:col>
      <xdr:colOff>1020536</xdr:colOff>
      <xdr:row>11</xdr:row>
      <xdr:rowOff>29158</xdr:rowOff>
    </xdr:to>
    <xdr:cxnSp>
      <xdr:nvCxnSpPr>
        <xdr:cNvPr id="6" name="直接连接符 42"/>
        <xdr:cNvCxnSpPr/>
      </xdr:nvCxnSpPr>
      <xdr:spPr>
        <a:xfrm>
          <a:off x="10873740" y="2320290"/>
          <a:ext cx="205105" cy="19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765810</xdr:colOff>
      <xdr:row>11</xdr:row>
      <xdr:rowOff>19050</xdr:rowOff>
    </xdr:from>
    <xdr:to>
      <xdr:col>13</xdr:col>
      <xdr:colOff>815340</xdr:colOff>
      <xdr:row>11</xdr:row>
      <xdr:rowOff>171450</xdr:rowOff>
    </xdr:to>
    <xdr:cxnSp>
      <xdr:nvCxnSpPr>
        <xdr:cNvPr id="7" name="直接连接符 43"/>
        <xdr:cNvCxnSpPr/>
      </xdr:nvCxnSpPr>
      <xdr:spPr>
        <a:xfrm rot="5400000">
          <a:off x="10772775" y="2364105"/>
          <a:ext cx="152400" cy="495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723900</xdr:colOff>
      <xdr:row>11</xdr:row>
      <xdr:rowOff>102870</xdr:rowOff>
    </xdr:from>
    <xdr:to>
      <xdr:col>13</xdr:col>
      <xdr:colOff>773431</xdr:colOff>
      <xdr:row>11</xdr:row>
      <xdr:rowOff>175260</xdr:rowOff>
    </xdr:to>
    <xdr:cxnSp>
      <xdr:nvCxnSpPr>
        <xdr:cNvPr id="8" name="直接连接符 44"/>
        <xdr:cNvCxnSpPr/>
      </xdr:nvCxnSpPr>
      <xdr:spPr>
        <a:xfrm rot="16200000" flipV="1">
          <a:off x="10770870" y="2407285"/>
          <a:ext cx="72390" cy="5016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708662</xdr:colOff>
      <xdr:row>11</xdr:row>
      <xdr:rowOff>110490</xdr:rowOff>
    </xdr:from>
    <xdr:to>
      <xdr:col>13</xdr:col>
      <xdr:colOff>727710</xdr:colOff>
      <xdr:row>11</xdr:row>
      <xdr:rowOff>171450</xdr:rowOff>
    </xdr:to>
    <xdr:cxnSp>
      <xdr:nvCxnSpPr>
        <xdr:cNvPr id="9" name="直接连接符 45"/>
        <xdr:cNvCxnSpPr/>
      </xdr:nvCxnSpPr>
      <xdr:spPr>
        <a:xfrm rot="5400000">
          <a:off x="10746105" y="2425065"/>
          <a:ext cx="60960" cy="184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815340</xdr:colOff>
      <xdr:row>17</xdr:row>
      <xdr:rowOff>26670</xdr:rowOff>
    </xdr:from>
    <xdr:to>
      <xdr:col>13</xdr:col>
      <xdr:colOff>1020536</xdr:colOff>
      <xdr:row>17</xdr:row>
      <xdr:rowOff>29158</xdr:rowOff>
    </xdr:to>
    <xdr:cxnSp>
      <xdr:nvCxnSpPr>
        <xdr:cNvPr id="10" name="直接连接符 9"/>
        <xdr:cNvCxnSpPr/>
      </xdr:nvCxnSpPr>
      <xdr:spPr>
        <a:xfrm>
          <a:off x="10873740" y="3569970"/>
          <a:ext cx="205105" cy="19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765810</xdr:colOff>
      <xdr:row>17</xdr:row>
      <xdr:rowOff>19050</xdr:rowOff>
    </xdr:from>
    <xdr:to>
      <xdr:col>13</xdr:col>
      <xdr:colOff>815340</xdr:colOff>
      <xdr:row>17</xdr:row>
      <xdr:rowOff>171450</xdr:rowOff>
    </xdr:to>
    <xdr:cxnSp>
      <xdr:nvCxnSpPr>
        <xdr:cNvPr id="11" name="直接连接符 11"/>
        <xdr:cNvCxnSpPr/>
      </xdr:nvCxnSpPr>
      <xdr:spPr>
        <a:xfrm rot="5400000">
          <a:off x="10772775" y="3613785"/>
          <a:ext cx="152400" cy="495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723900</xdr:colOff>
      <xdr:row>17</xdr:row>
      <xdr:rowOff>102870</xdr:rowOff>
    </xdr:from>
    <xdr:to>
      <xdr:col>13</xdr:col>
      <xdr:colOff>773431</xdr:colOff>
      <xdr:row>17</xdr:row>
      <xdr:rowOff>175260</xdr:rowOff>
    </xdr:to>
    <xdr:cxnSp>
      <xdr:nvCxnSpPr>
        <xdr:cNvPr id="12" name="直接连接符 12"/>
        <xdr:cNvCxnSpPr/>
      </xdr:nvCxnSpPr>
      <xdr:spPr>
        <a:xfrm rot="16200000" flipV="1">
          <a:off x="10770870" y="3656965"/>
          <a:ext cx="72390" cy="5016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708662</xdr:colOff>
      <xdr:row>17</xdr:row>
      <xdr:rowOff>110490</xdr:rowOff>
    </xdr:from>
    <xdr:to>
      <xdr:col>13</xdr:col>
      <xdr:colOff>727710</xdr:colOff>
      <xdr:row>17</xdr:row>
      <xdr:rowOff>171450</xdr:rowOff>
    </xdr:to>
    <xdr:cxnSp>
      <xdr:nvCxnSpPr>
        <xdr:cNvPr id="13" name="直接连接符 13"/>
        <xdr:cNvCxnSpPr/>
      </xdr:nvCxnSpPr>
      <xdr:spPr>
        <a:xfrm rot="5400000">
          <a:off x="10746105" y="3674745"/>
          <a:ext cx="60960" cy="184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815340</xdr:colOff>
      <xdr:row>18</xdr:row>
      <xdr:rowOff>26670</xdr:rowOff>
    </xdr:from>
    <xdr:to>
      <xdr:col>13</xdr:col>
      <xdr:colOff>1020536</xdr:colOff>
      <xdr:row>18</xdr:row>
      <xdr:rowOff>29158</xdr:rowOff>
    </xdr:to>
    <xdr:cxnSp>
      <xdr:nvCxnSpPr>
        <xdr:cNvPr id="14" name="直接连接符 14"/>
        <xdr:cNvCxnSpPr/>
      </xdr:nvCxnSpPr>
      <xdr:spPr>
        <a:xfrm>
          <a:off x="10873740" y="3768090"/>
          <a:ext cx="205105" cy="19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765810</xdr:colOff>
      <xdr:row>18</xdr:row>
      <xdr:rowOff>19050</xdr:rowOff>
    </xdr:from>
    <xdr:to>
      <xdr:col>13</xdr:col>
      <xdr:colOff>815340</xdr:colOff>
      <xdr:row>18</xdr:row>
      <xdr:rowOff>171450</xdr:rowOff>
    </xdr:to>
    <xdr:cxnSp>
      <xdr:nvCxnSpPr>
        <xdr:cNvPr id="15" name="直接连接符 15"/>
        <xdr:cNvCxnSpPr/>
      </xdr:nvCxnSpPr>
      <xdr:spPr>
        <a:xfrm rot="5400000">
          <a:off x="10772775" y="3811905"/>
          <a:ext cx="152400" cy="495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723900</xdr:colOff>
      <xdr:row>18</xdr:row>
      <xdr:rowOff>102870</xdr:rowOff>
    </xdr:from>
    <xdr:to>
      <xdr:col>13</xdr:col>
      <xdr:colOff>773431</xdr:colOff>
      <xdr:row>18</xdr:row>
      <xdr:rowOff>175260</xdr:rowOff>
    </xdr:to>
    <xdr:cxnSp>
      <xdr:nvCxnSpPr>
        <xdr:cNvPr id="16" name="直接连接符 16"/>
        <xdr:cNvCxnSpPr/>
      </xdr:nvCxnSpPr>
      <xdr:spPr>
        <a:xfrm rot="16200000" flipV="1">
          <a:off x="10770870" y="3855085"/>
          <a:ext cx="72390" cy="5016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708662</xdr:colOff>
      <xdr:row>18</xdr:row>
      <xdr:rowOff>110490</xdr:rowOff>
    </xdr:from>
    <xdr:to>
      <xdr:col>13</xdr:col>
      <xdr:colOff>727710</xdr:colOff>
      <xdr:row>18</xdr:row>
      <xdr:rowOff>171450</xdr:rowOff>
    </xdr:to>
    <xdr:cxnSp>
      <xdr:nvCxnSpPr>
        <xdr:cNvPr id="17" name="直接连接符 17"/>
        <xdr:cNvCxnSpPr/>
      </xdr:nvCxnSpPr>
      <xdr:spPr>
        <a:xfrm rot="5400000">
          <a:off x="10746105" y="3872865"/>
          <a:ext cx="60960" cy="184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815340</xdr:colOff>
      <xdr:row>19</xdr:row>
      <xdr:rowOff>26670</xdr:rowOff>
    </xdr:from>
    <xdr:to>
      <xdr:col>13</xdr:col>
      <xdr:colOff>1020536</xdr:colOff>
      <xdr:row>19</xdr:row>
      <xdr:rowOff>29158</xdr:rowOff>
    </xdr:to>
    <xdr:cxnSp>
      <xdr:nvCxnSpPr>
        <xdr:cNvPr id="18" name="直接连接符 18"/>
        <xdr:cNvCxnSpPr/>
      </xdr:nvCxnSpPr>
      <xdr:spPr>
        <a:xfrm>
          <a:off x="10873740" y="3966210"/>
          <a:ext cx="205105" cy="190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765810</xdr:colOff>
      <xdr:row>19</xdr:row>
      <xdr:rowOff>19050</xdr:rowOff>
    </xdr:from>
    <xdr:to>
      <xdr:col>13</xdr:col>
      <xdr:colOff>815340</xdr:colOff>
      <xdr:row>19</xdr:row>
      <xdr:rowOff>171450</xdr:rowOff>
    </xdr:to>
    <xdr:cxnSp>
      <xdr:nvCxnSpPr>
        <xdr:cNvPr id="19" name="直接连接符 19"/>
        <xdr:cNvCxnSpPr/>
      </xdr:nvCxnSpPr>
      <xdr:spPr>
        <a:xfrm rot="5400000">
          <a:off x="10772775" y="4010025"/>
          <a:ext cx="152400" cy="4953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723900</xdr:colOff>
      <xdr:row>19</xdr:row>
      <xdr:rowOff>102870</xdr:rowOff>
    </xdr:from>
    <xdr:to>
      <xdr:col>13</xdr:col>
      <xdr:colOff>773431</xdr:colOff>
      <xdr:row>19</xdr:row>
      <xdr:rowOff>175260</xdr:rowOff>
    </xdr:to>
    <xdr:cxnSp>
      <xdr:nvCxnSpPr>
        <xdr:cNvPr id="20" name="直接连接符 20"/>
        <xdr:cNvCxnSpPr/>
      </xdr:nvCxnSpPr>
      <xdr:spPr>
        <a:xfrm rot="16200000" flipV="1">
          <a:off x="10770870" y="4053205"/>
          <a:ext cx="72390" cy="5016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708662</xdr:colOff>
      <xdr:row>19</xdr:row>
      <xdr:rowOff>110490</xdr:rowOff>
    </xdr:from>
    <xdr:to>
      <xdr:col>13</xdr:col>
      <xdr:colOff>727710</xdr:colOff>
      <xdr:row>19</xdr:row>
      <xdr:rowOff>171450</xdr:rowOff>
    </xdr:to>
    <xdr:cxnSp>
      <xdr:nvCxnSpPr>
        <xdr:cNvPr id="21" name="直接连接符 21"/>
        <xdr:cNvCxnSpPr/>
      </xdr:nvCxnSpPr>
      <xdr:spPr>
        <a:xfrm rot="5400000">
          <a:off x="10746105" y="4070985"/>
          <a:ext cx="60960" cy="1841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17</xdr:row>
      <xdr:rowOff>161925</xdr:rowOff>
    </xdr:from>
    <xdr:to>
      <xdr:col>2</xdr:col>
      <xdr:colOff>85725</xdr:colOff>
      <xdr:row>25</xdr:row>
      <xdr:rowOff>0</xdr:rowOff>
    </xdr:to>
    <xdr:pic>
      <xdr:nvPicPr>
        <xdr:cNvPr id="2" name="Picture 1" descr="未命名"/>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0" y="3529965"/>
          <a:ext cx="3429000" cy="14230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29</xdr:row>
      <xdr:rowOff>28575</xdr:rowOff>
    </xdr:from>
    <xdr:to>
      <xdr:col>1</xdr:col>
      <xdr:colOff>1000124</xdr:colOff>
      <xdr:row>41</xdr:row>
      <xdr:rowOff>19050</xdr:rowOff>
    </xdr:to>
    <xdr:pic>
      <xdr:nvPicPr>
        <xdr:cNvPr id="4" name="Picture 3" descr="未命名3"/>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0" y="5774055"/>
          <a:ext cx="3342640" cy="2367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1009650</xdr:colOff>
      <xdr:row>44</xdr:row>
      <xdr:rowOff>19050</xdr:rowOff>
    </xdr:from>
    <xdr:to>
      <xdr:col>1</xdr:col>
      <xdr:colOff>38100</xdr:colOff>
      <xdr:row>45</xdr:row>
      <xdr:rowOff>152400</xdr:rowOff>
    </xdr:to>
    <xdr:pic>
      <xdr:nvPicPr>
        <xdr:cNvPr id="6" name="Picture 5" descr="R9{E6]34W@XN9OWRO{{X857"/>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1009650" y="8736330"/>
          <a:ext cx="1371600" cy="3924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41</xdr:row>
      <xdr:rowOff>0</xdr:rowOff>
    </xdr:from>
    <xdr:to>
      <xdr:col>3</xdr:col>
      <xdr:colOff>2552700</xdr:colOff>
      <xdr:row>60</xdr:row>
      <xdr:rowOff>76200</xdr:rowOff>
    </xdr:to>
    <xdr:pic>
      <xdr:nvPicPr>
        <xdr:cNvPr id="17" name="圖片 16"/>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4486275" y="8122920"/>
          <a:ext cx="2552700" cy="3901440"/>
        </a:xfrm>
        <a:prstGeom prst="rect">
          <a:avLst/>
        </a:prstGeom>
      </xdr:spPr>
    </xdr:pic>
    <xdr:clientData/>
  </xdr:twoCellAnchor>
  <xdr:twoCellAnchor editAs="oneCell">
    <xdr:from>
      <xdr:col>3</xdr:col>
      <xdr:colOff>0</xdr:colOff>
      <xdr:row>61</xdr:row>
      <xdr:rowOff>0</xdr:rowOff>
    </xdr:from>
    <xdr:to>
      <xdr:col>3</xdr:col>
      <xdr:colOff>2571750</xdr:colOff>
      <xdr:row>85</xdr:row>
      <xdr:rowOff>28575</xdr:rowOff>
    </xdr:to>
    <xdr:pic>
      <xdr:nvPicPr>
        <xdr:cNvPr id="18" name="圖片 17"/>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4486275" y="12146280"/>
          <a:ext cx="2571750" cy="4783455"/>
        </a:xfrm>
        <a:prstGeom prst="rect">
          <a:avLst/>
        </a:prstGeom>
      </xdr:spPr>
    </xdr:pic>
    <xdr:clientData/>
  </xdr:twoCellAnchor>
  <xdr:twoCellAnchor editAs="oneCell">
    <xdr:from>
      <xdr:col>7</xdr:col>
      <xdr:colOff>0</xdr:colOff>
      <xdr:row>40</xdr:row>
      <xdr:rowOff>0</xdr:rowOff>
    </xdr:from>
    <xdr:to>
      <xdr:col>12</xdr:col>
      <xdr:colOff>447675</xdr:colOff>
      <xdr:row>72</xdr:row>
      <xdr:rowOff>142875</xdr:rowOff>
    </xdr:to>
    <xdr:pic>
      <xdr:nvPicPr>
        <xdr:cNvPr id="19" name="圖片 18"/>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9782175" y="7924800"/>
          <a:ext cx="3876675" cy="6543675"/>
        </a:xfrm>
        <a:prstGeom prst="rect">
          <a:avLst/>
        </a:prstGeom>
      </xdr:spPr>
    </xdr:pic>
    <xdr:clientData/>
  </xdr:twoCellAnchor>
  <xdr:twoCellAnchor editAs="oneCell">
    <xdr:from>
      <xdr:col>0</xdr:col>
      <xdr:colOff>0</xdr:colOff>
      <xdr:row>46</xdr:row>
      <xdr:rowOff>0</xdr:rowOff>
    </xdr:from>
    <xdr:to>
      <xdr:col>1</xdr:col>
      <xdr:colOff>895350</xdr:colOff>
      <xdr:row>70</xdr:row>
      <xdr:rowOff>76200</xdr:rowOff>
    </xdr:to>
    <xdr:pic>
      <xdr:nvPicPr>
        <xdr:cNvPr id="20" name="圖片 19"/>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0" y="9174480"/>
          <a:ext cx="3238500" cy="4831080"/>
        </a:xfrm>
        <a:prstGeom prst="rect">
          <a:avLst/>
        </a:prstGeom>
      </xdr:spPr>
    </xdr:pic>
    <xdr:clientData/>
  </xdr:twoCellAnchor>
  <xdr:twoCellAnchor editAs="oneCell">
    <xdr:from>
      <xdr:col>4</xdr:col>
      <xdr:colOff>0</xdr:colOff>
      <xdr:row>29</xdr:row>
      <xdr:rowOff>0</xdr:rowOff>
    </xdr:from>
    <xdr:to>
      <xdr:col>9</xdr:col>
      <xdr:colOff>581025</xdr:colOff>
      <xdr:row>38</xdr:row>
      <xdr:rowOff>152400</xdr:rowOff>
    </xdr:to>
    <xdr:pic>
      <xdr:nvPicPr>
        <xdr:cNvPr id="21" name="圖片 20"/>
        <xdr:cNvPicPr>
          <a:picLocks noChangeAspect="1"/>
        </xdr:cNvPicPr>
      </xdr:nvPicPr>
      <xdr:blipFill>
        <a:blip r:embed="rId8" cstate="print">
          <a:extLst>
            <a:ext uri="{28A0092B-C50C-407E-A947-70E740481C1C}">
              <a14:useLocalDpi xmlns:a14="http://schemas.microsoft.com/office/drawing/2010/main" val="0"/>
            </a:ext>
          </a:extLst>
        </a:blip>
        <a:stretch>
          <a:fillRect/>
        </a:stretch>
      </xdr:blipFill>
      <xdr:spPr>
        <a:xfrm>
          <a:off x="7153275" y="5745480"/>
          <a:ext cx="4581525" cy="1935480"/>
        </a:xfrm>
        <a:prstGeom prst="rect">
          <a:avLst/>
        </a:prstGeom>
      </xdr:spPr>
    </xdr:pic>
    <xdr:clientData/>
  </xdr:twoCellAnchor>
  <xdr:twoCellAnchor editAs="oneCell">
    <xdr:from>
      <xdr:col>4</xdr:col>
      <xdr:colOff>866775</xdr:colOff>
      <xdr:row>17</xdr:row>
      <xdr:rowOff>161925</xdr:rowOff>
    </xdr:from>
    <xdr:to>
      <xdr:col>9</xdr:col>
      <xdr:colOff>590550</xdr:colOff>
      <xdr:row>24</xdr:row>
      <xdr:rowOff>47625</xdr:rowOff>
    </xdr:to>
    <xdr:pic>
      <xdr:nvPicPr>
        <xdr:cNvPr id="22" name="圖片 21"/>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8020050" y="3529965"/>
          <a:ext cx="3724275" cy="1272540"/>
        </a:xfrm>
        <a:prstGeom prst="rect">
          <a:avLst/>
        </a:prstGeom>
      </xdr:spPr>
    </xdr:pic>
    <xdr:clientData/>
  </xdr:twoCellAnchor>
  <xdr:twoCellAnchor editAs="oneCell">
    <xdr:from>
      <xdr:col>0</xdr:col>
      <xdr:colOff>0</xdr:colOff>
      <xdr:row>71</xdr:row>
      <xdr:rowOff>0</xdr:rowOff>
    </xdr:from>
    <xdr:to>
      <xdr:col>1</xdr:col>
      <xdr:colOff>590550</xdr:colOff>
      <xdr:row>87</xdr:row>
      <xdr:rowOff>171450</xdr:rowOff>
    </xdr:to>
    <xdr:pic>
      <xdr:nvPicPr>
        <xdr:cNvPr id="23" name="圖片 22"/>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0" y="14127480"/>
          <a:ext cx="2933700" cy="3341370"/>
        </a:xfrm>
        <a:prstGeom prst="rect">
          <a:avLst/>
        </a:prstGeom>
      </xdr:spPr>
    </xdr:pic>
    <xdr:clientData/>
  </xdr:twoCellAnchor>
  <xdr:twoCellAnchor editAs="oneCell">
    <xdr:from>
      <xdr:col>7</xdr:col>
      <xdr:colOff>0</xdr:colOff>
      <xdr:row>73</xdr:row>
      <xdr:rowOff>0</xdr:rowOff>
    </xdr:from>
    <xdr:to>
      <xdr:col>14</xdr:col>
      <xdr:colOff>209550</xdr:colOff>
      <xdr:row>105</xdr:row>
      <xdr:rowOff>161925</xdr:rowOff>
    </xdr:to>
    <xdr:pic>
      <xdr:nvPicPr>
        <xdr:cNvPr id="24" name="圖片 23"/>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a:off x="9782175" y="14523720"/>
          <a:ext cx="5010150" cy="6501765"/>
        </a:xfrm>
        <a:prstGeom prst="rect">
          <a:avLst/>
        </a:prstGeom>
      </xdr:spPr>
    </xdr:pic>
    <xdr:clientData/>
  </xdr:twoCellAnchor>
  <xdr:twoCellAnchor editAs="oneCell">
    <xdr:from>
      <xdr:col>7</xdr:col>
      <xdr:colOff>0</xdr:colOff>
      <xdr:row>106</xdr:row>
      <xdr:rowOff>0</xdr:rowOff>
    </xdr:from>
    <xdr:to>
      <xdr:col>13</xdr:col>
      <xdr:colOff>609600</xdr:colOff>
      <xdr:row>136</xdr:row>
      <xdr:rowOff>133350</xdr:rowOff>
    </xdr:to>
    <xdr:pic>
      <xdr:nvPicPr>
        <xdr:cNvPr id="25" name="圖片 24"/>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a:off x="9782175" y="21061680"/>
          <a:ext cx="4724400" cy="6076950"/>
        </a:xfrm>
        <a:prstGeom prst="rect">
          <a:avLst/>
        </a:prstGeom>
      </xdr:spPr>
    </xdr:pic>
    <xdr:clientData/>
  </xdr:twoCellAnchor>
  <xdr:twoCellAnchor editAs="oneCell">
    <xdr:from>
      <xdr:col>0</xdr:col>
      <xdr:colOff>1</xdr:colOff>
      <xdr:row>106</xdr:row>
      <xdr:rowOff>0</xdr:rowOff>
    </xdr:from>
    <xdr:to>
      <xdr:col>7</xdr:col>
      <xdr:colOff>19050</xdr:colOff>
      <xdr:row>135</xdr:row>
      <xdr:rowOff>99190</xdr:rowOff>
    </xdr:to>
    <xdr:pic>
      <xdr:nvPicPr>
        <xdr:cNvPr id="26" name="圖片 25"/>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0" y="21061680"/>
          <a:ext cx="9801225" cy="5844540"/>
        </a:xfrm>
        <a:prstGeom prst="rect">
          <a:avLst/>
        </a:prstGeom>
      </xdr:spPr>
    </xdr:pic>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19050</xdr:colOff>
          <xdr:row>9</xdr:row>
          <xdr:rowOff>28575</xdr:rowOff>
        </xdr:from>
        <xdr:to>
          <xdr:col>1</xdr:col>
          <xdr:colOff>685800</xdr:colOff>
          <xdr:row>10</xdr:row>
          <xdr:rowOff>0</xdr:rowOff>
        </xdr:to>
        <xdr:sp>
          <xdr:nvSpPr>
            <xdr:cNvPr id="495617" name="Drop Down 1" hidden="1">
              <a:extLst>
                <a:ext uri="{63B3BB69-23CF-44E3-9099-C40C66FF867C}">
                  <a14:compatExt spid="_x0000_s495617"/>
                </a:ext>
              </a:extLst>
            </xdr:cNvPr>
            <xdr:cNvSpPr/>
          </xdr:nvSpPr>
          <xdr:spPr>
            <a:xfrm>
              <a:off x="1076325" y="2085975"/>
              <a:ext cx="666750" cy="200025"/>
            </a:xfrm>
            <a:prstGeom prst="rect">
              <a:avLst/>
            </a:prstGeom>
          </xdr:spPr>
        </xdr:sp>
        <xdr:clientData/>
      </xdr:twoCellAnchor>
    </mc:Choice>
    <mc:Fallback/>
  </mc:AlternateContent>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xdr:from>
      <xdr:col>5</xdr:col>
      <xdr:colOff>180340</xdr:colOff>
      <xdr:row>10</xdr:row>
      <xdr:rowOff>155575</xdr:rowOff>
    </xdr:from>
    <xdr:to>
      <xdr:col>10</xdr:col>
      <xdr:colOff>198120</xdr:colOff>
      <xdr:row>10</xdr:row>
      <xdr:rowOff>157480</xdr:rowOff>
    </xdr:to>
    <xdr:cxnSp>
      <xdr:nvCxnSpPr>
        <xdr:cNvPr id="2" name="直接箭头连接符 14"/>
        <xdr:cNvCxnSpPr/>
      </xdr:nvCxnSpPr>
      <xdr:spPr>
        <a:xfrm rot="5400000" flipH="1" flipV="1">
          <a:off x="6584315" y="842010"/>
          <a:ext cx="1905" cy="311340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491491</xdr:colOff>
      <xdr:row>18</xdr:row>
      <xdr:rowOff>76201</xdr:rowOff>
    </xdr:from>
    <xdr:to>
      <xdr:col>15</xdr:col>
      <xdr:colOff>588654</xdr:colOff>
      <xdr:row>18</xdr:row>
      <xdr:rowOff>85725</xdr:rowOff>
    </xdr:to>
    <xdr:cxnSp>
      <xdr:nvCxnSpPr>
        <xdr:cNvPr id="3" name="直接箭头连接符 15"/>
        <xdr:cNvCxnSpPr/>
      </xdr:nvCxnSpPr>
      <xdr:spPr>
        <a:xfrm>
          <a:off x="6577965" y="3899535"/>
          <a:ext cx="5050155" cy="9525"/>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501015</xdr:colOff>
      <xdr:row>8</xdr:row>
      <xdr:rowOff>93346</xdr:rowOff>
    </xdr:from>
    <xdr:to>
      <xdr:col>8</xdr:col>
      <xdr:colOff>502920</xdr:colOff>
      <xdr:row>18</xdr:row>
      <xdr:rowOff>66676</xdr:rowOff>
    </xdr:to>
    <xdr:cxnSp>
      <xdr:nvCxnSpPr>
        <xdr:cNvPr id="4" name="直接连接符 16"/>
        <xdr:cNvCxnSpPr/>
      </xdr:nvCxnSpPr>
      <xdr:spPr>
        <a:xfrm rot="5400000" flipH="1" flipV="1">
          <a:off x="5918200" y="2599690"/>
          <a:ext cx="1959610" cy="621030"/>
        </a:xfrm>
        <a:prstGeom prst="line">
          <a:avLst/>
        </a:prstGeom>
        <a:ln w="28575">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521970</xdr:colOff>
      <xdr:row>8</xdr:row>
      <xdr:rowOff>93345</xdr:rowOff>
    </xdr:from>
    <xdr:to>
      <xdr:col>13</xdr:col>
      <xdr:colOff>512445</xdr:colOff>
      <xdr:row>8</xdr:row>
      <xdr:rowOff>97790</xdr:rowOff>
    </xdr:to>
    <xdr:cxnSp>
      <xdr:nvCxnSpPr>
        <xdr:cNvPr id="5" name="直接连接符 17"/>
        <xdr:cNvCxnSpPr/>
      </xdr:nvCxnSpPr>
      <xdr:spPr>
        <a:xfrm>
          <a:off x="7227570" y="1930400"/>
          <a:ext cx="3086100" cy="444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521971</xdr:colOff>
      <xdr:row>8</xdr:row>
      <xdr:rowOff>95249</xdr:rowOff>
    </xdr:from>
    <xdr:to>
      <xdr:col>14</xdr:col>
      <xdr:colOff>491491</xdr:colOff>
      <xdr:row>18</xdr:row>
      <xdr:rowOff>85724</xdr:rowOff>
    </xdr:to>
    <xdr:cxnSp>
      <xdr:nvCxnSpPr>
        <xdr:cNvPr id="6" name="直接连接符 18"/>
        <xdr:cNvCxnSpPr/>
      </xdr:nvCxnSpPr>
      <xdr:spPr>
        <a:xfrm rot="16200000" flipH="1">
          <a:off x="9629140" y="2625725"/>
          <a:ext cx="1976755" cy="588645"/>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502921</xdr:colOff>
      <xdr:row>8</xdr:row>
      <xdr:rowOff>121920</xdr:rowOff>
    </xdr:from>
    <xdr:to>
      <xdr:col>8</xdr:col>
      <xdr:colOff>512446</xdr:colOff>
      <xdr:row>18</xdr:row>
      <xdr:rowOff>112395</xdr:rowOff>
    </xdr:to>
    <xdr:cxnSp>
      <xdr:nvCxnSpPr>
        <xdr:cNvPr id="7" name="直接连接符 19"/>
        <xdr:cNvCxnSpPr/>
      </xdr:nvCxnSpPr>
      <xdr:spPr>
        <a:xfrm rot="5400000">
          <a:off x="6224905" y="2942590"/>
          <a:ext cx="1976755" cy="9525"/>
        </a:xfrm>
        <a:prstGeom prst="line">
          <a:avLst/>
        </a:prstGeom>
        <a:ln>
          <a:solidFill>
            <a:srgbClr val="FF000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502921</xdr:colOff>
      <xdr:row>8</xdr:row>
      <xdr:rowOff>112395</xdr:rowOff>
    </xdr:from>
    <xdr:to>
      <xdr:col>13</xdr:col>
      <xdr:colOff>512446</xdr:colOff>
      <xdr:row>18</xdr:row>
      <xdr:rowOff>95257</xdr:rowOff>
    </xdr:to>
    <xdr:cxnSp>
      <xdr:nvCxnSpPr>
        <xdr:cNvPr id="8" name="直接连接符 20"/>
        <xdr:cNvCxnSpPr/>
      </xdr:nvCxnSpPr>
      <xdr:spPr>
        <a:xfrm rot="5400000">
          <a:off x="9323705" y="2929255"/>
          <a:ext cx="1969770" cy="9525"/>
        </a:xfrm>
        <a:prstGeom prst="line">
          <a:avLst/>
        </a:prstGeom>
        <a:ln>
          <a:solidFill>
            <a:srgbClr val="FF000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219075</xdr:colOff>
      <xdr:row>3</xdr:row>
      <xdr:rowOff>0</xdr:rowOff>
    </xdr:from>
    <xdr:to>
      <xdr:col>7</xdr:col>
      <xdr:colOff>491541</xdr:colOff>
      <xdr:row>4</xdr:row>
      <xdr:rowOff>76200</xdr:rowOff>
    </xdr:to>
    <xdr:sp>
      <xdr:nvSpPr>
        <xdr:cNvPr id="9" name="矩形 21"/>
        <xdr:cNvSpPr/>
      </xdr:nvSpPr>
      <xdr:spPr>
        <a:xfrm>
          <a:off x="6305550" y="824230"/>
          <a:ext cx="272415" cy="2787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V</a:t>
          </a:r>
          <a:endParaRPr lang="zh-CN" altLang="en-US" sz="2800">
            <a:solidFill>
              <a:srgbClr val="FF0000"/>
            </a:solidFill>
          </a:endParaRPr>
        </a:p>
      </xdr:txBody>
    </xdr:sp>
    <xdr:clientData/>
  </xdr:twoCellAnchor>
  <xdr:twoCellAnchor>
    <xdr:from>
      <xdr:col>15</xdr:col>
      <xdr:colOff>304800</xdr:colOff>
      <xdr:row>18</xdr:row>
      <xdr:rowOff>171450</xdr:rowOff>
    </xdr:from>
    <xdr:to>
      <xdr:col>15</xdr:col>
      <xdr:colOff>531495</xdr:colOff>
      <xdr:row>20</xdr:row>
      <xdr:rowOff>49530</xdr:rowOff>
    </xdr:to>
    <xdr:sp>
      <xdr:nvSpPr>
        <xdr:cNvPr id="10" name="矩形 22"/>
        <xdr:cNvSpPr/>
      </xdr:nvSpPr>
      <xdr:spPr>
        <a:xfrm>
          <a:off x="11344275" y="3994785"/>
          <a:ext cx="226695" cy="2438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a:t>
          </a:r>
          <a:endParaRPr lang="zh-CN" altLang="en-US" sz="2800">
            <a:solidFill>
              <a:srgbClr val="FF0000"/>
            </a:solidFill>
          </a:endParaRPr>
        </a:p>
      </xdr:txBody>
    </xdr:sp>
    <xdr:clientData/>
  </xdr:twoCellAnchor>
  <xdr:twoCellAnchor>
    <xdr:from>
      <xdr:col>8</xdr:col>
      <xdr:colOff>257175</xdr:colOff>
      <xdr:row>18</xdr:row>
      <xdr:rowOff>131445</xdr:rowOff>
    </xdr:from>
    <xdr:to>
      <xdr:col>9</xdr:col>
      <xdr:colOff>125759</xdr:colOff>
      <xdr:row>20</xdr:row>
      <xdr:rowOff>9525</xdr:rowOff>
    </xdr:to>
    <xdr:sp>
      <xdr:nvSpPr>
        <xdr:cNvPr id="11" name="矩形 23"/>
        <xdr:cNvSpPr/>
      </xdr:nvSpPr>
      <xdr:spPr>
        <a:xfrm>
          <a:off x="6962775" y="3954780"/>
          <a:ext cx="487680" cy="2438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t1</a:t>
          </a:r>
          <a:endParaRPr lang="zh-CN" altLang="en-US" sz="2800">
            <a:solidFill>
              <a:srgbClr val="FF0000"/>
            </a:solidFill>
          </a:endParaRPr>
        </a:p>
      </xdr:txBody>
    </xdr:sp>
    <xdr:clientData/>
  </xdr:twoCellAnchor>
  <xdr:twoCellAnchor>
    <xdr:from>
      <xdr:col>13</xdr:col>
      <xdr:colOff>247650</xdr:colOff>
      <xdr:row>18</xdr:row>
      <xdr:rowOff>131445</xdr:rowOff>
    </xdr:from>
    <xdr:to>
      <xdr:col>14</xdr:col>
      <xdr:colOff>123825</xdr:colOff>
      <xdr:row>20</xdr:row>
      <xdr:rowOff>9525</xdr:rowOff>
    </xdr:to>
    <xdr:sp>
      <xdr:nvSpPr>
        <xdr:cNvPr id="12" name="矩形 24"/>
        <xdr:cNvSpPr/>
      </xdr:nvSpPr>
      <xdr:spPr>
        <a:xfrm>
          <a:off x="10048875" y="3954780"/>
          <a:ext cx="495300" cy="2438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t2</a:t>
          </a:r>
          <a:endParaRPr lang="zh-CN" altLang="en-US" sz="2800">
            <a:solidFill>
              <a:srgbClr val="FF0000"/>
            </a:solidFill>
          </a:endParaRPr>
        </a:p>
      </xdr:txBody>
    </xdr:sp>
    <xdr:clientData/>
  </xdr:twoCellAnchor>
  <xdr:twoCellAnchor>
    <xdr:from>
      <xdr:col>7</xdr:col>
      <xdr:colOff>0</xdr:colOff>
      <xdr:row>7</xdr:row>
      <xdr:rowOff>85725</xdr:rowOff>
    </xdr:from>
    <xdr:to>
      <xdr:col>8</xdr:col>
      <xdr:colOff>76200</xdr:colOff>
      <xdr:row>8</xdr:row>
      <xdr:rowOff>160020</xdr:rowOff>
    </xdr:to>
    <xdr:sp>
      <xdr:nvSpPr>
        <xdr:cNvPr id="13" name="矩形 25"/>
        <xdr:cNvSpPr/>
      </xdr:nvSpPr>
      <xdr:spPr>
        <a:xfrm>
          <a:off x="6086475" y="1720215"/>
          <a:ext cx="695325" cy="2768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V</a:t>
          </a:r>
          <a:r>
            <a:rPr lang="en-US" altLang="zh-CN" sz="1600">
              <a:solidFill>
                <a:srgbClr val="FF0000"/>
              </a:solidFill>
            </a:rPr>
            <a:t>t1</a:t>
          </a:r>
          <a:endParaRPr lang="zh-CN" altLang="en-US" sz="1600">
            <a:solidFill>
              <a:srgbClr val="FF0000"/>
            </a:solidFill>
          </a:endParaRPr>
        </a:p>
      </xdr:txBody>
    </xdr:sp>
    <xdr:clientData/>
  </xdr:twoCellAnchor>
  <xdr:twoCellAnchor>
    <xdr:from>
      <xdr:col>14</xdr:col>
      <xdr:colOff>163830</xdr:colOff>
      <xdr:row>6</xdr:row>
      <xdr:rowOff>188595</xdr:rowOff>
    </xdr:from>
    <xdr:to>
      <xdr:col>15</xdr:col>
      <xdr:colOff>47714</xdr:colOff>
      <xdr:row>8</xdr:row>
      <xdr:rowOff>66675</xdr:rowOff>
    </xdr:to>
    <xdr:sp>
      <xdr:nvSpPr>
        <xdr:cNvPr id="14" name="矩形 26"/>
        <xdr:cNvSpPr/>
      </xdr:nvSpPr>
      <xdr:spPr>
        <a:xfrm>
          <a:off x="10584180" y="1620520"/>
          <a:ext cx="502920" cy="2832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sz="2800">
              <a:solidFill>
                <a:srgbClr val="FF0000"/>
              </a:solidFill>
            </a:rPr>
            <a:t>S</a:t>
          </a:r>
          <a:endParaRPr lang="zh-CN" altLang="en-US" sz="2800">
            <a:solidFill>
              <a:srgbClr val="FF0000"/>
            </a:solidFill>
          </a:endParaRPr>
        </a:p>
      </xdr:txBody>
    </xdr:sp>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0</xdr:row>
      <xdr:rowOff>0</xdr:rowOff>
    </xdr:from>
    <xdr:to>
      <xdr:col>18</xdr:col>
      <xdr:colOff>608965</xdr:colOff>
      <xdr:row>11</xdr:row>
      <xdr:rowOff>27940</xdr:rowOff>
    </xdr:to>
    <xdr:pic>
      <xdr:nvPicPr>
        <xdr:cNvPr id="2" name="图片 1"/>
        <xdr:cNvPicPr>
          <a:picLocks noChangeAspect="1"/>
        </xdr:cNvPicPr>
      </xdr:nvPicPr>
      <xdr:blipFill>
        <a:blip r:embed="rId1"/>
        <a:stretch>
          <a:fillRect/>
        </a:stretch>
      </xdr:blipFill>
      <xdr:spPr>
        <a:xfrm>
          <a:off x="6238875" y="0"/>
          <a:ext cx="6781165" cy="1993900"/>
        </a:xfrm>
        <a:prstGeom prst="rect">
          <a:avLst/>
        </a:prstGeom>
      </xdr:spPr>
    </xdr:pic>
    <xdr:clientData/>
  </xdr:twoCellAnchor>
  <xdr:twoCellAnchor editAs="oneCell">
    <xdr:from>
      <xdr:col>9</xdr:col>
      <xdr:colOff>94615</xdr:colOff>
      <xdr:row>9</xdr:row>
      <xdr:rowOff>94615</xdr:rowOff>
    </xdr:from>
    <xdr:to>
      <xdr:col>17</xdr:col>
      <xdr:colOff>485140</xdr:colOff>
      <xdr:row>29</xdr:row>
      <xdr:rowOff>85725</xdr:rowOff>
    </xdr:to>
    <xdr:pic>
      <xdr:nvPicPr>
        <xdr:cNvPr id="3" name="图片 3"/>
        <xdr:cNvPicPr>
          <a:picLocks noChangeAspect="1"/>
        </xdr:cNvPicPr>
      </xdr:nvPicPr>
      <xdr:blipFill>
        <a:blip r:embed="rId2"/>
        <a:stretch>
          <a:fillRect/>
        </a:stretch>
      </xdr:blipFill>
      <xdr:spPr>
        <a:xfrm>
          <a:off x="6333490" y="1694815"/>
          <a:ext cx="5876925" cy="3557270"/>
        </a:xfrm>
        <a:prstGeom prst="rect">
          <a:avLst/>
        </a:prstGeom>
      </xdr:spPr>
    </xdr:pic>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26</xdr:row>
      <xdr:rowOff>0</xdr:rowOff>
    </xdr:from>
    <xdr:to>
      <xdr:col>7</xdr:col>
      <xdr:colOff>19050</xdr:colOff>
      <xdr:row>35</xdr:row>
      <xdr:rowOff>219075</xdr:rowOff>
    </xdr:to>
    <xdr:pic>
      <xdr:nvPicPr>
        <xdr:cNvPr id="2" name="圖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0" y="5943600"/>
          <a:ext cx="4876800" cy="2276475"/>
        </a:xfrm>
        <a:prstGeom prst="rect">
          <a:avLst/>
        </a:prstGeom>
      </xdr:spPr>
    </xdr:pic>
    <xdr:clientData/>
  </xdr:twoCellAnchor>
  <xdr:twoCellAnchor editAs="oneCell">
    <xdr:from>
      <xdr:col>0</xdr:col>
      <xdr:colOff>0</xdr:colOff>
      <xdr:row>20</xdr:row>
      <xdr:rowOff>0</xdr:rowOff>
    </xdr:from>
    <xdr:to>
      <xdr:col>8</xdr:col>
      <xdr:colOff>9525</xdr:colOff>
      <xdr:row>25</xdr:row>
      <xdr:rowOff>28575</xdr:rowOff>
    </xdr:to>
    <xdr:pic>
      <xdr:nvPicPr>
        <xdr:cNvPr id="4" name="圖片 3"/>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0" y="4572000"/>
          <a:ext cx="5553075" cy="1171575"/>
        </a:xfrm>
        <a:prstGeom prst="rect">
          <a:avLst/>
        </a:prstGeom>
      </xdr:spPr>
    </xdr:pic>
    <xdr:clientData/>
  </xdr:twoCellAnchor>
  <xdr:twoCellAnchor editAs="oneCell">
    <xdr:from>
      <xdr:col>0</xdr:col>
      <xdr:colOff>635</xdr:colOff>
      <xdr:row>6</xdr:row>
      <xdr:rowOff>0</xdr:rowOff>
    </xdr:from>
    <xdr:to>
      <xdr:col>9</xdr:col>
      <xdr:colOff>10160</xdr:colOff>
      <xdr:row>20</xdr:row>
      <xdr:rowOff>9525</xdr:rowOff>
    </xdr:to>
    <xdr:pic>
      <xdr:nvPicPr>
        <xdr:cNvPr id="5" name="圖片 4"/>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635" y="1371600"/>
          <a:ext cx="6238875" cy="3209925"/>
        </a:xfrm>
        <a:prstGeom prst="rect">
          <a:avLst/>
        </a:prstGeom>
      </xdr:spPr>
    </xdr:pic>
    <xdr:clientData/>
  </xdr:twoCellAnchor>
  <xdr:twoCellAnchor editAs="oneCell">
    <xdr:from>
      <xdr:col>0</xdr:col>
      <xdr:colOff>0</xdr:colOff>
      <xdr:row>38</xdr:row>
      <xdr:rowOff>0</xdr:rowOff>
    </xdr:from>
    <xdr:to>
      <xdr:col>7</xdr:col>
      <xdr:colOff>0</xdr:colOff>
      <xdr:row>41</xdr:row>
      <xdr:rowOff>209550</xdr:rowOff>
    </xdr:to>
    <xdr:pic>
      <xdr:nvPicPr>
        <xdr:cNvPr id="6" name="圖片 5"/>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0" y="8686800"/>
          <a:ext cx="4857750" cy="895350"/>
        </a:xfrm>
        <a:prstGeom prst="rect">
          <a:avLst/>
        </a:prstGeom>
      </xdr:spPr>
    </xdr:pic>
    <xdr:clientData/>
  </xdr:twoCellAnchor>
  <xdr:twoCellAnchor editAs="oneCell">
    <xdr:from>
      <xdr:col>0</xdr:col>
      <xdr:colOff>0</xdr:colOff>
      <xdr:row>42</xdr:row>
      <xdr:rowOff>142875</xdr:rowOff>
    </xdr:from>
    <xdr:to>
      <xdr:col>10</xdr:col>
      <xdr:colOff>9525</xdr:colOff>
      <xdr:row>52</xdr:row>
      <xdr:rowOff>133350</xdr:rowOff>
    </xdr:to>
    <xdr:pic>
      <xdr:nvPicPr>
        <xdr:cNvPr id="7" name="圖片 6"/>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0" y="9744075"/>
          <a:ext cx="6972300" cy="2276475"/>
        </a:xfrm>
        <a:prstGeom prst="rect">
          <a:avLst/>
        </a:prstGeom>
      </xdr:spPr>
    </xdr:pic>
    <xdr:clientData/>
  </xdr:twoCellAnchor>
  <xdr:twoCellAnchor editAs="oneCell">
    <xdr:from>
      <xdr:col>0</xdr:col>
      <xdr:colOff>9525</xdr:colOff>
      <xdr:row>64</xdr:row>
      <xdr:rowOff>9525</xdr:rowOff>
    </xdr:from>
    <xdr:to>
      <xdr:col>9</xdr:col>
      <xdr:colOff>9525</xdr:colOff>
      <xdr:row>68</xdr:row>
      <xdr:rowOff>9525</xdr:rowOff>
    </xdr:to>
    <xdr:pic>
      <xdr:nvPicPr>
        <xdr:cNvPr id="8" name="圖片 7"/>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9525" y="14639925"/>
          <a:ext cx="6229350" cy="914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4-72&#39118;&#26426;&#36873;&#22411;&#36719;&#202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39118;&#26426;&#36873;&#22411;&#36719;&#2021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aaaaa168&#20010;&#30005;&#27668;&#35745;&#31639;EXCEL&#34920;&#26684;&#27719;&#24635;\&#30005;&#32518;&#12289;&#38459;&#25239;&#20540;&#12289;&#30701;&#36335;&#30005;&#27969;&#12289;&#30005;&#21387;&#38477;&#35745;&#31639;&#349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aaaaaa168&#20010;&#30005;&#27668;&#35745;&#31639;EXCEL&#34920;&#26684;&#27719;&#24635;\&#30382;&#24102;&#26426;&#36755;&#36865;&#26426;&#35745;&#31639;&#26041;&#27861;&#2084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风机性能表"/>
      <sheetName val="RGV功率计算"/>
      <sheetName val="步进电机惯量计算"/>
    </sheetNames>
    <sheetDataSet>
      <sheetData sheetId="0">
        <row r="1">
          <cell r="A1" t="str">
            <v>风机性能表</v>
          </cell>
        </row>
        <row r="9">
          <cell r="D9">
            <v>0.82</v>
          </cell>
          <cell r="E9">
            <v>4194.43142127359</v>
          </cell>
          <cell r="F9">
            <v>72141.2811934986</v>
          </cell>
        </row>
        <row r="10">
          <cell r="D10">
            <v>0.85</v>
          </cell>
          <cell r="E10">
            <v>4138.20358868613</v>
          </cell>
          <cell r="F10">
            <v>78472.8298088854</v>
          </cell>
        </row>
        <row r="11">
          <cell r="D11">
            <v>0.88</v>
          </cell>
          <cell r="E11">
            <v>3969.64852975673</v>
          </cell>
          <cell r="F11">
            <v>85610.2118844124</v>
          </cell>
        </row>
        <row r="12">
          <cell r="D12">
            <v>0.89</v>
          </cell>
          <cell r="E12">
            <v>3773.24432052632</v>
          </cell>
          <cell r="F12">
            <v>91327.7921492163</v>
          </cell>
        </row>
        <row r="13">
          <cell r="D13">
            <v>0.87</v>
          </cell>
          <cell r="E13">
            <v>3558.43541973141</v>
          </cell>
          <cell r="F13">
            <v>97659.3407646031</v>
          </cell>
        </row>
        <row r="14">
          <cell r="D14">
            <v>0.83</v>
          </cell>
          <cell r="E14">
            <v>3314.1224485095</v>
          </cell>
          <cell r="F14">
            <v>103990.88937999</v>
          </cell>
        </row>
        <row r="15">
          <cell r="D15" t="str">
            <v/>
          </cell>
        </row>
        <row r="15">
          <cell r="F15" t="str">
            <v/>
          </cell>
        </row>
        <row r="16">
          <cell r="D16" t="str">
            <v/>
          </cell>
        </row>
        <row r="16">
          <cell r="F16" t="str">
            <v/>
          </cell>
        </row>
      </sheetData>
      <sheetData sheetId="1" refreshError="1"/>
      <sheetData sheetId="2"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参数"/>
      <sheetName val="数据库"/>
      <sheetName val="Sheet3"/>
    </sheetNames>
    <sheetDataSet>
      <sheetData sheetId="0" refreshError="1"/>
      <sheetData sheetId="1" refreshError="1">
        <row r="1">
          <cell r="A1" t="str">
            <v>10-14</v>
          </cell>
          <cell r="B1">
            <v>0.015299499</v>
          </cell>
          <cell r="C1">
            <v>0.019700565</v>
          </cell>
          <cell r="D1">
            <v>0.024261765</v>
          </cell>
          <cell r="E1">
            <v>0.028598778</v>
          </cell>
          <cell r="F1">
            <v>0.034400871</v>
          </cell>
          <cell r="G1">
            <v>0.039999158</v>
          </cell>
          <cell r="H1">
            <v>0.045700512</v>
          </cell>
        </row>
        <row r="1">
          <cell r="K1">
            <v>0.888178</v>
          </cell>
          <cell r="L1">
            <v>0.927167</v>
          </cell>
          <cell r="M1">
            <v>0.935195</v>
          </cell>
          <cell r="N1">
            <v>0.947183</v>
          </cell>
          <cell r="O1">
            <v>0.951179</v>
          </cell>
          <cell r="P1">
            <v>0.935195</v>
          </cell>
          <cell r="Q1">
            <v>0.91219</v>
          </cell>
        </row>
        <row r="1">
          <cell r="U1">
            <v>73.9</v>
          </cell>
          <cell r="V1">
            <v>78.4</v>
          </cell>
          <cell r="W1">
            <v>81</v>
          </cell>
          <cell r="X1">
            <v>82</v>
          </cell>
          <cell r="Y1">
            <v>80.4</v>
          </cell>
          <cell r="Z1">
            <v>77.5</v>
          </cell>
          <cell r="AA1">
            <v>73.9</v>
          </cell>
          <cell r="AB1">
            <v>80</v>
          </cell>
        </row>
        <row r="2">
          <cell r="A2" t="str">
            <v>10-18</v>
          </cell>
          <cell r="B2">
            <v>0.030999624</v>
          </cell>
          <cell r="C2">
            <v>0.036399926</v>
          </cell>
          <cell r="D2">
            <v>0.041799647</v>
          </cell>
          <cell r="E2">
            <v>0.047199949</v>
          </cell>
          <cell r="F2">
            <v>0.05259967</v>
          </cell>
          <cell r="G2">
            <v>0.057999972</v>
          </cell>
          <cell r="H2">
            <v>0.063399693</v>
          </cell>
          <cell r="I2">
            <v>0.068797</v>
          </cell>
        </row>
        <row r="2">
          <cell r="K2">
            <v>0.979188</v>
          </cell>
          <cell r="L2">
            <v>0.9841923</v>
          </cell>
          <cell r="M2">
            <v>0.9881884</v>
          </cell>
          <cell r="N2">
            <v>0.9841923</v>
          </cell>
          <cell r="O2">
            <v>0.9701879</v>
          </cell>
          <cell r="P2">
            <v>0.9461753</v>
          </cell>
          <cell r="Q2">
            <v>0.9131625</v>
          </cell>
          <cell r="R2">
            <v>0.875</v>
          </cell>
        </row>
        <row r="2">
          <cell r="U2">
            <v>69.1</v>
          </cell>
          <cell r="V2">
            <v>71.5</v>
          </cell>
          <cell r="W2">
            <v>73.3</v>
          </cell>
          <cell r="X2">
            <v>73.8</v>
          </cell>
          <cell r="Y2">
            <v>73.4</v>
          </cell>
          <cell r="Z2">
            <v>71.8</v>
          </cell>
          <cell r="AA2">
            <v>69.5</v>
          </cell>
          <cell r="AB2">
            <v>75.4</v>
          </cell>
        </row>
        <row r="3">
          <cell r="A3" t="str">
            <v>11-26</v>
          </cell>
          <cell r="B3">
            <v>0.075</v>
          </cell>
          <cell r="C3">
            <v>0.087</v>
          </cell>
          <cell r="D3">
            <v>0.1</v>
          </cell>
          <cell r="E3">
            <v>0.112</v>
          </cell>
          <cell r="F3">
            <v>0.126</v>
          </cell>
          <cell r="G3">
            <v>0.14</v>
          </cell>
          <cell r="H3">
            <v>0.153</v>
          </cell>
        </row>
        <row r="3">
          <cell r="K3">
            <v>0.97</v>
          </cell>
          <cell r="L3">
            <v>1.03</v>
          </cell>
          <cell r="M3">
            <v>1.07</v>
          </cell>
          <cell r="N3">
            <v>1.08</v>
          </cell>
          <cell r="O3">
            <v>1.06</v>
          </cell>
          <cell r="P3">
            <v>1.02</v>
          </cell>
          <cell r="Q3">
            <v>0.95</v>
          </cell>
        </row>
        <row r="3">
          <cell r="U3">
            <v>57</v>
          </cell>
          <cell r="V3">
            <v>60.5</v>
          </cell>
          <cell r="W3">
            <v>63</v>
          </cell>
          <cell r="X3">
            <v>64</v>
          </cell>
          <cell r="Y3">
            <v>63</v>
          </cell>
          <cell r="Z3">
            <v>60.5</v>
          </cell>
          <cell r="AA3">
            <v>57</v>
          </cell>
        </row>
        <row r="4">
          <cell r="A4" t="str">
            <v>11-30</v>
          </cell>
          <cell r="B4">
            <v>0.12</v>
          </cell>
          <cell r="C4">
            <v>0.132</v>
          </cell>
          <cell r="D4">
            <v>0.143</v>
          </cell>
          <cell r="E4">
            <v>0.155</v>
          </cell>
          <cell r="F4">
            <v>0.176</v>
          </cell>
          <cell r="G4">
            <v>0.197</v>
          </cell>
          <cell r="H4">
            <v>0.218</v>
          </cell>
        </row>
        <row r="4">
          <cell r="K4">
            <v>1.02</v>
          </cell>
          <cell r="L4">
            <v>1.09</v>
          </cell>
          <cell r="M4">
            <v>1.13</v>
          </cell>
          <cell r="N4">
            <v>1.14</v>
          </cell>
          <cell r="O4">
            <v>1.13</v>
          </cell>
          <cell r="P4">
            <v>1.09</v>
          </cell>
          <cell r="Q4">
            <v>1.03</v>
          </cell>
        </row>
        <row r="4">
          <cell r="U4">
            <v>62</v>
          </cell>
          <cell r="V4">
            <v>65</v>
          </cell>
          <cell r="W4">
            <v>66.5</v>
          </cell>
          <cell r="X4">
            <v>67</v>
          </cell>
          <cell r="Y4">
            <v>66.3</v>
          </cell>
          <cell r="Z4">
            <v>64</v>
          </cell>
          <cell r="AA4">
            <v>61</v>
          </cell>
        </row>
        <row r="5">
          <cell r="A5" t="str">
            <v>11-38</v>
          </cell>
          <cell r="B5">
            <v>0.177</v>
          </cell>
          <cell r="C5">
            <v>0.2</v>
          </cell>
          <cell r="D5">
            <v>0.227</v>
          </cell>
          <cell r="E5">
            <v>0.255</v>
          </cell>
          <cell r="F5">
            <v>0.283</v>
          </cell>
          <cell r="G5">
            <v>0.313</v>
          </cell>
          <cell r="H5">
            <v>0.337</v>
          </cell>
        </row>
        <row r="5">
          <cell r="K5">
            <v>1.02</v>
          </cell>
          <cell r="L5">
            <v>1.08</v>
          </cell>
          <cell r="M5">
            <v>1.12</v>
          </cell>
          <cell r="N5">
            <v>1.13</v>
          </cell>
          <cell r="O5">
            <v>1.12</v>
          </cell>
          <cell r="P5">
            <v>1.07</v>
          </cell>
          <cell r="Q5">
            <v>1.01</v>
          </cell>
        </row>
        <row r="5">
          <cell r="U5">
            <v>59.5</v>
          </cell>
          <cell r="V5">
            <v>62.4</v>
          </cell>
          <cell r="W5">
            <v>64.2</v>
          </cell>
          <cell r="X5">
            <v>65.2</v>
          </cell>
          <cell r="Y5">
            <v>64.2</v>
          </cell>
          <cell r="Z5">
            <v>62</v>
          </cell>
          <cell r="AA5">
            <v>59</v>
          </cell>
        </row>
        <row r="6">
          <cell r="A6" t="str">
            <v>14-46</v>
          </cell>
          <cell r="B6">
            <v>0.35</v>
          </cell>
          <cell r="C6">
            <v>0.42</v>
          </cell>
          <cell r="D6">
            <v>0.48</v>
          </cell>
          <cell r="E6">
            <v>0.55</v>
          </cell>
          <cell r="F6">
            <v>0.64</v>
          </cell>
          <cell r="G6">
            <v>0.72</v>
          </cell>
          <cell r="H6">
            <v>0.81</v>
          </cell>
        </row>
        <row r="6">
          <cell r="K6">
            <v>1.29</v>
          </cell>
          <cell r="L6">
            <v>1.36</v>
          </cell>
          <cell r="M6">
            <v>1.41</v>
          </cell>
          <cell r="N6">
            <v>1.45</v>
          </cell>
          <cell r="O6">
            <v>1.485</v>
          </cell>
          <cell r="P6">
            <v>1.49</v>
          </cell>
          <cell r="Q6">
            <v>1.465</v>
          </cell>
        </row>
        <row r="6">
          <cell r="U6">
            <v>67</v>
          </cell>
          <cell r="V6">
            <v>70</v>
          </cell>
          <cell r="W6">
            <v>71.4</v>
          </cell>
          <cell r="X6">
            <v>72</v>
          </cell>
          <cell r="Y6">
            <v>71</v>
          </cell>
          <cell r="Z6">
            <v>69.2</v>
          </cell>
          <cell r="AA6">
            <v>66</v>
          </cell>
        </row>
        <row r="7">
          <cell r="A7" t="str">
            <v>4-57</v>
          </cell>
          <cell r="B7">
            <v>0.103713878</v>
          </cell>
          <cell r="C7">
            <v>0.1145989</v>
          </cell>
          <cell r="D7">
            <v>0.125522389</v>
          </cell>
          <cell r="E7">
            <v>0.13640684</v>
          </cell>
          <cell r="F7">
            <v>0.147330318</v>
          </cell>
          <cell r="G7">
            <v>0.158215357</v>
          </cell>
          <cell r="H7">
            <v>0.169138829</v>
          </cell>
          <cell r="I7">
            <v>0.18</v>
          </cell>
          <cell r="J7">
            <v>0.191</v>
          </cell>
          <cell r="K7">
            <v>0.5118606</v>
          </cell>
          <cell r="L7">
            <v>0.5007003</v>
          </cell>
          <cell r="M7">
            <v>0.48954</v>
          </cell>
          <cell r="N7">
            <v>0.4796038</v>
          </cell>
          <cell r="O7">
            <v>0.4541512</v>
          </cell>
          <cell r="P7">
            <v>0.4243785</v>
          </cell>
          <cell r="Q7">
            <v>0.3896376</v>
          </cell>
          <cell r="R7">
            <v>0.37</v>
          </cell>
          <cell r="S7">
            <v>0.328</v>
          </cell>
        </row>
        <row r="7">
          <cell r="U7">
            <v>77.2</v>
          </cell>
          <cell r="V7">
            <v>79.5</v>
          </cell>
          <cell r="W7">
            <v>81</v>
          </cell>
          <cell r="X7">
            <v>82.5</v>
          </cell>
          <cell r="Y7">
            <v>83</v>
          </cell>
          <cell r="Z7">
            <v>82.5</v>
          </cell>
          <cell r="AA7">
            <v>81</v>
          </cell>
        </row>
        <row r="8">
          <cell r="A8" t="str">
            <v>4-60</v>
          </cell>
          <cell r="B8">
            <v>0.082149935</v>
          </cell>
          <cell r="C8">
            <v>0.098599487</v>
          </cell>
          <cell r="D8">
            <v>0.114999543</v>
          </cell>
          <cell r="E8">
            <v>0.125549757</v>
          </cell>
          <cell r="F8">
            <v>0.131449678</v>
          </cell>
          <cell r="G8">
            <v>0.147849735</v>
          </cell>
          <cell r="H8">
            <v>0.164299869</v>
          </cell>
          <cell r="I8">
            <v>0.18075</v>
          </cell>
        </row>
        <row r="8">
          <cell r="K8">
            <v>0.5415254</v>
          </cell>
          <cell r="L8">
            <v>0.527881</v>
          </cell>
          <cell r="M8">
            <v>0.5047324</v>
          </cell>
          <cell r="N8">
            <v>0.48666</v>
          </cell>
          <cell r="O8">
            <v>0.4693076</v>
          </cell>
          <cell r="P8">
            <v>0.4284426</v>
          </cell>
          <cell r="Q8">
            <v>0.3673171</v>
          </cell>
          <cell r="R8">
            <v>0.292</v>
          </cell>
        </row>
        <row r="8">
          <cell r="U8">
            <v>78</v>
          </cell>
          <cell r="V8">
            <v>81.8</v>
          </cell>
          <cell r="W8">
            <v>82.6</v>
          </cell>
          <cell r="X8">
            <v>83</v>
          </cell>
          <cell r="Y8">
            <v>82.7</v>
          </cell>
          <cell r="Z8">
            <v>82</v>
          </cell>
          <cell r="AA8">
            <v>76.5</v>
          </cell>
          <cell r="AB8">
            <v>55</v>
          </cell>
        </row>
        <row r="9">
          <cell r="A9" t="str">
            <v>4-68</v>
          </cell>
          <cell r="B9">
            <v>0.165</v>
          </cell>
          <cell r="C9">
            <v>0.184999671</v>
          </cell>
          <cell r="D9">
            <v>0.204999541</v>
          </cell>
          <cell r="E9">
            <v>0.225</v>
          </cell>
          <cell r="F9">
            <v>0.245</v>
          </cell>
          <cell r="G9">
            <v>0.265</v>
          </cell>
          <cell r="H9">
            <v>0.284999603</v>
          </cell>
          <cell r="I9">
            <v>0.285</v>
          </cell>
        </row>
        <row r="9">
          <cell r="K9">
            <v>0.4980723</v>
          </cell>
          <cell r="L9">
            <v>0.487092</v>
          </cell>
          <cell r="M9">
            <v>0.4720796</v>
          </cell>
          <cell r="N9">
            <v>0.4500831</v>
          </cell>
          <cell r="O9">
            <v>0.4220744</v>
          </cell>
          <cell r="P9">
            <v>0.3880536</v>
          </cell>
          <cell r="Q9">
            <v>0.3500726</v>
          </cell>
        </row>
        <row r="9">
          <cell r="U9">
            <v>87.6</v>
          </cell>
          <cell r="V9">
            <v>90.3</v>
          </cell>
          <cell r="W9">
            <v>92.2</v>
          </cell>
          <cell r="X9">
            <v>93</v>
          </cell>
          <cell r="Y9">
            <v>92</v>
          </cell>
          <cell r="Z9">
            <v>88.5</v>
          </cell>
          <cell r="AA9">
            <v>84.7</v>
          </cell>
        </row>
        <row r="10">
          <cell r="A10" t="str">
            <v>4-70</v>
          </cell>
          <cell r="B10">
            <v>0.15</v>
          </cell>
          <cell r="C10">
            <v>0.176</v>
          </cell>
          <cell r="D10">
            <v>0.203</v>
          </cell>
          <cell r="E10">
            <v>0.23</v>
          </cell>
          <cell r="F10">
            <v>0.252</v>
          </cell>
          <cell r="G10">
            <v>0.273</v>
          </cell>
          <cell r="H10">
            <v>0.295</v>
          </cell>
        </row>
        <row r="10">
          <cell r="K10">
            <v>0.475</v>
          </cell>
          <cell r="L10">
            <v>0.486</v>
          </cell>
          <cell r="M10">
            <v>0.47</v>
          </cell>
          <cell r="N10">
            <v>0.445</v>
          </cell>
          <cell r="O10">
            <v>0.415</v>
          </cell>
          <cell r="P10">
            <v>0.38</v>
          </cell>
          <cell r="Q10">
            <v>0.34</v>
          </cell>
        </row>
        <row r="10">
          <cell r="U10">
            <v>73</v>
          </cell>
          <cell r="V10">
            <v>77</v>
          </cell>
          <cell r="W10">
            <v>80</v>
          </cell>
          <cell r="X10">
            <v>81</v>
          </cell>
          <cell r="Y10">
            <v>80</v>
          </cell>
          <cell r="Z10">
            <v>77</v>
          </cell>
          <cell r="AA10">
            <v>73</v>
          </cell>
        </row>
        <row r="11">
          <cell r="A11" t="str">
            <v>4-72</v>
          </cell>
          <cell r="B11">
            <v>0.1884</v>
          </cell>
          <cell r="C11">
            <v>0.205099697</v>
          </cell>
          <cell r="D11">
            <v>0.221799641</v>
          </cell>
          <cell r="E11">
            <v>0.2361</v>
          </cell>
          <cell r="F11">
            <v>0.249999539</v>
          </cell>
          <cell r="G11">
            <v>0.263699444</v>
          </cell>
          <cell r="H11">
            <v>0.28</v>
          </cell>
        </row>
        <row r="11">
          <cell r="K11">
            <v>0.463275</v>
          </cell>
          <cell r="L11">
            <v>0.457083</v>
          </cell>
          <cell r="M11">
            <v>0.43865</v>
          </cell>
          <cell r="N11">
            <v>0.417192</v>
          </cell>
          <cell r="O11">
            <v>0.393719</v>
          </cell>
          <cell r="P11">
            <v>0.366213</v>
          </cell>
          <cell r="Q11">
            <v>0.338708</v>
          </cell>
        </row>
        <row r="11">
          <cell r="U11">
            <v>86.7</v>
          </cell>
          <cell r="V11">
            <v>88.7</v>
          </cell>
          <cell r="W11">
            <v>89</v>
          </cell>
          <cell r="X11">
            <v>88.2</v>
          </cell>
          <cell r="Y11">
            <v>86.6</v>
          </cell>
          <cell r="Z11">
            <v>84.2</v>
          </cell>
          <cell r="AA11">
            <v>82.2</v>
          </cell>
        </row>
        <row r="12">
          <cell r="A12" t="str">
            <v>4-73</v>
          </cell>
          <cell r="B12">
            <v>0.147</v>
          </cell>
          <cell r="C12">
            <v>0.166</v>
          </cell>
          <cell r="D12">
            <v>0.186</v>
          </cell>
          <cell r="E12">
            <v>0.205</v>
          </cell>
          <cell r="F12">
            <v>0.224</v>
          </cell>
          <cell r="G12">
            <v>0.24766</v>
          </cell>
          <cell r="H12">
            <v>0.263</v>
          </cell>
          <cell r="I12">
            <v>0.282</v>
          </cell>
        </row>
        <row r="12">
          <cell r="K12">
            <v>0.477532</v>
          </cell>
          <cell r="L12">
            <v>0.475516</v>
          </cell>
          <cell r="M12">
            <v>0.470331</v>
          </cell>
          <cell r="N12">
            <v>0.458091</v>
          </cell>
          <cell r="O12">
            <v>0.4366</v>
          </cell>
          <cell r="P12">
            <v>0.406968</v>
          </cell>
          <cell r="Q12">
            <v>0.365205</v>
          </cell>
          <cell r="R12">
            <v>0.315</v>
          </cell>
        </row>
        <row r="12">
          <cell r="U12">
            <v>79.4</v>
          </cell>
          <cell r="V12">
            <v>83.2</v>
          </cell>
          <cell r="W12">
            <v>85.7</v>
          </cell>
          <cell r="X12">
            <v>87</v>
          </cell>
          <cell r="Y12">
            <v>86.8</v>
          </cell>
          <cell r="Z12">
            <v>85.6</v>
          </cell>
          <cell r="AA12">
            <v>82.8</v>
          </cell>
          <cell r="AB12">
            <v>79.96</v>
          </cell>
        </row>
        <row r="13">
          <cell r="A13" t="str">
            <v>4-73-13</v>
          </cell>
          <cell r="B13">
            <v>0.13452</v>
          </cell>
          <cell r="C13">
            <v>0.151653</v>
          </cell>
          <cell r="D13">
            <v>0.176147</v>
          </cell>
          <cell r="E13">
            <v>0.19349</v>
          </cell>
          <cell r="F13">
            <v>0.209996</v>
          </cell>
          <cell r="G13">
            <v>0.22792</v>
          </cell>
          <cell r="H13">
            <v>0.244869</v>
          </cell>
          <cell r="I13">
            <v>0.260368</v>
          </cell>
          <cell r="J13">
            <v>0.271851</v>
          </cell>
          <cell r="K13">
            <v>0.477676</v>
          </cell>
          <cell r="L13">
            <v>0.470763</v>
          </cell>
          <cell r="M13">
            <v>0.450458</v>
          </cell>
          <cell r="N13">
            <v>0.433753</v>
          </cell>
          <cell r="O13">
            <v>0.414024</v>
          </cell>
          <cell r="P13">
            <v>0.380614</v>
          </cell>
          <cell r="Q13">
            <v>0.349364</v>
          </cell>
          <cell r="R13">
            <v>0.32</v>
          </cell>
          <cell r="S13">
            <v>0.277</v>
          </cell>
        </row>
        <row r="13">
          <cell r="U13">
            <v>68.85</v>
          </cell>
          <cell r="V13">
            <v>70.71</v>
          </cell>
          <cell r="W13">
            <v>74.22</v>
          </cell>
          <cell r="X13">
            <v>76.26</v>
          </cell>
          <cell r="Y13">
            <v>77.78</v>
          </cell>
          <cell r="Z13">
            <v>77.78</v>
          </cell>
          <cell r="AA13">
            <v>76.83</v>
          </cell>
        </row>
        <row r="14">
          <cell r="A14" t="str">
            <v>4-73-15</v>
          </cell>
          <cell r="B14">
            <v>0.129455</v>
          </cell>
          <cell r="C14">
            <v>0.152156</v>
          </cell>
          <cell r="D14">
            <v>0.171638</v>
          </cell>
          <cell r="E14">
            <v>0.192247</v>
          </cell>
          <cell r="F14">
            <v>0.213988</v>
          </cell>
          <cell r="G14">
            <v>0.233065</v>
          </cell>
          <cell r="H14">
            <v>0.26287</v>
          </cell>
          <cell r="I14">
            <v>0.275149</v>
          </cell>
        </row>
        <row r="14">
          <cell r="K14">
            <v>0.51843</v>
          </cell>
          <cell r="L14">
            <v>0.501293</v>
          </cell>
          <cell r="M14">
            <v>0.490493</v>
          </cell>
          <cell r="N14">
            <v>0.470619</v>
          </cell>
          <cell r="O14">
            <v>0.433609</v>
          </cell>
          <cell r="P14">
            <v>0.395447</v>
          </cell>
          <cell r="Q14">
            <v>0.331939</v>
          </cell>
          <cell r="R14">
            <v>0.274</v>
          </cell>
        </row>
        <row r="14">
          <cell r="U14">
            <v>67.3</v>
          </cell>
          <cell r="V14">
            <v>70.72</v>
          </cell>
          <cell r="W14">
            <v>74.44</v>
          </cell>
          <cell r="X14">
            <v>77.35</v>
          </cell>
          <cell r="Y14">
            <v>77.89</v>
          </cell>
          <cell r="Z14">
            <v>76.97</v>
          </cell>
          <cell r="AA14">
            <v>71.67</v>
          </cell>
        </row>
        <row r="15">
          <cell r="A15" t="str">
            <v>4-73-18</v>
          </cell>
          <cell r="B15">
            <v>0.157364</v>
          </cell>
          <cell r="C15">
            <v>0.169383</v>
          </cell>
          <cell r="D15">
            <v>0.180563</v>
          </cell>
          <cell r="E15">
            <v>0.194818</v>
          </cell>
          <cell r="F15">
            <v>0.207117</v>
          </cell>
          <cell r="G15">
            <v>0.232273</v>
          </cell>
          <cell r="H15">
            <v>0.25072</v>
          </cell>
          <cell r="I15">
            <v>0.2605</v>
          </cell>
          <cell r="J15">
            <v>0.276156</v>
          </cell>
          <cell r="K15">
            <v>0.463707</v>
          </cell>
          <cell r="L15">
            <v>0.462555</v>
          </cell>
          <cell r="M15">
            <v>0.44657</v>
          </cell>
          <cell r="N15">
            <v>0.432313</v>
          </cell>
          <cell r="O15">
            <v>0.41172</v>
          </cell>
          <cell r="P15">
            <v>0.367365</v>
          </cell>
          <cell r="Q15">
            <v>0.336692</v>
          </cell>
          <cell r="R15">
            <v>0.314</v>
          </cell>
          <cell r="S15">
            <v>0.28</v>
          </cell>
        </row>
        <row r="15">
          <cell r="U15">
            <v>78</v>
          </cell>
          <cell r="V15">
            <v>80.4</v>
          </cell>
          <cell r="W15">
            <v>81.2</v>
          </cell>
          <cell r="X15">
            <v>83</v>
          </cell>
          <cell r="Y15">
            <v>83</v>
          </cell>
          <cell r="Z15">
            <v>82.8</v>
          </cell>
          <cell r="AA15">
            <v>83.2</v>
          </cell>
        </row>
        <row r="16">
          <cell r="A16" t="str">
            <v>4-73D</v>
          </cell>
          <cell r="B16">
            <v>0.15373</v>
          </cell>
          <cell r="C16">
            <v>0.172364</v>
          </cell>
          <cell r="D16">
            <v>0.191464</v>
          </cell>
          <cell r="E16">
            <v>0.210564</v>
          </cell>
          <cell r="F16">
            <v>0.229664</v>
          </cell>
          <cell r="G16">
            <v>0.248298</v>
          </cell>
          <cell r="H16">
            <v>0.267398</v>
          </cell>
        </row>
        <row r="16">
          <cell r="K16">
            <v>0.468027</v>
          </cell>
          <cell r="L16">
            <v>0.468027</v>
          </cell>
          <cell r="M16">
            <v>0.463275</v>
          </cell>
          <cell r="N16">
            <v>0.452042</v>
          </cell>
          <cell r="O16">
            <v>0.434617</v>
          </cell>
          <cell r="P16">
            <v>0.406392</v>
          </cell>
          <cell r="Q16">
            <v>0.37039</v>
          </cell>
          <cell r="R16">
            <v>0.331</v>
          </cell>
        </row>
        <row r="16">
          <cell r="U16">
            <v>79.4</v>
          </cell>
          <cell r="V16">
            <v>83.2</v>
          </cell>
          <cell r="W16">
            <v>85.7</v>
          </cell>
          <cell r="X16">
            <v>87</v>
          </cell>
          <cell r="Y16">
            <v>86.8</v>
          </cell>
          <cell r="Z16">
            <v>85.6</v>
          </cell>
          <cell r="AA16">
            <v>82.8</v>
          </cell>
          <cell r="AB16">
            <v>62</v>
          </cell>
        </row>
        <row r="17">
          <cell r="A17" t="str">
            <v>4-73F</v>
          </cell>
          <cell r="B17">
            <v>0.139755</v>
          </cell>
          <cell r="C17">
            <v>0.169569</v>
          </cell>
          <cell r="D17">
            <v>0.199384</v>
          </cell>
          <cell r="E17">
            <v>0.229664</v>
          </cell>
          <cell r="F17">
            <v>0.259478</v>
          </cell>
          <cell r="G17">
            <v>0.279</v>
          </cell>
          <cell r="H17">
            <v>0.299</v>
          </cell>
        </row>
        <row r="17">
          <cell r="K17">
            <v>0.460539</v>
          </cell>
          <cell r="L17">
            <v>0.443546</v>
          </cell>
          <cell r="M17">
            <v>0.41532</v>
          </cell>
          <cell r="N17">
            <v>0.365205</v>
          </cell>
          <cell r="O17">
            <v>0.304866</v>
          </cell>
          <cell r="P17">
            <v>0.275</v>
          </cell>
          <cell r="Q17">
            <v>0.245</v>
          </cell>
        </row>
        <row r="17">
          <cell r="U17">
            <v>78</v>
          </cell>
          <cell r="V17">
            <v>83</v>
          </cell>
          <cell r="W17">
            <v>85.5</v>
          </cell>
          <cell r="X17">
            <v>83</v>
          </cell>
          <cell r="Y17">
            <v>77</v>
          </cell>
          <cell r="Z17">
            <v>72</v>
          </cell>
          <cell r="AA17">
            <v>70</v>
          </cell>
          <cell r="AB17">
            <v>59.5</v>
          </cell>
        </row>
        <row r="18">
          <cell r="A18" t="str">
            <v>4-76</v>
          </cell>
          <cell r="B18">
            <v>0.147</v>
          </cell>
          <cell r="C18">
            <v>0.175</v>
          </cell>
          <cell r="D18">
            <v>0.205</v>
          </cell>
          <cell r="E18">
            <v>0.232</v>
          </cell>
          <cell r="F18">
            <v>0.254</v>
          </cell>
          <cell r="G18">
            <v>0.274</v>
          </cell>
          <cell r="H18">
            <v>0.295</v>
          </cell>
        </row>
        <row r="18">
          <cell r="K18">
            <v>0.46</v>
          </cell>
          <cell r="L18">
            <v>0.455</v>
          </cell>
          <cell r="M18">
            <v>0.44</v>
          </cell>
          <cell r="N18">
            <v>0.417</v>
          </cell>
          <cell r="O18">
            <v>0.39</v>
          </cell>
          <cell r="P18">
            <v>0.36</v>
          </cell>
          <cell r="Q18">
            <v>0.32</v>
          </cell>
        </row>
        <row r="18">
          <cell r="U18">
            <v>75</v>
          </cell>
          <cell r="V18">
            <v>79</v>
          </cell>
          <cell r="W18">
            <v>82.5</v>
          </cell>
          <cell r="X18">
            <v>84</v>
          </cell>
          <cell r="Y18">
            <v>83</v>
          </cell>
          <cell r="Z18">
            <v>80</v>
          </cell>
          <cell r="AA18">
            <v>76</v>
          </cell>
        </row>
        <row r="19">
          <cell r="A19" t="str">
            <v>5-29</v>
          </cell>
          <cell r="B19">
            <v>0.034999</v>
          </cell>
          <cell r="C19">
            <v>0.039998</v>
          </cell>
          <cell r="D19">
            <v>0.044996</v>
          </cell>
          <cell r="E19">
            <v>0.05</v>
          </cell>
          <cell r="F19">
            <v>0.054998</v>
          </cell>
          <cell r="G19">
            <v>0.062498</v>
          </cell>
          <cell r="H19">
            <v>0.069999</v>
          </cell>
        </row>
        <row r="19">
          <cell r="K19">
            <v>0.602963</v>
          </cell>
          <cell r="L19">
            <v>0.591299</v>
          </cell>
          <cell r="M19">
            <v>0.574882</v>
          </cell>
          <cell r="N19">
            <v>0.554144</v>
          </cell>
          <cell r="O19">
            <v>0.528655</v>
          </cell>
          <cell r="P19">
            <v>0.485596</v>
          </cell>
          <cell r="Q19">
            <v>0.439946</v>
          </cell>
        </row>
        <row r="19">
          <cell r="U19">
            <v>79.5</v>
          </cell>
          <cell r="V19">
            <v>82</v>
          </cell>
          <cell r="W19">
            <v>83.5</v>
          </cell>
          <cell r="X19">
            <v>85</v>
          </cell>
          <cell r="Y19">
            <v>84</v>
          </cell>
          <cell r="Z19">
            <v>83</v>
          </cell>
          <cell r="AA19">
            <v>80</v>
          </cell>
        </row>
        <row r="20">
          <cell r="A20" t="str">
            <v>5-36</v>
          </cell>
          <cell r="B20">
            <v>0.0575</v>
          </cell>
          <cell r="C20">
            <v>0.062498</v>
          </cell>
          <cell r="D20">
            <v>0.067497</v>
          </cell>
          <cell r="E20">
            <v>0.072496</v>
          </cell>
          <cell r="F20">
            <v>0.077499</v>
          </cell>
          <cell r="G20">
            <v>0.082497</v>
          </cell>
          <cell r="H20">
            <v>0.087496</v>
          </cell>
        </row>
        <row r="20">
          <cell r="K20">
            <v>0.548816</v>
          </cell>
          <cell r="L20">
            <v>0.537727</v>
          </cell>
          <cell r="M20">
            <v>0.524767</v>
          </cell>
          <cell r="N20">
            <v>0.506478</v>
          </cell>
          <cell r="O20">
            <v>0.483724</v>
          </cell>
          <cell r="P20">
            <v>0.454923</v>
          </cell>
          <cell r="Q20">
            <v>0.426265</v>
          </cell>
        </row>
        <row r="20">
          <cell r="U20">
            <v>78.8</v>
          </cell>
          <cell r="V20">
            <v>80.5</v>
          </cell>
          <cell r="W20">
            <v>81.9</v>
          </cell>
          <cell r="X20">
            <v>82.7</v>
          </cell>
          <cell r="Y20">
            <v>82.1</v>
          </cell>
          <cell r="Z20">
            <v>80.9</v>
          </cell>
          <cell r="AA20">
            <v>79.1</v>
          </cell>
        </row>
        <row r="21">
          <cell r="A21" t="str">
            <v>5-44</v>
          </cell>
          <cell r="B21">
            <v>0.066998</v>
          </cell>
          <cell r="C21">
            <v>0.075999</v>
          </cell>
          <cell r="D21">
            <v>0.086</v>
          </cell>
          <cell r="E21">
            <v>0.095</v>
          </cell>
          <cell r="F21">
            <v>0.104998</v>
          </cell>
          <cell r="G21">
            <v>0.113998</v>
          </cell>
          <cell r="H21">
            <v>0.124</v>
          </cell>
        </row>
        <row r="21">
          <cell r="K21">
            <v>0.565</v>
          </cell>
          <cell r="L21">
            <v>0.546</v>
          </cell>
          <cell r="M21">
            <v>0.523</v>
          </cell>
          <cell r="N21">
            <v>0.493</v>
          </cell>
          <cell r="O21">
            <v>0.449</v>
          </cell>
          <cell r="P21">
            <v>0.396</v>
          </cell>
          <cell r="Q21">
            <v>0.344</v>
          </cell>
        </row>
        <row r="21">
          <cell r="U21">
            <v>79.8</v>
          </cell>
          <cell r="V21">
            <v>82.8</v>
          </cell>
          <cell r="W21">
            <v>84.5</v>
          </cell>
          <cell r="X21">
            <v>85</v>
          </cell>
          <cell r="Y21">
            <v>82.4</v>
          </cell>
          <cell r="Z21">
            <v>79.1</v>
          </cell>
          <cell r="AA21">
            <v>74.1</v>
          </cell>
        </row>
        <row r="22">
          <cell r="A22" t="str">
            <v>5-47</v>
          </cell>
          <cell r="B22">
            <v>0.099878</v>
          </cell>
          <cell r="C22">
            <v>0.11199</v>
          </cell>
          <cell r="D22">
            <v>0.123916</v>
          </cell>
          <cell r="E22">
            <v>0.136</v>
          </cell>
          <cell r="F22">
            <v>0.147954</v>
          </cell>
          <cell r="G22">
            <v>0.15988</v>
          </cell>
          <cell r="H22">
            <v>0.171992</v>
          </cell>
          <cell r="I22">
            <v>0.183917</v>
          </cell>
        </row>
        <row r="22">
          <cell r="K22">
            <v>0.584818</v>
          </cell>
          <cell r="L22">
            <v>0.584818</v>
          </cell>
          <cell r="M22">
            <v>0.579634</v>
          </cell>
          <cell r="N22">
            <v>0.559473</v>
          </cell>
          <cell r="O22">
            <v>0.529087</v>
          </cell>
          <cell r="P22">
            <v>0.498557</v>
          </cell>
          <cell r="Q22">
            <v>0.463131</v>
          </cell>
          <cell r="R22">
            <v>0.4009</v>
          </cell>
        </row>
        <row r="22">
          <cell r="U22">
            <v>80</v>
          </cell>
          <cell r="V22">
            <v>85</v>
          </cell>
          <cell r="W22">
            <v>89</v>
          </cell>
          <cell r="X22">
            <v>90.5</v>
          </cell>
          <cell r="Y22">
            <v>90</v>
          </cell>
          <cell r="Z22">
            <v>89</v>
          </cell>
          <cell r="AA22">
            <v>86</v>
          </cell>
        </row>
        <row r="23">
          <cell r="A23" t="str">
            <v>5-47-12</v>
          </cell>
          <cell r="B23">
            <v>0.088</v>
          </cell>
          <cell r="C23">
            <v>0.098998</v>
          </cell>
          <cell r="D23">
            <v>0.11</v>
          </cell>
          <cell r="E23">
            <v>0.121</v>
          </cell>
          <cell r="F23">
            <v>0.133</v>
          </cell>
          <cell r="G23">
            <v>0.143999</v>
          </cell>
          <cell r="H23">
            <v>0.155</v>
          </cell>
          <cell r="I23">
            <v>0.166</v>
          </cell>
        </row>
        <row r="23">
          <cell r="K23">
            <v>0.566</v>
          </cell>
          <cell r="L23">
            <v>0.564</v>
          </cell>
          <cell r="M23">
            <v>0.555</v>
          </cell>
          <cell r="N23">
            <v>0.545</v>
          </cell>
          <cell r="O23">
            <v>0.529</v>
          </cell>
          <cell r="P23">
            <v>0.505</v>
          </cell>
          <cell r="Q23">
            <v>0.462</v>
          </cell>
          <cell r="R23">
            <v>0.412</v>
          </cell>
        </row>
        <row r="23">
          <cell r="U23">
            <v>75.4</v>
          </cell>
          <cell r="V23">
            <v>79</v>
          </cell>
          <cell r="W23">
            <v>81.4</v>
          </cell>
          <cell r="X23">
            <v>83.6</v>
          </cell>
          <cell r="Y23">
            <v>85</v>
          </cell>
          <cell r="Z23">
            <v>83.8</v>
          </cell>
          <cell r="AA23">
            <v>80.6</v>
          </cell>
          <cell r="AB23">
            <v>65.8</v>
          </cell>
        </row>
        <row r="24">
          <cell r="A24" t="str">
            <v>5-48</v>
          </cell>
          <cell r="B24">
            <v>0.0835</v>
          </cell>
          <cell r="C24">
            <v>0.0975</v>
          </cell>
          <cell r="D24">
            <v>0.1115</v>
          </cell>
          <cell r="E24">
            <v>0.1255</v>
          </cell>
          <cell r="F24">
            <v>0.1395</v>
          </cell>
          <cell r="G24">
            <v>0.1535</v>
          </cell>
          <cell r="H24">
            <v>0.1675</v>
          </cell>
        </row>
        <row r="24">
          <cell r="K24">
            <v>0.593459</v>
          </cell>
          <cell r="L24">
            <v>0.587266</v>
          </cell>
          <cell r="M24">
            <v>0.569841</v>
          </cell>
          <cell r="N24">
            <v>0.5432</v>
          </cell>
          <cell r="O24">
            <v>0.50619</v>
          </cell>
          <cell r="P24">
            <v>0.455067</v>
          </cell>
          <cell r="Q24">
            <v>0.391703</v>
          </cell>
        </row>
        <row r="24">
          <cell r="U24">
            <v>75.3</v>
          </cell>
          <cell r="V24">
            <v>79.4</v>
          </cell>
          <cell r="W24">
            <v>82.2</v>
          </cell>
          <cell r="X24">
            <v>83.5</v>
          </cell>
          <cell r="Y24">
            <v>82.9</v>
          </cell>
          <cell r="Z24">
            <v>80.3</v>
          </cell>
          <cell r="AA24">
            <v>75.3</v>
          </cell>
          <cell r="AB24">
            <v>67.6</v>
          </cell>
        </row>
        <row r="25">
          <cell r="A25" t="str">
            <v>5-49</v>
          </cell>
          <cell r="B25">
            <v>0.0806</v>
          </cell>
          <cell r="C25">
            <v>0.1121</v>
          </cell>
          <cell r="D25">
            <v>0.124</v>
          </cell>
          <cell r="E25">
            <v>0.134724</v>
          </cell>
          <cell r="F25">
            <v>0.145797</v>
          </cell>
          <cell r="G25">
            <v>0.151098</v>
          </cell>
          <cell r="H25">
            <v>0.164</v>
          </cell>
        </row>
        <row r="25">
          <cell r="K25">
            <v>0.572001</v>
          </cell>
          <cell r="L25">
            <v>0.517134</v>
          </cell>
          <cell r="M25">
            <v>0.490493</v>
          </cell>
          <cell r="N25">
            <v>0.460251</v>
          </cell>
          <cell r="O25">
            <v>0.425977</v>
          </cell>
          <cell r="P25">
            <v>0.410424</v>
          </cell>
          <cell r="Q25">
            <v>0.365205</v>
          </cell>
        </row>
        <row r="25">
          <cell r="U25">
            <v>81</v>
          </cell>
          <cell r="V25">
            <v>83</v>
          </cell>
          <cell r="W25">
            <v>83</v>
          </cell>
          <cell r="X25">
            <v>83</v>
          </cell>
          <cell r="Y25">
            <v>82</v>
          </cell>
          <cell r="Z25">
            <v>81</v>
          </cell>
          <cell r="AA25">
            <v>80</v>
          </cell>
        </row>
        <row r="26">
          <cell r="A26" t="str">
            <v>5-50</v>
          </cell>
          <cell r="B26">
            <v>0.099897</v>
          </cell>
          <cell r="C26">
            <v>0.119877</v>
          </cell>
          <cell r="D26">
            <v>0.134863</v>
          </cell>
          <cell r="E26">
            <v>0.149845</v>
          </cell>
          <cell r="F26">
            <v>0.164832</v>
          </cell>
          <cell r="G26">
            <v>0.179818</v>
          </cell>
          <cell r="H26">
            <v>0.189</v>
          </cell>
        </row>
        <row r="26">
          <cell r="K26">
            <v>0.549536</v>
          </cell>
          <cell r="L26">
            <v>0.529519</v>
          </cell>
          <cell r="M26">
            <v>0.499565</v>
          </cell>
          <cell r="N26">
            <v>0.469467</v>
          </cell>
          <cell r="O26">
            <v>0.439658</v>
          </cell>
          <cell r="P26">
            <v>0.40956</v>
          </cell>
          <cell r="Q26">
            <v>0.382054</v>
          </cell>
        </row>
        <row r="26">
          <cell r="U26">
            <v>79</v>
          </cell>
          <cell r="V26">
            <v>81.8</v>
          </cell>
          <cell r="W26">
            <v>82</v>
          </cell>
          <cell r="X26">
            <v>81</v>
          </cell>
          <cell r="Y26">
            <v>79</v>
          </cell>
          <cell r="Z26">
            <v>76</v>
          </cell>
          <cell r="AA26">
            <v>73</v>
          </cell>
        </row>
        <row r="27">
          <cell r="A27" t="str">
            <v>5-51</v>
          </cell>
          <cell r="B27">
            <v>0.09</v>
          </cell>
          <cell r="C27">
            <v>0.11</v>
          </cell>
          <cell r="D27">
            <v>0.13</v>
          </cell>
          <cell r="E27">
            <v>0.15</v>
          </cell>
          <cell r="F27">
            <v>0.17</v>
          </cell>
          <cell r="G27">
            <v>0.19</v>
          </cell>
          <cell r="H27">
            <v>0.21</v>
          </cell>
        </row>
        <row r="27">
          <cell r="K27">
            <v>0.57</v>
          </cell>
          <cell r="L27">
            <v>0.57</v>
          </cell>
          <cell r="M27">
            <v>0.55</v>
          </cell>
          <cell r="N27">
            <v>0.53</v>
          </cell>
          <cell r="O27">
            <v>0.49</v>
          </cell>
          <cell r="P27">
            <v>0.45</v>
          </cell>
          <cell r="Q27">
            <v>0.4</v>
          </cell>
        </row>
        <row r="27">
          <cell r="U27">
            <v>73</v>
          </cell>
          <cell r="V27">
            <v>79</v>
          </cell>
          <cell r="W27">
            <v>82</v>
          </cell>
          <cell r="X27">
            <v>84</v>
          </cell>
          <cell r="Y27">
            <v>82</v>
          </cell>
          <cell r="Z27">
            <v>79</v>
          </cell>
          <cell r="AA27">
            <v>74</v>
          </cell>
          <cell r="AB27">
            <v>76.4</v>
          </cell>
        </row>
        <row r="28">
          <cell r="A28" t="str">
            <v>5-51F</v>
          </cell>
          <cell r="B28">
            <v>0.09</v>
          </cell>
          <cell r="C28">
            <v>0.11</v>
          </cell>
          <cell r="D28">
            <v>0.13</v>
          </cell>
          <cell r="E28">
            <v>0.15</v>
          </cell>
          <cell r="F28">
            <v>0.17</v>
          </cell>
          <cell r="G28">
            <v>0.19</v>
          </cell>
          <cell r="H28">
            <v>0.21</v>
          </cell>
        </row>
        <row r="28">
          <cell r="K28">
            <v>0.565</v>
          </cell>
          <cell r="L28">
            <v>0.56</v>
          </cell>
          <cell r="M28">
            <v>0.54</v>
          </cell>
          <cell r="N28">
            <v>0.52</v>
          </cell>
          <cell r="O28">
            <v>0.48</v>
          </cell>
          <cell r="P28">
            <v>0.43</v>
          </cell>
          <cell r="Q28">
            <v>0.37</v>
          </cell>
        </row>
        <row r="28">
          <cell r="U28">
            <v>72</v>
          </cell>
          <cell r="V28">
            <v>77</v>
          </cell>
          <cell r="W28">
            <v>80</v>
          </cell>
          <cell r="X28">
            <v>81</v>
          </cell>
          <cell r="Y28">
            <v>80</v>
          </cell>
          <cell r="Z28">
            <v>77</v>
          </cell>
          <cell r="AA28">
            <v>72</v>
          </cell>
          <cell r="AB28">
            <v>76.4</v>
          </cell>
        </row>
        <row r="29">
          <cell r="A29" t="str">
            <v>5-52</v>
          </cell>
          <cell r="B29">
            <v>0.089997</v>
          </cell>
          <cell r="C29">
            <v>0.111399</v>
          </cell>
          <cell r="D29">
            <v>0.1371</v>
          </cell>
          <cell r="E29">
            <v>0.1628</v>
          </cell>
          <cell r="F29">
            <v>0.1885</v>
          </cell>
          <cell r="G29">
            <v>0.228</v>
          </cell>
          <cell r="H29">
            <v>0.2428</v>
          </cell>
        </row>
        <row r="29">
          <cell r="K29">
            <v>0.527647</v>
          </cell>
          <cell r="L29">
            <v>0.515694</v>
          </cell>
          <cell r="M29">
            <v>0.475084</v>
          </cell>
          <cell r="N29">
            <v>0.418632</v>
          </cell>
          <cell r="O29">
            <v>0.345044</v>
          </cell>
          <cell r="P29">
            <v>0.314946</v>
          </cell>
          <cell r="Q29">
            <v>0.275056</v>
          </cell>
        </row>
        <row r="29">
          <cell r="U29">
            <v>77.8</v>
          </cell>
          <cell r="V29">
            <v>84.8</v>
          </cell>
          <cell r="W29">
            <v>87.5</v>
          </cell>
          <cell r="X29">
            <v>85.5</v>
          </cell>
          <cell r="Y29">
            <v>78.4</v>
          </cell>
          <cell r="Z29">
            <v>73.4</v>
          </cell>
          <cell r="AA29">
            <v>71</v>
          </cell>
        </row>
        <row r="30">
          <cell r="A30" t="str">
            <v>5-53</v>
          </cell>
          <cell r="B30">
            <v>0.089997</v>
          </cell>
          <cell r="C30">
            <v>0.099999</v>
          </cell>
          <cell r="D30">
            <v>0.11</v>
          </cell>
          <cell r="E30">
            <v>0.122998</v>
          </cell>
          <cell r="F30">
            <v>0.139997</v>
          </cell>
          <cell r="G30">
            <v>0.145</v>
          </cell>
          <cell r="H30">
            <v>0.162</v>
          </cell>
        </row>
        <row r="30">
          <cell r="K30">
            <v>0.560769</v>
          </cell>
          <cell r="L30">
            <v>0.5504</v>
          </cell>
          <cell r="M30">
            <v>0.541328</v>
          </cell>
          <cell r="N30">
            <v>0.525343</v>
          </cell>
          <cell r="O30">
            <v>0.476236</v>
          </cell>
          <cell r="P30">
            <v>0.445418</v>
          </cell>
          <cell r="Q30">
            <v>0.411144</v>
          </cell>
        </row>
        <row r="30">
          <cell r="U30">
            <v>80</v>
          </cell>
          <cell r="V30">
            <v>82</v>
          </cell>
          <cell r="W30">
            <v>83.3</v>
          </cell>
          <cell r="X30">
            <v>84</v>
          </cell>
          <cell r="Y30">
            <v>83.5</v>
          </cell>
          <cell r="Z30">
            <v>81.5</v>
          </cell>
          <cell r="AA30">
            <v>79.5</v>
          </cell>
        </row>
        <row r="31">
          <cell r="A31" t="str">
            <v>6-20</v>
          </cell>
          <cell r="B31">
            <v>0.025</v>
          </cell>
          <cell r="C31">
            <v>0.029996</v>
          </cell>
          <cell r="D31">
            <v>0.034999</v>
          </cell>
          <cell r="E31">
            <v>0.039998</v>
          </cell>
          <cell r="F31">
            <v>0.044996</v>
          </cell>
          <cell r="G31">
            <v>0.05</v>
          </cell>
          <cell r="H31">
            <v>0.054998</v>
          </cell>
          <cell r="I31">
            <v>0.059997</v>
          </cell>
        </row>
        <row r="31">
          <cell r="K31">
            <v>0.691528</v>
          </cell>
          <cell r="L31">
            <v>0.686344</v>
          </cell>
          <cell r="M31">
            <v>0.670791</v>
          </cell>
          <cell r="N31">
            <v>0.660567</v>
          </cell>
          <cell r="O31">
            <v>0.634645</v>
          </cell>
          <cell r="P31">
            <v>0.609012</v>
          </cell>
          <cell r="Q31">
            <v>0.583234</v>
          </cell>
          <cell r="R31">
            <v>0.06</v>
          </cell>
        </row>
        <row r="31">
          <cell r="U31">
            <v>56</v>
          </cell>
          <cell r="V31">
            <v>59</v>
          </cell>
          <cell r="W31">
            <v>61</v>
          </cell>
          <cell r="X31">
            <v>61</v>
          </cell>
          <cell r="Y31">
            <v>60.2</v>
          </cell>
          <cell r="Z31">
            <v>59</v>
          </cell>
          <cell r="AA31">
            <v>57.1</v>
          </cell>
          <cell r="AB31">
            <v>66.5</v>
          </cell>
        </row>
        <row r="32">
          <cell r="A32" t="str">
            <v>6-23</v>
          </cell>
          <cell r="B32">
            <v>0.024993</v>
          </cell>
          <cell r="C32">
            <v>0.029381</v>
          </cell>
          <cell r="D32">
            <v>0.033709</v>
          </cell>
          <cell r="E32">
            <v>0.037184</v>
          </cell>
          <cell r="F32">
            <v>0.040622</v>
          </cell>
          <cell r="G32">
            <v>0.044354</v>
          </cell>
          <cell r="H32">
            <v>0.047507</v>
          </cell>
        </row>
        <row r="32">
          <cell r="K32">
            <v>0.599795</v>
          </cell>
          <cell r="L32">
            <v>0.58237</v>
          </cell>
          <cell r="M32">
            <v>0.57949</v>
          </cell>
          <cell r="N32">
            <v>0.533551</v>
          </cell>
          <cell r="O32">
            <v>0.503165</v>
          </cell>
          <cell r="P32">
            <v>0.47278</v>
          </cell>
          <cell r="Q32">
            <v>0.43865</v>
          </cell>
        </row>
        <row r="32">
          <cell r="U32">
            <v>40</v>
          </cell>
          <cell r="V32">
            <v>55</v>
          </cell>
          <cell r="W32">
            <v>61</v>
          </cell>
          <cell r="X32">
            <v>60</v>
          </cell>
          <cell r="Y32">
            <v>55</v>
          </cell>
          <cell r="Z32">
            <v>47.5</v>
          </cell>
          <cell r="AA32">
            <v>37.5</v>
          </cell>
          <cell r="AB32">
            <v>79</v>
          </cell>
          <cell r="AC32">
            <v>75</v>
          </cell>
        </row>
        <row r="33">
          <cell r="A33" t="str">
            <v>6-29</v>
          </cell>
          <cell r="B33">
            <v>0.038857</v>
          </cell>
          <cell r="C33">
            <v>0.042551</v>
          </cell>
          <cell r="D33">
            <v>0.047349</v>
          </cell>
          <cell r="E33">
            <v>0.054639</v>
          </cell>
          <cell r="F33">
            <v>0.05654</v>
          </cell>
          <cell r="G33">
            <v>0.060733</v>
          </cell>
          <cell r="H33">
            <v>0.066826</v>
          </cell>
          <cell r="I33">
            <v>0.070525</v>
          </cell>
        </row>
        <row r="33">
          <cell r="K33">
            <v>0.614916</v>
          </cell>
          <cell r="L33">
            <v>0.605555</v>
          </cell>
          <cell r="M33">
            <v>0.59029</v>
          </cell>
          <cell r="N33">
            <v>0.559041</v>
          </cell>
          <cell r="O33">
            <v>0.549824</v>
          </cell>
          <cell r="P33">
            <v>0.526639</v>
          </cell>
          <cell r="Q33">
            <v>0.492509</v>
          </cell>
          <cell r="R33">
            <v>0.471</v>
          </cell>
        </row>
        <row r="33">
          <cell r="U33">
            <v>73.7</v>
          </cell>
          <cell r="V33">
            <v>77.5</v>
          </cell>
          <cell r="W33">
            <v>79</v>
          </cell>
          <cell r="X33">
            <v>79.2</v>
          </cell>
          <cell r="Y33">
            <v>78.2</v>
          </cell>
          <cell r="Z33">
            <v>75.6</v>
          </cell>
          <cell r="AA33">
            <v>71.3</v>
          </cell>
          <cell r="AB33">
            <v>67.5</v>
          </cell>
        </row>
        <row r="34">
          <cell r="A34" t="str">
            <v>6-30</v>
          </cell>
          <cell r="B34">
            <v>0.030555</v>
          </cell>
          <cell r="C34">
            <v>0.035442</v>
          </cell>
          <cell r="D34">
            <v>0.04522</v>
          </cell>
          <cell r="E34">
            <v>0.056219</v>
          </cell>
          <cell r="F34">
            <v>0.065997</v>
          </cell>
          <cell r="G34">
            <v>0.070888</v>
          </cell>
          <cell r="H34">
            <v>0.08088</v>
          </cell>
        </row>
        <row r="34">
          <cell r="K34">
            <v>0.621</v>
          </cell>
          <cell r="L34">
            <v>0.613</v>
          </cell>
          <cell r="M34">
            <v>0.592</v>
          </cell>
          <cell r="N34">
            <v>0.563</v>
          </cell>
          <cell r="O34">
            <v>0.525</v>
          </cell>
          <cell r="P34">
            <v>0.484</v>
          </cell>
          <cell r="Q34">
            <v>0.444</v>
          </cell>
        </row>
        <row r="34">
          <cell r="U34">
            <v>78.5</v>
          </cell>
          <cell r="V34">
            <v>80.4</v>
          </cell>
          <cell r="W34">
            <v>82.7</v>
          </cell>
          <cell r="X34">
            <v>81.9</v>
          </cell>
          <cell r="Y34">
            <v>80</v>
          </cell>
          <cell r="Z34">
            <v>78.1</v>
          </cell>
          <cell r="AA34">
            <v>75.7</v>
          </cell>
        </row>
        <row r="35">
          <cell r="A35" t="str">
            <v>6-31</v>
          </cell>
          <cell r="B35">
            <v>0.04</v>
          </cell>
          <cell r="C35">
            <v>0.05</v>
          </cell>
          <cell r="D35">
            <v>0.06</v>
          </cell>
          <cell r="E35">
            <v>0.07</v>
          </cell>
          <cell r="F35">
            <v>0.08</v>
          </cell>
          <cell r="G35">
            <v>0.09</v>
          </cell>
          <cell r="H35">
            <v>0.095164</v>
          </cell>
        </row>
        <row r="35">
          <cell r="K35">
            <v>0.632917</v>
          </cell>
          <cell r="L35">
            <v>0.619092</v>
          </cell>
          <cell r="M35">
            <v>0.599363</v>
          </cell>
          <cell r="N35">
            <v>0.567825</v>
          </cell>
          <cell r="O35">
            <v>0.520302</v>
          </cell>
          <cell r="P35">
            <v>0.459099</v>
          </cell>
          <cell r="Q35">
            <v>0.423529</v>
          </cell>
        </row>
        <row r="35">
          <cell r="U35">
            <v>79.52</v>
          </cell>
          <cell r="V35">
            <v>81.22</v>
          </cell>
          <cell r="W35">
            <v>83.07</v>
          </cell>
          <cell r="X35">
            <v>84.03</v>
          </cell>
          <cell r="Y35">
            <v>83.7</v>
          </cell>
          <cell r="Z35">
            <v>82.88</v>
          </cell>
          <cell r="AA35">
            <v>81.34</v>
          </cell>
        </row>
        <row r="36">
          <cell r="A36" t="str">
            <v>6-40</v>
          </cell>
          <cell r="B36">
            <v>0.061</v>
          </cell>
          <cell r="C36">
            <v>0.07</v>
          </cell>
          <cell r="D36">
            <v>0.085493</v>
          </cell>
          <cell r="E36">
            <v>0.107476</v>
          </cell>
          <cell r="F36">
            <v>0.131677</v>
          </cell>
          <cell r="G36">
            <v>0.136792</v>
          </cell>
          <cell r="H36">
            <v>0.151448</v>
          </cell>
        </row>
        <row r="36">
          <cell r="K36">
            <v>0.59</v>
          </cell>
          <cell r="L36">
            <v>0.59</v>
          </cell>
          <cell r="M36">
            <v>0.578</v>
          </cell>
          <cell r="N36">
            <v>0.555</v>
          </cell>
          <cell r="O36">
            <v>0.516</v>
          </cell>
          <cell r="P36">
            <v>0.471</v>
          </cell>
          <cell r="Q36">
            <v>0.423</v>
          </cell>
        </row>
        <row r="36">
          <cell r="U36">
            <v>76</v>
          </cell>
          <cell r="V36">
            <v>80</v>
          </cell>
          <cell r="W36">
            <v>82.6</v>
          </cell>
          <cell r="X36">
            <v>83.6</v>
          </cell>
          <cell r="Y36">
            <v>82.7</v>
          </cell>
          <cell r="Z36">
            <v>81</v>
          </cell>
          <cell r="AA36">
            <v>79.8</v>
          </cell>
        </row>
        <row r="37">
          <cell r="A37" t="str">
            <v>6-46</v>
          </cell>
          <cell r="B37">
            <v>0.05</v>
          </cell>
          <cell r="C37">
            <v>0.099999</v>
          </cell>
          <cell r="D37">
            <v>0.15</v>
          </cell>
          <cell r="E37">
            <v>0.2</v>
          </cell>
          <cell r="F37">
            <v>0.25</v>
          </cell>
          <cell r="G37">
            <v>0.3</v>
          </cell>
          <cell r="H37">
            <v>0.35</v>
          </cell>
        </row>
        <row r="37">
          <cell r="K37">
            <v>0.645014</v>
          </cell>
          <cell r="L37">
            <v>0.650198</v>
          </cell>
          <cell r="M37">
            <v>0.647606</v>
          </cell>
          <cell r="N37">
            <v>0.637237</v>
          </cell>
          <cell r="O37">
            <v>0.583234</v>
          </cell>
          <cell r="P37">
            <v>0.48574</v>
          </cell>
          <cell r="Q37">
            <v>0.378454</v>
          </cell>
        </row>
        <row r="37">
          <cell r="U37">
            <v>78</v>
          </cell>
          <cell r="V37">
            <v>80</v>
          </cell>
          <cell r="W37">
            <v>81</v>
          </cell>
          <cell r="X37">
            <v>81</v>
          </cell>
          <cell r="Y37">
            <v>78</v>
          </cell>
          <cell r="Z37">
            <v>74</v>
          </cell>
          <cell r="AA37">
            <v>70</v>
          </cell>
        </row>
        <row r="38">
          <cell r="A38" t="str">
            <v>6-48</v>
          </cell>
          <cell r="B38">
            <v>0.099999</v>
          </cell>
          <cell r="C38">
            <v>0.124</v>
          </cell>
          <cell r="D38">
            <v>0.148997</v>
          </cell>
          <cell r="E38">
            <v>0.172998</v>
          </cell>
          <cell r="F38">
            <v>0.196998</v>
          </cell>
          <cell r="G38">
            <v>0.222</v>
          </cell>
          <cell r="H38">
            <v>0.246</v>
          </cell>
        </row>
        <row r="38">
          <cell r="K38">
            <v>0.626437</v>
          </cell>
          <cell r="L38">
            <v>0.612036</v>
          </cell>
          <cell r="M38">
            <v>0.582226</v>
          </cell>
          <cell r="N38">
            <v>0.547232</v>
          </cell>
          <cell r="O38">
            <v>0.510366</v>
          </cell>
          <cell r="P38">
            <v>0.468315</v>
          </cell>
          <cell r="Q38">
            <v>0.422377</v>
          </cell>
        </row>
        <row r="38">
          <cell r="U38">
            <v>74.2</v>
          </cell>
          <cell r="V38">
            <v>78.5</v>
          </cell>
          <cell r="W38">
            <v>82</v>
          </cell>
          <cell r="X38">
            <v>82</v>
          </cell>
          <cell r="Y38">
            <v>79</v>
          </cell>
          <cell r="Z38">
            <v>75.5</v>
          </cell>
          <cell r="AA38">
            <v>71</v>
          </cell>
        </row>
        <row r="39">
          <cell r="A39" t="str">
            <v>6-51</v>
          </cell>
          <cell r="B39">
            <v>0.1</v>
          </cell>
          <cell r="C39">
            <v>0.12</v>
          </cell>
          <cell r="D39">
            <v>0.14</v>
          </cell>
          <cell r="E39">
            <v>0.16</v>
          </cell>
          <cell r="F39">
            <v>0.18</v>
          </cell>
          <cell r="G39">
            <v>0.2</v>
          </cell>
          <cell r="H39">
            <v>0.22</v>
          </cell>
        </row>
        <row r="39">
          <cell r="K39">
            <v>0.62</v>
          </cell>
          <cell r="L39">
            <v>0.61</v>
          </cell>
          <cell r="M39">
            <v>0.59</v>
          </cell>
          <cell r="N39">
            <v>0.56</v>
          </cell>
          <cell r="O39">
            <v>0.53</v>
          </cell>
          <cell r="P39">
            <v>0.5</v>
          </cell>
          <cell r="Q39">
            <v>0.46</v>
          </cell>
        </row>
        <row r="39">
          <cell r="U39">
            <v>75</v>
          </cell>
          <cell r="V39">
            <v>78</v>
          </cell>
          <cell r="W39">
            <v>81</v>
          </cell>
          <cell r="X39">
            <v>83</v>
          </cell>
          <cell r="Y39">
            <v>82</v>
          </cell>
          <cell r="Z39">
            <v>80</v>
          </cell>
          <cell r="AA39">
            <v>77</v>
          </cell>
          <cell r="AB39">
            <v>73</v>
          </cell>
        </row>
        <row r="40">
          <cell r="A40" t="str">
            <v>6-51F</v>
          </cell>
          <cell r="B40">
            <v>0.09</v>
          </cell>
          <cell r="C40">
            <v>0.11</v>
          </cell>
          <cell r="D40">
            <v>0.13</v>
          </cell>
          <cell r="E40">
            <v>0.15</v>
          </cell>
          <cell r="F40">
            <v>0.17</v>
          </cell>
          <cell r="G40">
            <v>0.19</v>
          </cell>
          <cell r="H40">
            <v>0.21</v>
          </cell>
        </row>
        <row r="40">
          <cell r="K40">
            <v>0.61</v>
          </cell>
          <cell r="L40">
            <v>0.6</v>
          </cell>
          <cell r="M40">
            <v>0.58</v>
          </cell>
          <cell r="N40">
            <v>0.56</v>
          </cell>
          <cell r="O40">
            <v>0.53</v>
          </cell>
          <cell r="P40">
            <v>0.5</v>
          </cell>
          <cell r="Q40">
            <v>0.46</v>
          </cell>
        </row>
        <row r="40">
          <cell r="U40">
            <v>72</v>
          </cell>
          <cell r="V40">
            <v>76</v>
          </cell>
          <cell r="W40">
            <v>78</v>
          </cell>
          <cell r="X40">
            <v>80</v>
          </cell>
          <cell r="Y40">
            <v>79</v>
          </cell>
          <cell r="Z40">
            <v>77</v>
          </cell>
          <cell r="AA40">
            <v>74</v>
          </cell>
        </row>
        <row r="41">
          <cell r="A41" t="str">
            <v>6-52</v>
          </cell>
          <cell r="B41">
            <v>0.105</v>
          </cell>
          <cell r="C41">
            <v>0.12</v>
          </cell>
          <cell r="D41">
            <v>0.135</v>
          </cell>
          <cell r="E41">
            <v>0.15</v>
          </cell>
          <cell r="F41">
            <v>0.165</v>
          </cell>
          <cell r="G41">
            <v>0.18</v>
          </cell>
          <cell r="H41">
            <v>0.195</v>
          </cell>
        </row>
        <row r="41">
          <cell r="K41">
            <v>0.6</v>
          </cell>
          <cell r="L41">
            <v>0.592</v>
          </cell>
          <cell r="M41">
            <v>0.585</v>
          </cell>
          <cell r="N41">
            <v>0.571</v>
          </cell>
          <cell r="O41">
            <v>0.549</v>
          </cell>
          <cell r="P41">
            <v>0.514</v>
          </cell>
          <cell r="Q41">
            <v>0.467</v>
          </cell>
        </row>
        <row r="41">
          <cell r="U41">
            <v>74.5</v>
          </cell>
          <cell r="V41">
            <v>77.8</v>
          </cell>
          <cell r="W41">
            <v>80.2</v>
          </cell>
          <cell r="X41">
            <v>81.7</v>
          </cell>
          <cell r="Y41">
            <v>81.6</v>
          </cell>
          <cell r="Z41">
            <v>80</v>
          </cell>
          <cell r="AA41">
            <v>76.5</v>
          </cell>
        </row>
        <row r="42">
          <cell r="A42" t="str">
            <v>7-16</v>
          </cell>
          <cell r="B42">
            <v>0.012531</v>
          </cell>
          <cell r="C42">
            <v>0.0149</v>
          </cell>
          <cell r="D42">
            <v>0.017469</v>
          </cell>
          <cell r="E42">
            <v>0.02</v>
          </cell>
          <cell r="F42">
            <v>0.022547</v>
          </cell>
          <cell r="G42">
            <v>0.024923</v>
          </cell>
          <cell r="H42">
            <v>0.027485</v>
          </cell>
          <cell r="I42">
            <v>0.03</v>
          </cell>
        </row>
        <row r="42">
          <cell r="K42">
            <v>0.748988</v>
          </cell>
          <cell r="L42">
            <v>0.719178</v>
          </cell>
          <cell r="M42">
            <v>0.689224</v>
          </cell>
          <cell r="N42">
            <v>0.639253</v>
          </cell>
          <cell r="O42">
            <v>0.579634</v>
          </cell>
          <cell r="P42">
            <v>0.538735</v>
          </cell>
          <cell r="Q42">
            <v>0.479116</v>
          </cell>
          <cell r="R42">
            <v>0.479</v>
          </cell>
        </row>
        <row r="42">
          <cell r="U42">
            <v>65</v>
          </cell>
          <cell r="V42">
            <v>68</v>
          </cell>
          <cell r="W42">
            <v>71</v>
          </cell>
          <cell r="X42">
            <v>72</v>
          </cell>
          <cell r="Y42">
            <v>71</v>
          </cell>
          <cell r="Z42">
            <v>68</v>
          </cell>
          <cell r="AA42">
            <v>66</v>
          </cell>
        </row>
        <row r="43">
          <cell r="A43" t="str">
            <v>7-29</v>
          </cell>
          <cell r="B43">
            <v>0.040156</v>
          </cell>
          <cell r="C43">
            <v>0.05</v>
          </cell>
          <cell r="D43">
            <v>0.06</v>
          </cell>
          <cell r="E43">
            <v>0.067967</v>
          </cell>
          <cell r="F43">
            <v>0.0798893</v>
          </cell>
          <cell r="G43">
            <v>0.090608</v>
          </cell>
          <cell r="H43">
            <v>0.100624</v>
          </cell>
          <cell r="I43">
            <v>0.11087</v>
          </cell>
        </row>
        <row r="43">
          <cell r="K43">
            <v>0.71961</v>
          </cell>
          <cell r="L43">
            <v>0.734587</v>
          </cell>
          <cell r="M43">
            <v>0.739195</v>
          </cell>
          <cell r="N43">
            <v>0.729259</v>
          </cell>
          <cell r="O43">
            <v>0.71961</v>
          </cell>
          <cell r="P43">
            <v>0.700313</v>
          </cell>
          <cell r="Q43">
            <v>0.659847</v>
          </cell>
          <cell r="R43">
            <v>0.6444</v>
          </cell>
        </row>
        <row r="43">
          <cell r="U43">
            <v>61</v>
          </cell>
          <cell r="V43">
            <v>65.7</v>
          </cell>
          <cell r="W43">
            <v>68</v>
          </cell>
          <cell r="X43">
            <v>69</v>
          </cell>
          <cell r="Y43">
            <v>68.5</v>
          </cell>
          <cell r="Z43">
            <v>67</v>
          </cell>
          <cell r="AA43">
            <v>64</v>
          </cell>
          <cell r="AB43">
            <v>79.4</v>
          </cell>
        </row>
        <row r="44">
          <cell r="A44" t="str">
            <v>7-41</v>
          </cell>
          <cell r="B44">
            <v>0.10125</v>
          </cell>
          <cell r="C44">
            <v>0.1125</v>
          </cell>
          <cell r="D44">
            <v>0.12375</v>
          </cell>
          <cell r="E44">
            <v>0.135</v>
          </cell>
          <cell r="F44">
            <v>0.14625</v>
          </cell>
          <cell r="G44">
            <v>0.1575</v>
          </cell>
          <cell r="H44">
            <v>0.16875</v>
          </cell>
        </row>
        <row r="44">
          <cell r="K44">
            <v>0.712</v>
          </cell>
          <cell r="L44">
            <v>0.705</v>
          </cell>
          <cell r="M44">
            <v>0.6975</v>
          </cell>
          <cell r="N44">
            <v>0.685</v>
          </cell>
          <cell r="O44">
            <v>0.6675</v>
          </cell>
          <cell r="P44">
            <v>0.6425</v>
          </cell>
          <cell r="Q44">
            <v>0.6125</v>
          </cell>
        </row>
        <row r="44">
          <cell r="U44">
            <v>84</v>
          </cell>
          <cell r="V44">
            <v>85.4</v>
          </cell>
          <cell r="W44">
            <v>86.2</v>
          </cell>
          <cell r="X44">
            <v>86.5</v>
          </cell>
          <cell r="Y44">
            <v>85.9</v>
          </cell>
          <cell r="Z44">
            <v>84.7</v>
          </cell>
          <cell r="AA44">
            <v>81.8</v>
          </cell>
        </row>
        <row r="45">
          <cell r="A45" t="str">
            <v>8-09</v>
          </cell>
          <cell r="B45">
            <v>0.004999</v>
          </cell>
          <cell r="C45">
            <v>0.006997</v>
          </cell>
          <cell r="D45">
            <v>0.008996</v>
          </cell>
          <cell r="E45">
            <v>0.010999</v>
          </cell>
          <cell r="F45">
            <v>0.012997</v>
          </cell>
          <cell r="G45">
            <v>0.014996</v>
          </cell>
          <cell r="H45">
            <v>0.0169999</v>
          </cell>
          <cell r="I45">
            <v>0.018997</v>
          </cell>
        </row>
        <row r="45">
          <cell r="K45">
            <v>0.82272</v>
          </cell>
          <cell r="L45">
            <v>0.862178</v>
          </cell>
          <cell r="M45">
            <v>0.88738</v>
          </cell>
          <cell r="N45">
            <v>0.894436</v>
          </cell>
          <cell r="O45">
            <v>0.886804</v>
          </cell>
          <cell r="P45">
            <v>0.856058</v>
          </cell>
          <cell r="Q45">
            <v>0.831649</v>
          </cell>
          <cell r="R45">
            <v>0.7902</v>
          </cell>
        </row>
        <row r="45">
          <cell r="U45">
            <v>54</v>
          </cell>
          <cell r="V45">
            <v>63</v>
          </cell>
          <cell r="W45">
            <v>66.8</v>
          </cell>
          <cell r="X45">
            <v>68.3</v>
          </cell>
          <cell r="Y45">
            <v>65.8</v>
          </cell>
          <cell r="Z45">
            <v>62</v>
          </cell>
          <cell r="AA45">
            <v>59.5</v>
          </cell>
          <cell r="AB45">
            <v>73.78</v>
          </cell>
          <cell r="AC45">
            <v>67.78</v>
          </cell>
        </row>
        <row r="46">
          <cell r="A46" t="str">
            <v>8-18</v>
          </cell>
          <cell r="B46">
            <v>0.022496</v>
          </cell>
          <cell r="C46">
            <v>0.027597</v>
          </cell>
          <cell r="D46">
            <v>0.0326</v>
          </cell>
          <cell r="E46">
            <v>0.0371</v>
          </cell>
          <cell r="F46">
            <v>0.041046</v>
          </cell>
          <cell r="G46">
            <v>0.046599</v>
          </cell>
          <cell r="H46">
            <v>0.051197</v>
          </cell>
          <cell r="I46">
            <v>0.055897</v>
          </cell>
        </row>
        <row r="46">
          <cell r="K46">
            <v>0.770157</v>
          </cell>
          <cell r="L46">
            <v>0.809183</v>
          </cell>
          <cell r="M46">
            <v>0.82416</v>
          </cell>
          <cell r="N46">
            <v>0.8292</v>
          </cell>
          <cell r="O46">
            <v>0.8292</v>
          </cell>
          <cell r="P46">
            <v>0.809183</v>
          </cell>
          <cell r="Q46">
            <v>0.784126</v>
          </cell>
          <cell r="R46">
            <v>0.76507</v>
          </cell>
        </row>
        <row r="46">
          <cell r="U46">
            <v>60</v>
          </cell>
          <cell r="V46">
            <v>64</v>
          </cell>
          <cell r="W46">
            <v>65</v>
          </cell>
          <cell r="X46">
            <v>65</v>
          </cell>
          <cell r="Y46">
            <v>64</v>
          </cell>
          <cell r="Z46">
            <v>63</v>
          </cell>
          <cell r="AA46">
            <v>60</v>
          </cell>
          <cell r="AB46">
            <v>63.21</v>
          </cell>
        </row>
        <row r="47">
          <cell r="A47" t="str">
            <v>8-39</v>
          </cell>
          <cell r="B47">
            <v>0.118</v>
          </cell>
          <cell r="C47">
            <v>0.139997</v>
          </cell>
          <cell r="D47">
            <v>0.161999</v>
          </cell>
          <cell r="E47">
            <v>0.184</v>
          </cell>
          <cell r="F47">
            <v>0.205999</v>
          </cell>
          <cell r="G47">
            <v>0.228</v>
          </cell>
          <cell r="H47">
            <v>0.25</v>
          </cell>
        </row>
        <row r="47">
          <cell r="K47">
            <v>0.779517</v>
          </cell>
          <cell r="L47">
            <v>0.815952</v>
          </cell>
          <cell r="M47">
            <v>0.817968</v>
          </cell>
          <cell r="N47">
            <v>0.821136</v>
          </cell>
          <cell r="O47">
            <v>0.798239</v>
          </cell>
          <cell r="P47">
            <v>0.761948</v>
          </cell>
          <cell r="Q47">
            <v>0.717306</v>
          </cell>
        </row>
        <row r="47">
          <cell r="U47">
            <v>77</v>
          </cell>
          <cell r="V47">
            <v>82.4</v>
          </cell>
          <cell r="W47">
            <v>84.6</v>
          </cell>
          <cell r="X47">
            <v>84</v>
          </cell>
          <cell r="Y47">
            <v>82.1</v>
          </cell>
          <cell r="Z47">
            <v>79.6</v>
          </cell>
          <cell r="AA47">
            <v>76</v>
          </cell>
        </row>
        <row r="48">
          <cell r="A48" t="str">
            <v>9-12</v>
          </cell>
          <cell r="B48">
            <v>0.013398</v>
          </cell>
          <cell r="C48">
            <v>0.017097</v>
          </cell>
          <cell r="D48">
            <v>0.0208</v>
          </cell>
          <cell r="E48">
            <v>0.024499</v>
          </cell>
          <cell r="F48">
            <v>0.028198</v>
          </cell>
          <cell r="G48">
            <v>0.031929</v>
          </cell>
          <cell r="H48">
            <v>0.035628</v>
          </cell>
        </row>
        <row r="48">
          <cell r="K48">
            <v>0.885</v>
          </cell>
          <cell r="L48">
            <v>0.902</v>
          </cell>
          <cell r="M48">
            <v>0.924</v>
          </cell>
          <cell r="N48">
            <v>0.933</v>
          </cell>
          <cell r="O48">
            <v>0.924</v>
          </cell>
          <cell r="P48">
            <v>0.913</v>
          </cell>
          <cell r="Q48">
            <v>0.885</v>
          </cell>
        </row>
        <row r="48">
          <cell r="U48">
            <v>70</v>
          </cell>
          <cell r="V48">
            <v>74</v>
          </cell>
          <cell r="W48">
            <v>77</v>
          </cell>
          <cell r="X48">
            <v>78</v>
          </cell>
          <cell r="Y48">
            <v>78</v>
          </cell>
          <cell r="Z48">
            <v>76</v>
          </cell>
          <cell r="AA48">
            <v>74</v>
          </cell>
          <cell r="AB48">
            <v>81.5</v>
          </cell>
          <cell r="AC48">
            <v>77.9</v>
          </cell>
        </row>
        <row r="49">
          <cell r="A49" t="str">
            <v>9-16</v>
          </cell>
          <cell r="B49">
            <v>0.023199</v>
          </cell>
          <cell r="C49">
            <v>0.026996</v>
          </cell>
          <cell r="D49">
            <v>0.0309</v>
          </cell>
          <cell r="E49">
            <v>0.034696</v>
          </cell>
          <cell r="F49">
            <v>0.038498</v>
          </cell>
          <cell r="G49">
            <v>0.042499</v>
          </cell>
          <cell r="H49">
            <v>0.046296</v>
          </cell>
          <cell r="I49">
            <v>0.050097</v>
          </cell>
        </row>
        <row r="49">
          <cell r="K49">
            <v>0.848</v>
          </cell>
          <cell r="L49">
            <v>0.872</v>
          </cell>
          <cell r="M49">
            <v>0.879</v>
          </cell>
          <cell r="N49">
            <v>0.876</v>
          </cell>
          <cell r="O49">
            <v>0.863</v>
          </cell>
          <cell r="P49">
            <v>0.838</v>
          </cell>
          <cell r="Q49">
            <v>0.806</v>
          </cell>
          <cell r="R49">
            <v>0.711</v>
          </cell>
        </row>
        <row r="49">
          <cell r="U49">
            <v>69.2</v>
          </cell>
          <cell r="V49">
            <v>72.2</v>
          </cell>
          <cell r="W49">
            <v>73.2</v>
          </cell>
          <cell r="X49">
            <v>73</v>
          </cell>
          <cell r="Y49">
            <v>72.2</v>
          </cell>
          <cell r="Z49">
            <v>71</v>
          </cell>
          <cell r="AA49">
            <v>68.6</v>
          </cell>
          <cell r="AB49">
            <v>79.4</v>
          </cell>
        </row>
        <row r="50">
          <cell r="A50" t="str">
            <v>9-18</v>
          </cell>
          <cell r="B50">
            <v>0.029</v>
          </cell>
          <cell r="C50">
            <v>0.035</v>
          </cell>
          <cell r="D50">
            <v>0.041</v>
          </cell>
          <cell r="E50">
            <v>0.047</v>
          </cell>
          <cell r="F50">
            <v>0.053</v>
          </cell>
          <cell r="G50">
            <v>0.056</v>
          </cell>
          <cell r="H50">
            <v>0.065</v>
          </cell>
          <cell r="I50">
            <v>0.071</v>
          </cell>
        </row>
        <row r="50">
          <cell r="K50">
            <v>0.915</v>
          </cell>
          <cell r="L50">
            <v>0.935</v>
          </cell>
          <cell r="M50">
            <v>0.94</v>
          </cell>
          <cell r="N50">
            <v>0.938</v>
          </cell>
          <cell r="O50">
            <v>0.93</v>
          </cell>
          <cell r="P50">
            <v>0.914</v>
          </cell>
          <cell r="Q50">
            <v>0.883</v>
          </cell>
          <cell r="R50">
            <v>0.833</v>
          </cell>
        </row>
        <row r="50">
          <cell r="U50">
            <v>69.5</v>
          </cell>
          <cell r="V50">
            <v>73.8</v>
          </cell>
          <cell r="W50">
            <v>75.9</v>
          </cell>
          <cell r="X50">
            <v>76.3</v>
          </cell>
          <cell r="Y50">
            <v>75.9</v>
          </cell>
          <cell r="Z50">
            <v>74.8</v>
          </cell>
          <cell r="AA50">
            <v>72</v>
          </cell>
        </row>
        <row r="51">
          <cell r="A51" t="str">
            <v>9-19</v>
          </cell>
          <cell r="B51">
            <v>0.03</v>
          </cell>
          <cell r="C51">
            <v>0.037</v>
          </cell>
          <cell r="D51">
            <v>0.044</v>
          </cell>
          <cell r="E51">
            <v>0.051</v>
          </cell>
          <cell r="F51">
            <v>0.058</v>
          </cell>
          <cell r="G51">
            <v>0.065</v>
          </cell>
          <cell r="H51">
            <v>0.072</v>
          </cell>
        </row>
        <row r="51">
          <cell r="K51">
            <v>0.845041</v>
          </cell>
          <cell r="L51">
            <v>0.859586</v>
          </cell>
          <cell r="M51">
            <v>0.852386</v>
          </cell>
          <cell r="N51">
            <v>0.830496</v>
          </cell>
          <cell r="O51">
            <v>0.79507</v>
          </cell>
          <cell r="P51">
            <v>0.75878</v>
          </cell>
          <cell r="Q51">
            <v>0.717306</v>
          </cell>
        </row>
        <row r="51">
          <cell r="U51">
            <v>76.5</v>
          </cell>
          <cell r="V51">
            <v>80</v>
          </cell>
          <cell r="W51">
            <v>81.5</v>
          </cell>
          <cell r="X51">
            <v>81</v>
          </cell>
          <cell r="Y51">
            <v>78.2</v>
          </cell>
          <cell r="Z51">
            <v>74.5</v>
          </cell>
          <cell r="AA51">
            <v>70</v>
          </cell>
        </row>
        <row r="52">
          <cell r="A52" t="str">
            <v>9-26</v>
          </cell>
          <cell r="B52">
            <v>0.08</v>
          </cell>
          <cell r="C52">
            <v>0.09</v>
          </cell>
          <cell r="D52">
            <v>0.1</v>
          </cell>
          <cell r="E52">
            <v>0.11</v>
          </cell>
          <cell r="F52">
            <v>0.12</v>
          </cell>
          <cell r="G52">
            <v>0.13</v>
          </cell>
          <cell r="H52">
            <v>0.14</v>
          </cell>
        </row>
        <row r="52">
          <cell r="K52">
            <v>0.88882</v>
          </cell>
          <cell r="L52">
            <v>0.876291</v>
          </cell>
          <cell r="M52">
            <v>0.856562</v>
          </cell>
          <cell r="N52">
            <v>0.833665</v>
          </cell>
          <cell r="O52">
            <v>0.804431</v>
          </cell>
          <cell r="P52">
            <v>0.768141</v>
          </cell>
          <cell r="Q52">
            <v>0.732859</v>
          </cell>
        </row>
        <row r="52">
          <cell r="U52">
            <v>80.4</v>
          </cell>
          <cell r="V52">
            <v>81.2</v>
          </cell>
          <cell r="W52">
            <v>80.4</v>
          </cell>
          <cell r="X52">
            <v>78.6</v>
          </cell>
          <cell r="Y52">
            <v>76</v>
          </cell>
          <cell r="Z52">
            <v>73</v>
          </cell>
          <cell r="AA52">
            <v>70</v>
          </cell>
        </row>
        <row r="53">
          <cell r="A53" t="str">
            <v>9-28</v>
          </cell>
          <cell r="B53">
            <v>0.08</v>
          </cell>
          <cell r="C53">
            <v>0.089997</v>
          </cell>
          <cell r="D53">
            <v>0.099999</v>
          </cell>
          <cell r="E53">
            <v>0.11</v>
          </cell>
          <cell r="F53">
            <v>0.119998</v>
          </cell>
          <cell r="G53">
            <v>0.13</v>
          </cell>
          <cell r="H53">
            <v>0.139997</v>
          </cell>
          <cell r="I53">
            <v>0.149999</v>
          </cell>
        </row>
        <row r="53">
          <cell r="K53">
            <v>0.88</v>
          </cell>
          <cell r="L53">
            <v>0.878</v>
          </cell>
          <cell r="M53">
            <v>0.867</v>
          </cell>
          <cell r="N53">
            <v>0.852</v>
          </cell>
          <cell r="O53">
            <v>0.838</v>
          </cell>
          <cell r="P53">
            <v>0.82</v>
          </cell>
          <cell r="Q53">
            <v>0.8</v>
          </cell>
          <cell r="R53">
            <v>0.78</v>
          </cell>
        </row>
        <row r="53">
          <cell r="U53">
            <v>81.5</v>
          </cell>
          <cell r="V53">
            <v>82.6</v>
          </cell>
          <cell r="W53">
            <v>82.6</v>
          </cell>
          <cell r="X53">
            <v>82</v>
          </cell>
          <cell r="Y53">
            <v>81.8</v>
          </cell>
          <cell r="Z53">
            <v>80</v>
          </cell>
          <cell r="AA53">
            <v>78.3</v>
          </cell>
        </row>
        <row r="54">
          <cell r="A54" t="str">
            <v>9-28F</v>
          </cell>
          <cell r="B54">
            <v>0.08</v>
          </cell>
          <cell r="C54">
            <v>0.089997</v>
          </cell>
          <cell r="D54">
            <v>0.099999</v>
          </cell>
          <cell r="E54">
            <v>0.11</v>
          </cell>
          <cell r="F54">
            <v>0.119998</v>
          </cell>
          <cell r="G54">
            <v>0.13</v>
          </cell>
          <cell r="H54">
            <v>0.139997</v>
          </cell>
          <cell r="I54">
            <v>0.149999</v>
          </cell>
        </row>
        <row r="54">
          <cell r="K54">
            <v>0.853682</v>
          </cell>
          <cell r="L54">
            <v>0.85181</v>
          </cell>
          <cell r="M54">
            <v>0.841153</v>
          </cell>
          <cell r="N54">
            <v>0.826608</v>
          </cell>
          <cell r="O54">
            <v>0.812927</v>
          </cell>
          <cell r="P54">
            <v>0.795502</v>
          </cell>
          <cell r="Q54">
            <v>0.776061</v>
          </cell>
          <cell r="R54">
            <v>0.757</v>
          </cell>
        </row>
        <row r="54">
          <cell r="U54">
            <v>81.5</v>
          </cell>
          <cell r="V54">
            <v>82.6</v>
          </cell>
          <cell r="W54">
            <v>82.6</v>
          </cell>
          <cell r="X54">
            <v>82</v>
          </cell>
          <cell r="Y54">
            <v>81.8</v>
          </cell>
          <cell r="Z54">
            <v>80</v>
          </cell>
          <cell r="AA54">
            <v>78.3</v>
          </cell>
        </row>
        <row r="55">
          <cell r="A55" t="str">
            <v>9-38</v>
          </cell>
          <cell r="B55">
            <v>0.119998</v>
          </cell>
          <cell r="C55">
            <v>0.1399997</v>
          </cell>
          <cell r="D55">
            <v>0.1619999</v>
          </cell>
          <cell r="E55">
            <v>0.18</v>
          </cell>
          <cell r="F55">
            <v>0.2</v>
          </cell>
          <cell r="G55">
            <v>0.22</v>
          </cell>
          <cell r="H55">
            <v>0.24</v>
          </cell>
        </row>
        <row r="55">
          <cell r="K55">
            <v>0.862754</v>
          </cell>
          <cell r="L55">
            <v>0.909701</v>
          </cell>
          <cell r="M55">
            <v>0.914885</v>
          </cell>
          <cell r="N55">
            <v>0.909701</v>
          </cell>
          <cell r="O55">
            <v>0.897172</v>
          </cell>
          <cell r="P55">
            <v>0.878451</v>
          </cell>
          <cell r="Q55">
            <v>0.847201</v>
          </cell>
        </row>
        <row r="55">
          <cell r="U55">
            <v>76</v>
          </cell>
          <cell r="V55">
            <v>82.3</v>
          </cell>
          <cell r="W55">
            <v>82.8</v>
          </cell>
          <cell r="X55">
            <v>81.5</v>
          </cell>
          <cell r="Y55">
            <v>79.5</v>
          </cell>
          <cell r="Z55">
            <v>77.5</v>
          </cell>
          <cell r="AA55">
            <v>74.5</v>
          </cell>
        </row>
        <row r="56">
          <cell r="A56" t="str">
            <v>9-55</v>
          </cell>
          <cell r="B56">
            <v>0.25</v>
          </cell>
          <cell r="C56">
            <v>0.303</v>
          </cell>
          <cell r="D56">
            <v>0.356</v>
          </cell>
          <cell r="E56">
            <v>0.41</v>
          </cell>
          <cell r="F56">
            <v>0.467</v>
          </cell>
          <cell r="G56">
            <v>0.524</v>
          </cell>
          <cell r="H56">
            <v>0.58</v>
          </cell>
        </row>
        <row r="56">
          <cell r="K56">
            <v>0.89</v>
          </cell>
          <cell r="L56">
            <v>0.935</v>
          </cell>
          <cell r="M56">
            <v>0.97</v>
          </cell>
          <cell r="N56">
            <v>0.99</v>
          </cell>
          <cell r="O56">
            <v>0.98</v>
          </cell>
          <cell r="P56">
            <v>0.955</v>
          </cell>
          <cell r="Q56">
            <v>0.92</v>
          </cell>
        </row>
        <row r="56">
          <cell r="U56">
            <v>62</v>
          </cell>
          <cell r="V56">
            <v>65</v>
          </cell>
          <cell r="W56">
            <v>67</v>
          </cell>
          <cell r="X56">
            <v>68</v>
          </cell>
          <cell r="Y56">
            <v>67</v>
          </cell>
          <cell r="Z56">
            <v>64.5</v>
          </cell>
          <cell r="AA56">
            <v>61</v>
          </cell>
        </row>
        <row r="57">
          <cell r="A57" t="str">
            <v>BB24</v>
          </cell>
          <cell r="B57">
            <v>0.031479</v>
          </cell>
          <cell r="C57">
            <v>0.036517</v>
          </cell>
          <cell r="D57">
            <v>0.046591</v>
          </cell>
          <cell r="E57">
            <v>0.057924</v>
          </cell>
          <cell r="F57">
            <v>0.067998</v>
          </cell>
          <cell r="G57">
            <v>0.073034</v>
          </cell>
          <cell r="H57">
            <v>0.081848</v>
          </cell>
        </row>
        <row r="57">
          <cell r="K57">
            <v>0.646016</v>
          </cell>
          <cell r="L57">
            <v>0.642268</v>
          </cell>
          <cell r="M57">
            <v>0.617136</v>
          </cell>
          <cell r="N57">
            <v>0.569752</v>
          </cell>
          <cell r="O57">
            <v>0.514793</v>
          </cell>
          <cell r="P57">
            <v>0.48469</v>
          </cell>
          <cell r="Q57">
            <v>0.424089</v>
          </cell>
        </row>
        <row r="57">
          <cell r="U57">
            <v>73.5</v>
          </cell>
          <cell r="V57">
            <v>77.84</v>
          </cell>
          <cell r="W57">
            <v>82.41</v>
          </cell>
          <cell r="X57">
            <v>83.76</v>
          </cell>
          <cell r="Y57">
            <v>81.75</v>
          </cell>
          <cell r="Z57">
            <v>79.75</v>
          </cell>
          <cell r="AA57">
            <v>75.48</v>
          </cell>
        </row>
        <row r="58">
          <cell r="A58" t="str">
            <v>BB50</v>
          </cell>
          <cell r="B58">
            <v>0.062943</v>
          </cell>
          <cell r="C58">
            <v>0.073014</v>
          </cell>
          <cell r="D58">
            <v>0.088121</v>
          </cell>
          <cell r="E58">
            <v>0.110781</v>
          </cell>
          <cell r="F58">
            <v>0.130922</v>
          </cell>
          <cell r="G58">
            <v>0.140991</v>
          </cell>
          <cell r="H58">
            <v>0.156093</v>
          </cell>
        </row>
        <row r="58">
          <cell r="K58">
            <v>0.610823</v>
          </cell>
          <cell r="L58">
            <v>0.613348</v>
          </cell>
          <cell r="M58">
            <v>0.598948</v>
          </cell>
          <cell r="N58">
            <v>0.544344</v>
          </cell>
          <cell r="O58">
            <v>0.469342</v>
          </cell>
          <cell r="P58">
            <v>0.423536</v>
          </cell>
          <cell r="Q58">
            <v>0.346325</v>
          </cell>
        </row>
        <row r="58">
          <cell r="U58">
            <v>74.62</v>
          </cell>
          <cell r="V58">
            <v>77.92</v>
          </cell>
          <cell r="W58">
            <v>80.99</v>
          </cell>
          <cell r="X58">
            <v>80.03</v>
          </cell>
          <cell r="Y58">
            <v>73.93</v>
          </cell>
          <cell r="Z58">
            <v>69.1</v>
          </cell>
          <cell r="AA58">
            <v>59.82</v>
          </cell>
        </row>
        <row r="59">
          <cell r="A59" t="str">
            <v>G4-68</v>
          </cell>
          <cell r="B59">
            <v>0.1545</v>
          </cell>
          <cell r="C59">
            <v>0.1745</v>
          </cell>
          <cell r="D59">
            <v>0.1944</v>
          </cell>
          <cell r="E59">
            <v>0.214356</v>
          </cell>
          <cell r="F59">
            <v>0.2343</v>
          </cell>
          <cell r="G59">
            <v>0.2542</v>
          </cell>
          <cell r="H59">
            <v>0.27418</v>
          </cell>
          <cell r="I59">
            <v>0.294</v>
          </cell>
        </row>
        <row r="59">
          <cell r="K59">
            <v>0.492</v>
          </cell>
          <cell r="L59">
            <v>0.482</v>
          </cell>
          <cell r="M59">
            <v>0.466587</v>
          </cell>
          <cell r="N59">
            <v>0.444</v>
          </cell>
          <cell r="O59">
            <v>0.414</v>
          </cell>
          <cell r="P59">
            <v>0.377</v>
          </cell>
          <cell r="Q59">
            <v>0.334532</v>
          </cell>
        </row>
        <row r="59">
          <cell r="U59">
            <v>85.8</v>
          </cell>
          <cell r="V59">
            <v>88.7</v>
          </cell>
          <cell r="W59">
            <v>90.9</v>
          </cell>
          <cell r="X59">
            <v>91.5</v>
          </cell>
          <cell r="Y59">
            <v>90.4</v>
          </cell>
          <cell r="Z59">
            <v>88</v>
          </cell>
          <cell r="AA59">
            <v>84.3</v>
          </cell>
        </row>
        <row r="60">
          <cell r="A60" t="str">
            <v>M9-26</v>
          </cell>
          <cell r="B60">
            <v>0.079916</v>
          </cell>
          <cell r="C60">
            <v>0.089909</v>
          </cell>
          <cell r="D60">
            <v>0.099901</v>
          </cell>
          <cell r="E60">
            <v>0.109899</v>
          </cell>
          <cell r="F60">
            <v>0.119877</v>
          </cell>
          <cell r="G60">
            <v>0.12987</v>
          </cell>
          <cell r="H60">
            <v>0.139862</v>
          </cell>
        </row>
        <row r="60">
          <cell r="K60">
            <v>0.904661</v>
          </cell>
          <cell r="L60">
            <v>0.891268</v>
          </cell>
          <cell r="M60">
            <v>0.871251</v>
          </cell>
          <cell r="N60">
            <v>0.846049</v>
          </cell>
          <cell r="O60">
            <v>0.815664</v>
          </cell>
          <cell r="P60">
            <v>0.780814</v>
          </cell>
          <cell r="Q60">
            <v>0.743659</v>
          </cell>
        </row>
        <row r="60">
          <cell r="U60">
            <v>80.4</v>
          </cell>
          <cell r="V60">
            <v>81.2</v>
          </cell>
          <cell r="W60">
            <v>80.4</v>
          </cell>
          <cell r="X60">
            <v>78.6</v>
          </cell>
          <cell r="Y60">
            <v>76</v>
          </cell>
          <cell r="Z60">
            <v>73</v>
          </cell>
          <cell r="AA60">
            <v>70</v>
          </cell>
        </row>
        <row r="61">
          <cell r="A61" t="str">
            <v>T4-72</v>
          </cell>
          <cell r="B61">
            <v>0.142</v>
          </cell>
          <cell r="C61">
            <v>0.166</v>
          </cell>
          <cell r="D61">
            <v>0.191</v>
          </cell>
          <cell r="E61">
            <v>0.215</v>
          </cell>
          <cell r="F61">
            <v>0.24</v>
          </cell>
          <cell r="G61">
            <v>0.264</v>
          </cell>
          <cell r="H61">
            <v>0.28</v>
          </cell>
        </row>
        <row r="61">
          <cell r="K61">
            <v>0.460107</v>
          </cell>
          <cell r="L61">
            <v>0.449882</v>
          </cell>
          <cell r="M61">
            <v>0.429433</v>
          </cell>
          <cell r="N61">
            <v>0.398903</v>
          </cell>
          <cell r="O61">
            <v>0.352965</v>
          </cell>
          <cell r="P61">
            <v>0.292049</v>
          </cell>
          <cell r="Q61">
            <v>0.230413</v>
          </cell>
        </row>
        <row r="61">
          <cell r="U61">
            <v>78.1</v>
          </cell>
          <cell r="V61">
            <v>82.6</v>
          </cell>
          <cell r="W61">
            <v>85.8</v>
          </cell>
          <cell r="X61">
            <v>86.8</v>
          </cell>
          <cell r="Y61">
            <v>84.5</v>
          </cell>
          <cell r="Z61">
            <v>78.1</v>
          </cell>
          <cell r="AA61">
            <v>76.1</v>
          </cell>
        </row>
        <row r="62">
          <cell r="A62" t="str">
            <v>X4-73</v>
          </cell>
          <cell r="B62">
            <v>0.12</v>
          </cell>
          <cell r="C62">
            <v>0.14</v>
          </cell>
          <cell r="D62">
            <v>0.16</v>
          </cell>
          <cell r="E62">
            <v>0.18</v>
          </cell>
          <cell r="F62">
            <v>0.2</v>
          </cell>
          <cell r="G62">
            <v>0.22</v>
          </cell>
          <cell r="H62">
            <v>0.24</v>
          </cell>
          <cell r="I62">
            <v>0.26</v>
          </cell>
        </row>
        <row r="62">
          <cell r="K62">
            <v>0.460107</v>
          </cell>
          <cell r="L62">
            <v>0.450026</v>
          </cell>
          <cell r="M62">
            <v>0.430009</v>
          </cell>
          <cell r="N62">
            <v>0.395015</v>
          </cell>
          <cell r="O62">
            <v>0.360021</v>
          </cell>
          <cell r="P62">
            <v>0.325027</v>
          </cell>
          <cell r="Q62">
            <v>0.274912</v>
          </cell>
          <cell r="R62">
            <v>0.224</v>
          </cell>
        </row>
        <row r="62">
          <cell r="U62">
            <v>77</v>
          </cell>
          <cell r="V62">
            <v>81</v>
          </cell>
          <cell r="W62">
            <v>85</v>
          </cell>
          <cell r="X62">
            <v>86</v>
          </cell>
          <cell r="Y62">
            <v>86</v>
          </cell>
          <cell r="Z62">
            <v>84</v>
          </cell>
          <cell r="AA62">
            <v>80</v>
          </cell>
        </row>
        <row r="63">
          <cell r="A63" t="str">
            <v>Y4-68</v>
          </cell>
          <cell r="B63">
            <v>0.144567</v>
          </cell>
          <cell r="C63">
            <v>0.1645</v>
          </cell>
          <cell r="D63">
            <v>0.184448</v>
          </cell>
          <cell r="E63">
            <v>0.204387</v>
          </cell>
          <cell r="F63">
            <v>0.22433</v>
          </cell>
          <cell r="G63">
            <v>0.244268</v>
          </cell>
          <cell r="H63">
            <v>0.264207</v>
          </cell>
          <cell r="I63">
            <v>0.2842</v>
          </cell>
        </row>
        <row r="63">
          <cell r="K63">
            <v>0.492509</v>
          </cell>
          <cell r="L63">
            <v>0.482284</v>
          </cell>
          <cell r="M63">
            <v>0.464427</v>
          </cell>
          <cell r="N63">
            <v>0.44297</v>
          </cell>
          <cell r="O63">
            <v>0.414312</v>
          </cell>
          <cell r="P63">
            <v>0.380326</v>
          </cell>
          <cell r="Q63">
            <v>0.338276</v>
          </cell>
        </row>
        <row r="63">
          <cell r="U63">
            <v>83.6</v>
          </cell>
          <cell r="V63">
            <v>87</v>
          </cell>
          <cell r="W63">
            <v>89.2</v>
          </cell>
          <cell r="X63">
            <v>90</v>
          </cell>
          <cell r="Y63">
            <v>89.3</v>
          </cell>
          <cell r="Z63">
            <v>86.5</v>
          </cell>
          <cell r="AA63">
            <v>82.2</v>
          </cell>
        </row>
        <row r="65">
          <cell r="B65" t="str">
            <v>Q1</v>
          </cell>
          <cell r="C65" t="str">
            <v>Q2</v>
          </cell>
          <cell r="D65" t="str">
            <v>Q3</v>
          </cell>
          <cell r="E65" t="str">
            <v>Q4</v>
          </cell>
          <cell r="F65" t="str">
            <v>Q5</v>
          </cell>
          <cell r="G65" t="str">
            <v>Q6</v>
          </cell>
          <cell r="H65" t="str">
            <v>Q7</v>
          </cell>
          <cell r="I65" t="str">
            <v>Q8</v>
          </cell>
          <cell r="J65" t="str">
            <v>Q9</v>
          </cell>
          <cell r="K65" t="str">
            <v>P1</v>
          </cell>
          <cell r="L65" t="str">
            <v>P2</v>
          </cell>
          <cell r="M65" t="str">
            <v>P3</v>
          </cell>
          <cell r="N65" t="str">
            <v>P4</v>
          </cell>
          <cell r="O65" t="str">
            <v>P5</v>
          </cell>
          <cell r="P65" t="str">
            <v>P6</v>
          </cell>
          <cell r="Q65" t="str">
            <v>P7</v>
          </cell>
          <cell r="R65" t="str">
            <v>P8</v>
          </cell>
          <cell r="S65" t="str">
            <v>P9</v>
          </cell>
        </row>
        <row r="65">
          <cell r="U65" t="str">
            <v>η1</v>
          </cell>
          <cell r="V65" t="str">
            <v>η2</v>
          </cell>
          <cell r="W65" t="str">
            <v>η3</v>
          </cell>
          <cell r="X65" t="str">
            <v>η4</v>
          </cell>
          <cell r="Y65" t="str">
            <v>η5</v>
          </cell>
          <cell r="Z65" t="str">
            <v>η6</v>
          </cell>
          <cell r="AA65" t="str">
            <v>η7</v>
          </cell>
          <cell r="AB65" t="str">
            <v>η8</v>
          </cell>
          <cell r="AC65" t="str">
            <v>η9</v>
          </cell>
        </row>
        <row r="66">
          <cell r="A66" t="str">
            <v>型    号</v>
          </cell>
          <cell r="B66" t="str">
            <v>额定  功率</v>
          </cell>
          <cell r="C66" t="str">
            <v>额定  电流</v>
          </cell>
          <cell r="D66" t="str">
            <v>转速</v>
          </cell>
          <cell r="E66" t="str">
            <v>效率</v>
          </cell>
          <cell r="F66" t="str">
            <v>功率  因数</v>
          </cell>
          <cell r="G66" t="str">
            <v>堵转转矩</v>
          </cell>
          <cell r="H66" t="str">
            <v>堵转电流</v>
          </cell>
          <cell r="I66" t="str">
            <v>最大转矩</v>
          </cell>
          <cell r="J66" t="str">
            <v>噪声</v>
          </cell>
        </row>
        <row r="66">
          <cell r="L66" t="str">
            <v>振动 速度</v>
          </cell>
          <cell r="M66" t="str">
            <v>重量</v>
          </cell>
        </row>
        <row r="67">
          <cell r="G67" t="str">
            <v>额定转矩</v>
          </cell>
          <cell r="H67" t="str">
            <v>额定电流</v>
          </cell>
          <cell r="I67" t="str">
            <v>额定转矩</v>
          </cell>
          <cell r="J67" t="str">
            <v>1级</v>
          </cell>
          <cell r="K67" t="str">
            <v>2级</v>
          </cell>
        </row>
        <row r="67">
          <cell r="N67" t="str">
            <v>价格
(元)</v>
          </cell>
        </row>
        <row r="68">
          <cell r="B68" t="str">
            <v>kW</v>
          </cell>
          <cell r="C68" t="str">
            <v>A</v>
          </cell>
          <cell r="D68" t="str">
            <v>r/min</v>
          </cell>
          <cell r="E68" t="str">
            <v>%</v>
          </cell>
          <cell r="F68" t="str">
            <v>COSФ</v>
          </cell>
          <cell r="G68" t="str">
            <v>倍</v>
          </cell>
          <cell r="H68" t="str">
            <v>倍</v>
          </cell>
          <cell r="I68" t="str">
            <v>倍</v>
          </cell>
          <cell r="J68" t="str">
            <v>dB(A)</v>
          </cell>
        </row>
        <row r="68">
          <cell r="L68" t="str">
            <v>mm/s</v>
          </cell>
          <cell r="M68" t="str">
            <v>kg</v>
          </cell>
        </row>
        <row r="69">
          <cell r="A69" t="str">
            <v> 同步转速    3000r/min    2  级</v>
          </cell>
        </row>
        <row r="70">
          <cell r="A70" t="str">
            <v>Y80M1-2/0.75</v>
          </cell>
          <cell r="B70">
            <v>0.75</v>
          </cell>
          <cell r="C70">
            <v>1.8</v>
          </cell>
          <cell r="D70">
            <v>2830</v>
          </cell>
          <cell r="E70">
            <v>75</v>
          </cell>
          <cell r="F70">
            <v>0.84</v>
          </cell>
          <cell r="G70">
            <v>2.2</v>
          </cell>
          <cell r="H70">
            <v>6.5</v>
          </cell>
          <cell r="I70">
            <v>2.3</v>
          </cell>
          <cell r="J70">
            <v>66</v>
          </cell>
          <cell r="K70">
            <v>71</v>
          </cell>
          <cell r="L70">
            <v>1.8</v>
          </cell>
          <cell r="M70">
            <v>17</v>
          </cell>
          <cell r="N70">
            <v>329</v>
          </cell>
        </row>
        <row r="71">
          <cell r="A71" t="str">
            <v>Y80M2-2/1.1</v>
          </cell>
          <cell r="B71">
            <v>1</v>
          </cell>
          <cell r="C71">
            <v>2.5</v>
          </cell>
          <cell r="D71">
            <v>2830</v>
          </cell>
          <cell r="E71">
            <v>77</v>
          </cell>
          <cell r="F71">
            <v>0.86</v>
          </cell>
          <cell r="G71">
            <v>2.2</v>
          </cell>
          <cell r="H71">
            <v>7</v>
          </cell>
          <cell r="I71">
            <v>2.3</v>
          </cell>
          <cell r="J71">
            <v>66</v>
          </cell>
          <cell r="K71">
            <v>71</v>
          </cell>
          <cell r="L71">
            <v>1.8</v>
          </cell>
          <cell r="M71">
            <v>18</v>
          </cell>
          <cell r="N71">
            <v>364</v>
          </cell>
        </row>
        <row r="72">
          <cell r="A72" t="str">
            <v>Y80M2-2/1.1</v>
          </cell>
          <cell r="B72">
            <v>1.1</v>
          </cell>
          <cell r="C72">
            <v>2.5</v>
          </cell>
          <cell r="D72">
            <v>2830</v>
          </cell>
          <cell r="E72">
            <v>77</v>
          </cell>
          <cell r="F72">
            <v>0.86</v>
          </cell>
          <cell r="G72">
            <v>2.2</v>
          </cell>
          <cell r="H72">
            <v>7</v>
          </cell>
          <cell r="I72">
            <v>2.3</v>
          </cell>
          <cell r="J72">
            <v>66</v>
          </cell>
          <cell r="K72">
            <v>71</v>
          </cell>
          <cell r="L72">
            <v>1.8</v>
          </cell>
          <cell r="M72">
            <v>18</v>
          </cell>
          <cell r="N72">
            <v>364</v>
          </cell>
        </row>
        <row r="73">
          <cell r="A73" t="str">
            <v>Y90S-2/1.5</v>
          </cell>
          <cell r="B73">
            <v>1.5</v>
          </cell>
          <cell r="C73">
            <v>3.4</v>
          </cell>
          <cell r="D73">
            <v>2840</v>
          </cell>
          <cell r="E73">
            <v>78</v>
          </cell>
          <cell r="F73">
            <v>0.85</v>
          </cell>
          <cell r="G73">
            <v>2.2</v>
          </cell>
          <cell r="H73">
            <v>7</v>
          </cell>
          <cell r="I73">
            <v>2.3</v>
          </cell>
          <cell r="J73">
            <v>70</v>
          </cell>
          <cell r="K73">
            <v>75</v>
          </cell>
          <cell r="L73">
            <v>1.8</v>
          </cell>
          <cell r="M73">
            <v>22</v>
          </cell>
          <cell r="N73">
            <v>413</v>
          </cell>
        </row>
        <row r="74">
          <cell r="A74" t="str">
            <v>Y90L-2/2</v>
          </cell>
          <cell r="B74">
            <v>2</v>
          </cell>
          <cell r="C74">
            <v>4.8</v>
          </cell>
          <cell r="D74">
            <v>2840</v>
          </cell>
          <cell r="E74">
            <v>80.5</v>
          </cell>
          <cell r="F74">
            <v>0.86</v>
          </cell>
          <cell r="G74">
            <v>2.2</v>
          </cell>
          <cell r="H74">
            <v>7</v>
          </cell>
          <cell r="I74">
            <v>2.3</v>
          </cell>
          <cell r="J74">
            <v>70</v>
          </cell>
          <cell r="K74">
            <v>75</v>
          </cell>
          <cell r="L74">
            <v>1.8</v>
          </cell>
          <cell r="M74">
            <v>25</v>
          </cell>
          <cell r="N74">
            <v>434</v>
          </cell>
        </row>
        <row r="75">
          <cell r="A75" t="str">
            <v>Y90L-2/2.2</v>
          </cell>
          <cell r="B75">
            <v>2.2</v>
          </cell>
          <cell r="C75">
            <v>4.8</v>
          </cell>
          <cell r="D75">
            <v>2840</v>
          </cell>
          <cell r="E75">
            <v>80.5</v>
          </cell>
          <cell r="F75">
            <v>0.86</v>
          </cell>
          <cell r="G75">
            <v>2.2</v>
          </cell>
          <cell r="H75">
            <v>7</v>
          </cell>
          <cell r="I75">
            <v>2.3</v>
          </cell>
          <cell r="J75">
            <v>70</v>
          </cell>
          <cell r="K75">
            <v>75</v>
          </cell>
          <cell r="L75">
            <v>1.8</v>
          </cell>
          <cell r="M75">
            <v>25</v>
          </cell>
          <cell r="N75">
            <v>434</v>
          </cell>
        </row>
        <row r="76">
          <cell r="A76" t="str">
            <v>Y100L-2/3</v>
          </cell>
          <cell r="B76">
            <v>3</v>
          </cell>
          <cell r="C76">
            <v>6.4</v>
          </cell>
          <cell r="D76">
            <v>2880</v>
          </cell>
          <cell r="E76">
            <v>82</v>
          </cell>
          <cell r="F76">
            <v>0.87</v>
          </cell>
          <cell r="G76">
            <v>2.2</v>
          </cell>
          <cell r="H76">
            <v>7</v>
          </cell>
          <cell r="I76">
            <v>2.3</v>
          </cell>
          <cell r="J76">
            <v>74</v>
          </cell>
          <cell r="K76">
            <v>79</v>
          </cell>
          <cell r="L76">
            <v>1.8</v>
          </cell>
          <cell r="M76">
            <v>34</v>
          </cell>
          <cell r="N76">
            <v>588</v>
          </cell>
        </row>
        <row r="77">
          <cell r="A77" t="str">
            <v>Y112M-2/4</v>
          </cell>
          <cell r="B77">
            <v>4</v>
          </cell>
          <cell r="C77">
            <v>8.2</v>
          </cell>
          <cell r="D77">
            <v>2890</v>
          </cell>
          <cell r="E77">
            <v>85.5</v>
          </cell>
          <cell r="F77">
            <v>0.87</v>
          </cell>
          <cell r="G77">
            <v>2.2</v>
          </cell>
          <cell r="H77">
            <v>7</v>
          </cell>
          <cell r="I77">
            <v>2.3</v>
          </cell>
          <cell r="J77">
            <v>74</v>
          </cell>
          <cell r="K77">
            <v>79</v>
          </cell>
          <cell r="L77">
            <v>1.8</v>
          </cell>
          <cell r="M77">
            <v>45</v>
          </cell>
          <cell r="N77">
            <v>735</v>
          </cell>
        </row>
        <row r="78">
          <cell r="A78" t="str">
            <v>Y132S1-2/5.5</v>
          </cell>
          <cell r="B78">
            <v>5</v>
          </cell>
          <cell r="C78">
            <v>11.1</v>
          </cell>
          <cell r="D78">
            <v>2900</v>
          </cell>
          <cell r="E78">
            <v>85.5</v>
          </cell>
          <cell r="F78">
            <v>0.88</v>
          </cell>
          <cell r="G78">
            <v>2</v>
          </cell>
          <cell r="H78">
            <v>7</v>
          </cell>
          <cell r="I78">
            <v>2.3</v>
          </cell>
          <cell r="J78">
            <v>78</v>
          </cell>
          <cell r="K78">
            <v>83</v>
          </cell>
          <cell r="L78">
            <v>1.8</v>
          </cell>
          <cell r="M78">
            <v>67</v>
          </cell>
          <cell r="N78">
            <v>987</v>
          </cell>
        </row>
        <row r="79">
          <cell r="A79" t="str">
            <v>Y132S1-2/5.5</v>
          </cell>
          <cell r="B79">
            <v>5.5</v>
          </cell>
          <cell r="C79">
            <v>11.1</v>
          </cell>
          <cell r="D79">
            <v>2900</v>
          </cell>
          <cell r="E79">
            <v>85.5</v>
          </cell>
          <cell r="F79">
            <v>0.88</v>
          </cell>
          <cell r="G79">
            <v>2</v>
          </cell>
          <cell r="H79">
            <v>7</v>
          </cell>
          <cell r="I79">
            <v>2.3</v>
          </cell>
          <cell r="J79">
            <v>78</v>
          </cell>
          <cell r="K79">
            <v>83</v>
          </cell>
          <cell r="L79">
            <v>1.8</v>
          </cell>
          <cell r="M79">
            <v>67</v>
          </cell>
          <cell r="N79">
            <v>987</v>
          </cell>
        </row>
        <row r="80">
          <cell r="A80" t="str">
            <v>Y132S2-2/7.5</v>
          </cell>
          <cell r="B80">
            <v>6</v>
          </cell>
          <cell r="C80">
            <v>15</v>
          </cell>
          <cell r="D80">
            <v>2900</v>
          </cell>
          <cell r="E80">
            <v>86.2</v>
          </cell>
          <cell r="F80">
            <v>0.88</v>
          </cell>
          <cell r="G80">
            <v>2</v>
          </cell>
          <cell r="H80">
            <v>7</v>
          </cell>
          <cell r="I80">
            <v>2.3</v>
          </cell>
          <cell r="J80">
            <v>78</v>
          </cell>
          <cell r="K80">
            <v>83</v>
          </cell>
          <cell r="L80">
            <v>1.8</v>
          </cell>
          <cell r="M80">
            <v>72</v>
          </cell>
          <cell r="N80">
            <v>1005</v>
          </cell>
        </row>
        <row r="81">
          <cell r="A81" t="str">
            <v>Y132S2-2/7.5</v>
          </cell>
          <cell r="B81">
            <v>7</v>
          </cell>
          <cell r="C81">
            <v>15</v>
          </cell>
          <cell r="D81">
            <v>2900</v>
          </cell>
          <cell r="E81">
            <v>86.2</v>
          </cell>
          <cell r="F81">
            <v>0.88</v>
          </cell>
          <cell r="G81">
            <v>2</v>
          </cell>
          <cell r="H81">
            <v>7</v>
          </cell>
          <cell r="I81">
            <v>2.3</v>
          </cell>
          <cell r="J81">
            <v>78</v>
          </cell>
          <cell r="K81">
            <v>83</v>
          </cell>
          <cell r="L81">
            <v>1.8</v>
          </cell>
          <cell r="M81">
            <v>72</v>
          </cell>
          <cell r="N81">
            <v>1005</v>
          </cell>
        </row>
        <row r="82">
          <cell r="A82" t="str">
            <v>Y132S2-2/7.5</v>
          </cell>
          <cell r="B82">
            <v>7.5</v>
          </cell>
          <cell r="C82">
            <v>15</v>
          </cell>
          <cell r="D82">
            <v>2900</v>
          </cell>
          <cell r="E82">
            <v>86.2</v>
          </cell>
          <cell r="F82">
            <v>0.88</v>
          </cell>
          <cell r="G82">
            <v>2</v>
          </cell>
          <cell r="H82">
            <v>7</v>
          </cell>
          <cell r="I82">
            <v>2.3</v>
          </cell>
          <cell r="J82">
            <v>78</v>
          </cell>
          <cell r="K82">
            <v>83</v>
          </cell>
          <cell r="L82">
            <v>1.8</v>
          </cell>
          <cell r="M82">
            <v>72</v>
          </cell>
          <cell r="N82">
            <v>1005</v>
          </cell>
        </row>
        <row r="83">
          <cell r="A83" t="str">
            <v>Y160M1-2/11</v>
          </cell>
          <cell r="B83">
            <v>8</v>
          </cell>
          <cell r="C83">
            <v>21.8</v>
          </cell>
          <cell r="D83">
            <v>2930</v>
          </cell>
          <cell r="E83">
            <v>87.2</v>
          </cell>
          <cell r="F83">
            <v>0.88</v>
          </cell>
          <cell r="G83">
            <v>2</v>
          </cell>
          <cell r="H83">
            <v>7</v>
          </cell>
          <cell r="I83">
            <v>2.3</v>
          </cell>
          <cell r="J83">
            <v>82</v>
          </cell>
          <cell r="K83">
            <v>87</v>
          </cell>
          <cell r="L83">
            <v>2.8</v>
          </cell>
          <cell r="M83">
            <v>115</v>
          </cell>
          <cell r="N83">
            <v>1659</v>
          </cell>
        </row>
        <row r="84">
          <cell r="A84" t="str">
            <v>Y160M1-2/11</v>
          </cell>
          <cell r="B84">
            <v>9</v>
          </cell>
          <cell r="C84">
            <v>21.8</v>
          </cell>
          <cell r="D84">
            <v>2930</v>
          </cell>
          <cell r="E84">
            <v>87.2</v>
          </cell>
          <cell r="F84">
            <v>0.88</v>
          </cell>
          <cell r="G84">
            <v>2</v>
          </cell>
          <cell r="H84">
            <v>7</v>
          </cell>
          <cell r="I84">
            <v>2.3</v>
          </cell>
          <cell r="J84">
            <v>82</v>
          </cell>
          <cell r="K84">
            <v>87</v>
          </cell>
          <cell r="L84">
            <v>2.8</v>
          </cell>
          <cell r="M84">
            <v>115</v>
          </cell>
          <cell r="N84">
            <v>1659</v>
          </cell>
        </row>
        <row r="85">
          <cell r="A85" t="str">
            <v>Y160M1-2/11</v>
          </cell>
          <cell r="B85">
            <v>10</v>
          </cell>
          <cell r="C85">
            <v>21.8</v>
          </cell>
          <cell r="D85">
            <v>2930</v>
          </cell>
          <cell r="E85">
            <v>87.2</v>
          </cell>
          <cell r="F85">
            <v>0.88</v>
          </cell>
          <cell r="G85">
            <v>2</v>
          </cell>
          <cell r="H85">
            <v>7</v>
          </cell>
          <cell r="I85">
            <v>2.3</v>
          </cell>
          <cell r="J85">
            <v>82</v>
          </cell>
          <cell r="K85">
            <v>87</v>
          </cell>
          <cell r="L85">
            <v>2.8</v>
          </cell>
          <cell r="M85">
            <v>115</v>
          </cell>
          <cell r="N85">
            <v>1659</v>
          </cell>
        </row>
        <row r="86">
          <cell r="A86" t="str">
            <v>Y160M1-2/11</v>
          </cell>
          <cell r="B86">
            <v>11</v>
          </cell>
          <cell r="C86">
            <v>21.8</v>
          </cell>
          <cell r="D86">
            <v>2930</v>
          </cell>
          <cell r="E86">
            <v>87.2</v>
          </cell>
          <cell r="F86">
            <v>0.88</v>
          </cell>
          <cell r="G86">
            <v>2</v>
          </cell>
          <cell r="H86">
            <v>7</v>
          </cell>
          <cell r="I86">
            <v>2.3</v>
          </cell>
          <cell r="J86">
            <v>82</v>
          </cell>
          <cell r="K86">
            <v>87</v>
          </cell>
          <cell r="L86">
            <v>2.8</v>
          </cell>
          <cell r="M86">
            <v>115</v>
          </cell>
          <cell r="N86">
            <v>1659</v>
          </cell>
        </row>
        <row r="87">
          <cell r="A87" t="str">
            <v>Y160M2-2/15</v>
          </cell>
          <cell r="B87">
            <v>12</v>
          </cell>
          <cell r="C87">
            <v>29.4</v>
          </cell>
          <cell r="D87">
            <v>2930</v>
          </cell>
          <cell r="E87">
            <v>88.2</v>
          </cell>
          <cell r="F87">
            <v>0.88</v>
          </cell>
          <cell r="G87">
            <v>2</v>
          </cell>
          <cell r="H87">
            <v>7</v>
          </cell>
          <cell r="I87">
            <v>2.3</v>
          </cell>
          <cell r="J87">
            <v>82</v>
          </cell>
          <cell r="K87">
            <v>87</v>
          </cell>
          <cell r="L87">
            <v>2.8</v>
          </cell>
          <cell r="M87">
            <v>125</v>
          </cell>
          <cell r="N87">
            <v>1848</v>
          </cell>
        </row>
        <row r="88">
          <cell r="A88" t="str">
            <v>Y160M2-2/15</v>
          </cell>
          <cell r="B88">
            <v>13</v>
          </cell>
          <cell r="C88">
            <v>29.4</v>
          </cell>
          <cell r="D88">
            <v>2930</v>
          </cell>
          <cell r="E88">
            <v>88.2</v>
          </cell>
          <cell r="F88">
            <v>0.88</v>
          </cell>
          <cell r="G88">
            <v>2</v>
          </cell>
          <cell r="H88">
            <v>7</v>
          </cell>
          <cell r="I88">
            <v>2.3</v>
          </cell>
          <cell r="J88">
            <v>82</v>
          </cell>
          <cell r="K88">
            <v>87</v>
          </cell>
          <cell r="L88">
            <v>2.8</v>
          </cell>
          <cell r="M88">
            <v>125</v>
          </cell>
          <cell r="N88">
            <v>1848</v>
          </cell>
        </row>
        <row r="89">
          <cell r="A89" t="str">
            <v>Y160M2-2/15</v>
          </cell>
          <cell r="B89">
            <v>14</v>
          </cell>
          <cell r="C89">
            <v>29.4</v>
          </cell>
          <cell r="D89">
            <v>2930</v>
          </cell>
          <cell r="E89">
            <v>88.2</v>
          </cell>
          <cell r="F89">
            <v>0.88</v>
          </cell>
          <cell r="G89">
            <v>2</v>
          </cell>
          <cell r="H89">
            <v>7</v>
          </cell>
          <cell r="I89">
            <v>2.3</v>
          </cell>
          <cell r="J89">
            <v>82</v>
          </cell>
          <cell r="K89">
            <v>87</v>
          </cell>
          <cell r="L89">
            <v>2.8</v>
          </cell>
          <cell r="M89">
            <v>125</v>
          </cell>
          <cell r="N89">
            <v>1848</v>
          </cell>
        </row>
        <row r="90">
          <cell r="A90" t="str">
            <v>Y160M2-2/15</v>
          </cell>
          <cell r="B90">
            <v>15</v>
          </cell>
          <cell r="C90">
            <v>29.4</v>
          </cell>
          <cell r="D90">
            <v>2930</v>
          </cell>
          <cell r="E90">
            <v>88.2</v>
          </cell>
          <cell r="F90">
            <v>0.88</v>
          </cell>
          <cell r="G90">
            <v>2</v>
          </cell>
          <cell r="H90">
            <v>7</v>
          </cell>
          <cell r="I90">
            <v>2.3</v>
          </cell>
          <cell r="J90">
            <v>82</v>
          </cell>
          <cell r="K90">
            <v>87</v>
          </cell>
          <cell r="L90">
            <v>2.8</v>
          </cell>
          <cell r="M90">
            <v>125</v>
          </cell>
          <cell r="N90">
            <v>1848</v>
          </cell>
        </row>
        <row r="91">
          <cell r="A91" t="str">
            <v>Y160L-2/18.5</v>
          </cell>
          <cell r="B91">
            <v>16</v>
          </cell>
          <cell r="C91">
            <v>35.5</v>
          </cell>
          <cell r="D91">
            <v>2930</v>
          </cell>
          <cell r="E91">
            <v>89</v>
          </cell>
          <cell r="F91">
            <v>0.89</v>
          </cell>
          <cell r="G91">
            <v>2</v>
          </cell>
          <cell r="H91">
            <v>7</v>
          </cell>
          <cell r="I91">
            <v>2.2</v>
          </cell>
          <cell r="J91">
            <v>82</v>
          </cell>
          <cell r="K91">
            <v>87</v>
          </cell>
          <cell r="L91">
            <v>2.8</v>
          </cell>
          <cell r="M91">
            <v>145</v>
          </cell>
          <cell r="N91">
            <v>2009</v>
          </cell>
        </row>
        <row r="92">
          <cell r="A92" t="str">
            <v>Y160L-2/18.5</v>
          </cell>
          <cell r="B92">
            <v>17</v>
          </cell>
          <cell r="C92">
            <v>35.5</v>
          </cell>
          <cell r="D92">
            <v>2930</v>
          </cell>
          <cell r="E92">
            <v>89</v>
          </cell>
          <cell r="F92">
            <v>0.89</v>
          </cell>
          <cell r="G92">
            <v>2</v>
          </cell>
          <cell r="H92">
            <v>7</v>
          </cell>
          <cell r="I92">
            <v>2.2</v>
          </cell>
          <cell r="J92">
            <v>82</v>
          </cell>
          <cell r="K92">
            <v>87</v>
          </cell>
          <cell r="L92">
            <v>2.8</v>
          </cell>
          <cell r="M92">
            <v>145</v>
          </cell>
          <cell r="N92">
            <v>2009</v>
          </cell>
        </row>
        <row r="93">
          <cell r="A93" t="str">
            <v>Y160L-2/18.5</v>
          </cell>
          <cell r="B93">
            <v>18</v>
          </cell>
          <cell r="C93">
            <v>35.5</v>
          </cell>
          <cell r="D93">
            <v>2930</v>
          </cell>
          <cell r="E93">
            <v>89</v>
          </cell>
          <cell r="F93">
            <v>0.89</v>
          </cell>
          <cell r="G93">
            <v>2</v>
          </cell>
          <cell r="H93">
            <v>7</v>
          </cell>
          <cell r="I93">
            <v>2.2</v>
          </cell>
          <cell r="J93">
            <v>82</v>
          </cell>
          <cell r="K93">
            <v>87</v>
          </cell>
          <cell r="L93">
            <v>2.8</v>
          </cell>
          <cell r="M93">
            <v>145</v>
          </cell>
          <cell r="N93">
            <v>2009</v>
          </cell>
        </row>
        <row r="94">
          <cell r="A94" t="str">
            <v>Y160L-2/18.5</v>
          </cell>
          <cell r="B94">
            <v>18.5</v>
          </cell>
          <cell r="C94">
            <v>35.5</v>
          </cell>
          <cell r="D94">
            <v>2930</v>
          </cell>
          <cell r="E94">
            <v>89</v>
          </cell>
          <cell r="F94">
            <v>0.89</v>
          </cell>
          <cell r="G94">
            <v>2</v>
          </cell>
          <cell r="H94">
            <v>7</v>
          </cell>
          <cell r="I94">
            <v>2.2</v>
          </cell>
          <cell r="J94">
            <v>82</v>
          </cell>
          <cell r="K94">
            <v>87</v>
          </cell>
          <cell r="L94">
            <v>2.8</v>
          </cell>
          <cell r="M94">
            <v>145</v>
          </cell>
          <cell r="N94">
            <v>2009</v>
          </cell>
        </row>
        <row r="95">
          <cell r="A95" t="str">
            <v>Y180M-2/22</v>
          </cell>
          <cell r="B95">
            <v>19</v>
          </cell>
          <cell r="C95">
            <v>42.2</v>
          </cell>
          <cell r="D95">
            <v>2940</v>
          </cell>
          <cell r="E95">
            <v>89</v>
          </cell>
          <cell r="F95">
            <v>0.89</v>
          </cell>
          <cell r="G95">
            <v>2</v>
          </cell>
          <cell r="H95">
            <v>7</v>
          </cell>
          <cell r="I95">
            <v>2.2</v>
          </cell>
          <cell r="J95">
            <v>87</v>
          </cell>
          <cell r="K95">
            <v>92</v>
          </cell>
          <cell r="L95">
            <v>2.8</v>
          </cell>
          <cell r="M95">
            <v>173</v>
          </cell>
          <cell r="N95">
            <v>2485</v>
          </cell>
        </row>
        <row r="96">
          <cell r="A96" t="str">
            <v>Y180M-2/22</v>
          </cell>
          <cell r="B96">
            <v>20</v>
          </cell>
          <cell r="C96">
            <v>42.2</v>
          </cell>
          <cell r="D96">
            <v>2940</v>
          </cell>
          <cell r="E96">
            <v>89</v>
          </cell>
          <cell r="F96">
            <v>0.89</v>
          </cell>
          <cell r="G96">
            <v>2</v>
          </cell>
          <cell r="H96">
            <v>7</v>
          </cell>
          <cell r="I96">
            <v>2.2</v>
          </cell>
          <cell r="J96">
            <v>87</v>
          </cell>
          <cell r="K96">
            <v>92</v>
          </cell>
          <cell r="L96">
            <v>2.8</v>
          </cell>
          <cell r="M96">
            <v>173</v>
          </cell>
          <cell r="N96">
            <v>2485</v>
          </cell>
        </row>
        <row r="97">
          <cell r="A97" t="str">
            <v>Y180M-2/22</v>
          </cell>
          <cell r="B97">
            <v>21</v>
          </cell>
          <cell r="C97">
            <v>42.2</v>
          </cell>
          <cell r="D97">
            <v>2940</v>
          </cell>
          <cell r="E97">
            <v>89</v>
          </cell>
          <cell r="F97">
            <v>0.89</v>
          </cell>
          <cell r="G97">
            <v>2</v>
          </cell>
          <cell r="H97">
            <v>7</v>
          </cell>
          <cell r="I97">
            <v>2.2</v>
          </cell>
          <cell r="J97">
            <v>87</v>
          </cell>
          <cell r="K97">
            <v>92</v>
          </cell>
          <cell r="L97">
            <v>2.8</v>
          </cell>
          <cell r="M97">
            <v>173</v>
          </cell>
          <cell r="N97">
            <v>2485</v>
          </cell>
        </row>
        <row r="98">
          <cell r="A98" t="str">
            <v>Y180M-2/22</v>
          </cell>
          <cell r="B98">
            <v>22</v>
          </cell>
          <cell r="C98">
            <v>42.2</v>
          </cell>
          <cell r="D98">
            <v>2940</v>
          </cell>
          <cell r="E98">
            <v>89</v>
          </cell>
          <cell r="F98">
            <v>0.89</v>
          </cell>
          <cell r="G98">
            <v>2</v>
          </cell>
          <cell r="H98">
            <v>7</v>
          </cell>
          <cell r="I98">
            <v>2.2</v>
          </cell>
          <cell r="J98">
            <v>87</v>
          </cell>
          <cell r="K98">
            <v>92</v>
          </cell>
          <cell r="L98">
            <v>2.8</v>
          </cell>
          <cell r="M98">
            <v>173</v>
          </cell>
          <cell r="N98">
            <v>2485</v>
          </cell>
        </row>
        <row r="99">
          <cell r="A99" t="str">
            <v>Y200L1-2/30</v>
          </cell>
          <cell r="B99">
            <v>23</v>
          </cell>
          <cell r="C99">
            <v>56.9</v>
          </cell>
          <cell r="D99">
            <v>2950</v>
          </cell>
          <cell r="E99">
            <v>90</v>
          </cell>
          <cell r="F99">
            <v>0.89</v>
          </cell>
          <cell r="G99">
            <v>2</v>
          </cell>
          <cell r="H99">
            <v>7</v>
          </cell>
          <cell r="I99">
            <v>2.2</v>
          </cell>
          <cell r="J99">
            <v>90</v>
          </cell>
          <cell r="K99">
            <v>95</v>
          </cell>
          <cell r="L99">
            <v>2.8</v>
          </cell>
          <cell r="M99">
            <v>232</v>
          </cell>
          <cell r="N99">
            <v>3332</v>
          </cell>
        </row>
        <row r="100">
          <cell r="A100" t="str">
            <v>Y200L1-2/30</v>
          </cell>
          <cell r="B100">
            <v>24</v>
          </cell>
          <cell r="C100">
            <v>56.9</v>
          </cell>
          <cell r="D100">
            <v>2950</v>
          </cell>
          <cell r="E100">
            <v>90</v>
          </cell>
          <cell r="F100">
            <v>0.89</v>
          </cell>
          <cell r="G100">
            <v>2</v>
          </cell>
          <cell r="H100">
            <v>7</v>
          </cell>
          <cell r="I100">
            <v>2.2</v>
          </cell>
          <cell r="J100">
            <v>90</v>
          </cell>
          <cell r="K100">
            <v>95</v>
          </cell>
          <cell r="L100">
            <v>2.8</v>
          </cell>
          <cell r="M100">
            <v>232</v>
          </cell>
          <cell r="N100">
            <v>3332</v>
          </cell>
        </row>
        <row r="101">
          <cell r="A101" t="str">
            <v>Y200L1-2/30</v>
          </cell>
          <cell r="B101">
            <v>25</v>
          </cell>
          <cell r="C101">
            <v>56.9</v>
          </cell>
          <cell r="D101">
            <v>2950</v>
          </cell>
          <cell r="E101">
            <v>90</v>
          </cell>
          <cell r="F101">
            <v>0.89</v>
          </cell>
          <cell r="G101">
            <v>2</v>
          </cell>
          <cell r="H101">
            <v>7</v>
          </cell>
          <cell r="I101">
            <v>2.2</v>
          </cell>
          <cell r="J101">
            <v>90</v>
          </cell>
          <cell r="K101">
            <v>95</v>
          </cell>
          <cell r="L101">
            <v>2.8</v>
          </cell>
          <cell r="M101">
            <v>232</v>
          </cell>
          <cell r="N101">
            <v>3332</v>
          </cell>
        </row>
        <row r="102">
          <cell r="A102" t="str">
            <v>Y200L1-2/30</v>
          </cell>
          <cell r="B102">
            <v>26</v>
          </cell>
          <cell r="C102">
            <v>56.9</v>
          </cell>
          <cell r="D102">
            <v>2950</v>
          </cell>
          <cell r="E102">
            <v>90</v>
          </cell>
          <cell r="F102">
            <v>0.89</v>
          </cell>
          <cell r="G102">
            <v>2</v>
          </cell>
          <cell r="H102">
            <v>7</v>
          </cell>
          <cell r="I102">
            <v>2.2</v>
          </cell>
          <cell r="J102">
            <v>90</v>
          </cell>
          <cell r="K102">
            <v>95</v>
          </cell>
          <cell r="L102">
            <v>2.8</v>
          </cell>
          <cell r="M102">
            <v>232</v>
          </cell>
          <cell r="N102">
            <v>3332</v>
          </cell>
        </row>
        <row r="103">
          <cell r="A103" t="str">
            <v>Y200L1-2/30</v>
          </cell>
          <cell r="B103">
            <v>27</v>
          </cell>
          <cell r="C103">
            <v>56.9</v>
          </cell>
          <cell r="D103">
            <v>2950</v>
          </cell>
          <cell r="E103">
            <v>90</v>
          </cell>
          <cell r="F103">
            <v>0.89</v>
          </cell>
          <cell r="G103">
            <v>2</v>
          </cell>
          <cell r="H103">
            <v>7</v>
          </cell>
          <cell r="I103">
            <v>2.2</v>
          </cell>
          <cell r="J103">
            <v>90</v>
          </cell>
          <cell r="K103">
            <v>95</v>
          </cell>
          <cell r="L103">
            <v>2.8</v>
          </cell>
          <cell r="M103">
            <v>232</v>
          </cell>
          <cell r="N103">
            <v>3332</v>
          </cell>
        </row>
        <row r="104">
          <cell r="A104" t="str">
            <v>Y200L1-2/30</v>
          </cell>
          <cell r="B104">
            <v>28</v>
          </cell>
          <cell r="C104">
            <v>56.9</v>
          </cell>
          <cell r="D104">
            <v>2950</v>
          </cell>
          <cell r="E104">
            <v>90</v>
          </cell>
          <cell r="F104">
            <v>0.89</v>
          </cell>
          <cell r="G104">
            <v>2</v>
          </cell>
          <cell r="H104">
            <v>7</v>
          </cell>
          <cell r="I104">
            <v>2.2</v>
          </cell>
          <cell r="J104">
            <v>90</v>
          </cell>
          <cell r="K104">
            <v>95</v>
          </cell>
          <cell r="L104">
            <v>2.8</v>
          </cell>
          <cell r="M104">
            <v>232</v>
          </cell>
          <cell r="N104">
            <v>3332</v>
          </cell>
        </row>
        <row r="105">
          <cell r="A105" t="str">
            <v>Y200L1-2/30</v>
          </cell>
          <cell r="B105">
            <v>29</v>
          </cell>
          <cell r="C105">
            <v>56.9</v>
          </cell>
          <cell r="D105">
            <v>2950</v>
          </cell>
          <cell r="E105">
            <v>90</v>
          </cell>
          <cell r="F105">
            <v>0.89</v>
          </cell>
          <cell r="G105">
            <v>2</v>
          </cell>
          <cell r="H105">
            <v>7</v>
          </cell>
          <cell r="I105">
            <v>2.2</v>
          </cell>
          <cell r="J105">
            <v>90</v>
          </cell>
          <cell r="K105">
            <v>95</v>
          </cell>
          <cell r="L105">
            <v>2.8</v>
          </cell>
          <cell r="M105">
            <v>232</v>
          </cell>
          <cell r="N105">
            <v>3332</v>
          </cell>
        </row>
        <row r="106">
          <cell r="A106" t="str">
            <v>Y200L1-2/30</v>
          </cell>
          <cell r="B106">
            <v>30</v>
          </cell>
          <cell r="C106">
            <v>56.9</v>
          </cell>
          <cell r="D106">
            <v>2950</v>
          </cell>
          <cell r="E106">
            <v>90</v>
          </cell>
          <cell r="F106">
            <v>0.89</v>
          </cell>
          <cell r="G106">
            <v>2</v>
          </cell>
          <cell r="H106">
            <v>7</v>
          </cell>
          <cell r="I106">
            <v>2.2</v>
          </cell>
          <cell r="J106">
            <v>90</v>
          </cell>
          <cell r="K106">
            <v>95</v>
          </cell>
          <cell r="L106">
            <v>2.8</v>
          </cell>
          <cell r="M106">
            <v>232</v>
          </cell>
          <cell r="N106">
            <v>3332</v>
          </cell>
        </row>
        <row r="107">
          <cell r="A107" t="str">
            <v>Y200L2-2/37</v>
          </cell>
          <cell r="B107">
            <v>31</v>
          </cell>
          <cell r="C107">
            <v>69.8</v>
          </cell>
          <cell r="D107">
            <v>2950</v>
          </cell>
          <cell r="E107">
            <v>90.5</v>
          </cell>
          <cell r="F107">
            <v>0.89</v>
          </cell>
          <cell r="G107">
            <v>2</v>
          </cell>
          <cell r="H107">
            <v>7</v>
          </cell>
          <cell r="I107">
            <v>2.2</v>
          </cell>
          <cell r="J107">
            <v>90</v>
          </cell>
          <cell r="K107">
            <v>95</v>
          </cell>
          <cell r="L107">
            <v>2.8</v>
          </cell>
          <cell r="M107">
            <v>250</v>
          </cell>
          <cell r="N107">
            <v>3682</v>
          </cell>
        </row>
        <row r="108">
          <cell r="A108" t="str">
            <v>Y200L2-2/37</v>
          </cell>
          <cell r="B108">
            <v>32</v>
          </cell>
          <cell r="C108">
            <v>69.8</v>
          </cell>
          <cell r="D108">
            <v>2950</v>
          </cell>
          <cell r="E108">
            <v>90.5</v>
          </cell>
          <cell r="F108">
            <v>0.89</v>
          </cell>
          <cell r="G108">
            <v>2</v>
          </cell>
          <cell r="H108">
            <v>7</v>
          </cell>
          <cell r="I108">
            <v>2.2</v>
          </cell>
          <cell r="J108">
            <v>90</v>
          </cell>
          <cell r="K108">
            <v>95</v>
          </cell>
          <cell r="L108">
            <v>2.8</v>
          </cell>
          <cell r="M108">
            <v>250</v>
          </cell>
          <cell r="N108">
            <v>3682</v>
          </cell>
        </row>
        <row r="109">
          <cell r="A109" t="str">
            <v>Y200L2-2/37</v>
          </cell>
          <cell r="B109">
            <v>33</v>
          </cell>
          <cell r="C109">
            <v>69.8</v>
          </cell>
          <cell r="D109">
            <v>2950</v>
          </cell>
          <cell r="E109">
            <v>90.5</v>
          </cell>
          <cell r="F109">
            <v>0.89</v>
          </cell>
          <cell r="G109">
            <v>2</v>
          </cell>
          <cell r="H109">
            <v>7</v>
          </cell>
          <cell r="I109">
            <v>2.2</v>
          </cell>
          <cell r="J109">
            <v>90</v>
          </cell>
          <cell r="K109">
            <v>95</v>
          </cell>
          <cell r="L109">
            <v>2.8</v>
          </cell>
          <cell r="M109">
            <v>250</v>
          </cell>
          <cell r="N109">
            <v>3682</v>
          </cell>
        </row>
        <row r="110">
          <cell r="A110" t="str">
            <v>Y200L2-2/37</v>
          </cell>
          <cell r="B110">
            <v>34</v>
          </cell>
          <cell r="C110">
            <v>69.8</v>
          </cell>
          <cell r="D110">
            <v>2950</v>
          </cell>
          <cell r="E110">
            <v>90.5</v>
          </cell>
          <cell r="F110">
            <v>0.89</v>
          </cell>
          <cell r="G110">
            <v>2</v>
          </cell>
          <cell r="H110">
            <v>7</v>
          </cell>
          <cell r="I110">
            <v>2.2</v>
          </cell>
          <cell r="J110">
            <v>90</v>
          </cell>
          <cell r="K110">
            <v>95</v>
          </cell>
          <cell r="L110">
            <v>2.8</v>
          </cell>
          <cell r="M110">
            <v>250</v>
          </cell>
          <cell r="N110">
            <v>3682</v>
          </cell>
        </row>
        <row r="111">
          <cell r="A111" t="str">
            <v>Y200L2-2/37</v>
          </cell>
          <cell r="B111">
            <v>35</v>
          </cell>
          <cell r="C111">
            <v>69.8</v>
          </cell>
          <cell r="D111">
            <v>2950</v>
          </cell>
          <cell r="E111">
            <v>90.5</v>
          </cell>
          <cell r="F111">
            <v>0.89</v>
          </cell>
          <cell r="G111">
            <v>2</v>
          </cell>
          <cell r="H111">
            <v>7</v>
          </cell>
          <cell r="I111">
            <v>2.2</v>
          </cell>
          <cell r="J111">
            <v>90</v>
          </cell>
          <cell r="K111">
            <v>95</v>
          </cell>
          <cell r="L111">
            <v>2.8</v>
          </cell>
          <cell r="M111">
            <v>250</v>
          </cell>
          <cell r="N111">
            <v>3682</v>
          </cell>
        </row>
        <row r="112">
          <cell r="A112" t="str">
            <v>Y200L2-2/37</v>
          </cell>
          <cell r="B112">
            <v>36</v>
          </cell>
          <cell r="C112">
            <v>69.8</v>
          </cell>
          <cell r="D112">
            <v>2950</v>
          </cell>
          <cell r="E112">
            <v>90.5</v>
          </cell>
          <cell r="F112">
            <v>0.89</v>
          </cell>
          <cell r="G112">
            <v>2</v>
          </cell>
          <cell r="H112">
            <v>7</v>
          </cell>
          <cell r="I112">
            <v>2.2</v>
          </cell>
          <cell r="J112">
            <v>90</v>
          </cell>
          <cell r="K112">
            <v>95</v>
          </cell>
          <cell r="L112">
            <v>2.8</v>
          </cell>
          <cell r="M112">
            <v>250</v>
          </cell>
          <cell r="N112">
            <v>3682</v>
          </cell>
        </row>
        <row r="113">
          <cell r="A113" t="str">
            <v>Y200L2-2/37</v>
          </cell>
          <cell r="B113">
            <v>37</v>
          </cell>
          <cell r="C113">
            <v>69.8</v>
          </cell>
          <cell r="D113">
            <v>2950</v>
          </cell>
          <cell r="E113">
            <v>90.5</v>
          </cell>
          <cell r="F113">
            <v>0.89</v>
          </cell>
          <cell r="G113">
            <v>2</v>
          </cell>
          <cell r="H113">
            <v>7</v>
          </cell>
          <cell r="I113">
            <v>2.2</v>
          </cell>
          <cell r="J113">
            <v>90</v>
          </cell>
          <cell r="K113">
            <v>95</v>
          </cell>
          <cell r="L113">
            <v>2.8</v>
          </cell>
          <cell r="M113">
            <v>250</v>
          </cell>
          <cell r="N113">
            <v>3682</v>
          </cell>
        </row>
        <row r="114">
          <cell r="A114" t="str">
            <v>Y225M-2/45</v>
          </cell>
          <cell r="B114">
            <v>38</v>
          </cell>
          <cell r="C114">
            <v>84</v>
          </cell>
          <cell r="D114">
            <v>2970</v>
          </cell>
          <cell r="E114">
            <v>91.5</v>
          </cell>
          <cell r="F114">
            <v>0.89</v>
          </cell>
          <cell r="G114">
            <v>2</v>
          </cell>
          <cell r="H114">
            <v>7</v>
          </cell>
          <cell r="I114">
            <v>2.2</v>
          </cell>
          <cell r="J114">
            <v>90</v>
          </cell>
          <cell r="K114">
            <v>97</v>
          </cell>
          <cell r="L114">
            <v>2.8</v>
          </cell>
          <cell r="M114">
            <v>312</v>
          </cell>
          <cell r="N114">
            <v>4830</v>
          </cell>
        </row>
        <row r="115">
          <cell r="A115" t="str">
            <v>Y225M-2/45</v>
          </cell>
          <cell r="B115">
            <v>39</v>
          </cell>
          <cell r="C115">
            <v>84</v>
          </cell>
          <cell r="D115">
            <v>2970</v>
          </cell>
          <cell r="E115">
            <v>91.5</v>
          </cell>
          <cell r="F115">
            <v>0.89</v>
          </cell>
          <cell r="G115">
            <v>2</v>
          </cell>
          <cell r="H115">
            <v>7</v>
          </cell>
          <cell r="I115">
            <v>2.2</v>
          </cell>
          <cell r="J115">
            <v>90</v>
          </cell>
          <cell r="K115">
            <v>97</v>
          </cell>
          <cell r="L115">
            <v>2.8</v>
          </cell>
          <cell r="M115">
            <v>312</v>
          </cell>
          <cell r="N115">
            <v>4830</v>
          </cell>
        </row>
        <row r="116">
          <cell r="A116" t="str">
            <v>Y225M-2/45</v>
          </cell>
          <cell r="B116">
            <v>40</v>
          </cell>
          <cell r="C116">
            <v>84</v>
          </cell>
          <cell r="D116">
            <v>2970</v>
          </cell>
          <cell r="E116">
            <v>91.5</v>
          </cell>
          <cell r="F116">
            <v>0.89</v>
          </cell>
          <cell r="G116">
            <v>2</v>
          </cell>
          <cell r="H116">
            <v>7</v>
          </cell>
          <cell r="I116">
            <v>2.2</v>
          </cell>
          <cell r="J116">
            <v>90</v>
          </cell>
          <cell r="K116">
            <v>97</v>
          </cell>
          <cell r="L116">
            <v>2.8</v>
          </cell>
          <cell r="M116">
            <v>312</v>
          </cell>
          <cell r="N116">
            <v>4830</v>
          </cell>
        </row>
        <row r="117">
          <cell r="A117" t="str">
            <v>Y225M-2/45</v>
          </cell>
          <cell r="B117">
            <v>41</v>
          </cell>
          <cell r="C117">
            <v>84</v>
          </cell>
          <cell r="D117">
            <v>2970</v>
          </cell>
          <cell r="E117">
            <v>91.5</v>
          </cell>
          <cell r="F117">
            <v>0.89</v>
          </cell>
          <cell r="G117">
            <v>2</v>
          </cell>
          <cell r="H117">
            <v>7</v>
          </cell>
          <cell r="I117">
            <v>2.2</v>
          </cell>
          <cell r="J117">
            <v>90</v>
          </cell>
          <cell r="K117">
            <v>97</v>
          </cell>
          <cell r="L117">
            <v>2.8</v>
          </cell>
          <cell r="M117">
            <v>312</v>
          </cell>
          <cell r="N117">
            <v>4830</v>
          </cell>
        </row>
        <row r="118">
          <cell r="A118" t="str">
            <v>Y225M-2/45</v>
          </cell>
          <cell r="B118">
            <v>42</v>
          </cell>
          <cell r="C118">
            <v>84</v>
          </cell>
          <cell r="D118">
            <v>2970</v>
          </cell>
          <cell r="E118">
            <v>91.5</v>
          </cell>
          <cell r="F118">
            <v>0.89</v>
          </cell>
          <cell r="G118">
            <v>2</v>
          </cell>
          <cell r="H118">
            <v>7</v>
          </cell>
          <cell r="I118">
            <v>2.2</v>
          </cell>
          <cell r="J118">
            <v>90</v>
          </cell>
          <cell r="K118">
            <v>97</v>
          </cell>
          <cell r="L118">
            <v>2.8</v>
          </cell>
          <cell r="M118">
            <v>312</v>
          </cell>
          <cell r="N118">
            <v>4830</v>
          </cell>
        </row>
        <row r="119">
          <cell r="A119" t="str">
            <v>Y225M-2/45</v>
          </cell>
          <cell r="B119">
            <v>43</v>
          </cell>
          <cell r="C119">
            <v>84</v>
          </cell>
          <cell r="D119">
            <v>2970</v>
          </cell>
          <cell r="E119">
            <v>91.5</v>
          </cell>
          <cell r="F119">
            <v>0.89</v>
          </cell>
          <cell r="G119">
            <v>2</v>
          </cell>
          <cell r="H119">
            <v>7</v>
          </cell>
          <cell r="I119">
            <v>2.2</v>
          </cell>
          <cell r="J119">
            <v>90</v>
          </cell>
          <cell r="K119">
            <v>97</v>
          </cell>
          <cell r="L119">
            <v>2.8</v>
          </cell>
          <cell r="M119">
            <v>312</v>
          </cell>
          <cell r="N119">
            <v>4830</v>
          </cell>
        </row>
        <row r="120">
          <cell r="A120" t="str">
            <v>Y225M-2/45</v>
          </cell>
          <cell r="B120">
            <v>44</v>
          </cell>
          <cell r="C120">
            <v>84</v>
          </cell>
          <cell r="D120">
            <v>2970</v>
          </cell>
          <cell r="E120">
            <v>91.5</v>
          </cell>
          <cell r="F120">
            <v>0.89</v>
          </cell>
          <cell r="G120">
            <v>2</v>
          </cell>
          <cell r="H120">
            <v>7</v>
          </cell>
          <cell r="I120">
            <v>2.2</v>
          </cell>
          <cell r="J120">
            <v>90</v>
          </cell>
          <cell r="K120">
            <v>97</v>
          </cell>
          <cell r="L120">
            <v>2.8</v>
          </cell>
          <cell r="M120">
            <v>312</v>
          </cell>
          <cell r="N120">
            <v>4830</v>
          </cell>
        </row>
        <row r="121">
          <cell r="A121" t="str">
            <v>Y225M-2/45</v>
          </cell>
          <cell r="B121">
            <v>45</v>
          </cell>
          <cell r="C121">
            <v>84</v>
          </cell>
          <cell r="D121">
            <v>2970</v>
          </cell>
          <cell r="E121">
            <v>91.5</v>
          </cell>
          <cell r="F121">
            <v>0.89</v>
          </cell>
          <cell r="G121">
            <v>2</v>
          </cell>
          <cell r="H121">
            <v>7</v>
          </cell>
          <cell r="I121">
            <v>2.2</v>
          </cell>
          <cell r="J121">
            <v>90</v>
          </cell>
          <cell r="K121">
            <v>97</v>
          </cell>
          <cell r="L121">
            <v>2.8</v>
          </cell>
          <cell r="M121">
            <v>312</v>
          </cell>
          <cell r="N121">
            <v>4830</v>
          </cell>
        </row>
        <row r="122">
          <cell r="A122" t="str">
            <v>Y250M-2/55</v>
          </cell>
          <cell r="B122">
            <v>46</v>
          </cell>
          <cell r="C122">
            <v>103</v>
          </cell>
          <cell r="D122">
            <v>2970</v>
          </cell>
          <cell r="E122">
            <v>91.5</v>
          </cell>
          <cell r="F122">
            <v>0.89</v>
          </cell>
          <cell r="G122">
            <v>2</v>
          </cell>
          <cell r="H122">
            <v>7</v>
          </cell>
          <cell r="I122">
            <v>2.2</v>
          </cell>
          <cell r="J122">
            <v>92</v>
          </cell>
          <cell r="K122">
            <v>97</v>
          </cell>
          <cell r="L122">
            <v>4.5</v>
          </cell>
          <cell r="M122">
            <v>387</v>
          </cell>
          <cell r="N122">
            <v>6034</v>
          </cell>
        </row>
        <row r="123">
          <cell r="A123" t="str">
            <v>Y250M-2/55</v>
          </cell>
          <cell r="B123">
            <v>47</v>
          </cell>
          <cell r="C123">
            <v>103</v>
          </cell>
          <cell r="D123">
            <v>2970</v>
          </cell>
          <cell r="E123">
            <v>91.5</v>
          </cell>
          <cell r="F123">
            <v>0.89</v>
          </cell>
          <cell r="G123">
            <v>2</v>
          </cell>
          <cell r="H123">
            <v>7</v>
          </cell>
          <cell r="I123">
            <v>2.2</v>
          </cell>
          <cell r="J123">
            <v>92</v>
          </cell>
          <cell r="K123">
            <v>97</v>
          </cell>
          <cell r="L123">
            <v>4.5</v>
          </cell>
          <cell r="M123">
            <v>387</v>
          </cell>
          <cell r="N123">
            <v>6034</v>
          </cell>
        </row>
        <row r="124">
          <cell r="A124" t="str">
            <v>Y250M-2/55</v>
          </cell>
          <cell r="B124">
            <v>48</v>
          </cell>
          <cell r="C124">
            <v>103</v>
          </cell>
          <cell r="D124">
            <v>2970</v>
          </cell>
          <cell r="E124">
            <v>91.5</v>
          </cell>
          <cell r="F124">
            <v>0.89</v>
          </cell>
          <cell r="G124">
            <v>2</v>
          </cell>
          <cell r="H124">
            <v>7</v>
          </cell>
          <cell r="I124">
            <v>2.2</v>
          </cell>
          <cell r="J124">
            <v>92</v>
          </cell>
          <cell r="K124">
            <v>97</v>
          </cell>
          <cell r="L124">
            <v>4.5</v>
          </cell>
          <cell r="M124">
            <v>387</v>
          </cell>
          <cell r="N124">
            <v>6034</v>
          </cell>
        </row>
        <row r="125">
          <cell r="A125" t="str">
            <v>Y250M-2/55</v>
          </cell>
          <cell r="B125">
            <v>49</v>
          </cell>
          <cell r="C125">
            <v>103</v>
          </cell>
          <cell r="D125">
            <v>2970</v>
          </cell>
          <cell r="E125">
            <v>91.5</v>
          </cell>
          <cell r="F125">
            <v>0.89</v>
          </cell>
          <cell r="G125">
            <v>2</v>
          </cell>
          <cell r="H125">
            <v>7</v>
          </cell>
          <cell r="I125">
            <v>2.2</v>
          </cell>
          <cell r="J125">
            <v>92</v>
          </cell>
          <cell r="K125">
            <v>97</v>
          </cell>
          <cell r="L125">
            <v>4.5</v>
          </cell>
          <cell r="M125">
            <v>387</v>
          </cell>
          <cell r="N125">
            <v>6034</v>
          </cell>
        </row>
        <row r="126">
          <cell r="A126" t="str">
            <v>Y250M-2/55</v>
          </cell>
          <cell r="B126">
            <v>50</v>
          </cell>
          <cell r="C126">
            <v>103</v>
          </cell>
          <cell r="D126">
            <v>2970</v>
          </cell>
          <cell r="E126">
            <v>91.5</v>
          </cell>
          <cell r="F126">
            <v>0.89</v>
          </cell>
          <cell r="G126">
            <v>2</v>
          </cell>
          <cell r="H126">
            <v>7</v>
          </cell>
          <cell r="I126">
            <v>2.2</v>
          </cell>
          <cell r="J126">
            <v>92</v>
          </cell>
          <cell r="K126">
            <v>97</v>
          </cell>
          <cell r="L126">
            <v>4.5</v>
          </cell>
          <cell r="M126">
            <v>387</v>
          </cell>
          <cell r="N126">
            <v>6034</v>
          </cell>
        </row>
        <row r="127">
          <cell r="A127" t="str">
            <v>Y250M-2/55</v>
          </cell>
          <cell r="B127">
            <v>51</v>
          </cell>
          <cell r="C127">
            <v>103</v>
          </cell>
          <cell r="D127">
            <v>2970</v>
          </cell>
          <cell r="E127">
            <v>91.5</v>
          </cell>
          <cell r="F127">
            <v>0.89</v>
          </cell>
          <cell r="G127">
            <v>2</v>
          </cell>
          <cell r="H127">
            <v>7</v>
          </cell>
          <cell r="I127">
            <v>2.2</v>
          </cell>
          <cell r="J127">
            <v>92</v>
          </cell>
          <cell r="K127">
            <v>97</v>
          </cell>
          <cell r="L127">
            <v>4.5</v>
          </cell>
          <cell r="M127">
            <v>387</v>
          </cell>
          <cell r="N127">
            <v>6034</v>
          </cell>
        </row>
        <row r="128">
          <cell r="A128" t="str">
            <v>Y250M-2/55</v>
          </cell>
          <cell r="B128">
            <v>52</v>
          </cell>
          <cell r="C128">
            <v>103</v>
          </cell>
          <cell r="D128">
            <v>2970</v>
          </cell>
          <cell r="E128">
            <v>91.5</v>
          </cell>
          <cell r="F128">
            <v>0.89</v>
          </cell>
          <cell r="G128">
            <v>2</v>
          </cell>
          <cell r="H128">
            <v>7</v>
          </cell>
          <cell r="I128">
            <v>2.2</v>
          </cell>
          <cell r="J128">
            <v>92</v>
          </cell>
          <cell r="K128">
            <v>97</v>
          </cell>
          <cell r="L128">
            <v>4.5</v>
          </cell>
          <cell r="M128">
            <v>387</v>
          </cell>
          <cell r="N128">
            <v>6034</v>
          </cell>
        </row>
        <row r="129">
          <cell r="A129" t="str">
            <v>Y250M-2/55</v>
          </cell>
          <cell r="B129">
            <v>53</v>
          </cell>
          <cell r="C129">
            <v>103</v>
          </cell>
          <cell r="D129">
            <v>2970</v>
          </cell>
          <cell r="E129">
            <v>91.5</v>
          </cell>
          <cell r="F129">
            <v>0.89</v>
          </cell>
          <cell r="G129">
            <v>2</v>
          </cell>
          <cell r="H129">
            <v>7</v>
          </cell>
          <cell r="I129">
            <v>2.2</v>
          </cell>
          <cell r="J129">
            <v>92</v>
          </cell>
          <cell r="K129">
            <v>97</v>
          </cell>
          <cell r="L129">
            <v>4.5</v>
          </cell>
          <cell r="M129">
            <v>387</v>
          </cell>
          <cell r="N129">
            <v>6034</v>
          </cell>
        </row>
        <row r="130">
          <cell r="A130" t="str">
            <v>Y250M-2/55</v>
          </cell>
          <cell r="B130">
            <v>54</v>
          </cell>
          <cell r="C130">
            <v>103</v>
          </cell>
          <cell r="D130">
            <v>2970</v>
          </cell>
          <cell r="E130">
            <v>91.5</v>
          </cell>
          <cell r="F130">
            <v>0.89</v>
          </cell>
          <cell r="G130">
            <v>2</v>
          </cell>
          <cell r="H130">
            <v>7</v>
          </cell>
          <cell r="I130">
            <v>2.2</v>
          </cell>
          <cell r="J130">
            <v>92</v>
          </cell>
          <cell r="K130">
            <v>97</v>
          </cell>
          <cell r="L130">
            <v>4.5</v>
          </cell>
          <cell r="M130">
            <v>387</v>
          </cell>
          <cell r="N130">
            <v>6034</v>
          </cell>
        </row>
        <row r="131">
          <cell r="A131" t="str">
            <v>Y250M-2/55</v>
          </cell>
          <cell r="B131">
            <v>55</v>
          </cell>
          <cell r="C131">
            <v>103</v>
          </cell>
          <cell r="D131">
            <v>2970</v>
          </cell>
          <cell r="E131">
            <v>91.5</v>
          </cell>
          <cell r="F131">
            <v>0.89</v>
          </cell>
          <cell r="G131">
            <v>2</v>
          </cell>
          <cell r="H131">
            <v>7</v>
          </cell>
          <cell r="I131">
            <v>2.2</v>
          </cell>
          <cell r="J131">
            <v>92</v>
          </cell>
          <cell r="K131">
            <v>97</v>
          </cell>
          <cell r="L131">
            <v>4.5</v>
          </cell>
          <cell r="M131">
            <v>387</v>
          </cell>
          <cell r="N131">
            <v>6034</v>
          </cell>
        </row>
        <row r="132">
          <cell r="A132" t="str">
            <v>Y280S-2/75</v>
          </cell>
          <cell r="B132">
            <v>56</v>
          </cell>
          <cell r="C132">
            <v>139</v>
          </cell>
          <cell r="D132">
            <v>2970</v>
          </cell>
          <cell r="E132">
            <v>92</v>
          </cell>
          <cell r="F132">
            <v>0.89</v>
          </cell>
          <cell r="G132">
            <v>2</v>
          </cell>
          <cell r="H132">
            <v>7</v>
          </cell>
          <cell r="I132">
            <v>2.2</v>
          </cell>
          <cell r="J132">
            <v>94</v>
          </cell>
          <cell r="K132">
            <v>99</v>
          </cell>
          <cell r="L132">
            <v>4.5</v>
          </cell>
          <cell r="M132">
            <v>515</v>
          </cell>
          <cell r="N132">
            <v>7462</v>
          </cell>
        </row>
        <row r="133">
          <cell r="A133" t="str">
            <v>Y280S-2/75</v>
          </cell>
          <cell r="B133">
            <v>57</v>
          </cell>
          <cell r="C133">
            <v>139</v>
          </cell>
          <cell r="D133">
            <v>2970</v>
          </cell>
          <cell r="E133">
            <v>92</v>
          </cell>
          <cell r="F133">
            <v>0.89</v>
          </cell>
          <cell r="G133">
            <v>2</v>
          </cell>
          <cell r="H133">
            <v>7</v>
          </cell>
          <cell r="I133">
            <v>2.2</v>
          </cell>
          <cell r="J133">
            <v>94</v>
          </cell>
          <cell r="K133">
            <v>99</v>
          </cell>
          <cell r="L133">
            <v>4.5</v>
          </cell>
          <cell r="M133">
            <v>515</v>
          </cell>
          <cell r="N133">
            <v>7462</v>
          </cell>
        </row>
        <row r="134">
          <cell r="A134" t="str">
            <v>Y280S-2/75</v>
          </cell>
          <cell r="B134">
            <v>58</v>
          </cell>
          <cell r="C134">
            <v>139</v>
          </cell>
          <cell r="D134">
            <v>2970</v>
          </cell>
          <cell r="E134">
            <v>92</v>
          </cell>
          <cell r="F134">
            <v>0.89</v>
          </cell>
          <cell r="G134">
            <v>2</v>
          </cell>
          <cell r="H134">
            <v>7</v>
          </cell>
          <cell r="I134">
            <v>2.2</v>
          </cell>
          <cell r="J134">
            <v>94</v>
          </cell>
          <cell r="K134">
            <v>99</v>
          </cell>
          <cell r="L134">
            <v>4.5</v>
          </cell>
          <cell r="M134">
            <v>515</v>
          </cell>
          <cell r="N134">
            <v>7462</v>
          </cell>
        </row>
        <row r="135">
          <cell r="A135" t="str">
            <v>Y280S-2/75</v>
          </cell>
          <cell r="B135">
            <v>59</v>
          </cell>
          <cell r="C135">
            <v>139</v>
          </cell>
          <cell r="D135">
            <v>2970</v>
          </cell>
          <cell r="E135">
            <v>92</v>
          </cell>
          <cell r="F135">
            <v>0.89</v>
          </cell>
          <cell r="G135">
            <v>2</v>
          </cell>
          <cell r="H135">
            <v>7</v>
          </cell>
          <cell r="I135">
            <v>2.2</v>
          </cell>
          <cell r="J135">
            <v>94</v>
          </cell>
          <cell r="K135">
            <v>99</v>
          </cell>
          <cell r="L135">
            <v>4.5</v>
          </cell>
          <cell r="M135">
            <v>515</v>
          </cell>
          <cell r="N135">
            <v>7462</v>
          </cell>
        </row>
        <row r="136">
          <cell r="A136" t="str">
            <v>Y280S-2/75</v>
          </cell>
          <cell r="B136">
            <v>60</v>
          </cell>
          <cell r="C136">
            <v>139</v>
          </cell>
          <cell r="D136">
            <v>2970</v>
          </cell>
          <cell r="E136">
            <v>92</v>
          </cell>
          <cell r="F136">
            <v>0.89</v>
          </cell>
          <cell r="G136">
            <v>2</v>
          </cell>
          <cell r="H136">
            <v>7</v>
          </cell>
          <cell r="I136">
            <v>2.2</v>
          </cell>
          <cell r="J136">
            <v>94</v>
          </cell>
          <cell r="K136">
            <v>99</v>
          </cell>
          <cell r="L136">
            <v>4.5</v>
          </cell>
          <cell r="M136">
            <v>515</v>
          </cell>
          <cell r="N136">
            <v>7462</v>
          </cell>
        </row>
        <row r="137">
          <cell r="A137" t="str">
            <v>Y280S-2/75</v>
          </cell>
          <cell r="B137">
            <v>61</v>
          </cell>
          <cell r="C137">
            <v>139</v>
          </cell>
          <cell r="D137">
            <v>2970</v>
          </cell>
          <cell r="E137">
            <v>92</v>
          </cell>
          <cell r="F137">
            <v>0.89</v>
          </cell>
          <cell r="G137">
            <v>2</v>
          </cell>
          <cell r="H137">
            <v>7</v>
          </cell>
          <cell r="I137">
            <v>2.2</v>
          </cell>
          <cell r="J137">
            <v>94</v>
          </cell>
          <cell r="K137">
            <v>99</v>
          </cell>
          <cell r="L137">
            <v>4.5</v>
          </cell>
          <cell r="M137">
            <v>515</v>
          </cell>
          <cell r="N137">
            <v>7462</v>
          </cell>
        </row>
        <row r="138">
          <cell r="A138" t="str">
            <v>Y280S-2/75</v>
          </cell>
          <cell r="B138">
            <v>62</v>
          </cell>
          <cell r="C138">
            <v>139</v>
          </cell>
          <cell r="D138">
            <v>2970</v>
          </cell>
          <cell r="E138">
            <v>92</v>
          </cell>
          <cell r="F138">
            <v>0.89</v>
          </cell>
          <cell r="G138">
            <v>2</v>
          </cell>
          <cell r="H138">
            <v>7</v>
          </cell>
          <cell r="I138">
            <v>2.2</v>
          </cell>
          <cell r="J138">
            <v>94</v>
          </cell>
          <cell r="K138">
            <v>99</v>
          </cell>
          <cell r="L138">
            <v>4.5</v>
          </cell>
          <cell r="M138">
            <v>515</v>
          </cell>
          <cell r="N138">
            <v>7462</v>
          </cell>
        </row>
        <row r="139">
          <cell r="A139" t="str">
            <v>Y280S-2/75</v>
          </cell>
          <cell r="B139">
            <v>63</v>
          </cell>
          <cell r="C139">
            <v>139</v>
          </cell>
          <cell r="D139">
            <v>2970</v>
          </cell>
          <cell r="E139">
            <v>92</v>
          </cell>
          <cell r="F139">
            <v>0.89</v>
          </cell>
          <cell r="G139">
            <v>2</v>
          </cell>
          <cell r="H139">
            <v>7</v>
          </cell>
          <cell r="I139">
            <v>2.2</v>
          </cell>
          <cell r="J139">
            <v>94</v>
          </cell>
          <cell r="K139">
            <v>99</v>
          </cell>
          <cell r="L139">
            <v>4.5</v>
          </cell>
          <cell r="M139">
            <v>515</v>
          </cell>
          <cell r="N139">
            <v>7462</v>
          </cell>
        </row>
        <row r="140">
          <cell r="A140" t="str">
            <v>Y280S-2/75</v>
          </cell>
          <cell r="B140">
            <v>64</v>
          </cell>
          <cell r="C140">
            <v>139</v>
          </cell>
          <cell r="D140">
            <v>2970</v>
          </cell>
          <cell r="E140">
            <v>92</v>
          </cell>
          <cell r="F140">
            <v>0.89</v>
          </cell>
          <cell r="G140">
            <v>2</v>
          </cell>
          <cell r="H140">
            <v>7</v>
          </cell>
          <cell r="I140">
            <v>2.2</v>
          </cell>
          <cell r="J140">
            <v>94</v>
          </cell>
          <cell r="K140">
            <v>99</v>
          </cell>
          <cell r="L140">
            <v>4.5</v>
          </cell>
          <cell r="M140">
            <v>515</v>
          </cell>
          <cell r="N140">
            <v>7462</v>
          </cell>
        </row>
        <row r="141">
          <cell r="A141" t="str">
            <v>Y280S-2/75</v>
          </cell>
          <cell r="B141">
            <v>65</v>
          </cell>
          <cell r="C141">
            <v>139</v>
          </cell>
          <cell r="D141">
            <v>2970</v>
          </cell>
          <cell r="E141">
            <v>92</v>
          </cell>
          <cell r="F141">
            <v>0.89</v>
          </cell>
          <cell r="G141">
            <v>2</v>
          </cell>
          <cell r="H141">
            <v>7</v>
          </cell>
          <cell r="I141">
            <v>2.2</v>
          </cell>
          <cell r="J141">
            <v>94</v>
          </cell>
          <cell r="K141">
            <v>99</v>
          </cell>
          <cell r="L141">
            <v>4.5</v>
          </cell>
          <cell r="M141">
            <v>515</v>
          </cell>
          <cell r="N141">
            <v>7462</v>
          </cell>
        </row>
        <row r="142">
          <cell r="A142" t="str">
            <v>Y280S-2/75</v>
          </cell>
          <cell r="B142">
            <v>66</v>
          </cell>
          <cell r="C142">
            <v>139</v>
          </cell>
          <cell r="D142">
            <v>2970</v>
          </cell>
          <cell r="E142">
            <v>92</v>
          </cell>
          <cell r="F142">
            <v>0.89</v>
          </cell>
          <cell r="G142">
            <v>2</v>
          </cell>
          <cell r="H142">
            <v>7</v>
          </cell>
          <cell r="I142">
            <v>2.2</v>
          </cell>
          <cell r="J142">
            <v>94</v>
          </cell>
          <cell r="K142">
            <v>99</v>
          </cell>
          <cell r="L142">
            <v>4.5</v>
          </cell>
          <cell r="M142">
            <v>515</v>
          </cell>
          <cell r="N142">
            <v>7462</v>
          </cell>
        </row>
        <row r="143">
          <cell r="A143" t="str">
            <v>Y280S-2/75</v>
          </cell>
          <cell r="B143">
            <v>67</v>
          </cell>
          <cell r="C143">
            <v>139</v>
          </cell>
          <cell r="D143">
            <v>2970</v>
          </cell>
          <cell r="E143">
            <v>92</v>
          </cell>
          <cell r="F143">
            <v>0.89</v>
          </cell>
          <cell r="G143">
            <v>2</v>
          </cell>
          <cell r="H143">
            <v>7</v>
          </cell>
          <cell r="I143">
            <v>2.2</v>
          </cell>
          <cell r="J143">
            <v>94</v>
          </cell>
          <cell r="K143">
            <v>99</v>
          </cell>
          <cell r="L143">
            <v>4.5</v>
          </cell>
          <cell r="M143">
            <v>515</v>
          </cell>
          <cell r="N143">
            <v>7462</v>
          </cell>
        </row>
        <row r="144">
          <cell r="A144" t="str">
            <v>Y280S-2/75</v>
          </cell>
          <cell r="B144">
            <v>68</v>
          </cell>
          <cell r="C144">
            <v>139</v>
          </cell>
          <cell r="D144">
            <v>2970</v>
          </cell>
          <cell r="E144">
            <v>92</v>
          </cell>
          <cell r="F144">
            <v>0.89</v>
          </cell>
          <cell r="G144">
            <v>2</v>
          </cell>
          <cell r="H144">
            <v>7</v>
          </cell>
          <cell r="I144">
            <v>2.2</v>
          </cell>
          <cell r="J144">
            <v>94</v>
          </cell>
          <cell r="K144">
            <v>99</v>
          </cell>
          <cell r="L144">
            <v>4.5</v>
          </cell>
          <cell r="M144">
            <v>515</v>
          </cell>
          <cell r="N144">
            <v>7462</v>
          </cell>
        </row>
        <row r="145">
          <cell r="A145" t="str">
            <v>Y280S-2/75</v>
          </cell>
          <cell r="B145">
            <v>69</v>
          </cell>
          <cell r="C145">
            <v>139</v>
          </cell>
          <cell r="D145">
            <v>2970</v>
          </cell>
          <cell r="E145">
            <v>92</v>
          </cell>
          <cell r="F145">
            <v>0.89</v>
          </cell>
          <cell r="G145">
            <v>2</v>
          </cell>
          <cell r="H145">
            <v>7</v>
          </cell>
          <cell r="I145">
            <v>2.2</v>
          </cell>
          <cell r="J145">
            <v>94</v>
          </cell>
          <cell r="K145">
            <v>99</v>
          </cell>
          <cell r="L145">
            <v>4.5</v>
          </cell>
          <cell r="M145">
            <v>515</v>
          </cell>
          <cell r="N145">
            <v>7462</v>
          </cell>
        </row>
        <row r="146">
          <cell r="A146" t="str">
            <v>Y280S-2/75</v>
          </cell>
          <cell r="B146">
            <v>70</v>
          </cell>
          <cell r="C146">
            <v>139</v>
          </cell>
          <cell r="D146">
            <v>2970</v>
          </cell>
          <cell r="E146">
            <v>92</v>
          </cell>
          <cell r="F146">
            <v>0.89</v>
          </cell>
          <cell r="G146">
            <v>2</v>
          </cell>
          <cell r="H146">
            <v>7</v>
          </cell>
          <cell r="I146">
            <v>2.2</v>
          </cell>
          <cell r="J146">
            <v>94</v>
          </cell>
          <cell r="K146">
            <v>99</v>
          </cell>
          <cell r="L146">
            <v>4.5</v>
          </cell>
          <cell r="M146">
            <v>515</v>
          </cell>
          <cell r="N146">
            <v>7462</v>
          </cell>
        </row>
        <row r="147">
          <cell r="A147" t="str">
            <v>Y280S-2/75</v>
          </cell>
          <cell r="B147">
            <v>71</v>
          </cell>
          <cell r="C147">
            <v>139</v>
          </cell>
          <cell r="D147">
            <v>2970</v>
          </cell>
          <cell r="E147">
            <v>92</v>
          </cell>
          <cell r="F147">
            <v>0.89</v>
          </cell>
          <cell r="G147">
            <v>2</v>
          </cell>
          <cell r="H147">
            <v>7</v>
          </cell>
          <cell r="I147">
            <v>2.2</v>
          </cell>
          <cell r="J147">
            <v>94</v>
          </cell>
          <cell r="K147">
            <v>99</v>
          </cell>
          <cell r="L147">
            <v>4.5</v>
          </cell>
          <cell r="M147">
            <v>515</v>
          </cell>
          <cell r="N147">
            <v>7462</v>
          </cell>
        </row>
        <row r="148">
          <cell r="A148" t="str">
            <v>Y280S-2/75</v>
          </cell>
          <cell r="B148">
            <v>72</v>
          </cell>
          <cell r="C148">
            <v>139</v>
          </cell>
          <cell r="D148">
            <v>2970</v>
          </cell>
          <cell r="E148">
            <v>92</v>
          </cell>
          <cell r="F148">
            <v>0.89</v>
          </cell>
          <cell r="G148">
            <v>2</v>
          </cell>
          <cell r="H148">
            <v>7</v>
          </cell>
          <cell r="I148">
            <v>2.2</v>
          </cell>
          <cell r="J148">
            <v>94</v>
          </cell>
          <cell r="K148">
            <v>99</v>
          </cell>
          <cell r="L148">
            <v>4.5</v>
          </cell>
          <cell r="M148">
            <v>515</v>
          </cell>
          <cell r="N148">
            <v>7462</v>
          </cell>
        </row>
        <row r="149">
          <cell r="A149" t="str">
            <v>Y280S-2/75</v>
          </cell>
          <cell r="B149">
            <v>73</v>
          </cell>
          <cell r="C149">
            <v>139</v>
          </cell>
          <cell r="D149">
            <v>2970</v>
          </cell>
          <cell r="E149">
            <v>92</v>
          </cell>
          <cell r="F149">
            <v>0.89</v>
          </cell>
          <cell r="G149">
            <v>2</v>
          </cell>
          <cell r="H149">
            <v>7</v>
          </cell>
          <cell r="I149">
            <v>2.2</v>
          </cell>
          <cell r="J149">
            <v>94</v>
          </cell>
          <cell r="K149">
            <v>99</v>
          </cell>
          <cell r="L149">
            <v>4.5</v>
          </cell>
          <cell r="M149">
            <v>515</v>
          </cell>
          <cell r="N149">
            <v>7462</v>
          </cell>
        </row>
        <row r="150">
          <cell r="A150" t="str">
            <v>Y280S-2/75</v>
          </cell>
          <cell r="B150">
            <v>74</v>
          </cell>
          <cell r="C150">
            <v>139</v>
          </cell>
          <cell r="D150">
            <v>2970</v>
          </cell>
          <cell r="E150">
            <v>92</v>
          </cell>
          <cell r="F150">
            <v>0.89</v>
          </cell>
          <cell r="G150">
            <v>2</v>
          </cell>
          <cell r="H150">
            <v>7</v>
          </cell>
          <cell r="I150">
            <v>2.2</v>
          </cell>
          <cell r="J150">
            <v>94</v>
          </cell>
          <cell r="K150">
            <v>99</v>
          </cell>
          <cell r="L150">
            <v>4.5</v>
          </cell>
          <cell r="M150">
            <v>515</v>
          </cell>
          <cell r="N150">
            <v>7462</v>
          </cell>
        </row>
        <row r="151">
          <cell r="A151" t="str">
            <v>Y280S-2/75</v>
          </cell>
          <cell r="B151">
            <v>75</v>
          </cell>
          <cell r="C151">
            <v>139</v>
          </cell>
          <cell r="D151">
            <v>2970</v>
          </cell>
          <cell r="E151">
            <v>92</v>
          </cell>
          <cell r="F151">
            <v>0.89</v>
          </cell>
          <cell r="G151">
            <v>2</v>
          </cell>
          <cell r="H151">
            <v>7</v>
          </cell>
          <cell r="I151">
            <v>2.2</v>
          </cell>
          <cell r="J151">
            <v>94</v>
          </cell>
          <cell r="K151">
            <v>99</v>
          </cell>
          <cell r="L151">
            <v>4.5</v>
          </cell>
          <cell r="M151">
            <v>515</v>
          </cell>
          <cell r="N151">
            <v>7462</v>
          </cell>
        </row>
        <row r="152">
          <cell r="A152" t="str">
            <v>Y280M-2/90</v>
          </cell>
          <cell r="B152">
            <v>76</v>
          </cell>
          <cell r="C152">
            <v>166</v>
          </cell>
          <cell r="D152">
            <v>2970</v>
          </cell>
          <cell r="E152">
            <v>92.5</v>
          </cell>
          <cell r="F152">
            <v>0.89</v>
          </cell>
          <cell r="G152">
            <v>2</v>
          </cell>
          <cell r="H152">
            <v>7</v>
          </cell>
          <cell r="I152">
            <v>2.2</v>
          </cell>
          <cell r="J152">
            <v>94</v>
          </cell>
          <cell r="K152">
            <v>99</v>
          </cell>
          <cell r="L152">
            <v>4.5</v>
          </cell>
          <cell r="M152">
            <v>566</v>
          </cell>
          <cell r="N152">
            <v>8554</v>
          </cell>
        </row>
        <row r="153">
          <cell r="A153" t="str">
            <v>Y280M-2/90</v>
          </cell>
          <cell r="B153">
            <v>77</v>
          </cell>
          <cell r="C153">
            <v>166</v>
          </cell>
          <cell r="D153">
            <v>2970</v>
          </cell>
          <cell r="E153">
            <v>92.5</v>
          </cell>
          <cell r="F153">
            <v>0.89</v>
          </cell>
          <cell r="G153">
            <v>2</v>
          </cell>
          <cell r="H153">
            <v>7</v>
          </cell>
          <cell r="I153">
            <v>2.2</v>
          </cell>
          <cell r="J153">
            <v>94</v>
          </cell>
          <cell r="K153">
            <v>99</v>
          </cell>
          <cell r="L153">
            <v>4.5</v>
          </cell>
          <cell r="M153">
            <v>566</v>
          </cell>
          <cell r="N153">
            <v>8554</v>
          </cell>
        </row>
        <row r="154">
          <cell r="A154" t="str">
            <v>Y280M-2/90</v>
          </cell>
          <cell r="B154">
            <v>78</v>
          </cell>
          <cell r="C154">
            <v>166</v>
          </cell>
          <cell r="D154">
            <v>2970</v>
          </cell>
          <cell r="E154">
            <v>92.5</v>
          </cell>
          <cell r="F154">
            <v>0.89</v>
          </cell>
          <cell r="G154">
            <v>2</v>
          </cell>
          <cell r="H154">
            <v>7</v>
          </cell>
          <cell r="I154">
            <v>2.2</v>
          </cell>
          <cell r="J154">
            <v>94</v>
          </cell>
          <cell r="K154">
            <v>99</v>
          </cell>
          <cell r="L154">
            <v>4.5</v>
          </cell>
          <cell r="M154">
            <v>566</v>
          </cell>
          <cell r="N154">
            <v>8554</v>
          </cell>
        </row>
        <row r="155">
          <cell r="A155" t="str">
            <v>Y280M-2/90</v>
          </cell>
          <cell r="B155">
            <v>79</v>
          </cell>
          <cell r="C155">
            <v>166</v>
          </cell>
          <cell r="D155">
            <v>2970</v>
          </cell>
          <cell r="E155">
            <v>92.5</v>
          </cell>
          <cell r="F155">
            <v>0.89</v>
          </cell>
          <cell r="G155">
            <v>2</v>
          </cell>
          <cell r="H155">
            <v>7</v>
          </cell>
          <cell r="I155">
            <v>2.2</v>
          </cell>
          <cell r="J155">
            <v>94</v>
          </cell>
          <cell r="K155">
            <v>99</v>
          </cell>
          <cell r="L155">
            <v>4.5</v>
          </cell>
          <cell r="M155">
            <v>566</v>
          </cell>
          <cell r="N155">
            <v>8554</v>
          </cell>
        </row>
        <row r="156">
          <cell r="A156" t="str">
            <v>Y280M-2/90</v>
          </cell>
          <cell r="B156">
            <v>80</v>
          </cell>
          <cell r="C156">
            <v>166</v>
          </cell>
          <cell r="D156">
            <v>2970</v>
          </cell>
          <cell r="E156">
            <v>92.5</v>
          </cell>
          <cell r="F156">
            <v>0.89</v>
          </cell>
          <cell r="G156">
            <v>2</v>
          </cell>
          <cell r="H156">
            <v>7</v>
          </cell>
          <cell r="I156">
            <v>2.2</v>
          </cell>
          <cell r="J156">
            <v>94</v>
          </cell>
          <cell r="K156">
            <v>99</v>
          </cell>
          <cell r="L156">
            <v>4.5</v>
          </cell>
          <cell r="M156">
            <v>566</v>
          </cell>
          <cell r="N156">
            <v>8554</v>
          </cell>
        </row>
        <row r="157">
          <cell r="A157" t="str">
            <v>Y280M-2/90</v>
          </cell>
          <cell r="B157">
            <v>81</v>
          </cell>
          <cell r="C157">
            <v>166</v>
          </cell>
          <cell r="D157">
            <v>2970</v>
          </cell>
          <cell r="E157">
            <v>92.5</v>
          </cell>
          <cell r="F157">
            <v>0.89</v>
          </cell>
          <cell r="G157">
            <v>2</v>
          </cell>
          <cell r="H157">
            <v>7</v>
          </cell>
          <cell r="I157">
            <v>2.2</v>
          </cell>
          <cell r="J157">
            <v>94</v>
          </cell>
          <cell r="K157">
            <v>99</v>
          </cell>
          <cell r="L157">
            <v>4.5</v>
          </cell>
          <cell r="M157">
            <v>566</v>
          </cell>
          <cell r="N157">
            <v>8554</v>
          </cell>
        </row>
        <row r="158">
          <cell r="A158" t="str">
            <v>Y280M-2/90</v>
          </cell>
          <cell r="B158">
            <v>82</v>
          </cell>
          <cell r="C158">
            <v>166</v>
          </cell>
          <cell r="D158">
            <v>2970</v>
          </cell>
          <cell r="E158">
            <v>92.5</v>
          </cell>
          <cell r="F158">
            <v>0.89</v>
          </cell>
          <cell r="G158">
            <v>2</v>
          </cell>
          <cell r="H158">
            <v>7</v>
          </cell>
          <cell r="I158">
            <v>2.2</v>
          </cell>
          <cell r="J158">
            <v>94</v>
          </cell>
          <cell r="K158">
            <v>99</v>
          </cell>
          <cell r="L158">
            <v>4.5</v>
          </cell>
          <cell r="M158">
            <v>566</v>
          </cell>
          <cell r="N158">
            <v>8554</v>
          </cell>
        </row>
        <row r="159">
          <cell r="A159" t="str">
            <v>Y280M-2/90</v>
          </cell>
          <cell r="B159">
            <v>83</v>
          </cell>
          <cell r="C159">
            <v>166</v>
          </cell>
          <cell r="D159">
            <v>2970</v>
          </cell>
          <cell r="E159">
            <v>92.5</v>
          </cell>
          <cell r="F159">
            <v>0.89</v>
          </cell>
          <cell r="G159">
            <v>2</v>
          </cell>
          <cell r="H159">
            <v>7</v>
          </cell>
          <cell r="I159">
            <v>2.2</v>
          </cell>
          <cell r="J159">
            <v>94</v>
          </cell>
          <cell r="K159">
            <v>99</v>
          </cell>
          <cell r="L159">
            <v>4.5</v>
          </cell>
          <cell r="M159">
            <v>566</v>
          </cell>
          <cell r="N159">
            <v>8554</v>
          </cell>
        </row>
        <row r="160">
          <cell r="A160" t="str">
            <v>Y280M-2/90</v>
          </cell>
          <cell r="B160">
            <v>84</v>
          </cell>
          <cell r="C160">
            <v>166</v>
          </cell>
          <cell r="D160">
            <v>2970</v>
          </cell>
          <cell r="E160">
            <v>92.5</v>
          </cell>
          <cell r="F160">
            <v>0.89</v>
          </cell>
          <cell r="G160">
            <v>2</v>
          </cell>
          <cell r="H160">
            <v>7</v>
          </cell>
          <cell r="I160">
            <v>2.2</v>
          </cell>
          <cell r="J160">
            <v>94</v>
          </cell>
          <cell r="K160">
            <v>99</v>
          </cell>
          <cell r="L160">
            <v>4.5</v>
          </cell>
          <cell r="M160">
            <v>566</v>
          </cell>
          <cell r="N160">
            <v>8554</v>
          </cell>
        </row>
        <row r="161">
          <cell r="A161" t="str">
            <v>Y280M-2/90</v>
          </cell>
          <cell r="B161">
            <v>85</v>
          </cell>
          <cell r="C161">
            <v>166</v>
          </cell>
          <cell r="D161">
            <v>2970</v>
          </cell>
          <cell r="E161">
            <v>92.5</v>
          </cell>
          <cell r="F161">
            <v>0.89</v>
          </cell>
          <cell r="G161">
            <v>2</v>
          </cell>
          <cell r="H161">
            <v>7</v>
          </cell>
          <cell r="I161">
            <v>2.2</v>
          </cell>
          <cell r="J161">
            <v>94</v>
          </cell>
          <cell r="K161">
            <v>99</v>
          </cell>
          <cell r="L161">
            <v>4.5</v>
          </cell>
          <cell r="M161">
            <v>566</v>
          </cell>
          <cell r="N161">
            <v>8554</v>
          </cell>
        </row>
        <row r="162">
          <cell r="A162" t="str">
            <v>Y280M-2/90</v>
          </cell>
          <cell r="B162">
            <v>86</v>
          </cell>
          <cell r="C162">
            <v>166</v>
          </cell>
          <cell r="D162">
            <v>2970</v>
          </cell>
          <cell r="E162">
            <v>92.5</v>
          </cell>
          <cell r="F162">
            <v>0.89</v>
          </cell>
          <cell r="G162">
            <v>2</v>
          </cell>
          <cell r="H162">
            <v>7</v>
          </cell>
          <cell r="I162">
            <v>2.2</v>
          </cell>
          <cell r="J162">
            <v>94</v>
          </cell>
          <cell r="K162">
            <v>99</v>
          </cell>
          <cell r="L162">
            <v>4.5</v>
          </cell>
          <cell r="M162">
            <v>566</v>
          </cell>
          <cell r="N162">
            <v>8554</v>
          </cell>
        </row>
        <row r="163">
          <cell r="A163" t="str">
            <v>Y280M-2/90</v>
          </cell>
          <cell r="B163">
            <v>87</v>
          </cell>
          <cell r="C163">
            <v>166</v>
          </cell>
          <cell r="D163">
            <v>2970</v>
          </cell>
          <cell r="E163">
            <v>92.5</v>
          </cell>
          <cell r="F163">
            <v>0.89</v>
          </cell>
          <cell r="G163">
            <v>2</v>
          </cell>
          <cell r="H163">
            <v>7</v>
          </cell>
          <cell r="I163">
            <v>2.2</v>
          </cell>
          <cell r="J163">
            <v>94</v>
          </cell>
          <cell r="K163">
            <v>99</v>
          </cell>
          <cell r="L163">
            <v>4.5</v>
          </cell>
          <cell r="M163">
            <v>566</v>
          </cell>
          <cell r="N163">
            <v>8554</v>
          </cell>
        </row>
        <row r="164">
          <cell r="A164" t="str">
            <v>Y280M-2/90</v>
          </cell>
          <cell r="B164">
            <v>88</v>
          </cell>
          <cell r="C164">
            <v>166</v>
          </cell>
          <cell r="D164">
            <v>2970</v>
          </cell>
          <cell r="E164">
            <v>92.5</v>
          </cell>
          <cell r="F164">
            <v>0.89</v>
          </cell>
          <cell r="G164">
            <v>2</v>
          </cell>
          <cell r="H164">
            <v>7</v>
          </cell>
          <cell r="I164">
            <v>2.2</v>
          </cell>
          <cell r="J164">
            <v>94</v>
          </cell>
          <cell r="K164">
            <v>99</v>
          </cell>
          <cell r="L164">
            <v>4.5</v>
          </cell>
          <cell r="M164">
            <v>566</v>
          </cell>
          <cell r="N164">
            <v>8554</v>
          </cell>
        </row>
        <row r="165">
          <cell r="A165" t="str">
            <v>Y280M-2/90</v>
          </cell>
          <cell r="B165">
            <v>89</v>
          </cell>
          <cell r="C165">
            <v>166</v>
          </cell>
          <cell r="D165">
            <v>2970</v>
          </cell>
          <cell r="E165">
            <v>92.5</v>
          </cell>
          <cell r="F165">
            <v>0.89</v>
          </cell>
          <cell r="G165">
            <v>2</v>
          </cell>
          <cell r="H165">
            <v>7</v>
          </cell>
          <cell r="I165">
            <v>2.2</v>
          </cell>
          <cell r="J165">
            <v>94</v>
          </cell>
          <cell r="K165">
            <v>99</v>
          </cell>
          <cell r="L165">
            <v>4.5</v>
          </cell>
          <cell r="M165">
            <v>566</v>
          </cell>
          <cell r="N165">
            <v>8554</v>
          </cell>
        </row>
        <row r="166">
          <cell r="A166" t="str">
            <v>Y280M-2/90</v>
          </cell>
          <cell r="B166">
            <v>90</v>
          </cell>
          <cell r="C166">
            <v>166</v>
          </cell>
          <cell r="D166">
            <v>2970</v>
          </cell>
          <cell r="E166">
            <v>92.5</v>
          </cell>
          <cell r="F166">
            <v>0.89</v>
          </cell>
          <cell r="G166">
            <v>2</v>
          </cell>
          <cell r="H166">
            <v>7</v>
          </cell>
          <cell r="I166">
            <v>2.2</v>
          </cell>
          <cell r="J166">
            <v>94</v>
          </cell>
          <cell r="K166">
            <v>99</v>
          </cell>
          <cell r="L166">
            <v>4.5</v>
          </cell>
          <cell r="M166">
            <v>566</v>
          </cell>
          <cell r="N166">
            <v>8554</v>
          </cell>
        </row>
        <row r="167">
          <cell r="A167" t="str">
            <v>Y315S-2/110</v>
          </cell>
          <cell r="B167">
            <v>91</v>
          </cell>
          <cell r="C167">
            <v>203</v>
          </cell>
          <cell r="D167">
            <v>2980</v>
          </cell>
          <cell r="E167">
            <v>92.5</v>
          </cell>
          <cell r="F167">
            <v>0.89</v>
          </cell>
          <cell r="G167">
            <v>1.8</v>
          </cell>
          <cell r="H167">
            <v>6.8</v>
          </cell>
          <cell r="I167">
            <v>2.2</v>
          </cell>
          <cell r="J167">
            <v>99</v>
          </cell>
          <cell r="K167">
            <v>104</v>
          </cell>
          <cell r="L167">
            <v>4.5</v>
          </cell>
          <cell r="M167">
            <v>922</v>
          </cell>
          <cell r="N167">
            <v>15750</v>
          </cell>
        </row>
        <row r="168">
          <cell r="A168" t="str">
            <v>Y315S-2/110</v>
          </cell>
          <cell r="B168">
            <v>92</v>
          </cell>
          <cell r="C168">
            <v>203</v>
          </cell>
          <cell r="D168">
            <v>2980</v>
          </cell>
          <cell r="E168">
            <v>92.5</v>
          </cell>
          <cell r="F168">
            <v>0.89</v>
          </cell>
          <cell r="G168">
            <v>1.8</v>
          </cell>
          <cell r="H168">
            <v>6.8</v>
          </cell>
          <cell r="I168">
            <v>2.2</v>
          </cell>
          <cell r="J168">
            <v>99</v>
          </cell>
          <cell r="K168">
            <v>104</v>
          </cell>
          <cell r="L168">
            <v>4.5</v>
          </cell>
          <cell r="M168">
            <v>922</v>
          </cell>
          <cell r="N168">
            <v>15750</v>
          </cell>
        </row>
        <row r="169">
          <cell r="A169" t="str">
            <v>Y315S-2/110</v>
          </cell>
          <cell r="B169">
            <v>93</v>
          </cell>
          <cell r="C169">
            <v>203</v>
          </cell>
          <cell r="D169">
            <v>2980</v>
          </cell>
          <cell r="E169">
            <v>92.5</v>
          </cell>
          <cell r="F169">
            <v>0.89</v>
          </cell>
          <cell r="G169">
            <v>1.8</v>
          </cell>
          <cell r="H169">
            <v>6.8</v>
          </cell>
          <cell r="I169">
            <v>2.2</v>
          </cell>
          <cell r="J169">
            <v>99</v>
          </cell>
          <cell r="K169">
            <v>104</v>
          </cell>
          <cell r="L169">
            <v>4.5</v>
          </cell>
          <cell r="M169">
            <v>922</v>
          </cell>
          <cell r="N169">
            <v>15750</v>
          </cell>
        </row>
        <row r="170">
          <cell r="A170" t="str">
            <v>Y315S-2/110</v>
          </cell>
          <cell r="B170">
            <v>94</v>
          </cell>
          <cell r="C170">
            <v>203</v>
          </cell>
          <cell r="D170">
            <v>2980</v>
          </cell>
          <cell r="E170">
            <v>92.5</v>
          </cell>
          <cell r="F170">
            <v>0.89</v>
          </cell>
          <cell r="G170">
            <v>1.8</v>
          </cell>
          <cell r="H170">
            <v>6.8</v>
          </cell>
          <cell r="I170">
            <v>2.2</v>
          </cell>
          <cell r="J170">
            <v>99</v>
          </cell>
          <cell r="K170">
            <v>104</v>
          </cell>
          <cell r="L170">
            <v>4.5</v>
          </cell>
          <cell r="M170">
            <v>922</v>
          </cell>
          <cell r="N170">
            <v>15750</v>
          </cell>
        </row>
        <row r="171">
          <cell r="A171" t="str">
            <v>Y315S-2/110</v>
          </cell>
          <cell r="B171">
            <v>95</v>
          </cell>
          <cell r="C171">
            <v>203</v>
          </cell>
          <cell r="D171">
            <v>2980</v>
          </cell>
          <cell r="E171">
            <v>92.5</v>
          </cell>
          <cell r="F171">
            <v>0.89</v>
          </cell>
          <cell r="G171">
            <v>1.8</v>
          </cell>
          <cell r="H171">
            <v>6.8</v>
          </cell>
          <cell r="I171">
            <v>2.2</v>
          </cell>
          <cell r="J171">
            <v>99</v>
          </cell>
          <cell r="K171">
            <v>104</v>
          </cell>
          <cell r="L171">
            <v>4.5</v>
          </cell>
          <cell r="M171">
            <v>922</v>
          </cell>
          <cell r="N171">
            <v>15750</v>
          </cell>
        </row>
        <row r="172">
          <cell r="A172" t="str">
            <v>Y315S-2/110</v>
          </cell>
          <cell r="B172">
            <v>96</v>
          </cell>
          <cell r="C172">
            <v>203</v>
          </cell>
          <cell r="D172">
            <v>2980</v>
          </cell>
          <cell r="E172">
            <v>92.5</v>
          </cell>
          <cell r="F172">
            <v>0.89</v>
          </cell>
          <cell r="G172">
            <v>1.8</v>
          </cell>
          <cell r="H172">
            <v>6.8</v>
          </cell>
          <cell r="I172">
            <v>2.2</v>
          </cell>
          <cell r="J172">
            <v>99</v>
          </cell>
          <cell r="K172">
            <v>104</v>
          </cell>
          <cell r="L172">
            <v>4.5</v>
          </cell>
          <cell r="M172">
            <v>922</v>
          </cell>
          <cell r="N172">
            <v>15750</v>
          </cell>
        </row>
        <row r="173">
          <cell r="A173" t="str">
            <v>Y315S-2/110</v>
          </cell>
          <cell r="B173">
            <v>97</v>
          </cell>
          <cell r="C173">
            <v>203</v>
          </cell>
          <cell r="D173">
            <v>2980</v>
          </cell>
          <cell r="E173">
            <v>92.5</v>
          </cell>
          <cell r="F173">
            <v>0.89</v>
          </cell>
          <cell r="G173">
            <v>1.8</v>
          </cell>
          <cell r="H173">
            <v>6.8</v>
          </cell>
          <cell r="I173">
            <v>2.2</v>
          </cell>
          <cell r="J173">
            <v>99</v>
          </cell>
          <cell r="K173">
            <v>104</v>
          </cell>
          <cell r="L173">
            <v>4.5</v>
          </cell>
          <cell r="M173">
            <v>922</v>
          </cell>
          <cell r="N173">
            <v>15750</v>
          </cell>
        </row>
        <row r="174">
          <cell r="A174" t="str">
            <v>Y315S-2/110</v>
          </cell>
          <cell r="B174">
            <v>98</v>
          </cell>
          <cell r="C174">
            <v>203</v>
          </cell>
          <cell r="D174">
            <v>2980</v>
          </cell>
          <cell r="E174">
            <v>92.5</v>
          </cell>
          <cell r="F174">
            <v>0.89</v>
          </cell>
          <cell r="G174">
            <v>1.8</v>
          </cell>
          <cell r="H174">
            <v>6.8</v>
          </cell>
          <cell r="I174">
            <v>2.2</v>
          </cell>
          <cell r="J174">
            <v>99</v>
          </cell>
          <cell r="K174">
            <v>104</v>
          </cell>
          <cell r="L174">
            <v>4.5</v>
          </cell>
          <cell r="M174">
            <v>922</v>
          </cell>
          <cell r="N174">
            <v>15750</v>
          </cell>
        </row>
        <row r="175">
          <cell r="A175" t="str">
            <v>Y315S-2/110</v>
          </cell>
          <cell r="B175">
            <v>99</v>
          </cell>
          <cell r="C175">
            <v>203</v>
          </cell>
          <cell r="D175">
            <v>2980</v>
          </cell>
          <cell r="E175">
            <v>92.5</v>
          </cell>
          <cell r="F175">
            <v>0.89</v>
          </cell>
          <cell r="G175">
            <v>1.8</v>
          </cell>
          <cell r="H175">
            <v>6.8</v>
          </cell>
          <cell r="I175">
            <v>2.2</v>
          </cell>
          <cell r="J175">
            <v>99</v>
          </cell>
          <cell r="K175">
            <v>104</v>
          </cell>
          <cell r="L175">
            <v>4.5</v>
          </cell>
          <cell r="M175">
            <v>922</v>
          </cell>
          <cell r="N175">
            <v>15750</v>
          </cell>
        </row>
        <row r="176">
          <cell r="A176" t="str">
            <v>Y315S-2/110</v>
          </cell>
          <cell r="B176">
            <v>100</v>
          </cell>
          <cell r="C176">
            <v>203</v>
          </cell>
          <cell r="D176">
            <v>2980</v>
          </cell>
          <cell r="E176">
            <v>92.5</v>
          </cell>
          <cell r="F176">
            <v>0.89</v>
          </cell>
          <cell r="G176">
            <v>1.8</v>
          </cell>
          <cell r="H176">
            <v>6.8</v>
          </cell>
          <cell r="I176">
            <v>2.2</v>
          </cell>
          <cell r="J176">
            <v>99</v>
          </cell>
          <cell r="K176">
            <v>104</v>
          </cell>
          <cell r="L176">
            <v>4.5</v>
          </cell>
          <cell r="M176">
            <v>922</v>
          </cell>
          <cell r="N176">
            <v>15750</v>
          </cell>
        </row>
        <row r="177">
          <cell r="A177" t="str">
            <v>Y315S-2/110</v>
          </cell>
          <cell r="B177">
            <v>101</v>
          </cell>
          <cell r="C177">
            <v>203</v>
          </cell>
          <cell r="D177">
            <v>2980</v>
          </cell>
          <cell r="E177">
            <v>92.5</v>
          </cell>
          <cell r="F177">
            <v>0.89</v>
          </cell>
          <cell r="G177">
            <v>1.8</v>
          </cell>
          <cell r="H177">
            <v>6.8</v>
          </cell>
          <cell r="I177">
            <v>2.2</v>
          </cell>
          <cell r="J177">
            <v>99</v>
          </cell>
          <cell r="K177">
            <v>104</v>
          </cell>
          <cell r="L177">
            <v>4.5</v>
          </cell>
          <cell r="M177">
            <v>922</v>
          </cell>
          <cell r="N177">
            <v>15750</v>
          </cell>
        </row>
        <row r="178">
          <cell r="A178" t="str">
            <v>Y315S-2/110</v>
          </cell>
          <cell r="B178">
            <v>102</v>
          </cell>
          <cell r="C178">
            <v>203</v>
          </cell>
          <cell r="D178">
            <v>2980</v>
          </cell>
          <cell r="E178">
            <v>92.5</v>
          </cell>
          <cell r="F178">
            <v>0.89</v>
          </cell>
          <cell r="G178">
            <v>1.8</v>
          </cell>
          <cell r="H178">
            <v>6.8</v>
          </cell>
          <cell r="I178">
            <v>2.2</v>
          </cell>
          <cell r="J178">
            <v>99</v>
          </cell>
          <cell r="K178">
            <v>104</v>
          </cell>
          <cell r="L178">
            <v>4.5</v>
          </cell>
          <cell r="M178">
            <v>922</v>
          </cell>
          <cell r="N178">
            <v>15750</v>
          </cell>
        </row>
        <row r="179">
          <cell r="A179" t="str">
            <v>Y315S-2/110</v>
          </cell>
          <cell r="B179">
            <v>103</v>
          </cell>
          <cell r="C179">
            <v>203</v>
          </cell>
          <cell r="D179">
            <v>2980</v>
          </cell>
          <cell r="E179">
            <v>92.5</v>
          </cell>
          <cell r="F179">
            <v>0.89</v>
          </cell>
          <cell r="G179">
            <v>1.8</v>
          </cell>
          <cell r="H179">
            <v>6.8</v>
          </cell>
          <cell r="I179">
            <v>2.2</v>
          </cell>
          <cell r="J179">
            <v>99</v>
          </cell>
          <cell r="K179">
            <v>104</v>
          </cell>
          <cell r="L179">
            <v>4.5</v>
          </cell>
          <cell r="M179">
            <v>922</v>
          </cell>
          <cell r="N179">
            <v>15750</v>
          </cell>
        </row>
        <row r="180">
          <cell r="A180" t="str">
            <v>Y315S-2/110</v>
          </cell>
          <cell r="B180">
            <v>104</v>
          </cell>
          <cell r="C180">
            <v>203</v>
          </cell>
          <cell r="D180">
            <v>2980</v>
          </cell>
          <cell r="E180">
            <v>92.5</v>
          </cell>
          <cell r="F180">
            <v>0.89</v>
          </cell>
          <cell r="G180">
            <v>1.8</v>
          </cell>
          <cell r="H180">
            <v>6.8</v>
          </cell>
          <cell r="I180">
            <v>2.2</v>
          </cell>
          <cell r="J180">
            <v>99</v>
          </cell>
          <cell r="K180">
            <v>104</v>
          </cell>
          <cell r="L180">
            <v>4.5</v>
          </cell>
          <cell r="M180">
            <v>922</v>
          </cell>
          <cell r="N180">
            <v>15750</v>
          </cell>
        </row>
        <row r="181">
          <cell r="A181" t="str">
            <v>Y315S-2/110</v>
          </cell>
          <cell r="B181">
            <v>105</v>
          </cell>
          <cell r="C181">
            <v>203</v>
          </cell>
          <cell r="D181">
            <v>2980</v>
          </cell>
          <cell r="E181">
            <v>92.5</v>
          </cell>
          <cell r="F181">
            <v>0.89</v>
          </cell>
          <cell r="G181">
            <v>1.8</v>
          </cell>
          <cell r="H181">
            <v>6.8</v>
          </cell>
          <cell r="I181">
            <v>2.2</v>
          </cell>
          <cell r="J181">
            <v>99</v>
          </cell>
          <cell r="K181">
            <v>104</v>
          </cell>
          <cell r="L181">
            <v>4.5</v>
          </cell>
          <cell r="M181">
            <v>922</v>
          </cell>
          <cell r="N181">
            <v>15750</v>
          </cell>
        </row>
        <row r="182">
          <cell r="A182" t="str">
            <v>Y315S-2/110</v>
          </cell>
          <cell r="B182">
            <v>106</v>
          </cell>
          <cell r="C182">
            <v>203</v>
          </cell>
          <cell r="D182">
            <v>2980</v>
          </cell>
          <cell r="E182">
            <v>92.5</v>
          </cell>
          <cell r="F182">
            <v>0.89</v>
          </cell>
          <cell r="G182">
            <v>1.8</v>
          </cell>
          <cell r="H182">
            <v>6.8</v>
          </cell>
          <cell r="I182">
            <v>2.2</v>
          </cell>
          <cell r="J182">
            <v>99</v>
          </cell>
          <cell r="K182">
            <v>104</v>
          </cell>
          <cell r="L182">
            <v>4.5</v>
          </cell>
          <cell r="M182">
            <v>922</v>
          </cell>
          <cell r="N182">
            <v>15750</v>
          </cell>
        </row>
        <row r="183">
          <cell r="A183" t="str">
            <v>Y315S-2/110</v>
          </cell>
          <cell r="B183">
            <v>107</v>
          </cell>
          <cell r="C183">
            <v>203</v>
          </cell>
          <cell r="D183">
            <v>2980</v>
          </cell>
          <cell r="E183">
            <v>92.5</v>
          </cell>
          <cell r="F183">
            <v>0.89</v>
          </cell>
          <cell r="G183">
            <v>1.8</v>
          </cell>
          <cell r="H183">
            <v>6.8</v>
          </cell>
          <cell r="I183">
            <v>2.2</v>
          </cell>
          <cell r="J183">
            <v>99</v>
          </cell>
          <cell r="K183">
            <v>104</v>
          </cell>
          <cell r="L183">
            <v>4.5</v>
          </cell>
          <cell r="M183">
            <v>922</v>
          </cell>
          <cell r="N183">
            <v>15750</v>
          </cell>
        </row>
        <row r="184">
          <cell r="A184" t="str">
            <v>Y315S-2/110</v>
          </cell>
          <cell r="B184">
            <v>108</v>
          </cell>
          <cell r="C184">
            <v>203</v>
          </cell>
          <cell r="D184">
            <v>2980</v>
          </cell>
          <cell r="E184">
            <v>92.5</v>
          </cell>
          <cell r="F184">
            <v>0.89</v>
          </cell>
          <cell r="G184">
            <v>1.8</v>
          </cell>
          <cell r="H184">
            <v>6.8</v>
          </cell>
          <cell r="I184">
            <v>2.2</v>
          </cell>
          <cell r="J184">
            <v>99</v>
          </cell>
          <cell r="K184">
            <v>104</v>
          </cell>
          <cell r="L184">
            <v>4.5</v>
          </cell>
          <cell r="M184">
            <v>922</v>
          </cell>
          <cell r="N184">
            <v>15750</v>
          </cell>
        </row>
        <row r="185">
          <cell r="A185" t="str">
            <v>Y315S-2/110</v>
          </cell>
          <cell r="B185">
            <v>109</v>
          </cell>
        </row>
        <row r="186">
          <cell r="A186" t="str">
            <v>Y315S-2/110</v>
          </cell>
          <cell r="B186">
            <v>110</v>
          </cell>
          <cell r="C186">
            <v>203</v>
          </cell>
          <cell r="D186">
            <v>2980</v>
          </cell>
          <cell r="E186">
            <v>92.5</v>
          </cell>
          <cell r="F186">
            <v>0.89</v>
          </cell>
          <cell r="G186">
            <v>1.8</v>
          </cell>
          <cell r="H186">
            <v>6.8</v>
          </cell>
          <cell r="I186">
            <v>2.2</v>
          </cell>
          <cell r="J186">
            <v>99</v>
          </cell>
          <cell r="K186">
            <v>104</v>
          </cell>
          <cell r="L186">
            <v>4.5</v>
          </cell>
          <cell r="M186">
            <v>922</v>
          </cell>
          <cell r="N186">
            <v>15750</v>
          </cell>
        </row>
        <row r="187">
          <cell r="A187" t="str">
            <v>Y315M-2/132</v>
          </cell>
          <cell r="B187">
            <v>111</v>
          </cell>
          <cell r="C187">
            <v>242</v>
          </cell>
          <cell r="D187">
            <v>2980</v>
          </cell>
          <cell r="E187">
            <v>93</v>
          </cell>
          <cell r="F187">
            <v>0.89</v>
          </cell>
          <cell r="G187">
            <v>1.8</v>
          </cell>
          <cell r="H187">
            <v>6.8</v>
          </cell>
          <cell r="I187">
            <v>2.2</v>
          </cell>
          <cell r="J187">
            <v>99</v>
          </cell>
          <cell r="K187">
            <v>104</v>
          </cell>
          <cell r="L187">
            <v>4.5</v>
          </cell>
          <cell r="M187">
            <v>1010</v>
          </cell>
          <cell r="N187">
            <v>16618</v>
          </cell>
        </row>
        <row r="188">
          <cell r="A188" t="str">
            <v>Y315M-2/132</v>
          </cell>
          <cell r="B188">
            <v>112</v>
          </cell>
          <cell r="C188">
            <v>242</v>
          </cell>
          <cell r="D188">
            <v>2980</v>
          </cell>
          <cell r="E188">
            <v>93</v>
          </cell>
          <cell r="F188">
            <v>0.89</v>
          </cell>
          <cell r="G188">
            <v>1.8</v>
          </cell>
          <cell r="H188">
            <v>6.8</v>
          </cell>
          <cell r="I188">
            <v>2.2</v>
          </cell>
          <cell r="J188">
            <v>99</v>
          </cell>
          <cell r="K188">
            <v>104</v>
          </cell>
          <cell r="L188">
            <v>4.5</v>
          </cell>
          <cell r="M188">
            <v>1010</v>
          </cell>
          <cell r="N188">
            <v>16618</v>
          </cell>
        </row>
        <row r="189">
          <cell r="A189" t="str">
            <v>Y315M-2/132</v>
          </cell>
          <cell r="B189">
            <v>113</v>
          </cell>
          <cell r="C189">
            <v>242</v>
          </cell>
          <cell r="D189">
            <v>2980</v>
          </cell>
          <cell r="E189">
            <v>93</v>
          </cell>
          <cell r="F189">
            <v>0.89</v>
          </cell>
          <cell r="G189">
            <v>1.8</v>
          </cell>
          <cell r="H189">
            <v>6.8</v>
          </cell>
          <cell r="I189">
            <v>2.2</v>
          </cell>
          <cell r="J189">
            <v>99</v>
          </cell>
          <cell r="K189">
            <v>104</v>
          </cell>
          <cell r="L189">
            <v>4.5</v>
          </cell>
          <cell r="M189">
            <v>1010</v>
          </cell>
          <cell r="N189">
            <v>16618</v>
          </cell>
        </row>
        <row r="190">
          <cell r="A190" t="str">
            <v>Y315M-2/132</v>
          </cell>
          <cell r="B190">
            <v>114</v>
          </cell>
          <cell r="C190">
            <v>242</v>
          </cell>
          <cell r="D190">
            <v>2980</v>
          </cell>
          <cell r="E190">
            <v>93</v>
          </cell>
          <cell r="F190">
            <v>0.89</v>
          </cell>
          <cell r="G190">
            <v>1.8</v>
          </cell>
          <cell r="H190">
            <v>6.8</v>
          </cell>
          <cell r="I190">
            <v>2.2</v>
          </cell>
          <cell r="J190">
            <v>99</v>
          </cell>
          <cell r="K190">
            <v>104</v>
          </cell>
          <cell r="L190">
            <v>4.5</v>
          </cell>
          <cell r="M190">
            <v>1010</v>
          </cell>
          <cell r="N190">
            <v>16618</v>
          </cell>
        </row>
        <row r="191">
          <cell r="A191" t="str">
            <v>Y315M-2/132</v>
          </cell>
          <cell r="B191">
            <v>115</v>
          </cell>
          <cell r="C191">
            <v>242</v>
          </cell>
          <cell r="D191">
            <v>2980</v>
          </cell>
          <cell r="E191">
            <v>93</v>
          </cell>
          <cell r="F191">
            <v>0.89</v>
          </cell>
          <cell r="G191">
            <v>1.8</v>
          </cell>
          <cell r="H191">
            <v>6.8</v>
          </cell>
          <cell r="I191">
            <v>2.2</v>
          </cell>
          <cell r="J191">
            <v>99</v>
          </cell>
          <cell r="K191">
            <v>104</v>
          </cell>
          <cell r="L191">
            <v>4.5</v>
          </cell>
          <cell r="M191">
            <v>1010</v>
          </cell>
          <cell r="N191">
            <v>16618</v>
          </cell>
        </row>
        <row r="192">
          <cell r="A192" t="str">
            <v>Y315M-2/132</v>
          </cell>
          <cell r="B192">
            <v>116</v>
          </cell>
          <cell r="C192">
            <v>242</v>
          </cell>
          <cell r="D192">
            <v>2980</v>
          </cell>
          <cell r="E192">
            <v>93</v>
          </cell>
          <cell r="F192">
            <v>0.89</v>
          </cell>
          <cell r="G192">
            <v>1.8</v>
          </cell>
          <cell r="H192">
            <v>6.8</v>
          </cell>
          <cell r="I192">
            <v>2.2</v>
          </cell>
          <cell r="J192">
            <v>99</v>
          </cell>
          <cell r="K192">
            <v>104</v>
          </cell>
          <cell r="L192">
            <v>4.5</v>
          </cell>
          <cell r="M192">
            <v>1010</v>
          </cell>
          <cell r="N192">
            <v>16618</v>
          </cell>
        </row>
        <row r="193">
          <cell r="A193" t="str">
            <v>Y315M-2/132</v>
          </cell>
          <cell r="B193">
            <v>117</v>
          </cell>
          <cell r="C193">
            <v>242</v>
          </cell>
          <cell r="D193">
            <v>2980</v>
          </cell>
          <cell r="E193">
            <v>93</v>
          </cell>
          <cell r="F193">
            <v>0.89</v>
          </cell>
          <cell r="G193">
            <v>1.8</v>
          </cell>
          <cell r="H193">
            <v>6.8</v>
          </cell>
          <cell r="I193">
            <v>2.2</v>
          </cell>
          <cell r="J193">
            <v>99</v>
          </cell>
          <cell r="K193">
            <v>104</v>
          </cell>
          <cell r="L193">
            <v>4.5</v>
          </cell>
          <cell r="M193">
            <v>1010</v>
          </cell>
          <cell r="N193">
            <v>16618</v>
          </cell>
        </row>
        <row r="194">
          <cell r="A194" t="str">
            <v>Y315M-2/132</v>
          </cell>
          <cell r="B194">
            <v>118</v>
          </cell>
          <cell r="C194">
            <v>242</v>
          </cell>
          <cell r="D194">
            <v>2980</v>
          </cell>
          <cell r="E194">
            <v>93</v>
          </cell>
          <cell r="F194">
            <v>0.89</v>
          </cell>
          <cell r="G194">
            <v>1.8</v>
          </cell>
          <cell r="H194">
            <v>6.8</v>
          </cell>
          <cell r="I194">
            <v>2.2</v>
          </cell>
          <cell r="J194">
            <v>99</v>
          </cell>
          <cell r="K194">
            <v>104</v>
          </cell>
          <cell r="L194">
            <v>4.5</v>
          </cell>
          <cell r="M194">
            <v>1010</v>
          </cell>
          <cell r="N194">
            <v>16618</v>
          </cell>
        </row>
        <row r="195">
          <cell r="A195" t="str">
            <v>Y315M-2/132</v>
          </cell>
          <cell r="B195">
            <v>119</v>
          </cell>
          <cell r="C195">
            <v>242</v>
          </cell>
          <cell r="D195">
            <v>2980</v>
          </cell>
          <cell r="E195">
            <v>93</v>
          </cell>
          <cell r="F195">
            <v>0.89</v>
          </cell>
          <cell r="G195">
            <v>1.8</v>
          </cell>
          <cell r="H195">
            <v>6.8</v>
          </cell>
          <cell r="I195">
            <v>2.2</v>
          </cell>
          <cell r="J195">
            <v>99</v>
          </cell>
          <cell r="K195">
            <v>104</v>
          </cell>
          <cell r="L195">
            <v>4.5</v>
          </cell>
          <cell r="M195">
            <v>1010</v>
          </cell>
          <cell r="N195">
            <v>16618</v>
          </cell>
        </row>
        <row r="196">
          <cell r="A196" t="str">
            <v>Y315M-2/132</v>
          </cell>
          <cell r="B196">
            <v>120</v>
          </cell>
          <cell r="C196">
            <v>242</v>
          </cell>
          <cell r="D196">
            <v>2980</v>
          </cell>
          <cell r="E196">
            <v>93</v>
          </cell>
          <cell r="F196">
            <v>0.89</v>
          </cell>
          <cell r="G196">
            <v>1.8</v>
          </cell>
          <cell r="H196">
            <v>6.8</v>
          </cell>
          <cell r="I196">
            <v>2.2</v>
          </cell>
          <cell r="J196">
            <v>99</v>
          </cell>
          <cell r="K196">
            <v>104</v>
          </cell>
          <cell r="L196">
            <v>4.5</v>
          </cell>
          <cell r="M196">
            <v>1010</v>
          </cell>
          <cell r="N196">
            <v>16618</v>
          </cell>
        </row>
        <row r="197">
          <cell r="A197" t="str">
            <v>Y315M-2/132</v>
          </cell>
          <cell r="B197">
            <v>121</v>
          </cell>
          <cell r="C197">
            <v>242</v>
          </cell>
          <cell r="D197">
            <v>2980</v>
          </cell>
          <cell r="E197">
            <v>93</v>
          </cell>
          <cell r="F197">
            <v>0.89</v>
          </cell>
          <cell r="G197">
            <v>1.8</v>
          </cell>
          <cell r="H197">
            <v>6.8</v>
          </cell>
          <cell r="I197">
            <v>2.2</v>
          </cell>
          <cell r="J197">
            <v>99</v>
          </cell>
          <cell r="K197">
            <v>104</v>
          </cell>
          <cell r="L197">
            <v>4.5</v>
          </cell>
          <cell r="M197">
            <v>1010</v>
          </cell>
          <cell r="N197">
            <v>16618</v>
          </cell>
        </row>
        <row r="198">
          <cell r="A198" t="str">
            <v>Y315M-2/132</v>
          </cell>
          <cell r="B198">
            <v>122</v>
          </cell>
          <cell r="C198">
            <v>242</v>
          </cell>
          <cell r="D198">
            <v>2980</v>
          </cell>
          <cell r="E198">
            <v>93</v>
          </cell>
          <cell r="F198">
            <v>0.89</v>
          </cell>
          <cell r="G198">
            <v>1.8</v>
          </cell>
          <cell r="H198">
            <v>6.8</v>
          </cell>
          <cell r="I198">
            <v>2.2</v>
          </cell>
          <cell r="J198">
            <v>99</v>
          </cell>
          <cell r="K198">
            <v>104</v>
          </cell>
          <cell r="L198">
            <v>4.5</v>
          </cell>
          <cell r="M198">
            <v>1010</v>
          </cell>
          <cell r="N198">
            <v>16618</v>
          </cell>
        </row>
        <row r="199">
          <cell r="A199" t="str">
            <v>Y315M-2/132</v>
          </cell>
          <cell r="B199">
            <v>123</v>
          </cell>
          <cell r="C199">
            <v>242</v>
          </cell>
          <cell r="D199">
            <v>2980</v>
          </cell>
          <cell r="E199">
            <v>93</v>
          </cell>
          <cell r="F199">
            <v>0.89</v>
          </cell>
          <cell r="G199">
            <v>1.8</v>
          </cell>
          <cell r="H199">
            <v>6.8</v>
          </cell>
          <cell r="I199">
            <v>2.2</v>
          </cell>
          <cell r="J199">
            <v>99</v>
          </cell>
          <cell r="K199">
            <v>104</v>
          </cell>
          <cell r="L199">
            <v>4.5</v>
          </cell>
          <cell r="M199">
            <v>1010</v>
          </cell>
          <cell r="N199">
            <v>16618</v>
          </cell>
        </row>
        <row r="200">
          <cell r="A200" t="str">
            <v>Y315M-2/132</v>
          </cell>
          <cell r="B200">
            <v>124</v>
          </cell>
          <cell r="C200">
            <v>242</v>
          </cell>
          <cell r="D200">
            <v>2980</v>
          </cell>
          <cell r="E200">
            <v>93</v>
          </cell>
          <cell r="F200">
            <v>0.89</v>
          </cell>
          <cell r="G200">
            <v>1.8</v>
          </cell>
          <cell r="H200">
            <v>6.8</v>
          </cell>
          <cell r="I200">
            <v>2.2</v>
          </cell>
          <cell r="J200">
            <v>99</v>
          </cell>
          <cell r="K200">
            <v>104</v>
          </cell>
          <cell r="L200">
            <v>4.5</v>
          </cell>
          <cell r="M200">
            <v>1010</v>
          </cell>
          <cell r="N200">
            <v>16618</v>
          </cell>
        </row>
        <row r="201">
          <cell r="A201" t="str">
            <v>Y315M-2/132</v>
          </cell>
          <cell r="B201">
            <v>125</v>
          </cell>
          <cell r="C201">
            <v>242</v>
          </cell>
          <cell r="D201">
            <v>2980</v>
          </cell>
          <cell r="E201">
            <v>93</v>
          </cell>
          <cell r="F201">
            <v>0.89</v>
          </cell>
          <cell r="G201">
            <v>1.8</v>
          </cell>
          <cell r="H201">
            <v>6.8</v>
          </cell>
          <cell r="I201">
            <v>2.2</v>
          </cell>
          <cell r="J201">
            <v>99</v>
          </cell>
          <cell r="K201">
            <v>104</v>
          </cell>
          <cell r="L201">
            <v>4.5</v>
          </cell>
          <cell r="M201">
            <v>1010</v>
          </cell>
          <cell r="N201">
            <v>16618</v>
          </cell>
        </row>
        <row r="202">
          <cell r="A202" t="str">
            <v>Y315M-2/132</v>
          </cell>
          <cell r="B202">
            <v>126</v>
          </cell>
          <cell r="C202">
            <v>242</v>
          </cell>
          <cell r="D202">
            <v>2980</v>
          </cell>
          <cell r="E202">
            <v>93</v>
          </cell>
          <cell r="F202">
            <v>0.89</v>
          </cell>
          <cell r="G202">
            <v>1.8</v>
          </cell>
          <cell r="H202">
            <v>6.8</v>
          </cell>
          <cell r="I202">
            <v>2.2</v>
          </cell>
          <cell r="J202">
            <v>99</v>
          </cell>
          <cell r="K202">
            <v>104</v>
          </cell>
          <cell r="L202">
            <v>4.5</v>
          </cell>
          <cell r="M202">
            <v>1010</v>
          </cell>
          <cell r="N202">
            <v>16618</v>
          </cell>
        </row>
        <row r="203">
          <cell r="A203" t="str">
            <v>Y315M-2/132</v>
          </cell>
          <cell r="B203">
            <v>127</v>
          </cell>
          <cell r="C203">
            <v>242</v>
          </cell>
          <cell r="D203">
            <v>2980</v>
          </cell>
          <cell r="E203">
            <v>93</v>
          </cell>
          <cell r="F203">
            <v>0.89</v>
          </cell>
          <cell r="G203">
            <v>1.8</v>
          </cell>
          <cell r="H203">
            <v>6.8</v>
          </cell>
          <cell r="I203">
            <v>2.2</v>
          </cell>
          <cell r="J203">
            <v>99</v>
          </cell>
          <cell r="K203">
            <v>104</v>
          </cell>
          <cell r="L203">
            <v>4.5</v>
          </cell>
          <cell r="M203">
            <v>1010</v>
          </cell>
          <cell r="N203">
            <v>16618</v>
          </cell>
        </row>
        <row r="204">
          <cell r="A204" t="str">
            <v>Y315M-2/132</v>
          </cell>
          <cell r="B204">
            <v>128</v>
          </cell>
          <cell r="C204">
            <v>242</v>
          </cell>
          <cell r="D204">
            <v>2980</v>
          </cell>
          <cell r="E204">
            <v>93</v>
          </cell>
          <cell r="F204">
            <v>0.89</v>
          </cell>
          <cell r="G204">
            <v>1.8</v>
          </cell>
          <cell r="H204">
            <v>6.8</v>
          </cell>
          <cell r="I204">
            <v>2.2</v>
          </cell>
          <cell r="J204">
            <v>99</v>
          </cell>
          <cell r="K204">
            <v>104</v>
          </cell>
          <cell r="L204">
            <v>4.5</v>
          </cell>
          <cell r="M204">
            <v>1010</v>
          </cell>
          <cell r="N204">
            <v>16618</v>
          </cell>
        </row>
        <row r="205">
          <cell r="A205" t="str">
            <v>Y315M-2/132</v>
          </cell>
          <cell r="B205">
            <v>129</v>
          </cell>
          <cell r="C205">
            <v>242</v>
          </cell>
          <cell r="D205">
            <v>2980</v>
          </cell>
          <cell r="E205">
            <v>93</v>
          </cell>
          <cell r="F205">
            <v>0.89</v>
          </cell>
          <cell r="G205">
            <v>1.8</v>
          </cell>
          <cell r="H205">
            <v>6.8</v>
          </cell>
          <cell r="I205">
            <v>2.2</v>
          </cell>
          <cell r="J205">
            <v>99</v>
          </cell>
          <cell r="K205">
            <v>104</v>
          </cell>
          <cell r="L205">
            <v>4.5</v>
          </cell>
          <cell r="M205">
            <v>1010</v>
          </cell>
          <cell r="N205">
            <v>16618</v>
          </cell>
        </row>
        <row r="206">
          <cell r="A206" t="str">
            <v>Y315M-2/132</v>
          </cell>
          <cell r="B206">
            <v>130</v>
          </cell>
          <cell r="C206">
            <v>242</v>
          </cell>
          <cell r="D206">
            <v>2980</v>
          </cell>
          <cell r="E206">
            <v>93</v>
          </cell>
          <cell r="F206">
            <v>0.89</v>
          </cell>
          <cell r="G206">
            <v>1.8</v>
          </cell>
          <cell r="H206">
            <v>6.8</v>
          </cell>
          <cell r="I206">
            <v>2.2</v>
          </cell>
          <cell r="J206">
            <v>99</v>
          </cell>
          <cell r="K206">
            <v>104</v>
          </cell>
          <cell r="L206">
            <v>4.5</v>
          </cell>
          <cell r="M206">
            <v>1010</v>
          </cell>
          <cell r="N206">
            <v>16618</v>
          </cell>
        </row>
        <row r="207">
          <cell r="A207" t="str">
            <v>Y315M-2/132</v>
          </cell>
          <cell r="B207">
            <v>131</v>
          </cell>
          <cell r="C207">
            <v>242</v>
          </cell>
          <cell r="D207">
            <v>2980</v>
          </cell>
          <cell r="E207">
            <v>93</v>
          </cell>
          <cell r="F207">
            <v>0.89</v>
          </cell>
          <cell r="G207">
            <v>1.8</v>
          </cell>
          <cell r="H207">
            <v>6.8</v>
          </cell>
          <cell r="I207">
            <v>2.2</v>
          </cell>
          <cell r="J207">
            <v>99</v>
          </cell>
          <cell r="K207">
            <v>104</v>
          </cell>
          <cell r="L207">
            <v>4.5</v>
          </cell>
          <cell r="M207">
            <v>1010</v>
          </cell>
          <cell r="N207">
            <v>16618</v>
          </cell>
        </row>
        <row r="208">
          <cell r="A208" t="str">
            <v>Y315M-2/132</v>
          </cell>
          <cell r="B208">
            <v>132</v>
          </cell>
          <cell r="C208">
            <v>242</v>
          </cell>
          <cell r="D208">
            <v>2980</v>
          </cell>
          <cell r="E208">
            <v>93</v>
          </cell>
          <cell r="F208">
            <v>0.89</v>
          </cell>
          <cell r="G208">
            <v>1.8</v>
          </cell>
          <cell r="H208">
            <v>6.8</v>
          </cell>
          <cell r="I208">
            <v>2.2</v>
          </cell>
          <cell r="J208">
            <v>99</v>
          </cell>
          <cell r="K208">
            <v>104</v>
          </cell>
          <cell r="L208">
            <v>4.5</v>
          </cell>
          <cell r="M208">
            <v>1010</v>
          </cell>
          <cell r="N208">
            <v>16618</v>
          </cell>
        </row>
        <row r="209">
          <cell r="A209" t="str">
            <v>Y315L1-2/160</v>
          </cell>
          <cell r="B209">
            <v>133</v>
          </cell>
          <cell r="C209">
            <v>292</v>
          </cell>
          <cell r="D209">
            <v>2980</v>
          </cell>
          <cell r="E209">
            <v>93.5</v>
          </cell>
          <cell r="F209">
            <v>0.89</v>
          </cell>
          <cell r="G209">
            <v>1.8</v>
          </cell>
          <cell r="H209">
            <v>6.8</v>
          </cell>
          <cell r="I209">
            <v>2.2</v>
          </cell>
          <cell r="J209">
            <v>99</v>
          </cell>
          <cell r="K209">
            <v>104</v>
          </cell>
          <cell r="L209">
            <v>4.5</v>
          </cell>
          <cell r="M209">
            <v>1085</v>
          </cell>
          <cell r="N209">
            <v>17234</v>
          </cell>
        </row>
        <row r="210">
          <cell r="A210" t="str">
            <v>Y315L1-2/160</v>
          </cell>
          <cell r="B210">
            <v>134</v>
          </cell>
          <cell r="C210">
            <v>292</v>
          </cell>
          <cell r="D210">
            <v>2980</v>
          </cell>
          <cell r="E210">
            <v>93.5</v>
          </cell>
          <cell r="F210">
            <v>0.89</v>
          </cell>
          <cell r="G210">
            <v>1.8</v>
          </cell>
          <cell r="H210">
            <v>6.8</v>
          </cell>
          <cell r="I210">
            <v>2.2</v>
          </cell>
          <cell r="J210">
            <v>99</v>
          </cell>
          <cell r="K210">
            <v>104</v>
          </cell>
          <cell r="L210">
            <v>4.5</v>
          </cell>
          <cell r="M210">
            <v>1085</v>
          </cell>
          <cell r="N210">
            <v>17234</v>
          </cell>
        </row>
        <row r="211">
          <cell r="A211" t="str">
            <v>Y315L1-2/160</v>
          </cell>
          <cell r="B211">
            <v>135</v>
          </cell>
          <cell r="C211">
            <v>292</v>
          </cell>
          <cell r="D211">
            <v>2980</v>
          </cell>
          <cell r="E211">
            <v>93.5</v>
          </cell>
          <cell r="F211">
            <v>0.89</v>
          </cell>
          <cell r="G211">
            <v>1.8</v>
          </cell>
          <cell r="H211">
            <v>6.8</v>
          </cell>
          <cell r="I211">
            <v>2.2</v>
          </cell>
          <cell r="J211">
            <v>99</v>
          </cell>
          <cell r="K211">
            <v>104</v>
          </cell>
          <cell r="L211">
            <v>4.5</v>
          </cell>
          <cell r="M211">
            <v>1085</v>
          </cell>
          <cell r="N211">
            <v>17234</v>
          </cell>
        </row>
        <row r="212">
          <cell r="A212" t="str">
            <v>Y315L1-2/160</v>
          </cell>
          <cell r="B212">
            <v>136</v>
          </cell>
          <cell r="C212">
            <v>292</v>
          </cell>
          <cell r="D212">
            <v>2980</v>
          </cell>
          <cell r="E212">
            <v>93.5</v>
          </cell>
          <cell r="F212">
            <v>0.89</v>
          </cell>
          <cell r="G212">
            <v>1.8</v>
          </cell>
          <cell r="H212">
            <v>6.8</v>
          </cell>
          <cell r="I212">
            <v>2.2</v>
          </cell>
          <cell r="J212">
            <v>99</v>
          </cell>
          <cell r="K212">
            <v>104</v>
          </cell>
          <cell r="L212">
            <v>4.5</v>
          </cell>
          <cell r="M212">
            <v>1085</v>
          </cell>
          <cell r="N212">
            <v>17234</v>
          </cell>
        </row>
        <row r="213">
          <cell r="A213" t="str">
            <v>Y315L1-2/160</v>
          </cell>
          <cell r="B213">
            <v>137</v>
          </cell>
          <cell r="C213">
            <v>292</v>
          </cell>
          <cell r="D213">
            <v>2980</v>
          </cell>
          <cell r="E213">
            <v>93.5</v>
          </cell>
          <cell r="F213">
            <v>0.89</v>
          </cell>
          <cell r="G213">
            <v>1.8</v>
          </cell>
          <cell r="H213">
            <v>6.8</v>
          </cell>
          <cell r="I213">
            <v>2.2</v>
          </cell>
          <cell r="J213">
            <v>99</v>
          </cell>
          <cell r="K213">
            <v>104</v>
          </cell>
          <cell r="L213">
            <v>4.5</v>
          </cell>
          <cell r="M213">
            <v>1085</v>
          </cell>
          <cell r="N213">
            <v>17234</v>
          </cell>
        </row>
        <row r="214">
          <cell r="A214" t="str">
            <v>Y315L1-2/160</v>
          </cell>
          <cell r="B214">
            <v>138</v>
          </cell>
          <cell r="C214">
            <v>292</v>
          </cell>
          <cell r="D214">
            <v>2980</v>
          </cell>
          <cell r="E214">
            <v>93.5</v>
          </cell>
          <cell r="F214">
            <v>0.89</v>
          </cell>
          <cell r="G214">
            <v>1.8</v>
          </cell>
          <cell r="H214">
            <v>6.8</v>
          </cell>
          <cell r="I214">
            <v>2.2</v>
          </cell>
          <cell r="J214">
            <v>99</v>
          </cell>
          <cell r="K214">
            <v>104</v>
          </cell>
          <cell r="L214">
            <v>4.5</v>
          </cell>
          <cell r="M214">
            <v>1085</v>
          </cell>
          <cell r="N214">
            <v>17234</v>
          </cell>
        </row>
        <row r="215">
          <cell r="A215" t="str">
            <v>Y315L1-2/160</v>
          </cell>
          <cell r="B215">
            <v>139</v>
          </cell>
          <cell r="C215">
            <v>292</v>
          </cell>
          <cell r="D215">
            <v>2980</v>
          </cell>
          <cell r="E215">
            <v>93.5</v>
          </cell>
          <cell r="F215">
            <v>0.89</v>
          </cell>
          <cell r="G215">
            <v>1.8</v>
          </cell>
          <cell r="H215">
            <v>6.8</v>
          </cell>
          <cell r="I215">
            <v>2.2</v>
          </cell>
          <cell r="J215">
            <v>99</v>
          </cell>
          <cell r="K215">
            <v>104</v>
          </cell>
          <cell r="L215">
            <v>4.5</v>
          </cell>
          <cell r="M215">
            <v>1085</v>
          </cell>
          <cell r="N215">
            <v>17234</v>
          </cell>
        </row>
        <row r="216">
          <cell r="A216" t="str">
            <v>Y315L1-2/160</v>
          </cell>
          <cell r="B216">
            <v>140</v>
          </cell>
          <cell r="C216">
            <v>292</v>
          </cell>
          <cell r="D216">
            <v>2980</v>
          </cell>
          <cell r="E216">
            <v>93.5</v>
          </cell>
          <cell r="F216">
            <v>0.89</v>
          </cell>
          <cell r="G216">
            <v>1.8</v>
          </cell>
          <cell r="H216">
            <v>6.8</v>
          </cell>
          <cell r="I216">
            <v>2.2</v>
          </cell>
          <cell r="J216">
            <v>99</v>
          </cell>
          <cell r="K216">
            <v>104</v>
          </cell>
          <cell r="L216">
            <v>4.5</v>
          </cell>
          <cell r="M216">
            <v>1085</v>
          </cell>
          <cell r="N216">
            <v>17234</v>
          </cell>
        </row>
        <row r="217">
          <cell r="A217" t="str">
            <v>Y315L1-2/160</v>
          </cell>
          <cell r="B217">
            <v>141</v>
          </cell>
          <cell r="C217">
            <v>292</v>
          </cell>
          <cell r="D217">
            <v>2980</v>
          </cell>
          <cell r="E217">
            <v>93.5</v>
          </cell>
          <cell r="F217">
            <v>0.89</v>
          </cell>
          <cell r="G217">
            <v>1.8</v>
          </cell>
          <cell r="H217">
            <v>6.8</v>
          </cell>
          <cell r="I217">
            <v>2.2</v>
          </cell>
          <cell r="J217">
            <v>99</v>
          </cell>
          <cell r="K217">
            <v>104</v>
          </cell>
          <cell r="L217">
            <v>4.5</v>
          </cell>
          <cell r="M217">
            <v>1085</v>
          </cell>
          <cell r="N217">
            <v>17234</v>
          </cell>
        </row>
        <row r="218">
          <cell r="A218" t="str">
            <v>Y315L1-2/160</v>
          </cell>
          <cell r="B218">
            <v>142</v>
          </cell>
          <cell r="C218">
            <v>292</v>
          </cell>
          <cell r="D218">
            <v>2980</v>
          </cell>
          <cell r="E218">
            <v>93.5</v>
          </cell>
          <cell r="F218">
            <v>0.89</v>
          </cell>
          <cell r="G218">
            <v>1.8</v>
          </cell>
          <cell r="H218">
            <v>6.8</v>
          </cell>
          <cell r="I218">
            <v>2.2</v>
          </cell>
          <cell r="J218">
            <v>99</v>
          </cell>
          <cell r="K218">
            <v>104</v>
          </cell>
          <cell r="L218">
            <v>4.5</v>
          </cell>
          <cell r="M218">
            <v>1085</v>
          </cell>
          <cell r="N218">
            <v>17234</v>
          </cell>
        </row>
        <row r="219">
          <cell r="A219" t="str">
            <v>Y315L1-2/160</v>
          </cell>
          <cell r="B219">
            <v>143</v>
          </cell>
          <cell r="C219">
            <v>292</v>
          </cell>
          <cell r="D219">
            <v>2980</v>
          </cell>
          <cell r="E219">
            <v>93.5</v>
          </cell>
          <cell r="F219">
            <v>0.89</v>
          </cell>
          <cell r="G219">
            <v>1.8</v>
          </cell>
          <cell r="H219">
            <v>6.8</v>
          </cell>
          <cell r="I219">
            <v>2.2</v>
          </cell>
          <cell r="J219">
            <v>99</v>
          </cell>
          <cell r="K219">
            <v>104</v>
          </cell>
          <cell r="L219">
            <v>4.5</v>
          </cell>
          <cell r="M219">
            <v>1085</v>
          </cell>
          <cell r="N219">
            <v>17234</v>
          </cell>
        </row>
        <row r="220">
          <cell r="A220" t="str">
            <v>Y315L1-2/160</v>
          </cell>
          <cell r="B220">
            <v>144</v>
          </cell>
          <cell r="C220">
            <v>292</v>
          </cell>
          <cell r="D220">
            <v>2980</v>
          </cell>
          <cell r="E220">
            <v>93.5</v>
          </cell>
          <cell r="F220">
            <v>0.89</v>
          </cell>
          <cell r="G220">
            <v>1.8</v>
          </cell>
          <cell r="H220">
            <v>6.8</v>
          </cell>
          <cell r="I220">
            <v>2.2</v>
          </cell>
          <cell r="J220">
            <v>99</v>
          </cell>
          <cell r="K220">
            <v>104</v>
          </cell>
          <cell r="L220">
            <v>4.5</v>
          </cell>
          <cell r="M220">
            <v>1085</v>
          </cell>
          <cell r="N220">
            <v>17234</v>
          </cell>
        </row>
        <row r="221">
          <cell r="A221" t="str">
            <v>Y315L1-2/160</v>
          </cell>
          <cell r="B221">
            <v>145</v>
          </cell>
          <cell r="C221">
            <v>292</v>
          </cell>
          <cell r="D221">
            <v>2980</v>
          </cell>
          <cell r="E221">
            <v>93.5</v>
          </cell>
          <cell r="F221">
            <v>0.89</v>
          </cell>
          <cell r="G221">
            <v>1.8</v>
          </cell>
          <cell r="H221">
            <v>6.8</v>
          </cell>
          <cell r="I221">
            <v>2.2</v>
          </cell>
          <cell r="J221">
            <v>99</v>
          </cell>
          <cell r="K221">
            <v>104</v>
          </cell>
          <cell r="L221">
            <v>4.5</v>
          </cell>
          <cell r="M221">
            <v>1085</v>
          </cell>
          <cell r="N221">
            <v>17234</v>
          </cell>
        </row>
        <row r="222">
          <cell r="A222" t="str">
            <v>Y315L1-2/160</v>
          </cell>
          <cell r="B222">
            <v>146</v>
          </cell>
          <cell r="C222">
            <v>292</v>
          </cell>
          <cell r="D222">
            <v>2980</v>
          </cell>
          <cell r="E222">
            <v>93.5</v>
          </cell>
          <cell r="F222">
            <v>0.89</v>
          </cell>
          <cell r="G222">
            <v>1.8</v>
          </cell>
          <cell r="H222">
            <v>6.8</v>
          </cell>
          <cell r="I222">
            <v>2.2</v>
          </cell>
          <cell r="J222">
            <v>99</v>
          </cell>
          <cell r="K222">
            <v>104</v>
          </cell>
          <cell r="L222">
            <v>4.5</v>
          </cell>
          <cell r="M222">
            <v>1085</v>
          </cell>
          <cell r="N222">
            <v>17234</v>
          </cell>
        </row>
        <row r="223">
          <cell r="A223" t="str">
            <v>Y315L1-2/160</v>
          </cell>
          <cell r="B223">
            <v>147</v>
          </cell>
          <cell r="C223">
            <v>292</v>
          </cell>
          <cell r="D223">
            <v>2980</v>
          </cell>
          <cell r="E223">
            <v>93.5</v>
          </cell>
          <cell r="F223">
            <v>0.89</v>
          </cell>
          <cell r="G223">
            <v>1.8</v>
          </cell>
          <cell r="H223">
            <v>6.8</v>
          </cell>
          <cell r="I223">
            <v>2.2</v>
          </cell>
          <cell r="J223">
            <v>99</v>
          </cell>
          <cell r="K223">
            <v>104</v>
          </cell>
          <cell r="L223">
            <v>4.5</v>
          </cell>
          <cell r="M223">
            <v>1085</v>
          </cell>
          <cell r="N223">
            <v>17234</v>
          </cell>
        </row>
        <row r="224">
          <cell r="A224" t="str">
            <v>Y315L1-2/160</v>
          </cell>
          <cell r="B224">
            <v>148</v>
          </cell>
          <cell r="C224">
            <v>292</v>
          </cell>
          <cell r="D224">
            <v>2980</v>
          </cell>
          <cell r="E224">
            <v>93.5</v>
          </cell>
          <cell r="F224">
            <v>0.89</v>
          </cell>
          <cell r="G224">
            <v>1.8</v>
          </cell>
          <cell r="H224">
            <v>6.8</v>
          </cell>
          <cell r="I224">
            <v>2.2</v>
          </cell>
          <cell r="J224">
            <v>99</v>
          </cell>
          <cell r="K224">
            <v>104</v>
          </cell>
          <cell r="L224">
            <v>4.5</v>
          </cell>
          <cell r="M224">
            <v>1085</v>
          </cell>
          <cell r="N224">
            <v>17234</v>
          </cell>
        </row>
        <row r="225">
          <cell r="A225" t="str">
            <v>Y315L1-2/160</v>
          </cell>
          <cell r="B225">
            <v>149</v>
          </cell>
          <cell r="C225">
            <v>292</v>
          </cell>
          <cell r="D225">
            <v>2980</v>
          </cell>
          <cell r="E225">
            <v>93.5</v>
          </cell>
          <cell r="F225">
            <v>0.89</v>
          </cell>
          <cell r="G225">
            <v>1.8</v>
          </cell>
          <cell r="H225">
            <v>6.8</v>
          </cell>
          <cell r="I225">
            <v>2.2</v>
          </cell>
          <cell r="J225">
            <v>99</v>
          </cell>
          <cell r="K225">
            <v>104</v>
          </cell>
          <cell r="L225">
            <v>4.5</v>
          </cell>
          <cell r="M225">
            <v>1085</v>
          </cell>
          <cell r="N225">
            <v>17234</v>
          </cell>
        </row>
        <row r="226">
          <cell r="A226" t="str">
            <v>Y315L1-2/160</v>
          </cell>
          <cell r="B226">
            <v>150</v>
          </cell>
          <cell r="C226">
            <v>292</v>
          </cell>
          <cell r="D226">
            <v>2980</v>
          </cell>
          <cell r="E226">
            <v>93.5</v>
          </cell>
          <cell r="F226">
            <v>0.89</v>
          </cell>
          <cell r="G226">
            <v>1.8</v>
          </cell>
          <cell r="H226">
            <v>6.8</v>
          </cell>
          <cell r="I226">
            <v>2.2</v>
          </cell>
          <cell r="J226">
            <v>99</v>
          </cell>
          <cell r="K226">
            <v>104</v>
          </cell>
          <cell r="L226">
            <v>4.5</v>
          </cell>
          <cell r="M226">
            <v>1085</v>
          </cell>
          <cell r="N226">
            <v>17234</v>
          </cell>
        </row>
        <row r="227">
          <cell r="A227" t="str">
            <v>Y315L1-2/160</v>
          </cell>
          <cell r="B227">
            <v>151</v>
          </cell>
          <cell r="C227">
            <v>292</v>
          </cell>
          <cell r="D227">
            <v>2980</v>
          </cell>
          <cell r="E227">
            <v>93.5</v>
          </cell>
          <cell r="F227">
            <v>0.89</v>
          </cell>
          <cell r="G227">
            <v>1.8</v>
          </cell>
          <cell r="H227">
            <v>6.8</v>
          </cell>
          <cell r="I227">
            <v>2.2</v>
          </cell>
          <cell r="J227">
            <v>99</v>
          </cell>
          <cell r="K227">
            <v>104</v>
          </cell>
          <cell r="L227">
            <v>4.5</v>
          </cell>
          <cell r="M227">
            <v>1085</v>
          </cell>
          <cell r="N227">
            <v>17234</v>
          </cell>
        </row>
        <row r="228">
          <cell r="A228" t="str">
            <v>Y315L1-2/160</v>
          </cell>
          <cell r="B228">
            <v>152</v>
          </cell>
          <cell r="C228">
            <v>292</v>
          </cell>
          <cell r="D228">
            <v>2980</v>
          </cell>
          <cell r="E228">
            <v>93.5</v>
          </cell>
          <cell r="F228">
            <v>0.89</v>
          </cell>
          <cell r="G228">
            <v>1.8</v>
          </cell>
          <cell r="H228">
            <v>6.8</v>
          </cell>
          <cell r="I228">
            <v>2.2</v>
          </cell>
          <cell r="J228">
            <v>99</v>
          </cell>
          <cell r="K228">
            <v>104</v>
          </cell>
          <cell r="L228">
            <v>4.5</v>
          </cell>
          <cell r="M228">
            <v>1085</v>
          </cell>
          <cell r="N228">
            <v>17234</v>
          </cell>
        </row>
        <row r="229">
          <cell r="A229" t="str">
            <v>Y315L1-2/160</v>
          </cell>
          <cell r="B229">
            <v>153</v>
          </cell>
          <cell r="C229">
            <v>292</v>
          </cell>
          <cell r="D229">
            <v>2980</v>
          </cell>
          <cell r="E229">
            <v>93.5</v>
          </cell>
          <cell r="F229">
            <v>0.89</v>
          </cell>
          <cell r="G229">
            <v>1.8</v>
          </cell>
          <cell r="H229">
            <v>6.8</v>
          </cell>
          <cell r="I229">
            <v>2.2</v>
          </cell>
          <cell r="J229">
            <v>99</v>
          </cell>
          <cell r="K229">
            <v>104</v>
          </cell>
          <cell r="L229">
            <v>4.5</v>
          </cell>
          <cell r="M229">
            <v>1085</v>
          </cell>
          <cell r="N229">
            <v>17234</v>
          </cell>
        </row>
        <row r="230">
          <cell r="A230" t="str">
            <v>Y315L1-2/160</v>
          </cell>
          <cell r="B230">
            <v>154</v>
          </cell>
          <cell r="C230">
            <v>292</v>
          </cell>
          <cell r="D230">
            <v>2980</v>
          </cell>
          <cell r="E230">
            <v>93.5</v>
          </cell>
          <cell r="F230">
            <v>0.89</v>
          </cell>
          <cell r="G230">
            <v>1.8</v>
          </cell>
          <cell r="H230">
            <v>6.8</v>
          </cell>
          <cell r="I230">
            <v>2.2</v>
          </cell>
          <cell r="J230">
            <v>99</v>
          </cell>
          <cell r="K230">
            <v>104</v>
          </cell>
          <cell r="L230">
            <v>4.5</v>
          </cell>
          <cell r="M230">
            <v>1085</v>
          </cell>
          <cell r="N230">
            <v>17234</v>
          </cell>
        </row>
        <row r="231">
          <cell r="A231" t="str">
            <v>Y315L1-2/160</v>
          </cell>
          <cell r="B231">
            <v>155</v>
          </cell>
          <cell r="C231">
            <v>292</v>
          </cell>
          <cell r="D231">
            <v>2980</v>
          </cell>
          <cell r="E231">
            <v>93.5</v>
          </cell>
          <cell r="F231">
            <v>0.89</v>
          </cell>
          <cell r="G231">
            <v>1.8</v>
          </cell>
          <cell r="H231">
            <v>6.8</v>
          </cell>
          <cell r="I231">
            <v>2.2</v>
          </cell>
          <cell r="J231">
            <v>99</v>
          </cell>
          <cell r="K231">
            <v>104</v>
          </cell>
          <cell r="L231">
            <v>4.5</v>
          </cell>
          <cell r="M231">
            <v>1085</v>
          </cell>
          <cell r="N231">
            <v>17234</v>
          </cell>
        </row>
        <row r="232">
          <cell r="A232" t="str">
            <v>Y315L1-2/160</v>
          </cell>
          <cell r="B232">
            <v>156</v>
          </cell>
          <cell r="C232">
            <v>292</v>
          </cell>
          <cell r="D232">
            <v>2980</v>
          </cell>
          <cell r="E232">
            <v>93.5</v>
          </cell>
          <cell r="F232">
            <v>0.89</v>
          </cell>
          <cell r="G232">
            <v>1.8</v>
          </cell>
          <cell r="H232">
            <v>6.8</v>
          </cell>
          <cell r="I232">
            <v>2.2</v>
          </cell>
          <cell r="J232">
            <v>99</v>
          </cell>
          <cell r="K232">
            <v>104</v>
          </cell>
          <cell r="L232">
            <v>4.5</v>
          </cell>
          <cell r="M232">
            <v>1085</v>
          </cell>
          <cell r="N232">
            <v>17234</v>
          </cell>
        </row>
        <row r="233">
          <cell r="A233" t="str">
            <v>Y315L1-2/160</v>
          </cell>
          <cell r="B233">
            <v>157</v>
          </cell>
          <cell r="C233">
            <v>292</v>
          </cell>
          <cell r="D233">
            <v>2980</v>
          </cell>
          <cell r="E233">
            <v>93.5</v>
          </cell>
          <cell r="F233">
            <v>0.89</v>
          </cell>
          <cell r="G233">
            <v>1.8</v>
          </cell>
          <cell r="H233">
            <v>6.8</v>
          </cell>
          <cell r="I233">
            <v>2.2</v>
          </cell>
          <cell r="J233">
            <v>99</v>
          </cell>
          <cell r="K233">
            <v>104</v>
          </cell>
          <cell r="L233">
            <v>4.5</v>
          </cell>
          <cell r="M233">
            <v>1085</v>
          </cell>
          <cell r="N233">
            <v>17234</v>
          </cell>
        </row>
        <row r="234">
          <cell r="A234" t="str">
            <v>Y315L1-2/160</v>
          </cell>
          <cell r="B234">
            <v>158</v>
          </cell>
          <cell r="C234">
            <v>292</v>
          </cell>
          <cell r="D234">
            <v>2980</v>
          </cell>
          <cell r="E234">
            <v>93.5</v>
          </cell>
          <cell r="F234">
            <v>0.89</v>
          </cell>
          <cell r="G234">
            <v>1.8</v>
          </cell>
          <cell r="H234">
            <v>6.8</v>
          </cell>
          <cell r="I234">
            <v>2.2</v>
          </cell>
          <cell r="J234">
            <v>99</v>
          </cell>
          <cell r="K234">
            <v>104</v>
          </cell>
          <cell r="L234">
            <v>4.5</v>
          </cell>
          <cell r="M234">
            <v>1085</v>
          </cell>
          <cell r="N234">
            <v>17234</v>
          </cell>
        </row>
        <row r="235">
          <cell r="A235" t="str">
            <v>Y315L1-2/160</v>
          </cell>
          <cell r="B235">
            <v>159</v>
          </cell>
          <cell r="C235">
            <v>292</v>
          </cell>
          <cell r="D235">
            <v>2980</v>
          </cell>
          <cell r="E235">
            <v>93.5</v>
          </cell>
          <cell r="F235">
            <v>0.89</v>
          </cell>
          <cell r="G235">
            <v>1.8</v>
          </cell>
          <cell r="H235">
            <v>6.8</v>
          </cell>
          <cell r="I235">
            <v>2.2</v>
          </cell>
          <cell r="J235">
            <v>99</v>
          </cell>
          <cell r="K235">
            <v>104</v>
          </cell>
          <cell r="L235">
            <v>4.5</v>
          </cell>
          <cell r="M235">
            <v>1085</v>
          </cell>
          <cell r="N235">
            <v>17234</v>
          </cell>
        </row>
        <row r="236">
          <cell r="A236" t="str">
            <v>Y315L1-2/160</v>
          </cell>
          <cell r="B236">
            <v>160</v>
          </cell>
          <cell r="C236">
            <v>292</v>
          </cell>
          <cell r="D236">
            <v>2980</v>
          </cell>
          <cell r="E236">
            <v>93.5</v>
          </cell>
          <cell r="F236">
            <v>0.89</v>
          </cell>
          <cell r="G236">
            <v>1.8</v>
          </cell>
          <cell r="H236">
            <v>6.8</v>
          </cell>
          <cell r="I236">
            <v>2.2</v>
          </cell>
          <cell r="J236">
            <v>99</v>
          </cell>
          <cell r="K236">
            <v>104</v>
          </cell>
          <cell r="L236">
            <v>4.5</v>
          </cell>
          <cell r="M236">
            <v>1085</v>
          </cell>
          <cell r="N236">
            <v>17234</v>
          </cell>
        </row>
        <row r="237">
          <cell r="A237" t="str">
            <v>Y315L2-2/200</v>
          </cell>
          <cell r="B237">
            <v>161</v>
          </cell>
          <cell r="C237">
            <v>365</v>
          </cell>
          <cell r="D237">
            <v>2980</v>
          </cell>
          <cell r="E237">
            <v>93.5</v>
          </cell>
          <cell r="F237">
            <v>0.89</v>
          </cell>
          <cell r="G237">
            <v>1.8</v>
          </cell>
          <cell r="H237">
            <v>6.8</v>
          </cell>
          <cell r="I237">
            <v>2.2</v>
          </cell>
          <cell r="J237">
            <v>99</v>
          </cell>
          <cell r="K237">
            <v>104</v>
          </cell>
          <cell r="L237">
            <v>4.5</v>
          </cell>
          <cell r="M237">
            <v>1220</v>
          </cell>
          <cell r="N237">
            <v>18956</v>
          </cell>
        </row>
        <row r="238">
          <cell r="A238" t="str">
            <v>Y315L2-2/200</v>
          </cell>
          <cell r="B238">
            <v>162</v>
          </cell>
          <cell r="C238">
            <v>365</v>
          </cell>
          <cell r="D238">
            <v>2980</v>
          </cell>
          <cell r="E238">
            <v>93.5</v>
          </cell>
          <cell r="F238">
            <v>0.89</v>
          </cell>
          <cell r="G238">
            <v>1.8</v>
          </cell>
          <cell r="H238">
            <v>6.8</v>
          </cell>
          <cell r="I238">
            <v>2.2</v>
          </cell>
          <cell r="J238">
            <v>99</v>
          </cell>
          <cell r="K238">
            <v>104</v>
          </cell>
          <cell r="L238">
            <v>4.5</v>
          </cell>
          <cell r="M238">
            <v>1220</v>
          </cell>
          <cell r="N238">
            <v>18956</v>
          </cell>
        </row>
        <row r="239">
          <cell r="A239" t="str">
            <v>Y315L2-2/200</v>
          </cell>
          <cell r="B239">
            <v>163</v>
          </cell>
          <cell r="C239">
            <v>365</v>
          </cell>
          <cell r="D239">
            <v>2980</v>
          </cell>
          <cell r="E239">
            <v>93.5</v>
          </cell>
          <cell r="F239">
            <v>0.89</v>
          </cell>
          <cell r="G239">
            <v>1.8</v>
          </cell>
          <cell r="H239">
            <v>6.8</v>
          </cell>
          <cell r="I239">
            <v>2.2</v>
          </cell>
          <cell r="J239">
            <v>99</v>
          </cell>
          <cell r="K239">
            <v>104</v>
          </cell>
          <cell r="L239">
            <v>4.5</v>
          </cell>
          <cell r="M239">
            <v>1220</v>
          </cell>
          <cell r="N239">
            <v>18956</v>
          </cell>
        </row>
        <row r="240">
          <cell r="A240" t="str">
            <v>Y315L2-2/200</v>
          </cell>
          <cell r="B240">
            <v>164</v>
          </cell>
          <cell r="C240">
            <v>365</v>
          </cell>
          <cell r="D240">
            <v>2980</v>
          </cell>
          <cell r="E240">
            <v>93.5</v>
          </cell>
          <cell r="F240">
            <v>0.89</v>
          </cell>
          <cell r="G240">
            <v>1.8</v>
          </cell>
          <cell r="H240">
            <v>6.8</v>
          </cell>
          <cell r="I240">
            <v>2.2</v>
          </cell>
          <cell r="J240">
            <v>99</v>
          </cell>
          <cell r="K240">
            <v>104</v>
          </cell>
          <cell r="L240">
            <v>4.5</v>
          </cell>
          <cell r="M240">
            <v>1220</v>
          </cell>
          <cell r="N240">
            <v>18956</v>
          </cell>
        </row>
        <row r="241">
          <cell r="A241" t="str">
            <v>Y315L2-2/200</v>
          </cell>
          <cell r="B241">
            <v>165</v>
          </cell>
          <cell r="C241">
            <v>365</v>
          </cell>
          <cell r="D241">
            <v>2980</v>
          </cell>
          <cell r="E241">
            <v>93.5</v>
          </cell>
          <cell r="F241">
            <v>0.89</v>
          </cell>
          <cell r="G241">
            <v>1.8</v>
          </cell>
          <cell r="H241">
            <v>6.8</v>
          </cell>
          <cell r="I241">
            <v>2.2</v>
          </cell>
          <cell r="J241">
            <v>99</v>
          </cell>
          <cell r="K241">
            <v>104</v>
          </cell>
          <cell r="L241">
            <v>4.5</v>
          </cell>
          <cell r="M241">
            <v>1220</v>
          </cell>
          <cell r="N241">
            <v>18956</v>
          </cell>
        </row>
        <row r="242">
          <cell r="A242" t="str">
            <v>Y315L2-2/200</v>
          </cell>
          <cell r="B242">
            <v>166</v>
          </cell>
          <cell r="C242">
            <v>365</v>
          </cell>
          <cell r="D242">
            <v>2980</v>
          </cell>
          <cell r="E242">
            <v>93.5</v>
          </cell>
          <cell r="F242">
            <v>0.89</v>
          </cell>
          <cell r="G242">
            <v>1.8</v>
          </cell>
          <cell r="H242">
            <v>6.8</v>
          </cell>
          <cell r="I242">
            <v>2.2</v>
          </cell>
          <cell r="J242">
            <v>99</v>
          </cell>
          <cell r="K242">
            <v>104</v>
          </cell>
          <cell r="L242">
            <v>4.5</v>
          </cell>
          <cell r="M242">
            <v>1220</v>
          </cell>
          <cell r="N242">
            <v>18956</v>
          </cell>
        </row>
        <row r="243">
          <cell r="A243" t="str">
            <v>Y315L2-2/200</v>
          </cell>
          <cell r="B243">
            <v>167</v>
          </cell>
          <cell r="C243">
            <v>365</v>
          </cell>
          <cell r="D243">
            <v>2980</v>
          </cell>
          <cell r="E243">
            <v>93.5</v>
          </cell>
          <cell r="F243">
            <v>0.89</v>
          </cell>
          <cell r="G243">
            <v>1.8</v>
          </cell>
          <cell r="H243">
            <v>6.8</v>
          </cell>
          <cell r="I243">
            <v>2.2</v>
          </cell>
          <cell r="J243">
            <v>99</v>
          </cell>
          <cell r="K243">
            <v>104</v>
          </cell>
          <cell r="L243">
            <v>4.5</v>
          </cell>
          <cell r="M243">
            <v>1220</v>
          </cell>
          <cell r="N243">
            <v>18956</v>
          </cell>
        </row>
        <row r="244">
          <cell r="A244" t="str">
            <v>Y315L2-2/200</v>
          </cell>
          <cell r="B244">
            <v>168</v>
          </cell>
          <cell r="C244">
            <v>365</v>
          </cell>
          <cell r="D244">
            <v>2980</v>
          </cell>
          <cell r="E244">
            <v>93.5</v>
          </cell>
          <cell r="F244">
            <v>0.89</v>
          </cell>
          <cell r="G244">
            <v>1.8</v>
          </cell>
          <cell r="H244">
            <v>6.8</v>
          </cell>
          <cell r="I244">
            <v>2.2</v>
          </cell>
          <cell r="J244">
            <v>99</v>
          </cell>
          <cell r="K244">
            <v>104</v>
          </cell>
          <cell r="L244">
            <v>4.5</v>
          </cell>
          <cell r="M244">
            <v>1220</v>
          </cell>
          <cell r="N244">
            <v>18956</v>
          </cell>
        </row>
        <row r="245">
          <cell r="A245" t="str">
            <v>Y315L2-2/200</v>
          </cell>
          <cell r="B245">
            <v>169</v>
          </cell>
          <cell r="C245">
            <v>365</v>
          </cell>
          <cell r="D245">
            <v>2980</v>
          </cell>
          <cell r="E245">
            <v>93.5</v>
          </cell>
          <cell r="F245">
            <v>0.89</v>
          </cell>
          <cell r="G245">
            <v>1.8</v>
          </cell>
          <cell r="H245">
            <v>6.8</v>
          </cell>
          <cell r="I245">
            <v>2.2</v>
          </cell>
          <cell r="J245">
            <v>99</v>
          </cell>
          <cell r="K245">
            <v>104</v>
          </cell>
          <cell r="L245">
            <v>4.5</v>
          </cell>
          <cell r="M245">
            <v>1220</v>
          </cell>
          <cell r="N245">
            <v>18956</v>
          </cell>
        </row>
        <row r="246">
          <cell r="A246" t="str">
            <v>Y315L2-2/200</v>
          </cell>
          <cell r="B246">
            <v>170</v>
          </cell>
          <cell r="C246">
            <v>365</v>
          </cell>
          <cell r="D246">
            <v>2980</v>
          </cell>
          <cell r="E246">
            <v>93.5</v>
          </cell>
          <cell r="F246">
            <v>0.89</v>
          </cell>
          <cell r="G246">
            <v>1.8</v>
          </cell>
          <cell r="H246">
            <v>6.8</v>
          </cell>
          <cell r="I246">
            <v>2.2</v>
          </cell>
          <cell r="J246">
            <v>99</v>
          </cell>
          <cell r="K246">
            <v>104</v>
          </cell>
          <cell r="L246">
            <v>4.5</v>
          </cell>
          <cell r="M246">
            <v>1220</v>
          </cell>
          <cell r="N246">
            <v>18956</v>
          </cell>
        </row>
        <row r="247">
          <cell r="A247" t="str">
            <v>Y315L2-2/200</v>
          </cell>
          <cell r="B247">
            <v>171</v>
          </cell>
          <cell r="C247">
            <v>365</v>
          </cell>
          <cell r="D247">
            <v>2980</v>
          </cell>
          <cell r="E247">
            <v>93.5</v>
          </cell>
          <cell r="F247">
            <v>0.89</v>
          </cell>
          <cell r="G247">
            <v>1.8</v>
          </cell>
          <cell r="H247">
            <v>6.8</v>
          </cell>
          <cell r="I247">
            <v>2.2</v>
          </cell>
          <cell r="J247">
            <v>99</v>
          </cell>
          <cell r="K247">
            <v>104</v>
          </cell>
          <cell r="L247">
            <v>4.5</v>
          </cell>
          <cell r="M247">
            <v>1220</v>
          </cell>
          <cell r="N247">
            <v>18956</v>
          </cell>
        </row>
        <row r="248">
          <cell r="A248" t="str">
            <v>Y315L2-2/200</v>
          </cell>
          <cell r="B248">
            <v>172</v>
          </cell>
          <cell r="C248">
            <v>365</v>
          </cell>
          <cell r="D248">
            <v>2980</v>
          </cell>
          <cell r="E248">
            <v>93.5</v>
          </cell>
          <cell r="F248">
            <v>0.89</v>
          </cell>
          <cell r="G248">
            <v>1.8</v>
          </cell>
          <cell r="H248">
            <v>6.8</v>
          </cell>
          <cell r="I248">
            <v>2.2</v>
          </cell>
          <cell r="J248">
            <v>99</v>
          </cell>
          <cell r="K248">
            <v>104</v>
          </cell>
          <cell r="L248">
            <v>4.5</v>
          </cell>
          <cell r="M248">
            <v>1220</v>
          </cell>
          <cell r="N248">
            <v>18956</v>
          </cell>
        </row>
        <row r="249">
          <cell r="A249" t="str">
            <v>Y315L2-2/200</v>
          </cell>
          <cell r="B249">
            <v>173</v>
          </cell>
          <cell r="C249">
            <v>365</v>
          </cell>
          <cell r="D249">
            <v>2980</v>
          </cell>
          <cell r="E249">
            <v>93.5</v>
          </cell>
          <cell r="F249">
            <v>0.89</v>
          </cell>
          <cell r="G249">
            <v>1.8</v>
          </cell>
          <cell r="H249">
            <v>6.8</v>
          </cell>
          <cell r="I249">
            <v>2.2</v>
          </cell>
          <cell r="J249">
            <v>99</v>
          </cell>
          <cell r="K249">
            <v>104</v>
          </cell>
          <cell r="L249">
            <v>4.5</v>
          </cell>
          <cell r="M249">
            <v>1220</v>
          </cell>
          <cell r="N249">
            <v>18956</v>
          </cell>
        </row>
        <row r="250">
          <cell r="A250" t="str">
            <v>Y315L2-2/200</v>
          </cell>
          <cell r="B250">
            <v>174</v>
          </cell>
          <cell r="C250">
            <v>365</v>
          </cell>
          <cell r="D250">
            <v>2980</v>
          </cell>
          <cell r="E250">
            <v>93.5</v>
          </cell>
          <cell r="F250">
            <v>0.89</v>
          </cell>
          <cell r="G250">
            <v>1.8</v>
          </cell>
          <cell r="H250">
            <v>6.8</v>
          </cell>
          <cell r="I250">
            <v>2.2</v>
          </cell>
          <cell r="J250">
            <v>99</v>
          </cell>
          <cell r="K250">
            <v>104</v>
          </cell>
          <cell r="L250">
            <v>4.5</v>
          </cell>
          <cell r="M250">
            <v>1220</v>
          </cell>
          <cell r="N250">
            <v>18956</v>
          </cell>
        </row>
        <row r="251">
          <cell r="A251" t="str">
            <v>Y315L2-2/200</v>
          </cell>
          <cell r="B251">
            <v>175</v>
          </cell>
          <cell r="C251">
            <v>365</v>
          </cell>
          <cell r="D251">
            <v>2980</v>
          </cell>
          <cell r="E251">
            <v>93.5</v>
          </cell>
          <cell r="F251">
            <v>0.89</v>
          </cell>
          <cell r="G251">
            <v>1.8</v>
          </cell>
          <cell r="H251">
            <v>6.8</v>
          </cell>
          <cell r="I251">
            <v>2.2</v>
          </cell>
          <cell r="J251">
            <v>99</v>
          </cell>
          <cell r="K251">
            <v>104</v>
          </cell>
          <cell r="L251">
            <v>4.5</v>
          </cell>
          <cell r="M251">
            <v>1220</v>
          </cell>
          <cell r="N251">
            <v>18956</v>
          </cell>
        </row>
        <row r="252">
          <cell r="A252" t="str">
            <v>Y315L2-2/200</v>
          </cell>
          <cell r="B252">
            <v>176</v>
          </cell>
          <cell r="C252">
            <v>365</v>
          </cell>
          <cell r="D252">
            <v>2980</v>
          </cell>
          <cell r="E252">
            <v>93.5</v>
          </cell>
          <cell r="F252">
            <v>0.89</v>
          </cell>
          <cell r="G252">
            <v>1.8</v>
          </cell>
          <cell r="H252">
            <v>6.8</v>
          </cell>
          <cell r="I252">
            <v>2.2</v>
          </cell>
          <cell r="J252">
            <v>99</v>
          </cell>
          <cell r="K252">
            <v>104</v>
          </cell>
          <cell r="L252">
            <v>4.5</v>
          </cell>
          <cell r="M252">
            <v>1220</v>
          </cell>
          <cell r="N252">
            <v>18956</v>
          </cell>
        </row>
        <row r="253">
          <cell r="A253" t="str">
            <v>Y315L2-2/200</v>
          </cell>
          <cell r="B253">
            <v>177</v>
          </cell>
          <cell r="C253">
            <v>365</v>
          </cell>
          <cell r="D253">
            <v>2980</v>
          </cell>
          <cell r="E253">
            <v>93.5</v>
          </cell>
          <cell r="F253">
            <v>0.89</v>
          </cell>
          <cell r="G253">
            <v>1.8</v>
          </cell>
          <cell r="H253">
            <v>6.8</v>
          </cell>
          <cell r="I253">
            <v>2.2</v>
          </cell>
          <cell r="J253">
            <v>99</v>
          </cell>
          <cell r="K253">
            <v>104</v>
          </cell>
          <cell r="L253">
            <v>4.5</v>
          </cell>
          <cell r="M253">
            <v>1220</v>
          </cell>
          <cell r="N253">
            <v>18956</v>
          </cell>
        </row>
        <row r="254">
          <cell r="A254" t="str">
            <v>Y315L2-2/200</v>
          </cell>
          <cell r="B254">
            <v>178</v>
          </cell>
          <cell r="C254">
            <v>365</v>
          </cell>
          <cell r="D254">
            <v>2980</v>
          </cell>
          <cell r="E254">
            <v>93.5</v>
          </cell>
          <cell r="F254">
            <v>0.89</v>
          </cell>
          <cell r="G254">
            <v>1.8</v>
          </cell>
          <cell r="H254">
            <v>6.8</v>
          </cell>
          <cell r="I254">
            <v>2.2</v>
          </cell>
          <cell r="J254">
            <v>99</v>
          </cell>
          <cell r="K254">
            <v>104</v>
          </cell>
          <cell r="L254">
            <v>4.5</v>
          </cell>
          <cell r="M254">
            <v>1220</v>
          </cell>
          <cell r="N254">
            <v>18956</v>
          </cell>
        </row>
        <row r="255">
          <cell r="A255" t="str">
            <v>Y315L2-2/200</v>
          </cell>
          <cell r="B255">
            <v>179</v>
          </cell>
          <cell r="C255">
            <v>365</v>
          </cell>
          <cell r="D255">
            <v>2980</v>
          </cell>
          <cell r="E255">
            <v>93.5</v>
          </cell>
          <cell r="F255">
            <v>0.89</v>
          </cell>
          <cell r="G255">
            <v>1.8</v>
          </cell>
          <cell r="H255">
            <v>6.8</v>
          </cell>
          <cell r="I255">
            <v>2.2</v>
          </cell>
          <cell r="J255">
            <v>99</v>
          </cell>
          <cell r="K255">
            <v>104</v>
          </cell>
          <cell r="L255">
            <v>4.5</v>
          </cell>
          <cell r="M255">
            <v>1220</v>
          </cell>
          <cell r="N255">
            <v>18956</v>
          </cell>
        </row>
        <row r="256">
          <cell r="A256" t="str">
            <v>Y315L2-2/200</v>
          </cell>
          <cell r="B256">
            <v>180</v>
          </cell>
          <cell r="C256">
            <v>365</v>
          </cell>
          <cell r="D256">
            <v>2980</v>
          </cell>
          <cell r="E256">
            <v>93.5</v>
          </cell>
          <cell r="F256">
            <v>0.89</v>
          </cell>
          <cell r="G256">
            <v>1.8</v>
          </cell>
          <cell r="H256">
            <v>6.8</v>
          </cell>
          <cell r="I256">
            <v>2.2</v>
          </cell>
          <cell r="J256">
            <v>99</v>
          </cell>
          <cell r="K256">
            <v>104</v>
          </cell>
          <cell r="L256">
            <v>4.5</v>
          </cell>
          <cell r="M256">
            <v>1220</v>
          </cell>
          <cell r="N256">
            <v>18956</v>
          </cell>
        </row>
        <row r="257">
          <cell r="A257" t="str">
            <v>Y315L2-2/200</v>
          </cell>
          <cell r="B257">
            <v>181</v>
          </cell>
          <cell r="C257">
            <v>365</v>
          </cell>
          <cell r="D257">
            <v>2980</v>
          </cell>
          <cell r="E257">
            <v>93.5</v>
          </cell>
          <cell r="F257">
            <v>0.89</v>
          </cell>
          <cell r="G257">
            <v>1.8</v>
          </cell>
          <cell r="H257">
            <v>6.8</v>
          </cell>
          <cell r="I257">
            <v>2.2</v>
          </cell>
          <cell r="J257">
            <v>99</v>
          </cell>
          <cell r="K257">
            <v>104</v>
          </cell>
          <cell r="L257">
            <v>4.5</v>
          </cell>
          <cell r="M257">
            <v>1220</v>
          </cell>
          <cell r="N257">
            <v>18956</v>
          </cell>
        </row>
        <row r="258">
          <cell r="A258" t="str">
            <v>Y315L2-2/200</v>
          </cell>
          <cell r="B258">
            <v>182</v>
          </cell>
          <cell r="C258">
            <v>365</v>
          </cell>
          <cell r="D258">
            <v>2980</v>
          </cell>
          <cell r="E258">
            <v>93.5</v>
          </cell>
          <cell r="F258">
            <v>0.89</v>
          </cell>
          <cell r="G258">
            <v>1.8</v>
          </cell>
          <cell r="H258">
            <v>6.8</v>
          </cell>
          <cell r="I258">
            <v>2.2</v>
          </cell>
          <cell r="J258">
            <v>99</v>
          </cell>
          <cell r="K258">
            <v>104</v>
          </cell>
          <cell r="L258">
            <v>4.5</v>
          </cell>
          <cell r="M258">
            <v>1220</v>
          </cell>
          <cell r="N258">
            <v>18956</v>
          </cell>
        </row>
        <row r="259">
          <cell r="A259" t="str">
            <v>Y315L2-2/200</v>
          </cell>
          <cell r="B259">
            <v>183</v>
          </cell>
          <cell r="C259">
            <v>365</v>
          </cell>
          <cell r="D259">
            <v>2980</v>
          </cell>
          <cell r="E259">
            <v>93.5</v>
          </cell>
          <cell r="F259">
            <v>0.89</v>
          </cell>
          <cell r="G259">
            <v>1.8</v>
          </cell>
          <cell r="H259">
            <v>6.8</v>
          </cell>
          <cell r="I259">
            <v>2.2</v>
          </cell>
          <cell r="J259">
            <v>99</v>
          </cell>
          <cell r="K259">
            <v>104</v>
          </cell>
          <cell r="L259">
            <v>4.5</v>
          </cell>
          <cell r="M259">
            <v>1220</v>
          </cell>
          <cell r="N259">
            <v>18956</v>
          </cell>
        </row>
        <row r="260">
          <cell r="A260" t="str">
            <v>Y315L2-2/200</v>
          </cell>
          <cell r="B260">
            <v>184</v>
          </cell>
          <cell r="C260">
            <v>365</v>
          </cell>
          <cell r="D260">
            <v>2980</v>
          </cell>
          <cell r="E260">
            <v>93.5</v>
          </cell>
          <cell r="F260">
            <v>0.89</v>
          </cell>
          <cell r="G260">
            <v>1.8</v>
          </cell>
          <cell r="H260">
            <v>6.8</v>
          </cell>
          <cell r="I260">
            <v>2.2</v>
          </cell>
          <cell r="J260">
            <v>99</v>
          </cell>
          <cell r="K260">
            <v>104</v>
          </cell>
          <cell r="L260">
            <v>4.5</v>
          </cell>
          <cell r="M260">
            <v>1220</v>
          </cell>
          <cell r="N260">
            <v>18956</v>
          </cell>
        </row>
        <row r="261">
          <cell r="A261" t="str">
            <v>Y315L2-2/200</v>
          </cell>
          <cell r="B261">
            <v>185</v>
          </cell>
          <cell r="C261">
            <v>365</v>
          </cell>
          <cell r="D261">
            <v>2980</v>
          </cell>
          <cell r="E261">
            <v>93.5</v>
          </cell>
          <cell r="F261">
            <v>0.89</v>
          </cell>
          <cell r="G261">
            <v>1.8</v>
          </cell>
          <cell r="H261">
            <v>6.8</v>
          </cell>
          <cell r="I261">
            <v>2.2</v>
          </cell>
          <cell r="J261">
            <v>99</v>
          </cell>
          <cell r="K261">
            <v>104</v>
          </cell>
          <cell r="L261">
            <v>4.5</v>
          </cell>
          <cell r="M261">
            <v>1220</v>
          </cell>
          <cell r="N261">
            <v>18956</v>
          </cell>
        </row>
        <row r="262">
          <cell r="A262" t="str">
            <v>Y315L2-2/200</v>
          </cell>
          <cell r="B262">
            <v>186</v>
          </cell>
          <cell r="C262">
            <v>365</v>
          </cell>
          <cell r="D262">
            <v>2980</v>
          </cell>
          <cell r="E262">
            <v>93.5</v>
          </cell>
          <cell r="F262">
            <v>0.89</v>
          </cell>
          <cell r="G262">
            <v>1.8</v>
          </cell>
          <cell r="H262">
            <v>6.8</v>
          </cell>
          <cell r="I262">
            <v>2.2</v>
          </cell>
          <cell r="J262">
            <v>99</v>
          </cell>
          <cell r="K262">
            <v>104</v>
          </cell>
          <cell r="L262">
            <v>4.5</v>
          </cell>
          <cell r="M262">
            <v>1220</v>
          </cell>
          <cell r="N262">
            <v>18956</v>
          </cell>
        </row>
        <row r="263">
          <cell r="A263" t="str">
            <v>Y315L2-2/200</v>
          </cell>
          <cell r="B263">
            <v>187</v>
          </cell>
          <cell r="C263">
            <v>365</v>
          </cell>
          <cell r="D263">
            <v>2980</v>
          </cell>
          <cell r="E263">
            <v>93.5</v>
          </cell>
          <cell r="F263">
            <v>0.89</v>
          </cell>
          <cell r="G263">
            <v>1.8</v>
          </cell>
          <cell r="H263">
            <v>6.8</v>
          </cell>
          <cell r="I263">
            <v>2.2</v>
          </cell>
          <cell r="J263">
            <v>99</v>
          </cell>
          <cell r="K263">
            <v>104</v>
          </cell>
          <cell r="L263">
            <v>4.5</v>
          </cell>
          <cell r="M263">
            <v>1220</v>
          </cell>
          <cell r="N263">
            <v>18956</v>
          </cell>
        </row>
        <row r="264">
          <cell r="A264" t="str">
            <v>Y315L2-2/200</v>
          </cell>
          <cell r="B264">
            <v>188</v>
          </cell>
          <cell r="C264">
            <v>365</v>
          </cell>
          <cell r="D264">
            <v>2980</v>
          </cell>
          <cell r="E264">
            <v>93.5</v>
          </cell>
          <cell r="F264">
            <v>0.89</v>
          </cell>
          <cell r="G264">
            <v>1.8</v>
          </cell>
          <cell r="H264">
            <v>6.8</v>
          </cell>
          <cell r="I264">
            <v>2.2</v>
          </cell>
          <cell r="J264">
            <v>99</v>
          </cell>
          <cell r="K264">
            <v>104</v>
          </cell>
          <cell r="L264">
            <v>4.5</v>
          </cell>
          <cell r="M264">
            <v>1220</v>
          </cell>
          <cell r="N264">
            <v>18956</v>
          </cell>
        </row>
        <row r="265">
          <cell r="A265" t="str">
            <v>Y315L2-2/200</v>
          </cell>
          <cell r="B265">
            <v>189</v>
          </cell>
          <cell r="C265">
            <v>365</v>
          </cell>
          <cell r="D265">
            <v>2980</v>
          </cell>
          <cell r="E265">
            <v>93.5</v>
          </cell>
          <cell r="F265">
            <v>0.89</v>
          </cell>
          <cell r="G265">
            <v>1.8</v>
          </cell>
          <cell r="H265">
            <v>6.8</v>
          </cell>
          <cell r="I265">
            <v>2.2</v>
          </cell>
          <cell r="J265">
            <v>99</v>
          </cell>
          <cell r="K265">
            <v>104</v>
          </cell>
          <cell r="L265">
            <v>4.5</v>
          </cell>
          <cell r="M265">
            <v>1220</v>
          </cell>
          <cell r="N265">
            <v>18956</v>
          </cell>
        </row>
        <row r="266">
          <cell r="A266" t="str">
            <v>Y315L2-2/200</v>
          </cell>
          <cell r="B266">
            <v>190</v>
          </cell>
          <cell r="C266">
            <v>365</v>
          </cell>
          <cell r="D266">
            <v>2980</v>
          </cell>
          <cell r="E266">
            <v>93.5</v>
          </cell>
          <cell r="F266">
            <v>0.89</v>
          </cell>
          <cell r="G266">
            <v>1.8</v>
          </cell>
          <cell r="H266">
            <v>6.8</v>
          </cell>
          <cell r="I266">
            <v>2.2</v>
          </cell>
          <cell r="J266">
            <v>99</v>
          </cell>
          <cell r="K266">
            <v>104</v>
          </cell>
          <cell r="L266">
            <v>4.5</v>
          </cell>
          <cell r="M266">
            <v>1220</v>
          </cell>
          <cell r="N266">
            <v>18956</v>
          </cell>
        </row>
        <row r="267">
          <cell r="A267" t="str">
            <v>Y315L2-2/200</v>
          </cell>
          <cell r="B267">
            <v>191</v>
          </cell>
          <cell r="C267">
            <v>365</v>
          </cell>
          <cell r="D267">
            <v>2980</v>
          </cell>
          <cell r="E267">
            <v>93.5</v>
          </cell>
          <cell r="F267">
            <v>0.89</v>
          </cell>
          <cell r="G267">
            <v>1.8</v>
          </cell>
          <cell r="H267">
            <v>6.8</v>
          </cell>
          <cell r="I267">
            <v>2.2</v>
          </cell>
          <cell r="J267">
            <v>99</v>
          </cell>
          <cell r="K267">
            <v>104</v>
          </cell>
          <cell r="L267">
            <v>4.5</v>
          </cell>
          <cell r="M267">
            <v>1220</v>
          </cell>
          <cell r="N267">
            <v>18956</v>
          </cell>
        </row>
        <row r="268">
          <cell r="A268" t="str">
            <v>Y315L2-2/200</v>
          </cell>
          <cell r="B268">
            <v>192</v>
          </cell>
          <cell r="C268">
            <v>365</v>
          </cell>
          <cell r="D268">
            <v>2980</v>
          </cell>
          <cell r="E268">
            <v>93.5</v>
          </cell>
          <cell r="F268">
            <v>0.89</v>
          </cell>
          <cell r="G268">
            <v>1.8</v>
          </cell>
          <cell r="H268">
            <v>6.8</v>
          </cell>
          <cell r="I268">
            <v>2.2</v>
          </cell>
          <cell r="J268">
            <v>99</v>
          </cell>
          <cell r="K268">
            <v>104</v>
          </cell>
          <cell r="L268">
            <v>4.5</v>
          </cell>
          <cell r="M268">
            <v>1220</v>
          </cell>
          <cell r="N268">
            <v>18956</v>
          </cell>
        </row>
        <row r="269">
          <cell r="A269" t="str">
            <v>Y315L2-2/200</v>
          </cell>
          <cell r="B269">
            <v>193</v>
          </cell>
          <cell r="C269">
            <v>365</v>
          </cell>
          <cell r="D269">
            <v>2980</v>
          </cell>
          <cell r="E269">
            <v>93.5</v>
          </cell>
          <cell r="F269">
            <v>0.89</v>
          </cell>
          <cell r="G269">
            <v>1.8</v>
          </cell>
          <cell r="H269">
            <v>6.8</v>
          </cell>
          <cell r="I269">
            <v>2.2</v>
          </cell>
          <cell r="J269">
            <v>99</v>
          </cell>
          <cell r="K269">
            <v>104</v>
          </cell>
          <cell r="L269">
            <v>4.5</v>
          </cell>
          <cell r="M269">
            <v>1220</v>
          </cell>
          <cell r="N269">
            <v>18956</v>
          </cell>
        </row>
        <row r="270">
          <cell r="A270" t="str">
            <v>Y315L2-2/200</v>
          </cell>
          <cell r="B270">
            <v>194</v>
          </cell>
          <cell r="C270">
            <v>365</v>
          </cell>
          <cell r="D270">
            <v>2980</v>
          </cell>
          <cell r="E270">
            <v>93.5</v>
          </cell>
          <cell r="F270">
            <v>0.89</v>
          </cell>
          <cell r="G270">
            <v>1.8</v>
          </cell>
          <cell r="H270">
            <v>6.8</v>
          </cell>
          <cell r="I270">
            <v>2.2</v>
          </cell>
          <cell r="J270">
            <v>99</v>
          </cell>
          <cell r="K270">
            <v>104</v>
          </cell>
          <cell r="L270">
            <v>4.5</v>
          </cell>
          <cell r="M270">
            <v>1220</v>
          </cell>
          <cell r="N270">
            <v>18956</v>
          </cell>
        </row>
        <row r="271">
          <cell r="A271" t="str">
            <v>Y315L2-2/200</v>
          </cell>
          <cell r="B271">
            <v>195</v>
          </cell>
          <cell r="C271">
            <v>365</v>
          </cell>
          <cell r="D271">
            <v>2980</v>
          </cell>
          <cell r="E271">
            <v>93.5</v>
          </cell>
          <cell r="F271">
            <v>0.89</v>
          </cell>
          <cell r="G271">
            <v>1.8</v>
          </cell>
          <cell r="H271">
            <v>6.8</v>
          </cell>
          <cell r="I271">
            <v>2.2</v>
          </cell>
          <cell r="J271">
            <v>99</v>
          </cell>
          <cell r="K271">
            <v>104</v>
          </cell>
          <cell r="L271">
            <v>4.5</v>
          </cell>
          <cell r="M271">
            <v>1220</v>
          </cell>
          <cell r="N271">
            <v>18956</v>
          </cell>
        </row>
        <row r="272">
          <cell r="A272" t="str">
            <v>Y315L2-2/200</v>
          </cell>
          <cell r="B272">
            <v>196</v>
          </cell>
          <cell r="C272">
            <v>365</v>
          </cell>
          <cell r="D272">
            <v>2980</v>
          </cell>
          <cell r="E272">
            <v>93.5</v>
          </cell>
          <cell r="F272">
            <v>0.89</v>
          </cell>
          <cell r="G272">
            <v>1.8</v>
          </cell>
          <cell r="H272">
            <v>6.8</v>
          </cell>
          <cell r="I272">
            <v>2.2</v>
          </cell>
          <cell r="J272">
            <v>99</v>
          </cell>
          <cell r="K272">
            <v>104</v>
          </cell>
          <cell r="L272">
            <v>4.5</v>
          </cell>
          <cell r="M272">
            <v>1220</v>
          </cell>
          <cell r="N272">
            <v>18956</v>
          </cell>
        </row>
        <row r="273">
          <cell r="A273" t="str">
            <v>Y315L2-2/200</v>
          </cell>
          <cell r="B273">
            <v>197</v>
          </cell>
          <cell r="C273">
            <v>365</v>
          </cell>
          <cell r="D273">
            <v>2980</v>
          </cell>
          <cell r="E273">
            <v>93.5</v>
          </cell>
          <cell r="F273">
            <v>0.89</v>
          </cell>
          <cell r="G273">
            <v>1.8</v>
          </cell>
          <cell r="H273">
            <v>6.8</v>
          </cell>
          <cell r="I273">
            <v>2.2</v>
          </cell>
          <cell r="J273">
            <v>99</v>
          </cell>
          <cell r="K273">
            <v>104</v>
          </cell>
          <cell r="L273">
            <v>4.5</v>
          </cell>
          <cell r="M273">
            <v>1220</v>
          </cell>
          <cell r="N273">
            <v>18956</v>
          </cell>
        </row>
        <row r="274">
          <cell r="A274" t="str">
            <v>Y315L2-2/200</v>
          </cell>
          <cell r="B274">
            <v>198</v>
          </cell>
          <cell r="C274">
            <v>365</v>
          </cell>
          <cell r="D274">
            <v>2980</v>
          </cell>
          <cell r="E274">
            <v>93.5</v>
          </cell>
          <cell r="F274">
            <v>0.89</v>
          </cell>
          <cell r="G274">
            <v>1.8</v>
          </cell>
          <cell r="H274">
            <v>6.8</v>
          </cell>
          <cell r="I274">
            <v>2.2</v>
          </cell>
          <cell r="J274">
            <v>99</v>
          </cell>
          <cell r="K274">
            <v>104</v>
          </cell>
          <cell r="L274">
            <v>4.5</v>
          </cell>
          <cell r="M274">
            <v>1220</v>
          </cell>
          <cell r="N274">
            <v>18956</v>
          </cell>
        </row>
        <row r="275">
          <cell r="A275" t="str">
            <v>Y315L2-2/200</v>
          </cell>
          <cell r="B275">
            <v>199</v>
          </cell>
          <cell r="C275">
            <v>365</v>
          </cell>
          <cell r="D275">
            <v>2980</v>
          </cell>
          <cell r="E275">
            <v>93.5</v>
          </cell>
          <cell r="F275">
            <v>0.89</v>
          </cell>
          <cell r="G275">
            <v>1.8</v>
          </cell>
          <cell r="H275">
            <v>6.8</v>
          </cell>
          <cell r="I275">
            <v>2.2</v>
          </cell>
          <cell r="J275">
            <v>99</v>
          </cell>
          <cell r="K275">
            <v>104</v>
          </cell>
          <cell r="L275">
            <v>4.5</v>
          </cell>
          <cell r="M275">
            <v>1220</v>
          </cell>
          <cell r="N275">
            <v>18956</v>
          </cell>
        </row>
        <row r="276">
          <cell r="A276" t="str">
            <v>Y315L2-2/200</v>
          </cell>
          <cell r="B276">
            <v>200</v>
          </cell>
          <cell r="C276">
            <v>365</v>
          </cell>
          <cell r="D276">
            <v>2980</v>
          </cell>
          <cell r="E276">
            <v>93.5</v>
          </cell>
          <cell r="F276">
            <v>0.89</v>
          </cell>
          <cell r="G276">
            <v>1.8</v>
          </cell>
          <cell r="H276">
            <v>6.8</v>
          </cell>
          <cell r="I276">
            <v>2.2</v>
          </cell>
          <cell r="J276">
            <v>99</v>
          </cell>
          <cell r="K276">
            <v>104</v>
          </cell>
          <cell r="L276">
            <v>4.5</v>
          </cell>
          <cell r="M276">
            <v>1220</v>
          </cell>
          <cell r="N276">
            <v>18956</v>
          </cell>
        </row>
        <row r="277">
          <cell r="A277" t="str">
            <v>Y355M1-2/220</v>
          </cell>
          <cell r="B277">
            <v>201</v>
          </cell>
          <cell r="C277">
            <v>399</v>
          </cell>
          <cell r="D277">
            <v>2980</v>
          </cell>
          <cell r="E277">
            <v>94.2</v>
          </cell>
          <cell r="F277">
            <v>0.89</v>
          </cell>
          <cell r="G277">
            <v>1.2</v>
          </cell>
          <cell r="H277">
            <v>6.9</v>
          </cell>
          <cell r="I277">
            <v>2.2</v>
          </cell>
          <cell r="J277">
            <v>109</v>
          </cell>
        </row>
        <row r="277">
          <cell r="L277">
            <v>4.5</v>
          </cell>
          <cell r="M277">
            <v>1710</v>
          </cell>
        </row>
        <row r="278">
          <cell r="A278" t="str">
            <v>Y355M1-2/220</v>
          </cell>
          <cell r="B278">
            <v>202</v>
          </cell>
          <cell r="C278">
            <v>399</v>
          </cell>
          <cell r="D278">
            <v>2980</v>
          </cell>
          <cell r="E278">
            <v>94.2</v>
          </cell>
          <cell r="F278">
            <v>0.89</v>
          </cell>
          <cell r="G278">
            <v>1.2</v>
          </cell>
          <cell r="H278">
            <v>6.9</v>
          </cell>
          <cell r="I278">
            <v>2.2</v>
          </cell>
          <cell r="J278">
            <v>109</v>
          </cell>
        </row>
        <row r="278">
          <cell r="L278">
            <v>4.5</v>
          </cell>
          <cell r="M278">
            <v>1710</v>
          </cell>
        </row>
        <row r="279">
          <cell r="A279" t="str">
            <v>Y355M1-2/220</v>
          </cell>
          <cell r="B279">
            <v>203</v>
          </cell>
          <cell r="C279">
            <v>399</v>
          </cell>
          <cell r="D279">
            <v>2980</v>
          </cell>
          <cell r="E279">
            <v>94.2</v>
          </cell>
          <cell r="F279">
            <v>0.89</v>
          </cell>
          <cell r="G279">
            <v>1.2</v>
          </cell>
          <cell r="H279">
            <v>6.9</v>
          </cell>
          <cell r="I279">
            <v>2.2</v>
          </cell>
          <cell r="J279">
            <v>109</v>
          </cell>
        </row>
        <row r="279">
          <cell r="L279">
            <v>4.5</v>
          </cell>
          <cell r="M279">
            <v>1710</v>
          </cell>
        </row>
        <row r="280">
          <cell r="A280" t="str">
            <v>Y355M1-2/220</v>
          </cell>
          <cell r="B280">
            <v>204</v>
          </cell>
          <cell r="C280">
            <v>399</v>
          </cell>
          <cell r="D280">
            <v>2980</v>
          </cell>
          <cell r="E280">
            <v>94.2</v>
          </cell>
          <cell r="F280">
            <v>0.89</v>
          </cell>
          <cell r="G280">
            <v>1.2</v>
          </cell>
          <cell r="H280">
            <v>6.9</v>
          </cell>
          <cell r="I280">
            <v>2.2</v>
          </cell>
          <cell r="J280">
            <v>109</v>
          </cell>
        </row>
        <row r="280">
          <cell r="L280">
            <v>4.5</v>
          </cell>
          <cell r="M280">
            <v>1710</v>
          </cell>
        </row>
        <row r="281">
          <cell r="A281" t="str">
            <v>Y355M1-2/220</v>
          </cell>
          <cell r="B281">
            <v>205</v>
          </cell>
          <cell r="C281">
            <v>399</v>
          </cell>
          <cell r="D281">
            <v>2980</v>
          </cell>
          <cell r="E281">
            <v>94.2</v>
          </cell>
          <cell r="F281">
            <v>0.89</v>
          </cell>
          <cell r="G281">
            <v>1.2</v>
          </cell>
          <cell r="H281">
            <v>6.9</v>
          </cell>
          <cell r="I281">
            <v>2.2</v>
          </cell>
          <cell r="J281">
            <v>109</v>
          </cell>
        </row>
        <row r="281">
          <cell r="L281">
            <v>4.5</v>
          </cell>
          <cell r="M281">
            <v>1710</v>
          </cell>
        </row>
        <row r="282">
          <cell r="A282" t="str">
            <v>Y355M1-2/220</v>
          </cell>
          <cell r="B282">
            <v>206</v>
          </cell>
          <cell r="C282">
            <v>399</v>
          </cell>
          <cell r="D282">
            <v>2980</v>
          </cell>
          <cell r="E282">
            <v>94.2</v>
          </cell>
          <cell r="F282">
            <v>0.89</v>
          </cell>
          <cell r="G282">
            <v>1.2</v>
          </cell>
          <cell r="H282">
            <v>6.9</v>
          </cell>
          <cell r="I282">
            <v>2.2</v>
          </cell>
          <cell r="J282">
            <v>109</v>
          </cell>
        </row>
        <row r="282">
          <cell r="L282">
            <v>4.5</v>
          </cell>
          <cell r="M282">
            <v>1710</v>
          </cell>
        </row>
        <row r="283">
          <cell r="A283" t="str">
            <v>Y355M1-2/220</v>
          </cell>
          <cell r="B283">
            <v>207</v>
          </cell>
          <cell r="C283">
            <v>399</v>
          </cell>
          <cell r="D283">
            <v>2980</v>
          </cell>
          <cell r="E283">
            <v>94.2</v>
          </cell>
          <cell r="F283">
            <v>0.89</v>
          </cell>
          <cell r="G283">
            <v>1.2</v>
          </cell>
          <cell r="H283">
            <v>6.9</v>
          </cell>
          <cell r="I283">
            <v>2.2</v>
          </cell>
          <cell r="J283">
            <v>109</v>
          </cell>
        </row>
        <row r="283">
          <cell r="L283">
            <v>4.5</v>
          </cell>
          <cell r="M283">
            <v>1710</v>
          </cell>
        </row>
        <row r="284">
          <cell r="A284" t="str">
            <v>Y355M1-2/220</v>
          </cell>
          <cell r="B284">
            <v>208</v>
          </cell>
          <cell r="C284">
            <v>399</v>
          </cell>
          <cell r="D284">
            <v>2980</v>
          </cell>
          <cell r="E284">
            <v>94.2</v>
          </cell>
          <cell r="F284">
            <v>0.89</v>
          </cell>
          <cell r="G284">
            <v>1.2</v>
          </cell>
          <cell r="H284">
            <v>6.9</v>
          </cell>
          <cell r="I284">
            <v>2.2</v>
          </cell>
          <cell r="J284">
            <v>109</v>
          </cell>
        </row>
        <row r="284">
          <cell r="L284">
            <v>4.5</v>
          </cell>
          <cell r="M284">
            <v>1710</v>
          </cell>
        </row>
        <row r="285">
          <cell r="A285" t="str">
            <v>Y355M1-2/220</v>
          </cell>
          <cell r="B285">
            <v>209</v>
          </cell>
          <cell r="C285">
            <v>399</v>
          </cell>
          <cell r="D285">
            <v>2980</v>
          </cell>
          <cell r="E285">
            <v>94.2</v>
          </cell>
          <cell r="F285">
            <v>0.89</v>
          </cell>
          <cell r="G285">
            <v>1.2</v>
          </cell>
          <cell r="H285">
            <v>6.9</v>
          </cell>
          <cell r="I285">
            <v>2.2</v>
          </cell>
          <cell r="J285">
            <v>109</v>
          </cell>
        </row>
        <row r="285">
          <cell r="L285">
            <v>4.5</v>
          </cell>
          <cell r="M285">
            <v>1710</v>
          </cell>
        </row>
        <row r="286">
          <cell r="A286" t="str">
            <v>Y355M1-2/220</v>
          </cell>
          <cell r="B286">
            <v>210</v>
          </cell>
          <cell r="C286">
            <v>399</v>
          </cell>
          <cell r="D286">
            <v>2980</v>
          </cell>
          <cell r="E286">
            <v>94.2</v>
          </cell>
          <cell r="F286">
            <v>0.89</v>
          </cell>
          <cell r="G286">
            <v>1.2</v>
          </cell>
          <cell r="H286">
            <v>6.9</v>
          </cell>
          <cell r="I286">
            <v>2.2</v>
          </cell>
          <cell r="J286">
            <v>109</v>
          </cell>
        </row>
        <row r="286">
          <cell r="L286">
            <v>4.5</v>
          </cell>
          <cell r="M286">
            <v>1710</v>
          </cell>
        </row>
        <row r="287">
          <cell r="A287" t="str">
            <v>Y355M1-2/220</v>
          </cell>
          <cell r="B287">
            <v>211</v>
          </cell>
          <cell r="C287">
            <v>399</v>
          </cell>
          <cell r="D287">
            <v>2980</v>
          </cell>
          <cell r="E287">
            <v>94.2</v>
          </cell>
          <cell r="F287">
            <v>0.89</v>
          </cell>
          <cell r="G287">
            <v>1.2</v>
          </cell>
          <cell r="H287">
            <v>6.9</v>
          </cell>
          <cell r="I287">
            <v>2.2</v>
          </cell>
          <cell r="J287">
            <v>109</v>
          </cell>
        </row>
        <row r="287">
          <cell r="L287">
            <v>4.5</v>
          </cell>
          <cell r="M287">
            <v>1710</v>
          </cell>
        </row>
        <row r="288">
          <cell r="A288" t="str">
            <v>Y355M1-2/220</v>
          </cell>
          <cell r="B288">
            <v>212</v>
          </cell>
          <cell r="C288">
            <v>399</v>
          </cell>
          <cell r="D288">
            <v>2980</v>
          </cell>
          <cell r="E288">
            <v>94.2</v>
          </cell>
          <cell r="F288">
            <v>0.89</v>
          </cell>
          <cell r="G288">
            <v>1.2</v>
          </cell>
          <cell r="H288">
            <v>6.9</v>
          </cell>
          <cell r="I288">
            <v>2.2</v>
          </cell>
          <cell r="J288">
            <v>109</v>
          </cell>
        </row>
        <row r="288">
          <cell r="L288">
            <v>4.5</v>
          </cell>
          <cell r="M288">
            <v>1710</v>
          </cell>
        </row>
        <row r="289">
          <cell r="A289" t="str">
            <v>Y355M1-2/220</v>
          </cell>
          <cell r="B289">
            <v>213</v>
          </cell>
          <cell r="C289">
            <v>399</v>
          </cell>
          <cell r="D289">
            <v>2980</v>
          </cell>
          <cell r="E289">
            <v>94.2</v>
          </cell>
          <cell r="F289">
            <v>0.89</v>
          </cell>
          <cell r="G289">
            <v>1.2</v>
          </cell>
          <cell r="H289">
            <v>6.9</v>
          </cell>
          <cell r="I289">
            <v>2.2</v>
          </cell>
          <cell r="J289">
            <v>109</v>
          </cell>
        </row>
        <row r="289">
          <cell r="L289">
            <v>4.5</v>
          </cell>
          <cell r="M289">
            <v>1710</v>
          </cell>
        </row>
        <row r="290">
          <cell r="A290" t="str">
            <v>Y355M1-2/220</v>
          </cell>
          <cell r="B290">
            <v>214</v>
          </cell>
          <cell r="C290">
            <v>399</v>
          </cell>
          <cell r="D290">
            <v>2980</v>
          </cell>
          <cell r="E290">
            <v>94.2</v>
          </cell>
          <cell r="F290">
            <v>0.89</v>
          </cell>
          <cell r="G290">
            <v>1.2</v>
          </cell>
          <cell r="H290">
            <v>6.9</v>
          </cell>
          <cell r="I290">
            <v>2.2</v>
          </cell>
          <cell r="J290">
            <v>109</v>
          </cell>
        </row>
        <row r="290">
          <cell r="L290">
            <v>4.5</v>
          </cell>
          <cell r="M290">
            <v>1710</v>
          </cell>
        </row>
        <row r="291">
          <cell r="A291" t="str">
            <v>Y355M1-2/220</v>
          </cell>
          <cell r="B291">
            <v>215</v>
          </cell>
          <cell r="C291">
            <v>399</v>
          </cell>
          <cell r="D291">
            <v>2980</v>
          </cell>
          <cell r="E291">
            <v>94.2</v>
          </cell>
          <cell r="F291">
            <v>0.89</v>
          </cell>
          <cell r="G291">
            <v>1.2</v>
          </cell>
          <cell r="H291">
            <v>6.9</v>
          </cell>
          <cell r="I291">
            <v>2.2</v>
          </cell>
          <cell r="J291">
            <v>109</v>
          </cell>
        </row>
        <row r="291">
          <cell r="L291">
            <v>4.5</v>
          </cell>
          <cell r="M291">
            <v>1710</v>
          </cell>
        </row>
        <row r="292">
          <cell r="A292" t="str">
            <v>Y355M1-2/220</v>
          </cell>
          <cell r="B292">
            <v>216</v>
          </cell>
          <cell r="C292">
            <v>399</v>
          </cell>
          <cell r="D292">
            <v>2980</v>
          </cell>
          <cell r="E292">
            <v>94.2</v>
          </cell>
          <cell r="F292">
            <v>0.89</v>
          </cell>
          <cell r="G292">
            <v>1.2</v>
          </cell>
          <cell r="H292">
            <v>6.9</v>
          </cell>
          <cell r="I292">
            <v>2.2</v>
          </cell>
          <cell r="J292">
            <v>109</v>
          </cell>
        </row>
        <row r="292">
          <cell r="L292">
            <v>4.5</v>
          </cell>
          <cell r="M292">
            <v>1710</v>
          </cell>
        </row>
        <row r="293">
          <cell r="A293" t="str">
            <v>Y355M1-2/220</v>
          </cell>
          <cell r="B293">
            <v>217</v>
          </cell>
          <cell r="C293">
            <v>399</v>
          </cell>
          <cell r="D293">
            <v>2980</v>
          </cell>
          <cell r="E293">
            <v>94.2</v>
          </cell>
          <cell r="F293">
            <v>0.89</v>
          </cell>
          <cell r="G293">
            <v>1.2</v>
          </cell>
          <cell r="H293">
            <v>6.9</v>
          </cell>
          <cell r="I293">
            <v>2.2</v>
          </cell>
          <cell r="J293">
            <v>109</v>
          </cell>
        </row>
        <row r="293">
          <cell r="L293">
            <v>4.5</v>
          </cell>
          <cell r="M293">
            <v>1710</v>
          </cell>
        </row>
        <row r="294">
          <cell r="A294" t="str">
            <v>Y355M1-2/220</v>
          </cell>
          <cell r="B294">
            <v>218</v>
          </cell>
          <cell r="C294">
            <v>399</v>
          </cell>
          <cell r="D294">
            <v>2980</v>
          </cell>
          <cell r="E294">
            <v>94.2</v>
          </cell>
          <cell r="F294">
            <v>0.89</v>
          </cell>
          <cell r="G294">
            <v>1.2</v>
          </cell>
          <cell r="H294">
            <v>6.9</v>
          </cell>
          <cell r="I294">
            <v>2.2</v>
          </cell>
          <cell r="J294">
            <v>109</v>
          </cell>
        </row>
        <row r="294">
          <cell r="L294">
            <v>4.5</v>
          </cell>
          <cell r="M294">
            <v>1710</v>
          </cell>
        </row>
        <row r="295">
          <cell r="A295" t="str">
            <v>Y355M1-2/220</v>
          </cell>
          <cell r="B295">
            <v>219</v>
          </cell>
          <cell r="C295">
            <v>399</v>
          </cell>
          <cell r="D295">
            <v>2980</v>
          </cell>
          <cell r="E295">
            <v>94.2</v>
          </cell>
          <cell r="F295">
            <v>0.89</v>
          </cell>
          <cell r="G295">
            <v>1.2</v>
          </cell>
          <cell r="H295">
            <v>6.9</v>
          </cell>
          <cell r="I295">
            <v>2.2</v>
          </cell>
          <cell r="J295">
            <v>109</v>
          </cell>
        </row>
        <row r="295">
          <cell r="L295">
            <v>4.5</v>
          </cell>
          <cell r="M295">
            <v>1710</v>
          </cell>
        </row>
        <row r="296">
          <cell r="A296" t="str">
            <v>Y355M1-2/220</v>
          </cell>
          <cell r="B296">
            <v>220</v>
          </cell>
          <cell r="C296">
            <v>399</v>
          </cell>
          <cell r="D296">
            <v>2980</v>
          </cell>
          <cell r="E296">
            <v>94.2</v>
          </cell>
          <cell r="F296">
            <v>0.89</v>
          </cell>
          <cell r="G296">
            <v>1.2</v>
          </cell>
          <cell r="H296">
            <v>6.9</v>
          </cell>
          <cell r="I296">
            <v>2.2</v>
          </cell>
          <cell r="J296">
            <v>109</v>
          </cell>
        </row>
        <row r="296">
          <cell r="L296">
            <v>4.5</v>
          </cell>
          <cell r="M296">
            <v>1710</v>
          </cell>
        </row>
        <row r="297">
          <cell r="A297" t="str">
            <v>Y355M2-2/250</v>
          </cell>
          <cell r="B297">
            <v>221</v>
          </cell>
          <cell r="C297">
            <v>447</v>
          </cell>
          <cell r="D297">
            <v>2985</v>
          </cell>
          <cell r="E297">
            <v>94.5</v>
          </cell>
          <cell r="F297">
            <v>0.9</v>
          </cell>
          <cell r="G297">
            <v>1.2</v>
          </cell>
          <cell r="H297">
            <v>7</v>
          </cell>
          <cell r="I297">
            <v>2.2</v>
          </cell>
          <cell r="J297">
            <v>111</v>
          </cell>
        </row>
        <row r="297">
          <cell r="L297">
            <v>4.5</v>
          </cell>
          <cell r="M297">
            <v>1750</v>
          </cell>
        </row>
        <row r="298">
          <cell r="A298" t="str">
            <v>Y355M2-2/250</v>
          </cell>
          <cell r="B298">
            <v>222</v>
          </cell>
          <cell r="C298">
            <v>447</v>
          </cell>
          <cell r="D298">
            <v>2985</v>
          </cell>
          <cell r="E298">
            <v>94.5</v>
          </cell>
          <cell r="F298">
            <v>0.9</v>
          </cell>
          <cell r="G298">
            <v>1.2</v>
          </cell>
          <cell r="H298">
            <v>7</v>
          </cell>
          <cell r="I298">
            <v>2.2</v>
          </cell>
          <cell r="J298">
            <v>111</v>
          </cell>
        </row>
        <row r="298">
          <cell r="L298">
            <v>4.5</v>
          </cell>
          <cell r="M298">
            <v>1750</v>
          </cell>
        </row>
        <row r="299">
          <cell r="A299" t="str">
            <v>Y355M2-2/250</v>
          </cell>
          <cell r="B299">
            <v>223</v>
          </cell>
          <cell r="C299">
            <v>447</v>
          </cell>
          <cell r="D299">
            <v>2985</v>
          </cell>
          <cell r="E299">
            <v>94.5</v>
          </cell>
          <cell r="F299">
            <v>0.9</v>
          </cell>
          <cell r="G299">
            <v>1.2</v>
          </cell>
          <cell r="H299">
            <v>7</v>
          </cell>
          <cell r="I299">
            <v>2.2</v>
          </cell>
          <cell r="J299">
            <v>111</v>
          </cell>
        </row>
        <row r="299">
          <cell r="L299">
            <v>4.5</v>
          </cell>
          <cell r="M299">
            <v>1750</v>
          </cell>
        </row>
        <row r="300">
          <cell r="A300" t="str">
            <v>Y355M2-2/250</v>
          </cell>
          <cell r="B300">
            <v>224</v>
          </cell>
          <cell r="C300">
            <v>447</v>
          </cell>
          <cell r="D300">
            <v>2985</v>
          </cell>
          <cell r="E300">
            <v>94.5</v>
          </cell>
          <cell r="F300">
            <v>0.9</v>
          </cell>
          <cell r="G300">
            <v>1.2</v>
          </cell>
          <cell r="H300">
            <v>7</v>
          </cell>
          <cell r="I300">
            <v>2.2</v>
          </cell>
          <cell r="J300">
            <v>111</v>
          </cell>
        </row>
        <row r="300">
          <cell r="L300">
            <v>4.5</v>
          </cell>
          <cell r="M300">
            <v>1750</v>
          </cell>
        </row>
        <row r="301">
          <cell r="A301" t="str">
            <v>Y355M2-2/250</v>
          </cell>
          <cell r="B301">
            <v>225</v>
          </cell>
          <cell r="C301">
            <v>447</v>
          </cell>
          <cell r="D301">
            <v>2985</v>
          </cell>
          <cell r="E301">
            <v>94.5</v>
          </cell>
          <cell r="F301">
            <v>0.9</v>
          </cell>
          <cell r="G301">
            <v>1.2</v>
          </cell>
          <cell r="H301">
            <v>7</v>
          </cell>
          <cell r="I301">
            <v>2.2</v>
          </cell>
          <cell r="J301">
            <v>111</v>
          </cell>
        </row>
        <row r="301">
          <cell r="L301">
            <v>4.5</v>
          </cell>
          <cell r="M301">
            <v>1750</v>
          </cell>
        </row>
        <row r="302">
          <cell r="A302" t="str">
            <v>Y355M2-2/250</v>
          </cell>
          <cell r="B302">
            <v>226</v>
          </cell>
          <cell r="C302">
            <v>447</v>
          </cell>
          <cell r="D302">
            <v>2985</v>
          </cell>
          <cell r="E302">
            <v>94.5</v>
          </cell>
          <cell r="F302">
            <v>0.9</v>
          </cell>
          <cell r="G302">
            <v>1.2</v>
          </cell>
          <cell r="H302">
            <v>7</v>
          </cell>
          <cell r="I302">
            <v>2.2</v>
          </cell>
          <cell r="J302">
            <v>111</v>
          </cell>
        </row>
        <row r="302">
          <cell r="L302">
            <v>4.5</v>
          </cell>
          <cell r="M302">
            <v>1750</v>
          </cell>
        </row>
        <row r="303">
          <cell r="A303" t="str">
            <v>Y355M2-2/250</v>
          </cell>
          <cell r="B303">
            <v>227</v>
          </cell>
          <cell r="C303">
            <v>447</v>
          </cell>
          <cell r="D303">
            <v>2985</v>
          </cell>
          <cell r="E303">
            <v>94.5</v>
          </cell>
          <cell r="F303">
            <v>0.9</v>
          </cell>
          <cell r="G303">
            <v>1.2</v>
          </cell>
          <cell r="H303">
            <v>7</v>
          </cell>
          <cell r="I303">
            <v>2.2</v>
          </cell>
          <cell r="J303">
            <v>111</v>
          </cell>
        </row>
        <row r="303">
          <cell r="L303">
            <v>4.5</v>
          </cell>
          <cell r="M303">
            <v>1750</v>
          </cell>
        </row>
        <row r="304">
          <cell r="A304" t="str">
            <v>Y355M2-2/250</v>
          </cell>
          <cell r="B304">
            <v>228</v>
          </cell>
          <cell r="C304">
            <v>447</v>
          </cell>
          <cell r="D304">
            <v>2985</v>
          </cell>
          <cell r="E304">
            <v>94.5</v>
          </cell>
          <cell r="F304">
            <v>0.9</v>
          </cell>
          <cell r="G304">
            <v>1.2</v>
          </cell>
          <cell r="H304">
            <v>7</v>
          </cell>
          <cell r="I304">
            <v>2.2</v>
          </cell>
          <cell r="J304">
            <v>111</v>
          </cell>
        </row>
        <row r="304">
          <cell r="L304">
            <v>4.5</v>
          </cell>
          <cell r="M304">
            <v>1750</v>
          </cell>
        </row>
        <row r="305">
          <cell r="A305" t="str">
            <v>Y355M2-2/250</v>
          </cell>
          <cell r="B305">
            <v>229</v>
          </cell>
          <cell r="C305">
            <v>447</v>
          </cell>
          <cell r="D305">
            <v>2985</v>
          </cell>
          <cell r="E305">
            <v>94.5</v>
          </cell>
          <cell r="F305">
            <v>0.9</v>
          </cell>
          <cell r="G305">
            <v>1.2</v>
          </cell>
          <cell r="H305">
            <v>7</v>
          </cell>
          <cell r="I305">
            <v>2.2</v>
          </cell>
          <cell r="J305">
            <v>111</v>
          </cell>
        </row>
        <row r="305">
          <cell r="L305">
            <v>4.5</v>
          </cell>
          <cell r="M305">
            <v>1750</v>
          </cell>
        </row>
        <row r="306">
          <cell r="A306" t="str">
            <v>Y355M2-2/250</v>
          </cell>
          <cell r="B306">
            <v>230</v>
          </cell>
          <cell r="C306">
            <v>447</v>
          </cell>
          <cell r="D306">
            <v>2985</v>
          </cell>
          <cell r="E306">
            <v>94.5</v>
          </cell>
          <cell r="F306">
            <v>0.9</v>
          </cell>
          <cell r="G306">
            <v>1.2</v>
          </cell>
          <cell r="H306">
            <v>7</v>
          </cell>
          <cell r="I306">
            <v>2.2</v>
          </cell>
          <cell r="J306">
            <v>111</v>
          </cell>
        </row>
        <row r="306">
          <cell r="L306">
            <v>4.5</v>
          </cell>
          <cell r="M306">
            <v>1750</v>
          </cell>
        </row>
        <row r="307">
          <cell r="A307" t="str">
            <v>Y355M2-2/250</v>
          </cell>
          <cell r="B307">
            <v>231</v>
          </cell>
          <cell r="C307">
            <v>447</v>
          </cell>
          <cell r="D307">
            <v>2985</v>
          </cell>
          <cell r="E307">
            <v>94.5</v>
          </cell>
          <cell r="F307">
            <v>0.9</v>
          </cell>
          <cell r="G307">
            <v>1.2</v>
          </cell>
          <cell r="H307">
            <v>7</v>
          </cell>
          <cell r="I307">
            <v>2.2</v>
          </cell>
          <cell r="J307">
            <v>111</v>
          </cell>
        </row>
        <row r="307">
          <cell r="L307">
            <v>4.5</v>
          </cell>
          <cell r="M307">
            <v>1750</v>
          </cell>
        </row>
        <row r="308">
          <cell r="A308" t="str">
            <v>Y355M2-2/250</v>
          </cell>
          <cell r="B308">
            <v>232</v>
          </cell>
          <cell r="C308">
            <v>447</v>
          </cell>
          <cell r="D308">
            <v>2985</v>
          </cell>
          <cell r="E308">
            <v>94.5</v>
          </cell>
          <cell r="F308">
            <v>0.9</v>
          </cell>
          <cell r="G308">
            <v>1.2</v>
          </cell>
          <cell r="H308">
            <v>7</v>
          </cell>
          <cell r="I308">
            <v>2.2</v>
          </cell>
          <cell r="J308">
            <v>111</v>
          </cell>
        </row>
        <row r="308">
          <cell r="L308">
            <v>4.5</v>
          </cell>
          <cell r="M308">
            <v>1750</v>
          </cell>
        </row>
        <row r="309">
          <cell r="A309" t="str">
            <v>Y355M2-2/250</v>
          </cell>
          <cell r="B309">
            <v>233</v>
          </cell>
          <cell r="C309">
            <v>447</v>
          </cell>
          <cell r="D309">
            <v>2985</v>
          </cell>
          <cell r="E309">
            <v>94.5</v>
          </cell>
          <cell r="F309">
            <v>0.9</v>
          </cell>
          <cell r="G309">
            <v>1.2</v>
          </cell>
          <cell r="H309">
            <v>7</v>
          </cell>
          <cell r="I309">
            <v>2.2</v>
          </cell>
          <cell r="J309">
            <v>111</v>
          </cell>
        </row>
        <row r="309">
          <cell r="L309">
            <v>4.5</v>
          </cell>
          <cell r="M309">
            <v>1750</v>
          </cell>
        </row>
        <row r="310">
          <cell r="A310" t="str">
            <v>Y355M2-2/250</v>
          </cell>
          <cell r="B310">
            <v>234</v>
          </cell>
          <cell r="C310">
            <v>447</v>
          </cell>
          <cell r="D310">
            <v>2985</v>
          </cell>
          <cell r="E310">
            <v>94.5</v>
          </cell>
          <cell r="F310">
            <v>0.9</v>
          </cell>
          <cell r="G310">
            <v>1.2</v>
          </cell>
          <cell r="H310">
            <v>7</v>
          </cell>
          <cell r="I310">
            <v>2.2</v>
          </cell>
          <cell r="J310">
            <v>111</v>
          </cell>
        </row>
        <row r="310">
          <cell r="L310">
            <v>4.5</v>
          </cell>
          <cell r="M310">
            <v>1750</v>
          </cell>
        </row>
        <row r="311">
          <cell r="A311" t="str">
            <v>Y355M2-2/250</v>
          </cell>
          <cell r="B311">
            <v>235</v>
          </cell>
          <cell r="C311">
            <v>447</v>
          </cell>
          <cell r="D311">
            <v>2985</v>
          </cell>
          <cell r="E311">
            <v>94.5</v>
          </cell>
          <cell r="F311">
            <v>0.9</v>
          </cell>
          <cell r="G311">
            <v>1.2</v>
          </cell>
          <cell r="H311">
            <v>7</v>
          </cell>
          <cell r="I311">
            <v>2.2</v>
          </cell>
          <cell r="J311">
            <v>111</v>
          </cell>
        </row>
        <row r="311">
          <cell r="L311">
            <v>4.5</v>
          </cell>
          <cell r="M311">
            <v>1750</v>
          </cell>
        </row>
        <row r="312">
          <cell r="A312" t="str">
            <v>Y355M2-2/250</v>
          </cell>
          <cell r="B312">
            <v>236</v>
          </cell>
          <cell r="C312">
            <v>447</v>
          </cell>
          <cell r="D312">
            <v>2985</v>
          </cell>
          <cell r="E312">
            <v>94.5</v>
          </cell>
          <cell r="F312">
            <v>0.9</v>
          </cell>
          <cell r="G312">
            <v>1.2</v>
          </cell>
          <cell r="H312">
            <v>7</v>
          </cell>
          <cell r="I312">
            <v>2.2</v>
          </cell>
          <cell r="J312">
            <v>111</v>
          </cell>
        </row>
        <row r="312">
          <cell r="L312">
            <v>4.5</v>
          </cell>
          <cell r="M312">
            <v>1750</v>
          </cell>
        </row>
        <row r="313">
          <cell r="A313" t="str">
            <v>Y355M2-2/250</v>
          </cell>
          <cell r="B313">
            <v>237</v>
          </cell>
          <cell r="C313">
            <v>447</v>
          </cell>
          <cell r="D313">
            <v>2985</v>
          </cell>
          <cell r="E313">
            <v>94.5</v>
          </cell>
          <cell r="F313">
            <v>0.9</v>
          </cell>
          <cell r="G313">
            <v>1.2</v>
          </cell>
          <cell r="H313">
            <v>7</v>
          </cell>
          <cell r="I313">
            <v>2.2</v>
          </cell>
          <cell r="J313">
            <v>111</v>
          </cell>
        </row>
        <row r="313">
          <cell r="L313">
            <v>4.5</v>
          </cell>
          <cell r="M313">
            <v>1750</v>
          </cell>
        </row>
        <row r="314">
          <cell r="A314" t="str">
            <v>Y355M2-2/250</v>
          </cell>
          <cell r="B314">
            <v>238</v>
          </cell>
          <cell r="C314">
            <v>447</v>
          </cell>
          <cell r="D314">
            <v>2985</v>
          </cell>
          <cell r="E314">
            <v>94.5</v>
          </cell>
          <cell r="F314">
            <v>0.9</v>
          </cell>
          <cell r="G314">
            <v>1.2</v>
          </cell>
          <cell r="H314">
            <v>7</v>
          </cell>
          <cell r="I314">
            <v>2.2</v>
          </cell>
          <cell r="J314">
            <v>111</v>
          </cell>
        </row>
        <row r="314">
          <cell r="L314">
            <v>4.5</v>
          </cell>
          <cell r="M314">
            <v>1750</v>
          </cell>
        </row>
        <row r="315">
          <cell r="A315" t="str">
            <v>Y355M2-2/250</v>
          </cell>
          <cell r="B315">
            <v>239</v>
          </cell>
          <cell r="C315">
            <v>447</v>
          </cell>
          <cell r="D315">
            <v>2985</v>
          </cell>
          <cell r="E315">
            <v>94.5</v>
          </cell>
          <cell r="F315">
            <v>0.9</v>
          </cell>
          <cell r="G315">
            <v>1.2</v>
          </cell>
          <cell r="H315">
            <v>7</v>
          </cell>
          <cell r="I315">
            <v>2.2</v>
          </cell>
          <cell r="J315">
            <v>111</v>
          </cell>
        </row>
        <row r="315">
          <cell r="L315">
            <v>4.5</v>
          </cell>
          <cell r="M315">
            <v>1750</v>
          </cell>
        </row>
        <row r="316">
          <cell r="A316" t="str">
            <v>Y355M2-2/250</v>
          </cell>
          <cell r="B316">
            <v>240</v>
          </cell>
          <cell r="C316">
            <v>447</v>
          </cell>
          <cell r="D316">
            <v>2985</v>
          </cell>
          <cell r="E316">
            <v>94.5</v>
          </cell>
          <cell r="F316">
            <v>0.9</v>
          </cell>
          <cell r="G316">
            <v>1.2</v>
          </cell>
          <cell r="H316">
            <v>7</v>
          </cell>
          <cell r="I316">
            <v>2.2</v>
          </cell>
          <cell r="J316">
            <v>111</v>
          </cell>
        </row>
        <row r="316">
          <cell r="L316">
            <v>4.5</v>
          </cell>
          <cell r="M316">
            <v>1750</v>
          </cell>
        </row>
        <row r="317">
          <cell r="A317" t="str">
            <v>Y355M2-2/250</v>
          </cell>
          <cell r="B317">
            <v>241</v>
          </cell>
          <cell r="C317">
            <v>447</v>
          </cell>
          <cell r="D317">
            <v>2985</v>
          </cell>
          <cell r="E317">
            <v>94.5</v>
          </cell>
          <cell r="F317">
            <v>0.9</v>
          </cell>
          <cell r="G317">
            <v>1.2</v>
          </cell>
          <cell r="H317">
            <v>7</v>
          </cell>
          <cell r="I317">
            <v>2.2</v>
          </cell>
          <cell r="J317">
            <v>111</v>
          </cell>
        </row>
        <row r="317">
          <cell r="L317">
            <v>4.5</v>
          </cell>
          <cell r="M317">
            <v>1750</v>
          </cell>
        </row>
        <row r="318">
          <cell r="A318" t="str">
            <v>Y355M2-2/250</v>
          </cell>
          <cell r="B318">
            <v>242</v>
          </cell>
          <cell r="C318">
            <v>447</v>
          </cell>
          <cell r="D318">
            <v>2985</v>
          </cell>
          <cell r="E318">
            <v>94.5</v>
          </cell>
          <cell r="F318">
            <v>0.9</v>
          </cell>
          <cell r="G318">
            <v>1.2</v>
          </cell>
          <cell r="H318">
            <v>7</v>
          </cell>
          <cell r="I318">
            <v>2.2</v>
          </cell>
          <cell r="J318">
            <v>111</v>
          </cell>
        </row>
        <row r="318">
          <cell r="L318">
            <v>4.5</v>
          </cell>
          <cell r="M318">
            <v>1750</v>
          </cell>
        </row>
        <row r="319">
          <cell r="A319" t="str">
            <v>Y355M2-2/250</v>
          </cell>
          <cell r="B319">
            <v>243</v>
          </cell>
          <cell r="C319">
            <v>447</v>
          </cell>
          <cell r="D319">
            <v>2985</v>
          </cell>
          <cell r="E319">
            <v>94.5</v>
          </cell>
          <cell r="F319">
            <v>0.9</v>
          </cell>
          <cell r="G319">
            <v>1.2</v>
          </cell>
          <cell r="H319">
            <v>7</v>
          </cell>
          <cell r="I319">
            <v>2.2</v>
          </cell>
          <cell r="J319">
            <v>111</v>
          </cell>
        </row>
        <row r="319">
          <cell r="L319">
            <v>4.5</v>
          </cell>
          <cell r="M319">
            <v>1750</v>
          </cell>
        </row>
        <row r="320">
          <cell r="A320" t="str">
            <v>Y355M2-2/250</v>
          </cell>
          <cell r="B320">
            <v>244</v>
          </cell>
          <cell r="C320">
            <v>447</v>
          </cell>
          <cell r="D320">
            <v>2985</v>
          </cell>
          <cell r="E320">
            <v>94.5</v>
          </cell>
          <cell r="F320">
            <v>0.9</v>
          </cell>
          <cell r="G320">
            <v>1.2</v>
          </cell>
          <cell r="H320">
            <v>7</v>
          </cell>
          <cell r="I320">
            <v>2.2</v>
          </cell>
          <cell r="J320">
            <v>111</v>
          </cell>
        </row>
        <row r="320">
          <cell r="L320">
            <v>4.5</v>
          </cell>
          <cell r="M320">
            <v>1750</v>
          </cell>
        </row>
        <row r="321">
          <cell r="A321" t="str">
            <v>Y355M2-2/250</v>
          </cell>
          <cell r="B321">
            <v>245</v>
          </cell>
          <cell r="C321">
            <v>447</v>
          </cell>
          <cell r="D321">
            <v>2985</v>
          </cell>
          <cell r="E321">
            <v>94.5</v>
          </cell>
          <cell r="F321">
            <v>0.9</v>
          </cell>
          <cell r="G321">
            <v>1.2</v>
          </cell>
          <cell r="H321">
            <v>7</v>
          </cell>
          <cell r="I321">
            <v>2.2</v>
          </cell>
          <cell r="J321">
            <v>111</v>
          </cell>
        </row>
        <row r="321">
          <cell r="L321">
            <v>4.5</v>
          </cell>
          <cell r="M321">
            <v>1750</v>
          </cell>
        </row>
        <row r="322">
          <cell r="A322" t="str">
            <v>Y355M2-2/250</v>
          </cell>
          <cell r="B322">
            <v>246</v>
          </cell>
          <cell r="C322">
            <v>447</v>
          </cell>
          <cell r="D322">
            <v>2985</v>
          </cell>
          <cell r="E322">
            <v>94.5</v>
          </cell>
          <cell r="F322">
            <v>0.9</v>
          </cell>
          <cell r="G322">
            <v>1.2</v>
          </cell>
          <cell r="H322">
            <v>7</v>
          </cell>
          <cell r="I322">
            <v>2.2</v>
          </cell>
          <cell r="J322">
            <v>111</v>
          </cell>
        </row>
        <row r="322">
          <cell r="L322">
            <v>4.5</v>
          </cell>
          <cell r="M322">
            <v>1750</v>
          </cell>
        </row>
        <row r="323">
          <cell r="A323" t="str">
            <v>Y355M2-2/250</v>
          </cell>
          <cell r="B323">
            <v>247</v>
          </cell>
          <cell r="C323">
            <v>447</v>
          </cell>
          <cell r="D323">
            <v>2985</v>
          </cell>
          <cell r="E323">
            <v>94.5</v>
          </cell>
          <cell r="F323">
            <v>0.9</v>
          </cell>
          <cell r="G323">
            <v>1.2</v>
          </cell>
          <cell r="H323">
            <v>7</v>
          </cell>
          <cell r="I323">
            <v>2.2</v>
          </cell>
          <cell r="J323">
            <v>111</v>
          </cell>
        </row>
        <row r="323">
          <cell r="L323">
            <v>4.5</v>
          </cell>
          <cell r="M323">
            <v>1750</v>
          </cell>
        </row>
        <row r="324">
          <cell r="A324" t="str">
            <v>Y355M2-2/250</v>
          </cell>
          <cell r="B324">
            <v>248</v>
          </cell>
          <cell r="C324">
            <v>447</v>
          </cell>
          <cell r="D324">
            <v>2985</v>
          </cell>
          <cell r="E324">
            <v>94.5</v>
          </cell>
          <cell r="F324">
            <v>0.9</v>
          </cell>
          <cell r="G324">
            <v>1.2</v>
          </cell>
          <cell r="H324">
            <v>7</v>
          </cell>
          <cell r="I324">
            <v>2.2</v>
          </cell>
          <cell r="J324">
            <v>111</v>
          </cell>
        </row>
        <row r="324">
          <cell r="L324">
            <v>4.5</v>
          </cell>
          <cell r="M324">
            <v>1750</v>
          </cell>
        </row>
        <row r="325">
          <cell r="A325" t="str">
            <v>Y355M2-2/250</v>
          </cell>
          <cell r="B325">
            <v>249</v>
          </cell>
          <cell r="C325">
            <v>447</v>
          </cell>
          <cell r="D325">
            <v>2985</v>
          </cell>
          <cell r="E325">
            <v>94.5</v>
          </cell>
          <cell r="F325">
            <v>0.9</v>
          </cell>
          <cell r="G325">
            <v>1.2</v>
          </cell>
          <cell r="H325">
            <v>7</v>
          </cell>
          <cell r="I325">
            <v>2.2</v>
          </cell>
          <cell r="J325">
            <v>111</v>
          </cell>
        </row>
        <row r="325">
          <cell r="L325">
            <v>4.5</v>
          </cell>
          <cell r="M325">
            <v>1750</v>
          </cell>
        </row>
        <row r="326">
          <cell r="A326" t="str">
            <v>Y355M2-2/250</v>
          </cell>
          <cell r="B326">
            <v>250</v>
          </cell>
          <cell r="C326">
            <v>447</v>
          </cell>
          <cell r="D326">
            <v>2985</v>
          </cell>
          <cell r="E326">
            <v>94.5</v>
          </cell>
          <cell r="F326">
            <v>0.9</v>
          </cell>
          <cell r="G326">
            <v>1.2</v>
          </cell>
          <cell r="H326">
            <v>7</v>
          </cell>
          <cell r="I326">
            <v>2.2</v>
          </cell>
          <cell r="J326">
            <v>111</v>
          </cell>
        </row>
        <row r="326">
          <cell r="L326">
            <v>4.5</v>
          </cell>
          <cell r="M326">
            <v>1750</v>
          </cell>
        </row>
        <row r="327">
          <cell r="A327" t="str">
            <v>Y355L1-2/280</v>
          </cell>
          <cell r="B327">
            <v>251</v>
          </cell>
          <cell r="C327">
            <v>499</v>
          </cell>
          <cell r="D327">
            <v>2985</v>
          </cell>
          <cell r="E327">
            <v>94.7</v>
          </cell>
          <cell r="F327">
            <v>0.9</v>
          </cell>
          <cell r="G327">
            <v>1.2</v>
          </cell>
          <cell r="H327">
            <v>7.1</v>
          </cell>
          <cell r="I327">
            <v>2.2</v>
          </cell>
          <cell r="J327">
            <v>111</v>
          </cell>
        </row>
        <row r="327">
          <cell r="L327">
            <v>4.5</v>
          </cell>
          <cell r="M327">
            <v>1900</v>
          </cell>
        </row>
        <row r="328">
          <cell r="A328" t="str">
            <v>Y355L1-2/280</v>
          </cell>
          <cell r="B328">
            <v>252</v>
          </cell>
          <cell r="C328">
            <v>499</v>
          </cell>
          <cell r="D328">
            <v>2985</v>
          </cell>
          <cell r="E328">
            <v>94.7</v>
          </cell>
          <cell r="F328">
            <v>0.9</v>
          </cell>
          <cell r="G328">
            <v>1.2</v>
          </cell>
          <cell r="H328">
            <v>7.1</v>
          </cell>
          <cell r="I328">
            <v>2.2</v>
          </cell>
          <cell r="J328">
            <v>111</v>
          </cell>
        </row>
        <row r="328">
          <cell r="L328">
            <v>4.5</v>
          </cell>
          <cell r="M328">
            <v>1900</v>
          </cell>
        </row>
        <row r="329">
          <cell r="A329" t="str">
            <v>Y355L1-2/280</v>
          </cell>
          <cell r="B329">
            <v>253</v>
          </cell>
          <cell r="C329">
            <v>499</v>
          </cell>
          <cell r="D329">
            <v>2985</v>
          </cell>
          <cell r="E329">
            <v>94.7</v>
          </cell>
          <cell r="F329">
            <v>0.9</v>
          </cell>
          <cell r="G329">
            <v>1.2</v>
          </cell>
          <cell r="H329">
            <v>7.1</v>
          </cell>
          <cell r="I329">
            <v>2.2</v>
          </cell>
          <cell r="J329">
            <v>111</v>
          </cell>
        </row>
        <row r="329">
          <cell r="L329">
            <v>4.5</v>
          </cell>
          <cell r="M329">
            <v>1900</v>
          </cell>
        </row>
        <row r="330">
          <cell r="A330" t="str">
            <v>Y355L1-2/280</v>
          </cell>
          <cell r="B330">
            <v>254</v>
          </cell>
          <cell r="C330">
            <v>499</v>
          </cell>
          <cell r="D330">
            <v>2985</v>
          </cell>
          <cell r="E330">
            <v>94.7</v>
          </cell>
          <cell r="F330">
            <v>0.9</v>
          </cell>
          <cell r="G330">
            <v>1.2</v>
          </cell>
          <cell r="H330">
            <v>7.1</v>
          </cell>
          <cell r="I330">
            <v>2.2</v>
          </cell>
          <cell r="J330">
            <v>111</v>
          </cell>
        </row>
        <row r="330">
          <cell r="L330">
            <v>4.5</v>
          </cell>
          <cell r="M330">
            <v>1900</v>
          </cell>
        </row>
        <row r="331">
          <cell r="A331" t="str">
            <v>Y355L1-2/280</v>
          </cell>
          <cell r="B331">
            <v>255</v>
          </cell>
          <cell r="C331">
            <v>499</v>
          </cell>
          <cell r="D331">
            <v>2985</v>
          </cell>
          <cell r="E331">
            <v>94.7</v>
          </cell>
          <cell r="F331">
            <v>0.9</v>
          </cell>
          <cell r="G331">
            <v>1.2</v>
          </cell>
          <cell r="H331">
            <v>7.1</v>
          </cell>
          <cell r="I331">
            <v>2.2</v>
          </cell>
          <cell r="J331">
            <v>111</v>
          </cell>
        </row>
        <row r="331">
          <cell r="L331">
            <v>4.5</v>
          </cell>
          <cell r="M331">
            <v>1900</v>
          </cell>
        </row>
        <row r="332">
          <cell r="A332" t="str">
            <v>Y355L1-2/280</v>
          </cell>
          <cell r="B332">
            <v>256</v>
          </cell>
          <cell r="C332">
            <v>499</v>
          </cell>
          <cell r="D332">
            <v>2985</v>
          </cell>
          <cell r="E332">
            <v>94.7</v>
          </cell>
          <cell r="F332">
            <v>0.9</v>
          </cell>
          <cell r="G332">
            <v>1.2</v>
          </cell>
          <cell r="H332">
            <v>7.1</v>
          </cell>
          <cell r="I332">
            <v>2.2</v>
          </cell>
          <cell r="J332">
            <v>111</v>
          </cell>
        </row>
        <row r="332">
          <cell r="L332">
            <v>4.5</v>
          </cell>
          <cell r="M332">
            <v>1900</v>
          </cell>
        </row>
        <row r="333">
          <cell r="A333" t="str">
            <v>Y355L1-2/280</v>
          </cell>
          <cell r="B333">
            <v>257</v>
          </cell>
          <cell r="C333">
            <v>499</v>
          </cell>
          <cell r="D333">
            <v>2985</v>
          </cell>
          <cell r="E333">
            <v>94.7</v>
          </cell>
          <cell r="F333">
            <v>0.9</v>
          </cell>
          <cell r="G333">
            <v>1.2</v>
          </cell>
          <cell r="H333">
            <v>7.1</v>
          </cell>
          <cell r="I333">
            <v>2.2</v>
          </cell>
          <cell r="J333">
            <v>111</v>
          </cell>
        </row>
        <row r="333">
          <cell r="L333">
            <v>4.5</v>
          </cell>
          <cell r="M333">
            <v>1900</v>
          </cell>
        </row>
        <row r="334">
          <cell r="A334" t="str">
            <v>Y355L1-2/280</v>
          </cell>
          <cell r="B334">
            <v>258</v>
          </cell>
          <cell r="C334">
            <v>499</v>
          </cell>
          <cell r="D334">
            <v>2985</v>
          </cell>
          <cell r="E334">
            <v>94.7</v>
          </cell>
          <cell r="F334">
            <v>0.9</v>
          </cell>
          <cell r="G334">
            <v>1.2</v>
          </cell>
          <cell r="H334">
            <v>7.1</v>
          </cell>
          <cell r="I334">
            <v>2.2</v>
          </cell>
          <cell r="J334">
            <v>111</v>
          </cell>
        </row>
        <row r="334">
          <cell r="L334">
            <v>4.5</v>
          </cell>
          <cell r="M334">
            <v>1900</v>
          </cell>
        </row>
        <row r="335">
          <cell r="A335" t="str">
            <v>Y355L1-2/280</v>
          </cell>
          <cell r="B335">
            <v>259</v>
          </cell>
          <cell r="C335">
            <v>499</v>
          </cell>
          <cell r="D335">
            <v>2985</v>
          </cell>
          <cell r="E335">
            <v>94.7</v>
          </cell>
          <cell r="F335">
            <v>0.9</v>
          </cell>
          <cell r="G335">
            <v>1.2</v>
          </cell>
          <cell r="H335">
            <v>7.1</v>
          </cell>
          <cell r="I335">
            <v>2.2</v>
          </cell>
          <cell r="J335">
            <v>111</v>
          </cell>
        </row>
        <row r="335">
          <cell r="L335">
            <v>4.5</v>
          </cell>
          <cell r="M335">
            <v>1900</v>
          </cell>
        </row>
        <row r="336">
          <cell r="A336" t="str">
            <v>Y355L1-2/280</v>
          </cell>
          <cell r="B336">
            <v>260</v>
          </cell>
          <cell r="C336">
            <v>499</v>
          </cell>
          <cell r="D336">
            <v>2985</v>
          </cell>
          <cell r="E336">
            <v>94.7</v>
          </cell>
          <cell r="F336">
            <v>0.9</v>
          </cell>
          <cell r="G336">
            <v>1.2</v>
          </cell>
          <cell r="H336">
            <v>7.1</v>
          </cell>
          <cell r="I336">
            <v>2.2</v>
          </cell>
          <cell r="J336">
            <v>111</v>
          </cell>
        </row>
        <row r="336">
          <cell r="L336">
            <v>4.5</v>
          </cell>
          <cell r="M336">
            <v>1900</v>
          </cell>
        </row>
        <row r="337">
          <cell r="A337" t="str">
            <v>Y355L1-2/280</v>
          </cell>
          <cell r="B337">
            <v>261</v>
          </cell>
          <cell r="C337">
            <v>499</v>
          </cell>
          <cell r="D337">
            <v>2985</v>
          </cell>
          <cell r="E337">
            <v>94.7</v>
          </cell>
          <cell r="F337">
            <v>0.9</v>
          </cell>
          <cell r="G337">
            <v>1.2</v>
          </cell>
          <cell r="H337">
            <v>7.1</v>
          </cell>
          <cell r="I337">
            <v>2.2</v>
          </cell>
          <cell r="J337">
            <v>111</v>
          </cell>
        </row>
        <row r="337">
          <cell r="L337">
            <v>4.5</v>
          </cell>
          <cell r="M337">
            <v>1900</v>
          </cell>
        </row>
        <row r="338">
          <cell r="A338" t="str">
            <v>Y355L1-2/280</v>
          </cell>
          <cell r="B338">
            <v>262</v>
          </cell>
          <cell r="C338">
            <v>499</v>
          </cell>
          <cell r="D338">
            <v>2985</v>
          </cell>
          <cell r="E338">
            <v>94.7</v>
          </cell>
          <cell r="F338">
            <v>0.9</v>
          </cell>
          <cell r="G338">
            <v>1.2</v>
          </cell>
          <cell r="H338">
            <v>7.1</v>
          </cell>
          <cell r="I338">
            <v>2.2</v>
          </cell>
          <cell r="J338">
            <v>111</v>
          </cell>
        </row>
        <row r="338">
          <cell r="L338">
            <v>4.5</v>
          </cell>
          <cell r="M338">
            <v>1900</v>
          </cell>
        </row>
        <row r="339">
          <cell r="A339" t="str">
            <v>Y355L1-2/280</v>
          </cell>
          <cell r="B339">
            <v>263</v>
          </cell>
          <cell r="C339">
            <v>499</v>
          </cell>
          <cell r="D339">
            <v>2985</v>
          </cell>
          <cell r="E339">
            <v>94.7</v>
          </cell>
          <cell r="F339">
            <v>0.9</v>
          </cell>
          <cell r="G339">
            <v>1.2</v>
          </cell>
          <cell r="H339">
            <v>7.1</v>
          </cell>
          <cell r="I339">
            <v>2.2</v>
          </cell>
          <cell r="J339">
            <v>111</v>
          </cell>
        </row>
        <row r="339">
          <cell r="L339">
            <v>4.5</v>
          </cell>
          <cell r="M339">
            <v>1900</v>
          </cell>
        </row>
        <row r="340">
          <cell r="A340" t="str">
            <v>Y355L1-2/280</v>
          </cell>
          <cell r="B340">
            <v>264</v>
          </cell>
          <cell r="C340">
            <v>499</v>
          </cell>
          <cell r="D340">
            <v>2985</v>
          </cell>
          <cell r="E340">
            <v>94.7</v>
          </cell>
          <cell r="F340">
            <v>0.9</v>
          </cell>
          <cell r="G340">
            <v>1.2</v>
          </cell>
          <cell r="H340">
            <v>7.1</v>
          </cell>
          <cell r="I340">
            <v>2.2</v>
          </cell>
          <cell r="J340">
            <v>111</v>
          </cell>
        </row>
        <row r="340">
          <cell r="L340">
            <v>4.5</v>
          </cell>
          <cell r="M340">
            <v>1900</v>
          </cell>
        </row>
        <row r="341">
          <cell r="A341" t="str">
            <v>Y355L1-2/280</v>
          </cell>
          <cell r="B341">
            <v>265</v>
          </cell>
          <cell r="C341">
            <v>499</v>
          </cell>
          <cell r="D341">
            <v>2985</v>
          </cell>
          <cell r="E341">
            <v>94.7</v>
          </cell>
          <cell r="F341">
            <v>0.9</v>
          </cell>
          <cell r="G341">
            <v>1.2</v>
          </cell>
          <cell r="H341">
            <v>7.1</v>
          </cell>
          <cell r="I341">
            <v>2.2</v>
          </cell>
          <cell r="J341">
            <v>111</v>
          </cell>
        </row>
        <row r="341">
          <cell r="L341">
            <v>4.5</v>
          </cell>
          <cell r="M341">
            <v>1900</v>
          </cell>
        </row>
        <row r="342">
          <cell r="A342" t="str">
            <v>Y355L1-2/280</v>
          </cell>
          <cell r="B342">
            <v>266</v>
          </cell>
          <cell r="C342">
            <v>499</v>
          </cell>
          <cell r="D342">
            <v>2985</v>
          </cell>
          <cell r="E342">
            <v>94.7</v>
          </cell>
          <cell r="F342">
            <v>0.9</v>
          </cell>
          <cell r="G342">
            <v>1.2</v>
          </cell>
          <cell r="H342">
            <v>7.1</v>
          </cell>
          <cell r="I342">
            <v>2.2</v>
          </cell>
          <cell r="J342">
            <v>111</v>
          </cell>
        </row>
        <row r="342">
          <cell r="L342">
            <v>4.5</v>
          </cell>
          <cell r="M342">
            <v>1900</v>
          </cell>
        </row>
        <row r="343">
          <cell r="A343" t="str">
            <v>Y355L1-2/280</v>
          </cell>
          <cell r="B343">
            <v>267</v>
          </cell>
          <cell r="C343">
            <v>499</v>
          </cell>
          <cell r="D343">
            <v>2985</v>
          </cell>
          <cell r="E343">
            <v>94.7</v>
          </cell>
          <cell r="F343">
            <v>0.9</v>
          </cell>
          <cell r="G343">
            <v>1.2</v>
          </cell>
          <cell r="H343">
            <v>7.1</v>
          </cell>
          <cell r="I343">
            <v>2.2</v>
          </cell>
          <cell r="J343">
            <v>111</v>
          </cell>
        </row>
        <row r="343">
          <cell r="L343">
            <v>4.5</v>
          </cell>
          <cell r="M343">
            <v>1900</v>
          </cell>
        </row>
        <row r="344">
          <cell r="A344" t="str">
            <v>Y355L1-2/280</v>
          </cell>
          <cell r="B344">
            <v>268</v>
          </cell>
          <cell r="C344">
            <v>499</v>
          </cell>
          <cell r="D344">
            <v>2985</v>
          </cell>
          <cell r="E344">
            <v>94.7</v>
          </cell>
          <cell r="F344">
            <v>0.9</v>
          </cell>
          <cell r="G344">
            <v>1.2</v>
          </cell>
          <cell r="H344">
            <v>7.1</v>
          </cell>
          <cell r="I344">
            <v>2.2</v>
          </cell>
          <cell r="J344">
            <v>111</v>
          </cell>
        </row>
        <row r="344">
          <cell r="L344">
            <v>4.5</v>
          </cell>
          <cell r="M344">
            <v>1900</v>
          </cell>
        </row>
        <row r="345">
          <cell r="A345" t="str">
            <v>Y355L1-2/280</v>
          </cell>
          <cell r="B345">
            <v>269</v>
          </cell>
          <cell r="C345">
            <v>499</v>
          </cell>
          <cell r="D345">
            <v>2985</v>
          </cell>
          <cell r="E345">
            <v>94.7</v>
          </cell>
          <cell r="F345">
            <v>0.9</v>
          </cell>
          <cell r="G345">
            <v>1.2</v>
          </cell>
          <cell r="H345">
            <v>7.1</v>
          </cell>
          <cell r="I345">
            <v>2.2</v>
          </cell>
          <cell r="J345">
            <v>111</v>
          </cell>
        </row>
        <row r="345">
          <cell r="L345">
            <v>4.5</v>
          </cell>
          <cell r="M345">
            <v>1900</v>
          </cell>
        </row>
        <row r="346">
          <cell r="A346" t="str">
            <v>Y355L1-2/280</v>
          </cell>
          <cell r="B346">
            <v>270</v>
          </cell>
          <cell r="C346">
            <v>499</v>
          </cell>
          <cell r="D346">
            <v>2985</v>
          </cell>
          <cell r="E346">
            <v>94.7</v>
          </cell>
          <cell r="F346">
            <v>0.9</v>
          </cell>
          <cell r="G346">
            <v>1.2</v>
          </cell>
          <cell r="H346">
            <v>7.1</v>
          </cell>
          <cell r="I346">
            <v>2.2</v>
          </cell>
          <cell r="J346">
            <v>111</v>
          </cell>
        </row>
        <row r="346">
          <cell r="L346">
            <v>4.5</v>
          </cell>
          <cell r="M346">
            <v>1900</v>
          </cell>
        </row>
        <row r="347">
          <cell r="A347" t="str">
            <v>Y355L1-2/280</v>
          </cell>
          <cell r="B347">
            <v>271</v>
          </cell>
          <cell r="C347">
            <v>499</v>
          </cell>
          <cell r="D347">
            <v>2985</v>
          </cell>
          <cell r="E347">
            <v>94.7</v>
          </cell>
          <cell r="F347">
            <v>0.9</v>
          </cell>
          <cell r="G347">
            <v>1.2</v>
          </cell>
          <cell r="H347">
            <v>7.1</v>
          </cell>
          <cell r="I347">
            <v>2.2</v>
          </cell>
          <cell r="J347">
            <v>111</v>
          </cell>
        </row>
        <row r="347">
          <cell r="L347">
            <v>4.5</v>
          </cell>
          <cell r="M347">
            <v>1900</v>
          </cell>
        </row>
        <row r="348">
          <cell r="A348" t="str">
            <v>Y355L1-2/280</v>
          </cell>
          <cell r="B348">
            <v>272</v>
          </cell>
          <cell r="C348">
            <v>499</v>
          </cell>
          <cell r="D348">
            <v>2985</v>
          </cell>
          <cell r="E348">
            <v>94.7</v>
          </cell>
          <cell r="F348">
            <v>0.9</v>
          </cell>
          <cell r="G348">
            <v>1.2</v>
          </cell>
          <cell r="H348">
            <v>7.1</v>
          </cell>
          <cell r="I348">
            <v>2.2</v>
          </cell>
          <cell r="J348">
            <v>111</v>
          </cell>
        </row>
        <row r="348">
          <cell r="L348">
            <v>4.5</v>
          </cell>
          <cell r="M348">
            <v>1900</v>
          </cell>
        </row>
        <row r="349">
          <cell r="A349" t="str">
            <v>Y355L1-2/280</v>
          </cell>
          <cell r="B349">
            <v>273</v>
          </cell>
          <cell r="C349">
            <v>499</v>
          </cell>
          <cell r="D349">
            <v>2985</v>
          </cell>
          <cell r="E349">
            <v>94.7</v>
          </cell>
          <cell r="F349">
            <v>0.9</v>
          </cell>
          <cell r="G349">
            <v>1.2</v>
          </cell>
          <cell r="H349">
            <v>7.1</v>
          </cell>
          <cell r="I349">
            <v>2.2</v>
          </cell>
          <cell r="J349">
            <v>111</v>
          </cell>
        </row>
        <row r="349">
          <cell r="L349">
            <v>4.5</v>
          </cell>
          <cell r="M349">
            <v>1900</v>
          </cell>
        </row>
        <row r="350">
          <cell r="A350" t="str">
            <v>Y355L1-2/280</v>
          </cell>
          <cell r="B350">
            <v>274</v>
          </cell>
          <cell r="C350">
            <v>499</v>
          </cell>
          <cell r="D350">
            <v>2985</v>
          </cell>
          <cell r="E350">
            <v>94.7</v>
          </cell>
          <cell r="F350">
            <v>0.9</v>
          </cell>
          <cell r="G350">
            <v>1.2</v>
          </cell>
          <cell r="H350">
            <v>7.1</v>
          </cell>
          <cell r="I350">
            <v>2.2</v>
          </cell>
          <cell r="J350">
            <v>111</v>
          </cell>
        </row>
        <row r="350">
          <cell r="L350">
            <v>4.5</v>
          </cell>
          <cell r="M350">
            <v>1900</v>
          </cell>
        </row>
        <row r="351">
          <cell r="A351" t="str">
            <v>Y355L1-2/280</v>
          </cell>
          <cell r="B351">
            <v>275</v>
          </cell>
          <cell r="C351">
            <v>499</v>
          </cell>
          <cell r="D351">
            <v>2985</v>
          </cell>
          <cell r="E351">
            <v>94.7</v>
          </cell>
          <cell r="F351">
            <v>0.9</v>
          </cell>
          <cell r="G351">
            <v>1.2</v>
          </cell>
          <cell r="H351">
            <v>7.1</v>
          </cell>
          <cell r="I351">
            <v>2.2</v>
          </cell>
          <cell r="J351">
            <v>111</v>
          </cell>
        </row>
        <row r="351">
          <cell r="L351">
            <v>4.5</v>
          </cell>
          <cell r="M351">
            <v>1900</v>
          </cell>
        </row>
        <row r="352">
          <cell r="A352" t="str">
            <v>Y355L1-2/280</v>
          </cell>
          <cell r="B352">
            <v>276</v>
          </cell>
          <cell r="C352">
            <v>499</v>
          </cell>
          <cell r="D352">
            <v>2985</v>
          </cell>
          <cell r="E352">
            <v>94.7</v>
          </cell>
          <cell r="F352">
            <v>0.9</v>
          </cell>
          <cell r="G352">
            <v>1.2</v>
          </cell>
          <cell r="H352">
            <v>7.1</v>
          </cell>
          <cell r="I352">
            <v>2.2</v>
          </cell>
          <cell r="J352">
            <v>111</v>
          </cell>
        </row>
        <row r="352">
          <cell r="L352">
            <v>4.5</v>
          </cell>
          <cell r="M352">
            <v>1900</v>
          </cell>
        </row>
        <row r="353">
          <cell r="A353" t="str">
            <v>Y355L1-2/280</v>
          </cell>
          <cell r="B353">
            <v>277</v>
          </cell>
          <cell r="C353">
            <v>499</v>
          </cell>
          <cell r="D353">
            <v>2985</v>
          </cell>
          <cell r="E353">
            <v>94.7</v>
          </cell>
          <cell r="F353">
            <v>0.9</v>
          </cell>
          <cell r="G353">
            <v>1.2</v>
          </cell>
          <cell r="H353">
            <v>7.1</v>
          </cell>
          <cell r="I353">
            <v>2.2</v>
          </cell>
          <cell r="J353">
            <v>111</v>
          </cell>
        </row>
        <row r="353">
          <cell r="L353">
            <v>4.5</v>
          </cell>
          <cell r="M353">
            <v>1900</v>
          </cell>
        </row>
        <row r="354">
          <cell r="A354" t="str">
            <v>Y355L1-2/280</v>
          </cell>
          <cell r="B354">
            <v>278</v>
          </cell>
          <cell r="C354">
            <v>499</v>
          </cell>
          <cell r="D354">
            <v>2985</v>
          </cell>
          <cell r="E354">
            <v>94.7</v>
          </cell>
          <cell r="F354">
            <v>0.9</v>
          </cell>
          <cell r="G354">
            <v>1.2</v>
          </cell>
          <cell r="H354">
            <v>7.1</v>
          </cell>
          <cell r="I354">
            <v>2.2</v>
          </cell>
          <cell r="J354">
            <v>111</v>
          </cell>
        </row>
        <row r="354">
          <cell r="L354">
            <v>4.5</v>
          </cell>
          <cell r="M354">
            <v>1900</v>
          </cell>
        </row>
        <row r="355">
          <cell r="A355" t="str">
            <v>Y355L1-2/280</v>
          </cell>
          <cell r="B355">
            <v>279</v>
          </cell>
          <cell r="C355">
            <v>499</v>
          </cell>
          <cell r="D355">
            <v>2985</v>
          </cell>
          <cell r="E355">
            <v>94.7</v>
          </cell>
          <cell r="F355">
            <v>0.9</v>
          </cell>
          <cell r="G355">
            <v>1.2</v>
          </cell>
          <cell r="H355">
            <v>7.1</v>
          </cell>
          <cell r="I355">
            <v>2.2</v>
          </cell>
          <cell r="J355">
            <v>111</v>
          </cell>
        </row>
        <row r="355">
          <cell r="L355">
            <v>4.5</v>
          </cell>
          <cell r="M355">
            <v>1900</v>
          </cell>
        </row>
        <row r="356">
          <cell r="A356" t="str">
            <v>Y355L1-2/280</v>
          </cell>
          <cell r="B356">
            <v>280</v>
          </cell>
          <cell r="C356">
            <v>499</v>
          </cell>
          <cell r="D356">
            <v>2985</v>
          </cell>
          <cell r="E356">
            <v>94.7</v>
          </cell>
          <cell r="F356">
            <v>0.9</v>
          </cell>
          <cell r="G356">
            <v>1.2</v>
          </cell>
          <cell r="H356">
            <v>7.1</v>
          </cell>
          <cell r="I356">
            <v>2.2</v>
          </cell>
          <cell r="J356">
            <v>111</v>
          </cell>
        </row>
        <row r="356">
          <cell r="L356">
            <v>4.5</v>
          </cell>
          <cell r="M356">
            <v>1900</v>
          </cell>
        </row>
        <row r="357">
          <cell r="A357" t="str">
            <v>Y355L2-2/315</v>
          </cell>
          <cell r="B357">
            <v>281</v>
          </cell>
          <cell r="C357">
            <v>560</v>
          </cell>
          <cell r="D357">
            <v>2985</v>
          </cell>
          <cell r="E357">
            <v>95</v>
          </cell>
          <cell r="F357">
            <v>0.9</v>
          </cell>
          <cell r="G357">
            <v>1.2</v>
          </cell>
          <cell r="H357">
            <v>7.1</v>
          </cell>
          <cell r="I357">
            <v>2.2</v>
          </cell>
          <cell r="J357">
            <v>111</v>
          </cell>
        </row>
        <row r="357">
          <cell r="L357">
            <v>4.5</v>
          </cell>
          <cell r="M357">
            <v>2105</v>
          </cell>
        </row>
        <row r="358">
          <cell r="A358" t="str">
            <v>Y355L2-2/315</v>
          </cell>
          <cell r="B358">
            <v>282</v>
          </cell>
          <cell r="C358">
            <v>560</v>
          </cell>
          <cell r="D358">
            <v>2985</v>
          </cell>
          <cell r="E358">
            <v>95</v>
          </cell>
          <cell r="F358">
            <v>0.9</v>
          </cell>
          <cell r="G358">
            <v>1.2</v>
          </cell>
          <cell r="H358">
            <v>7.1</v>
          </cell>
          <cell r="I358">
            <v>2.2</v>
          </cell>
          <cell r="J358">
            <v>111</v>
          </cell>
        </row>
        <row r="358">
          <cell r="L358">
            <v>4.5</v>
          </cell>
          <cell r="M358">
            <v>2105</v>
          </cell>
        </row>
        <row r="359">
          <cell r="A359" t="str">
            <v>Y355L2-2/315</v>
          </cell>
          <cell r="B359">
            <v>283</v>
          </cell>
          <cell r="C359">
            <v>560</v>
          </cell>
          <cell r="D359">
            <v>2985</v>
          </cell>
          <cell r="E359">
            <v>95</v>
          </cell>
          <cell r="F359">
            <v>0.9</v>
          </cell>
          <cell r="G359">
            <v>1.2</v>
          </cell>
          <cell r="H359">
            <v>7.1</v>
          </cell>
          <cell r="I359">
            <v>2.2</v>
          </cell>
          <cell r="J359">
            <v>111</v>
          </cell>
        </row>
        <row r="359">
          <cell r="L359">
            <v>4.5</v>
          </cell>
          <cell r="M359">
            <v>2105</v>
          </cell>
        </row>
        <row r="360">
          <cell r="A360" t="str">
            <v>Y355L2-2/315</v>
          </cell>
          <cell r="B360">
            <v>284</v>
          </cell>
          <cell r="C360">
            <v>560</v>
          </cell>
          <cell r="D360">
            <v>2985</v>
          </cell>
          <cell r="E360">
            <v>95</v>
          </cell>
          <cell r="F360">
            <v>0.9</v>
          </cell>
          <cell r="G360">
            <v>1.2</v>
          </cell>
          <cell r="H360">
            <v>7.1</v>
          </cell>
          <cell r="I360">
            <v>2.2</v>
          </cell>
          <cell r="J360">
            <v>111</v>
          </cell>
        </row>
        <row r="360">
          <cell r="L360">
            <v>4.5</v>
          </cell>
          <cell r="M360">
            <v>2105</v>
          </cell>
        </row>
        <row r="361">
          <cell r="A361" t="str">
            <v>Y355L2-2/315</v>
          </cell>
          <cell r="B361">
            <v>285</v>
          </cell>
          <cell r="C361">
            <v>560</v>
          </cell>
          <cell r="D361">
            <v>2985</v>
          </cell>
          <cell r="E361">
            <v>95</v>
          </cell>
          <cell r="F361">
            <v>0.9</v>
          </cell>
          <cell r="G361">
            <v>1.2</v>
          </cell>
          <cell r="H361">
            <v>7.1</v>
          </cell>
          <cell r="I361">
            <v>2.2</v>
          </cell>
          <cell r="J361">
            <v>111</v>
          </cell>
        </row>
        <row r="361">
          <cell r="L361">
            <v>4.5</v>
          </cell>
          <cell r="M361">
            <v>2105</v>
          </cell>
        </row>
        <row r="362">
          <cell r="A362" t="str">
            <v>Y355L2-2/315</v>
          </cell>
          <cell r="B362">
            <v>286</v>
          </cell>
          <cell r="C362">
            <v>560</v>
          </cell>
          <cell r="D362">
            <v>2985</v>
          </cell>
          <cell r="E362">
            <v>95</v>
          </cell>
          <cell r="F362">
            <v>0.9</v>
          </cell>
          <cell r="G362">
            <v>1.2</v>
          </cell>
          <cell r="H362">
            <v>7.1</v>
          </cell>
          <cell r="I362">
            <v>2.2</v>
          </cell>
          <cell r="J362">
            <v>111</v>
          </cell>
        </row>
        <row r="362">
          <cell r="L362">
            <v>4.5</v>
          </cell>
          <cell r="M362">
            <v>2105</v>
          </cell>
        </row>
        <row r="363">
          <cell r="A363" t="str">
            <v>Y355L2-2/315</v>
          </cell>
          <cell r="B363">
            <v>287</v>
          </cell>
          <cell r="C363">
            <v>560</v>
          </cell>
          <cell r="D363">
            <v>2985</v>
          </cell>
          <cell r="E363">
            <v>95</v>
          </cell>
          <cell r="F363">
            <v>0.9</v>
          </cell>
          <cell r="G363">
            <v>1.2</v>
          </cell>
          <cell r="H363">
            <v>7.1</v>
          </cell>
          <cell r="I363">
            <v>2.2</v>
          </cell>
          <cell r="J363">
            <v>111</v>
          </cell>
        </row>
        <row r="363">
          <cell r="L363">
            <v>4.5</v>
          </cell>
          <cell r="M363">
            <v>2105</v>
          </cell>
        </row>
        <row r="364">
          <cell r="A364" t="str">
            <v>Y355L2-2/315</v>
          </cell>
          <cell r="B364">
            <v>288</v>
          </cell>
          <cell r="C364">
            <v>560</v>
          </cell>
          <cell r="D364">
            <v>2985</v>
          </cell>
          <cell r="E364">
            <v>95</v>
          </cell>
          <cell r="F364">
            <v>0.9</v>
          </cell>
          <cell r="G364">
            <v>1.2</v>
          </cell>
          <cell r="H364">
            <v>7.1</v>
          </cell>
          <cell r="I364">
            <v>2.2</v>
          </cell>
          <cell r="J364">
            <v>111</v>
          </cell>
        </row>
        <row r="364">
          <cell r="L364">
            <v>4.5</v>
          </cell>
          <cell r="M364">
            <v>2105</v>
          </cell>
        </row>
        <row r="365">
          <cell r="A365" t="str">
            <v>Y355L2-2/315</v>
          </cell>
          <cell r="B365">
            <v>289</v>
          </cell>
          <cell r="C365">
            <v>560</v>
          </cell>
          <cell r="D365">
            <v>2985</v>
          </cell>
          <cell r="E365">
            <v>95</v>
          </cell>
          <cell r="F365">
            <v>0.9</v>
          </cell>
          <cell r="G365">
            <v>1.2</v>
          </cell>
          <cell r="H365">
            <v>7.1</v>
          </cell>
          <cell r="I365">
            <v>2.2</v>
          </cell>
          <cell r="J365">
            <v>111</v>
          </cell>
        </row>
        <row r="365">
          <cell r="L365">
            <v>4.5</v>
          </cell>
          <cell r="M365">
            <v>2105</v>
          </cell>
        </row>
        <row r="366">
          <cell r="A366" t="str">
            <v>Y355L2-2/315</v>
          </cell>
          <cell r="B366">
            <v>290</v>
          </cell>
          <cell r="C366">
            <v>560</v>
          </cell>
          <cell r="D366">
            <v>2985</v>
          </cell>
          <cell r="E366">
            <v>95</v>
          </cell>
          <cell r="F366">
            <v>0.9</v>
          </cell>
          <cell r="G366">
            <v>1.2</v>
          </cell>
          <cell r="H366">
            <v>7.1</v>
          </cell>
          <cell r="I366">
            <v>2.2</v>
          </cell>
          <cell r="J366">
            <v>111</v>
          </cell>
        </row>
        <row r="366">
          <cell r="L366">
            <v>4.5</v>
          </cell>
          <cell r="M366">
            <v>2105</v>
          </cell>
        </row>
        <row r="367">
          <cell r="A367" t="str">
            <v>Y355L2-2/315</v>
          </cell>
          <cell r="B367">
            <v>291</v>
          </cell>
          <cell r="C367">
            <v>560</v>
          </cell>
          <cell r="D367">
            <v>2985</v>
          </cell>
          <cell r="E367">
            <v>95</v>
          </cell>
          <cell r="F367">
            <v>0.9</v>
          </cell>
          <cell r="G367">
            <v>1.2</v>
          </cell>
          <cell r="H367">
            <v>7.1</v>
          </cell>
          <cell r="I367">
            <v>2.2</v>
          </cell>
          <cell r="J367">
            <v>111</v>
          </cell>
        </row>
        <row r="367">
          <cell r="L367">
            <v>4.5</v>
          </cell>
          <cell r="M367">
            <v>2105</v>
          </cell>
        </row>
        <row r="368">
          <cell r="A368" t="str">
            <v>Y355L2-2/315</v>
          </cell>
          <cell r="B368">
            <v>292</v>
          </cell>
          <cell r="C368">
            <v>560</v>
          </cell>
          <cell r="D368">
            <v>2985</v>
          </cell>
          <cell r="E368">
            <v>95</v>
          </cell>
          <cell r="F368">
            <v>0.9</v>
          </cell>
          <cell r="G368">
            <v>1.2</v>
          </cell>
          <cell r="H368">
            <v>7.1</v>
          </cell>
          <cell r="I368">
            <v>2.2</v>
          </cell>
          <cell r="J368">
            <v>111</v>
          </cell>
        </row>
        <row r="368">
          <cell r="L368">
            <v>4.5</v>
          </cell>
          <cell r="M368">
            <v>2105</v>
          </cell>
        </row>
        <row r="369">
          <cell r="A369" t="str">
            <v>Y355L2-2/315</v>
          </cell>
          <cell r="B369">
            <v>293</v>
          </cell>
          <cell r="C369">
            <v>560</v>
          </cell>
          <cell r="D369">
            <v>2985</v>
          </cell>
          <cell r="E369">
            <v>95</v>
          </cell>
          <cell r="F369">
            <v>0.9</v>
          </cell>
          <cell r="G369">
            <v>1.2</v>
          </cell>
          <cell r="H369">
            <v>7.1</v>
          </cell>
          <cell r="I369">
            <v>2.2</v>
          </cell>
          <cell r="J369">
            <v>111</v>
          </cell>
        </row>
        <row r="369">
          <cell r="L369">
            <v>4.5</v>
          </cell>
          <cell r="M369">
            <v>2105</v>
          </cell>
        </row>
        <row r="370">
          <cell r="A370" t="str">
            <v>Y355L2-2/315</v>
          </cell>
          <cell r="B370">
            <v>294</v>
          </cell>
          <cell r="C370">
            <v>560</v>
          </cell>
          <cell r="D370">
            <v>2985</v>
          </cell>
          <cell r="E370">
            <v>95</v>
          </cell>
          <cell r="F370">
            <v>0.9</v>
          </cell>
          <cell r="G370">
            <v>1.2</v>
          </cell>
          <cell r="H370">
            <v>7.1</v>
          </cell>
          <cell r="I370">
            <v>2.2</v>
          </cell>
          <cell r="J370">
            <v>111</v>
          </cell>
        </row>
        <row r="370">
          <cell r="L370">
            <v>4.5</v>
          </cell>
          <cell r="M370">
            <v>2105</v>
          </cell>
        </row>
        <row r="371">
          <cell r="A371" t="str">
            <v>Y355L2-2/315</v>
          </cell>
          <cell r="B371">
            <v>295</v>
          </cell>
          <cell r="C371">
            <v>560</v>
          </cell>
          <cell r="D371">
            <v>2985</v>
          </cell>
          <cell r="E371">
            <v>95</v>
          </cell>
          <cell r="F371">
            <v>0.9</v>
          </cell>
          <cell r="G371">
            <v>1.2</v>
          </cell>
          <cell r="H371">
            <v>7.1</v>
          </cell>
          <cell r="I371">
            <v>2.2</v>
          </cell>
          <cell r="J371">
            <v>111</v>
          </cell>
        </row>
        <row r="371">
          <cell r="L371">
            <v>4.5</v>
          </cell>
          <cell r="M371">
            <v>2105</v>
          </cell>
        </row>
        <row r="372">
          <cell r="A372" t="str">
            <v>Y355L2-2/315</v>
          </cell>
          <cell r="B372">
            <v>296</v>
          </cell>
          <cell r="C372">
            <v>560</v>
          </cell>
          <cell r="D372">
            <v>2985</v>
          </cell>
          <cell r="E372">
            <v>95</v>
          </cell>
          <cell r="F372">
            <v>0.9</v>
          </cell>
          <cell r="G372">
            <v>1.2</v>
          </cell>
          <cell r="H372">
            <v>7.1</v>
          </cell>
          <cell r="I372">
            <v>2.2</v>
          </cell>
          <cell r="J372">
            <v>111</v>
          </cell>
        </row>
        <row r="372">
          <cell r="L372">
            <v>4.5</v>
          </cell>
          <cell r="M372">
            <v>2105</v>
          </cell>
        </row>
        <row r="373">
          <cell r="A373" t="str">
            <v>Y355L2-2/315</v>
          </cell>
          <cell r="B373">
            <v>297</v>
          </cell>
          <cell r="C373">
            <v>560</v>
          </cell>
          <cell r="D373">
            <v>2985</v>
          </cell>
          <cell r="E373">
            <v>95</v>
          </cell>
          <cell r="F373">
            <v>0.9</v>
          </cell>
          <cell r="G373">
            <v>1.2</v>
          </cell>
          <cell r="H373">
            <v>7.1</v>
          </cell>
          <cell r="I373">
            <v>2.2</v>
          </cell>
          <cell r="J373">
            <v>111</v>
          </cell>
        </row>
        <row r="373">
          <cell r="L373">
            <v>4.5</v>
          </cell>
          <cell r="M373">
            <v>2105</v>
          </cell>
        </row>
        <row r="374">
          <cell r="A374" t="str">
            <v>Y355L2-2/315</v>
          </cell>
          <cell r="B374">
            <v>298</v>
          </cell>
          <cell r="C374">
            <v>560</v>
          </cell>
          <cell r="D374">
            <v>2985</v>
          </cell>
          <cell r="E374">
            <v>95</v>
          </cell>
          <cell r="F374">
            <v>0.9</v>
          </cell>
          <cell r="G374">
            <v>1.2</v>
          </cell>
          <cell r="H374">
            <v>7.1</v>
          </cell>
          <cell r="I374">
            <v>2.2</v>
          </cell>
          <cell r="J374">
            <v>111</v>
          </cell>
        </row>
        <row r="374">
          <cell r="L374">
            <v>4.5</v>
          </cell>
          <cell r="M374">
            <v>2105</v>
          </cell>
        </row>
        <row r="375">
          <cell r="A375" t="str">
            <v>Y355L2-2/315</v>
          </cell>
          <cell r="B375">
            <v>299</v>
          </cell>
          <cell r="C375">
            <v>560</v>
          </cell>
          <cell r="D375">
            <v>2985</v>
          </cell>
          <cell r="E375">
            <v>95</v>
          </cell>
          <cell r="F375">
            <v>0.9</v>
          </cell>
          <cell r="G375">
            <v>1.2</v>
          </cell>
          <cell r="H375">
            <v>7.1</v>
          </cell>
          <cell r="I375">
            <v>2.2</v>
          </cell>
          <cell r="J375">
            <v>111</v>
          </cell>
        </row>
        <row r="375">
          <cell r="L375">
            <v>4.5</v>
          </cell>
          <cell r="M375">
            <v>2105</v>
          </cell>
        </row>
        <row r="376">
          <cell r="A376" t="str">
            <v>Y355L2-2/315</v>
          </cell>
          <cell r="B376">
            <v>300</v>
          </cell>
          <cell r="C376">
            <v>560</v>
          </cell>
          <cell r="D376">
            <v>2985</v>
          </cell>
          <cell r="E376">
            <v>95</v>
          </cell>
          <cell r="F376">
            <v>0.9</v>
          </cell>
          <cell r="G376">
            <v>1.2</v>
          </cell>
          <cell r="H376">
            <v>7.1</v>
          </cell>
          <cell r="I376">
            <v>2.2</v>
          </cell>
          <cell r="J376">
            <v>111</v>
          </cell>
        </row>
        <row r="376">
          <cell r="L376">
            <v>4.5</v>
          </cell>
          <cell r="M376">
            <v>2105</v>
          </cell>
        </row>
        <row r="377">
          <cell r="A377" t="str">
            <v>Y355L2-2/315</v>
          </cell>
          <cell r="B377">
            <v>301</v>
          </cell>
          <cell r="C377">
            <v>560</v>
          </cell>
          <cell r="D377">
            <v>2985</v>
          </cell>
          <cell r="E377">
            <v>95</v>
          </cell>
          <cell r="F377">
            <v>0.9</v>
          </cell>
          <cell r="G377">
            <v>1.2</v>
          </cell>
          <cell r="H377">
            <v>7.1</v>
          </cell>
          <cell r="I377">
            <v>2.2</v>
          </cell>
          <cell r="J377">
            <v>111</v>
          </cell>
        </row>
        <row r="377">
          <cell r="L377">
            <v>4.5</v>
          </cell>
          <cell r="M377">
            <v>2105</v>
          </cell>
        </row>
        <row r="378">
          <cell r="A378" t="str">
            <v>Y355L2-2/315</v>
          </cell>
          <cell r="B378">
            <v>302</v>
          </cell>
          <cell r="C378">
            <v>560</v>
          </cell>
          <cell r="D378">
            <v>2985</v>
          </cell>
          <cell r="E378">
            <v>95</v>
          </cell>
          <cell r="F378">
            <v>0.9</v>
          </cell>
          <cell r="G378">
            <v>1.2</v>
          </cell>
          <cell r="H378">
            <v>7.1</v>
          </cell>
          <cell r="I378">
            <v>2.2</v>
          </cell>
          <cell r="J378">
            <v>111</v>
          </cell>
        </row>
        <row r="378">
          <cell r="L378">
            <v>4.5</v>
          </cell>
          <cell r="M378">
            <v>2105</v>
          </cell>
        </row>
        <row r="379">
          <cell r="A379" t="str">
            <v>Y355L2-2/315</v>
          </cell>
          <cell r="B379">
            <v>303</v>
          </cell>
          <cell r="C379">
            <v>560</v>
          </cell>
          <cell r="D379">
            <v>2985</v>
          </cell>
          <cell r="E379">
            <v>95</v>
          </cell>
          <cell r="F379">
            <v>0.9</v>
          </cell>
          <cell r="G379">
            <v>1.2</v>
          </cell>
          <cell r="H379">
            <v>7.1</v>
          </cell>
          <cell r="I379">
            <v>2.2</v>
          </cell>
          <cell r="J379">
            <v>111</v>
          </cell>
        </row>
        <row r="379">
          <cell r="L379">
            <v>4.5</v>
          </cell>
          <cell r="M379">
            <v>2105</v>
          </cell>
        </row>
        <row r="380">
          <cell r="A380" t="str">
            <v>Y355L2-2/315</v>
          </cell>
          <cell r="B380">
            <v>304</v>
          </cell>
          <cell r="C380">
            <v>560</v>
          </cell>
          <cell r="D380">
            <v>2985</v>
          </cell>
          <cell r="E380">
            <v>95</v>
          </cell>
          <cell r="F380">
            <v>0.9</v>
          </cell>
          <cell r="G380">
            <v>1.2</v>
          </cell>
          <cell r="H380">
            <v>7.1</v>
          </cell>
          <cell r="I380">
            <v>2.2</v>
          </cell>
          <cell r="J380">
            <v>111</v>
          </cell>
        </row>
        <row r="380">
          <cell r="L380">
            <v>4.5</v>
          </cell>
          <cell r="M380">
            <v>2105</v>
          </cell>
        </row>
        <row r="381">
          <cell r="A381" t="str">
            <v>Y355L2-2/315</v>
          </cell>
          <cell r="B381">
            <v>305</v>
          </cell>
          <cell r="C381">
            <v>560</v>
          </cell>
          <cell r="D381">
            <v>2985</v>
          </cell>
          <cell r="E381">
            <v>95</v>
          </cell>
          <cell r="F381">
            <v>0.9</v>
          </cell>
          <cell r="G381">
            <v>1.2</v>
          </cell>
          <cell r="H381">
            <v>7.1</v>
          </cell>
          <cell r="I381">
            <v>2.2</v>
          </cell>
          <cell r="J381">
            <v>111</v>
          </cell>
        </row>
        <row r="381">
          <cell r="L381">
            <v>4.5</v>
          </cell>
          <cell r="M381">
            <v>2105</v>
          </cell>
        </row>
        <row r="382">
          <cell r="A382" t="str">
            <v>Y355L2-2/315</v>
          </cell>
          <cell r="B382">
            <v>306</v>
          </cell>
          <cell r="C382">
            <v>560</v>
          </cell>
          <cell r="D382">
            <v>2985</v>
          </cell>
          <cell r="E382">
            <v>95</v>
          </cell>
          <cell r="F382">
            <v>0.9</v>
          </cell>
          <cell r="G382">
            <v>1.2</v>
          </cell>
          <cell r="H382">
            <v>7.1</v>
          </cell>
          <cell r="I382">
            <v>2.2</v>
          </cell>
          <cell r="J382">
            <v>111</v>
          </cell>
        </row>
        <row r="382">
          <cell r="L382">
            <v>4.5</v>
          </cell>
          <cell r="M382">
            <v>2105</v>
          </cell>
        </row>
        <row r="383">
          <cell r="A383" t="str">
            <v>Y355L2-2/315</v>
          </cell>
          <cell r="B383">
            <v>307</v>
          </cell>
          <cell r="C383">
            <v>560</v>
          </cell>
          <cell r="D383">
            <v>2985</v>
          </cell>
          <cell r="E383">
            <v>95</v>
          </cell>
          <cell r="F383">
            <v>0.9</v>
          </cell>
          <cell r="G383">
            <v>1.2</v>
          </cell>
          <cell r="H383">
            <v>7.1</v>
          </cell>
          <cell r="I383">
            <v>2.2</v>
          </cell>
          <cell r="J383">
            <v>111</v>
          </cell>
        </row>
        <row r="383">
          <cell r="L383">
            <v>4.5</v>
          </cell>
          <cell r="M383">
            <v>2105</v>
          </cell>
        </row>
        <row r="384">
          <cell r="A384" t="str">
            <v>Y355L2-2/315</v>
          </cell>
          <cell r="B384">
            <v>308</v>
          </cell>
          <cell r="C384">
            <v>560</v>
          </cell>
          <cell r="D384">
            <v>2985</v>
          </cell>
          <cell r="E384">
            <v>95</v>
          </cell>
          <cell r="F384">
            <v>0.9</v>
          </cell>
          <cell r="G384">
            <v>1.2</v>
          </cell>
          <cell r="H384">
            <v>7.1</v>
          </cell>
          <cell r="I384">
            <v>2.2</v>
          </cell>
          <cell r="J384">
            <v>111</v>
          </cell>
        </row>
        <row r="384">
          <cell r="L384">
            <v>4.5</v>
          </cell>
          <cell r="M384">
            <v>2105</v>
          </cell>
        </row>
        <row r="385">
          <cell r="A385" t="str">
            <v>Y355L2-2/315</v>
          </cell>
          <cell r="B385">
            <v>309</v>
          </cell>
          <cell r="C385">
            <v>560</v>
          </cell>
          <cell r="D385">
            <v>2985</v>
          </cell>
          <cell r="E385">
            <v>95</v>
          </cell>
          <cell r="F385">
            <v>0.9</v>
          </cell>
          <cell r="G385">
            <v>1.2</v>
          </cell>
          <cell r="H385">
            <v>7.1</v>
          </cell>
          <cell r="I385">
            <v>2.2</v>
          </cell>
          <cell r="J385">
            <v>111</v>
          </cell>
        </row>
        <row r="385">
          <cell r="L385">
            <v>4.5</v>
          </cell>
          <cell r="M385">
            <v>2105</v>
          </cell>
        </row>
        <row r="386">
          <cell r="A386" t="str">
            <v>Y355L2-2/315</v>
          </cell>
          <cell r="B386">
            <v>310</v>
          </cell>
          <cell r="C386">
            <v>560</v>
          </cell>
          <cell r="D386">
            <v>2985</v>
          </cell>
          <cell r="E386">
            <v>95</v>
          </cell>
          <cell r="F386">
            <v>0.9</v>
          </cell>
          <cell r="G386">
            <v>1.2</v>
          </cell>
          <cell r="H386">
            <v>7.1</v>
          </cell>
          <cell r="I386">
            <v>2.2</v>
          </cell>
          <cell r="J386">
            <v>111</v>
          </cell>
        </row>
        <row r="386">
          <cell r="L386">
            <v>4.5</v>
          </cell>
          <cell r="M386">
            <v>2105</v>
          </cell>
        </row>
        <row r="387">
          <cell r="A387" t="str">
            <v>Y355L2-2/315</v>
          </cell>
          <cell r="B387">
            <v>311</v>
          </cell>
          <cell r="C387">
            <v>560</v>
          </cell>
          <cell r="D387">
            <v>2985</v>
          </cell>
          <cell r="E387">
            <v>95</v>
          </cell>
          <cell r="F387">
            <v>0.9</v>
          </cell>
          <cell r="G387">
            <v>1.2</v>
          </cell>
          <cell r="H387">
            <v>7.1</v>
          </cell>
          <cell r="I387">
            <v>2.2</v>
          </cell>
          <cell r="J387">
            <v>111</v>
          </cell>
        </row>
        <row r="387">
          <cell r="L387">
            <v>4.5</v>
          </cell>
          <cell r="M387">
            <v>2105</v>
          </cell>
        </row>
        <row r="388">
          <cell r="A388" t="str">
            <v>Y355L2-2/315</v>
          </cell>
          <cell r="B388">
            <v>312</v>
          </cell>
          <cell r="C388">
            <v>560</v>
          </cell>
          <cell r="D388">
            <v>2985</v>
          </cell>
          <cell r="E388">
            <v>95</v>
          </cell>
          <cell r="F388">
            <v>0.9</v>
          </cell>
          <cell r="G388">
            <v>1.2</v>
          </cell>
          <cell r="H388">
            <v>7.1</v>
          </cell>
          <cell r="I388">
            <v>2.2</v>
          </cell>
          <cell r="J388">
            <v>111</v>
          </cell>
        </row>
        <row r="388">
          <cell r="L388">
            <v>4.5</v>
          </cell>
          <cell r="M388">
            <v>2105</v>
          </cell>
        </row>
        <row r="389">
          <cell r="A389" t="str">
            <v>Y355L2-2/315</v>
          </cell>
          <cell r="B389">
            <v>313</v>
          </cell>
          <cell r="C389">
            <v>560</v>
          </cell>
          <cell r="D389">
            <v>2985</v>
          </cell>
          <cell r="E389">
            <v>95</v>
          </cell>
          <cell r="F389">
            <v>0.9</v>
          </cell>
          <cell r="G389">
            <v>1.2</v>
          </cell>
          <cell r="H389">
            <v>7.1</v>
          </cell>
          <cell r="I389">
            <v>2.2</v>
          </cell>
          <cell r="J389">
            <v>111</v>
          </cell>
        </row>
        <row r="389">
          <cell r="L389">
            <v>4.5</v>
          </cell>
          <cell r="M389">
            <v>2105</v>
          </cell>
        </row>
        <row r="390">
          <cell r="A390" t="str">
            <v>Y355L2-2/315</v>
          </cell>
          <cell r="B390">
            <v>314</v>
          </cell>
          <cell r="C390">
            <v>560</v>
          </cell>
          <cell r="D390">
            <v>2985</v>
          </cell>
          <cell r="E390">
            <v>95</v>
          </cell>
          <cell r="F390">
            <v>0.9</v>
          </cell>
          <cell r="G390">
            <v>1.2</v>
          </cell>
          <cell r="H390">
            <v>7.1</v>
          </cell>
          <cell r="I390">
            <v>2.2</v>
          </cell>
          <cell r="J390">
            <v>111</v>
          </cell>
        </row>
        <row r="390">
          <cell r="L390">
            <v>4.5</v>
          </cell>
          <cell r="M390">
            <v>2105</v>
          </cell>
        </row>
        <row r="391">
          <cell r="A391" t="str">
            <v>Y355L2-2/315</v>
          </cell>
          <cell r="B391">
            <v>315</v>
          </cell>
          <cell r="C391">
            <v>560</v>
          </cell>
          <cell r="D391">
            <v>2985</v>
          </cell>
          <cell r="E391">
            <v>95</v>
          </cell>
          <cell r="F391">
            <v>0.9</v>
          </cell>
          <cell r="G391">
            <v>1.2</v>
          </cell>
          <cell r="H391">
            <v>7.1</v>
          </cell>
          <cell r="I391">
            <v>2.2</v>
          </cell>
          <cell r="J391">
            <v>111</v>
          </cell>
        </row>
        <row r="391">
          <cell r="L391">
            <v>4.5</v>
          </cell>
          <cell r="M391">
            <v>2105</v>
          </cell>
        </row>
        <row r="392">
          <cell r="A392" t="str">
            <v> 同步转速    1500r/min   4  级</v>
          </cell>
        </row>
        <row r="393">
          <cell r="A393" t="str">
            <v>Y80M1-4/0.55</v>
          </cell>
          <cell r="B393">
            <v>0.55</v>
          </cell>
          <cell r="C393">
            <v>1.5</v>
          </cell>
          <cell r="D393">
            <v>1390</v>
          </cell>
          <cell r="E393">
            <v>73</v>
          </cell>
          <cell r="F393">
            <v>0.76</v>
          </cell>
          <cell r="G393">
            <v>2.4</v>
          </cell>
          <cell r="H393">
            <v>6</v>
          </cell>
          <cell r="I393">
            <v>2.3</v>
          </cell>
          <cell r="J393">
            <v>56</v>
          </cell>
          <cell r="K393">
            <v>67</v>
          </cell>
          <cell r="L393">
            <v>1.8</v>
          </cell>
          <cell r="M393">
            <v>17</v>
          </cell>
          <cell r="N393">
            <v>322</v>
          </cell>
        </row>
        <row r="394">
          <cell r="A394" t="str">
            <v>Y80M2-4/0.75</v>
          </cell>
          <cell r="B394">
            <v>0.75</v>
          </cell>
          <cell r="C394">
            <v>2</v>
          </cell>
          <cell r="D394">
            <v>1390</v>
          </cell>
          <cell r="E394">
            <v>74.5</v>
          </cell>
          <cell r="F394">
            <v>0.76</v>
          </cell>
          <cell r="G394">
            <v>2.3</v>
          </cell>
          <cell r="H394">
            <v>6</v>
          </cell>
          <cell r="I394">
            <v>2.3</v>
          </cell>
          <cell r="J394">
            <v>56</v>
          </cell>
          <cell r="K394">
            <v>67</v>
          </cell>
          <cell r="L394">
            <v>1.8</v>
          </cell>
          <cell r="M394">
            <v>17</v>
          </cell>
          <cell r="N394">
            <v>343</v>
          </cell>
        </row>
        <row r="395">
          <cell r="A395" t="str">
            <v>Y90S-4/1.1</v>
          </cell>
          <cell r="B395">
            <v>1</v>
          </cell>
          <cell r="C395">
            <v>2.7</v>
          </cell>
          <cell r="D395">
            <v>1400</v>
          </cell>
          <cell r="E395">
            <v>78</v>
          </cell>
          <cell r="F395">
            <v>0.78</v>
          </cell>
          <cell r="G395">
            <v>2.3</v>
          </cell>
          <cell r="H395">
            <v>6.5</v>
          </cell>
          <cell r="I395">
            <v>2.3</v>
          </cell>
          <cell r="J395">
            <v>61</v>
          </cell>
          <cell r="K395">
            <v>67</v>
          </cell>
          <cell r="L395">
            <v>1.8</v>
          </cell>
          <cell r="M395">
            <v>25</v>
          </cell>
          <cell r="N395">
            <v>399</v>
          </cell>
        </row>
        <row r="396">
          <cell r="A396" t="str">
            <v>Y90S-4/1.1</v>
          </cell>
          <cell r="B396">
            <v>1.1</v>
          </cell>
          <cell r="C396">
            <v>2.7</v>
          </cell>
          <cell r="D396">
            <v>1400</v>
          </cell>
          <cell r="E396">
            <v>78</v>
          </cell>
          <cell r="F396">
            <v>0.78</v>
          </cell>
          <cell r="G396">
            <v>2.3</v>
          </cell>
          <cell r="H396">
            <v>6.5</v>
          </cell>
          <cell r="I396">
            <v>2.3</v>
          </cell>
          <cell r="J396">
            <v>61</v>
          </cell>
          <cell r="K396">
            <v>67</v>
          </cell>
          <cell r="L396">
            <v>1.8</v>
          </cell>
          <cell r="M396">
            <v>25</v>
          </cell>
          <cell r="N396">
            <v>399</v>
          </cell>
        </row>
        <row r="397">
          <cell r="A397" t="str">
            <v>Y90L-4/1.5</v>
          </cell>
          <cell r="B397">
            <v>1.5</v>
          </cell>
          <cell r="C397">
            <v>3.7</v>
          </cell>
          <cell r="D397">
            <v>1400</v>
          </cell>
          <cell r="E397">
            <v>79</v>
          </cell>
          <cell r="F397">
            <v>0.79</v>
          </cell>
          <cell r="G397">
            <v>2.3</v>
          </cell>
          <cell r="H397">
            <v>6.5</v>
          </cell>
          <cell r="I397">
            <v>2.3</v>
          </cell>
          <cell r="J397">
            <v>62</v>
          </cell>
          <cell r="K397">
            <v>67</v>
          </cell>
          <cell r="L397">
            <v>1.8</v>
          </cell>
          <cell r="M397">
            <v>26</v>
          </cell>
          <cell r="N397">
            <v>420</v>
          </cell>
        </row>
        <row r="398">
          <cell r="A398" t="str">
            <v>Y100L1-4/2.2</v>
          </cell>
          <cell r="B398">
            <v>2</v>
          </cell>
          <cell r="C398">
            <v>5</v>
          </cell>
          <cell r="D398">
            <v>1430</v>
          </cell>
          <cell r="E398">
            <v>81</v>
          </cell>
          <cell r="F398">
            <v>0.82</v>
          </cell>
          <cell r="G398">
            <v>2.2</v>
          </cell>
          <cell r="H398">
            <v>7</v>
          </cell>
          <cell r="I398">
            <v>2.3</v>
          </cell>
          <cell r="J398">
            <v>65</v>
          </cell>
          <cell r="K398">
            <v>70</v>
          </cell>
          <cell r="L398">
            <v>1.8</v>
          </cell>
          <cell r="M398">
            <v>34</v>
          </cell>
          <cell r="N398">
            <v>532</v>
          </cell>
        </row>
        <row r="399">
          <cell r="A399" t="str">
            <v>Y100L1-4/2.2</v>
          </cell>
          <cell r="B399">
            <v>2.2</v>
          </cell>
          <cell r="C399">
            <v>5</v>
          </cell>
          <cell r="D399">
            <v>1430</v>
          </cell>
          <cell r="E399">
            <v>81</v>
          </cell>
          <cell r="F399">
            <v>0.82</v>
          </cell>
          <cell r="G399">
            <v>2.2</v>
          </cell>
          <cell r="H399">
            <v>7</v>
          </cell>
          <cell r="I399">
            <v>2.3</v>
          </cell>
          <cell r="J399">
            <v>65</v>
          </cell>
          <cell r="K399">
            <v>70</v>
          </cell>
          <cell r="L399">
            <v>1.8</v>
          </cell>
          <cell r="M399">
            <v>34</v>
          </cell>
          <cell r="N399">
            <v>532</v>
          </cell>
        </row>
        <row r="400">
          <cell r="A400" t="str">
            <v>Y100L2-4/3</v>
          </cell>
          <cell r="B400">
            <v>3</v>
          </cell>
          <cell r="C400">
            <v>6.8</v>
          </cell>
          <cell r="D400">
            <v>1430</v>
          </cell>
          <cell r="E400">
            <v>82.5</v>
          </cell>
          <cell r="F400">
            <v>0.81</v>
          </cell>
          <cell r="G400">
            <v>2.2</v>
          </cell>
          <cell r="H400">
            <v>7</v>
          </cell>
          <cell r="I400">
            <v>2.3</v>
          </cell>
          <cell r="J400">
            <v>65</v>
          </cell>
          <cell r="K400">
            <v>70</v>
          </cell>
          <cell r="L400">
            <v>1.8</v>
          </cell>
          <cell r="M400">
            <v>35</v>
          </cell>
          <cell r="N400">
            <v>588</v>
          </cell>
        </row>
        <row r="401">
          <cell r="A401" t="str">
            <v>Y112M-4/4</v>
          </cell>
          <cell r="B401">
            <v>4</v>
          </cell>
          <cell r="C401">
            <v>8.8</v>
          </cell>
          <cell r="D401">
            <v>1440</v>
          </cell>
          <cell r="E401">
            <v>84.5</v>
          </cell>
          <cell r="F401">
            <v>0.82</v>
          </cell>
          <cell r="G401">
            <v>2.2</v>
          </cell>
          <cell r="H401">
            <v>7</v>
          </cell>
          <cell r="I401">
            <v>2.3</v>
          </cell>
          <cell r="J401">
            <v>68</v>
          </cell>
          <cell r="K401">
            <v>74</v>
          </cell>
          <cell r="L401">
            <v>1.8</v>
          </cell>
          <cell r="M401">
            <v>47</v>
          </cell>
          <cell r="N401">
            <v>728</v>
          </cell>
        </row>
        <row r="402">
          <cell r="A402" t="str">
            <v>Y132S-4/5.5</v>
          </cell>
          <cell r="B402">
            <v>5</v>
          </cell>
          <cell r="C402">
            <v>11.6</v>
          </cell>
          <cell r="D402">
            <v>1440</v>
          </cell>
          <cell r="E402">
            <v>85.5</v>
          </cell>
          <cell r="F402">
            <v>0.84</v>
          </cell>
          <cell r="G402">
            <v>2.2</v>
          </cell>
          <cell r="H402">
            <v>7</v>
          </cell>
          <cell r="I402">
            <v>2.3</v>
          </cell>
          <cell r="J402">
            <v>70</v>
          </cell>
          <cell r="K402">
            <v>78</v>
          </cell>
          <cell r="L402">
            <v>1.8</v>
          </cell>
          <cell r="M402">
            <v>68</v>
          </cell>
          <cell r="N402">
            <v>987</v>
          </cell>
        </row>
        <row r="403">
          <cell r="A403" t="str">
            <v>Y132S-4/5.5</v>
          </cell>
          <cell r="B403">
            <v>5.5</v>
          </cell>
          <cell r="C403">
            <v>11.6</v>
          </cell>
          <cell r="D403">
            <v>1440</v>
          </cell>
          <cell r="E403">
            <v>85.5</v>
          </cell>
          <cell r="F403">
            <v>0.84</v>
          </cell>
          <cell r="G403">
            <v>2.2</v>
          </cell>
          <cell r="H403">
            <v>7</v>
          </cell>
          <cell r="I403">
            <v>2.3</v>
          </cell>
          <cell r="J403">
            <v>70</v>
          </cell>
          <cell r="K403">
            <v>78</v>
          </cell>
          <cell r="L403">
            <v>1.8</v>
          </cell>
          <cell r="M403">
            <v>68</v>
          </cell>
          <cell r="N403">
            <v>987</v>
          </cell>
        </row>
        <row r="404">
          <cell r="A404" t="str">
            <v>Y132M-4/7.5</v>
          </cell>
          <cell r="B404">
            <v>6</v>
          </cell>
          <cell r="C404">
            <v>15.4</v>
          </cell>
          <cell r="D404">
            <v>1440</v>
          </cell>
          <cell r="E404">
            <v>87</v>
          </cell>
          <cell r="F404">
            <v>0.85</v>
          </cell>
          <cell r="G404">
            <v>2.2</v>
          </cell>
          <cell r="H404">
            <v>7</v>
          </cell>
          <cell r="I404">
            <v>2.3</v>
          </cell>
          <cell r="J404">
            <v>71</v>
          </cell>
          <cell r="K404">
            <v>78</v>
          </cell>
          <cell r="L404">
            <v>1.8</v>
          </cell>
          <cell r="M404">
            <v>79</v>
          </cell>
          <cell r="N404">
            <v>1120</v>
          </cell>
        </row>
        <row r="405">
          <cell r="A405" t="str">
            <v>Y132M-4/7.5</v>
          </cell>
          <cell r="B405">
            <v>7</v>
          </cell>
          <cell r="C405">
            <v>15.4</v>
          </cell>
          <cell r="D405">
            <v>1440</v>
          </cell>
          <cell r="E405">
            <v>87</v>
          </cell>
          <cell r="F405">
            <v>0.85</v>
          </cell>
          <cell r="G405">
            <v>2.2</v>
          </cell>
          <cell r="H405">
            <v>7</v>
          </cell>
          <cell r="I405">
            <v>2.3</v>
          </cell>
          <cell r="J405">
            <v>71</v>
          </cell>
          <cell r="K405">
            <v>78</v>
          </cell>
          <cell r="L405">
            <v>1.8</v>
          </cell>
          <cell r="M405">
            <v>79</v>
          </cell>
          <cell r="N405">
            <v>1120</v>
          </cell>
        </row>
        <row r="406">
          <cell r="A406" t="str">
            <v>Y132M-4/7.5</v>
          </cell>
          <cell r="B406">
            <v>7.5</v>
          </cell>
          <cell r="C406">
            <v>15.4</v>
          </cell>
          <cell r="D406">
            <v>1440</v>
          </cell>
          <cell r="E406">
            <v>87</v>
          </cell>
          <cell r="F406">
            <v>0.85</v>
          </cell>
          <cell r="G406">
            <v>2.2</v>
          </cell>
          <cell r="H406">
            <v>7</v>
          </cell>
          <cell r="I406">
            <v>2.3</v>
          </cell>
          <cell r="J406">
            <v>71</v>
          </cell>
          <cell r="K406">
            <v>78</v>
          </cell>
          <cell r="L406">
            <v>1.8</v>
          </cell>
          <cell r="M406">
            <v>79</v>
          </cell>
          <cell r="N406">
            <v>1120</v>
          </cell>
        </row>
        <row r="407">
          <cell r="A407" t="str">
            <v>Y160M-4/11</v>
          </cell>
          <cell r="B407">
            <v>8</v>
          </cell>
          <cell r="C407">
            <v>22.6</v>
          </cell>
          <cell r="D407">
            <v>1460</v>
          </cell>
          <cell r="E407">
            <v>88</v>
          </cell>
          <cell r="F407">
            <v>0.84</v>
          </cell>
          <cell r="G407">
            <v>2.2</v>
          </cell>
          <cell r="H407">
            <v>7</v>
          </cell>
          <cell r="I407">
            <v>2.3</v>
          </cell>
          <cell r="J407">
            <v>75</v>
          </cell>
          <cell r="K407">
            <v>82</v>
          </cell>
          <cell r="L407">
            <v>1.8</v>
          </cell>
          <cell r="M407">
            <v>122</v>
          </cell>
          <cell r="N407">
            <v>1659</v>
          </cell>
        </row>
        <row r="408">
          <cell r="A408" t="str">
            <v>Y160M-4/11</v>
          </cell>
          <cell r="B408">
            <v>9</v>
          </cell>
          <cell r="C408">
            <v>22.6</v>
          </cell>
          <cell r="D408">
            <v>1460</v>
          </cell>
          <cell r="E408">
            <v>88</v>
          </cell>
          <cell r="F408">
            <v>0.84</v>
          </cell>
          <cell r="G408">
            <v>2.2</v>
          </cell>
          <cell r="H408">
            <v>7</v>
          </cell>
          <cell r="I408">
            <v>2.3</v>
          </cell>
          <cell r="J408">
            <v>75</v>
          </cell>
          <cell r="K408">
            <v>82</v>
          </cell>
          <cell r="L408">
            <v>1.8</v>
          </cell>
          <cell r="M408">
            <v>122</v>
          </cell>
          <cell r="N408">
            <v>1659</v>
          </cell>
        </row>
        <row r="409">
          <cell r="A409" t="str">
            <v>Y160M-4/11</v>
          </cell>
          <cell r="B409">
            <v>10</v>
          </cell>
          <cell r="C409">
            <v>22.6</v>
          </cell>
          <cell r="D409">
            <v>1460</v>
          </cell>
          <cell r="E409">
            <v>88</v>
          </cell>
          <cell r="F409">
            <v>0.84</v>
          </cell>
          <cell r="G409">
            <v>2.2</v>
          </cell>
          <cell r="H409">
            <v>7</v>
          </cell>
          <cell r="I409">
            <v>2.3</v>
          </cell>
          <cell r="J409">
            <v>75</v>
          </cell>
          <cell r="K409">
            <v>82</v>
          </cell>
          <cell r="L409">
            <v>1.8</v>
          </cell>
          <cell r="M409">
            <v>122</v>
          </cell>
          <cell r="N409">
            <v>1659</v>
          </cell>
        </row>
        <row r="410">
          <cell r="A410" t="str">
            <v>Y160M-4/11</v>
          </cell>
          <cell r="B410">
            <v>11</v>
          </cell>
          <cell r="C410">
            <v>22.6</v>
          </cell>
          <cell r="D410">
            <v>1460</v>
          </cell>
          <cell r="E410">
            <v>88</v>
          </cell>
          <cell r="F410">
            <v>0.84</v>
          </cell>
          <cell r="G410">
            <v>2.2</v>
          </cell>
          <cell r="H410">
            <v>7</v>
          </cell>
          <cell r="I410">
            <v>2.3</v>
          </cell>
          <cell r="J410">
            <v>75</v>
          </cell>
          <cell r="K410">
            <v>82</v>
          </cell>
          <cell r="L410">
            <v>1.8</v>
          </cell>
          <cell r="M410">
            <v>122</v>
          </cell>
          <cell r="N410">
            <v>1659</v>
          </cell>
        </row>
        <row r="411">
          <cell r="A411" t="str">
            <v>Y160L-4/15</v>
          </cell>
          <cell r="B411">
            <v>12</v>
          </cell>
          <cell r="C411">
            <v>30.3</v>
          </cell>
          <cell r="D411">
            <v>1460</v>
          </cell>
          <cell r="E411">
            <v>88.5</v>
          </cell>
          <cell r="F411">
            <v>0.85</v>
          </cell>
          <cell r="G411">
            <v>2.2</v>
          </cell>
          <cell r="H411">
            <v>7</v>
          </cell>
          <cell r="I411">
            <v>2.3</v>
          </cell>
          <cell r="J411">
            <v>77</v>
          </cell>
          <cell r="K411">
            <v>82</v>
          </cell>
          <cell r="L411">
            <v>1.8</v>
          </cell>
          <cell r="M411">
            <v>142</v>
          </cell>
          <cell r="N411">
            <v>1918</v>
          </cell>
        </row>
        <row r="412">
          <cell r="A412" t="str">
            <v>Y160L-4/15</v>
          </cell>
          <cell r="B412">
            <v>13</v>
          </cell>
          <cell r="C412">
            <v>30.3</v>
          </cell>
          <cell r="D412">
            <v>1460</v>
          </cell>
          <cell r="E412">
            <v>88.5</v>
          </cell>
          <cell r="F412">
            <v>0.85</v>
          </cell>
          <cell r="G412">
            <v>2.2</v>
          </cell>
          <cell r="H412">
            <v>7</v>
          </cell>
          <cell r="I412">
            <v>2.3</v>
          </cell>
          <cell r="J412">
            <v>77</v>
          </cell>
          <cell r="K412">
            <v>82</v>
          </cell>
          <cell r="L412">
            <v>1.8</v>
          </cell>
          <cell r="M412">
            <v>142</v>
          </cell>
          <cell r="N412">
            <v>1918</v>
          </cell>
        </row>
        <row r="413">
          <cell r="A413" t="str">
            <v>Y160L-4/15</v>
          </cell>
          <cell r="B413">
            <v>14</v>
          </cell>
          <cell r="C413">
            <v>30.3</v>
          </cell>
          <cell r="D413">
            <v>1460</v>
          </cell>
          <cell r="E413">
            <v>88.5</v>
          </cell>
          <cell r="F413">
            <v>0.85</v>
          </cell>
          <cell r="G413">
            <v>2.2</v>
          </cell>
          <cell r="H413">
            <v>7</v>
          </cell>
          <cell r="I413">
            <v>2.3</v>
          </cell>
          <cell r="J413">
            <v>77</v>
          </cell>
          <cell r="K413">
            <v>82</v>
          </cell>
          <cell r="L413">
            <v>1.8</v>
          </cell>
          <cell r="M413">
            <v>142</v>
          </cell>
          <cell r="N413">
            <v>1918</v>
          </cell>
        </row>
        <row r="414">
          <cell r="A414" t="str">
            <v>Y160L-4/15</v>
          </cell>
          <cell r="B414">
            <v>15</v>
          </cell>
          <cell r="C414">
            <v>30.3</v>
          </cell>
          <cell r="D414">
            <v>1460</v>
          </cell>
          <cell r="E414">
            <v>88.5</v>
          </cell>
          <cell r="F414">
            <v>0.85</v>
          </cell>
          <cell r="G414">
            <v>2.2</v>
          </cell>
          <cell r="H414">
            <v>7</v>
          </cell>
          <cell r="I414">
            <v>2.3</v>
          </cell>
          <cell r="J414">
            <v>77</v>
          </cell>
          <cell r="K414">
            <v>82</v>
          </cell>
          <cell r="L414">
            <v>1.8</v>
          </cell>
          <cell r="M414">
            <v>142</v>
          </cell>
          <cell r="N414">
            <v>1918</v>
          </cell>
        </row>
        <row r="415">
          <cell r="A415" t="str">
            <v>Y180M-4/18.5</v>
          </cell>
          <cell r="B415">
            <v>16</v>
          </cell>
          <cell r="C415">
            <v>35.9</v>
          </cell>
          <cell r="D415">
            <v>1470</v>
          </cell>
          <cell r="E415">
            <v>91</v>
          </cell>
          <cell r="F415">
            <v>0.86</v>
          </cell>
          <cell r="G415">
            <v>2</v>
          </cell>
          <cell r="H415">
            <v>7</v>
          </cell>
          <cell r="I415">
            <v>2.2</v>
          </cell>
          <cell r="J415">
            <v>77</v>
          </cell>
          <cell r="K415">
            <v>82</v>
          </cell>
          <cell r="L415">
            <v>1.8</v>
          </cell>
          <cell r="M415">
            <v>174</v>
          </cell>
          <cell r="N415">
            <v>2380</v>
          </cell>
        </row>
        <row r="416">
          <cell r="A416" t="str">
            <v>Y180M-4/18.5</v>
          </cell>
          <cell r="B416">
            <v>17</v>
          </cell>
          <cell r="C416">
            <v>35.9</v>
          </cell>
          <cell r="D416">
            <v>1470</v>
          </cell>
          <cell r="E416">
            <v>91</v>
          </cell>
          <cell r="F416">
            <v>0.86</v>
          </cell>
          <cell r="G416">
            <v>2</v>
          </cell>
          <cell r="H416">
            <v>7</v>
          </cell>
          <cell r="I416">
            <v>2.2</v>
          </cell>
          <cell r="J416">
            <v>77</v>
          </cell>
          <cell r="K416">
            <v>82</v>
          </cell>
          <cell r="L416">
            <v>1.8</v>
          </cell>
          <cell r="M416">
            <v>174</v>
          </cell>
          <cell r="N416">
            <v>2380</v>
          </cell>
        </row>
        <row r="417">
          <cell r="A417" t="str">
            <v>Y180M-4/18.5</v>
          </cell>
          <cell r="B417">
            <v>18</v>
          </cell>
          <cell r="C417">
            <v>35.9</v>
          </cell>
          <cell r="D417">
            <v>1470</v>
          </cell>
          <cell r="E417">
            <v>91</v>
          </cell>
          <cell r="F417">
            <v>0.86</v>
          </cell>
          <cell r="G417">
            <v>2</v>
          </cell>
          <cell r="H417">
            <v>7</v>
          </cell>
          <cell r="I417">
            <v>2.2</v>
          </cell>
          <cell r="J417">
            <v>77</v>
          </cell>
          <cell r="K417">
            <v>82</v>
          </cell>
          <cell r="L417">
            <v>1.8</v>
          </cell>
          <cell r="M417">
            <v>174</v>
          </cell>
          <cell r="N417">
            <v>2380</v>
          </cell>
        </row>
        <row r="418">
          <cell r="A418" t="str">
            <v>Y180M-4/18.5</v>
          </cell>
          <cell r="B418">
            <v>18.5</v>
          </cell>
          <cell r="C418">
            <v>35.9</v>
          </cell>
          <cell r="D418">
            <v>1470</v>
          </cell>
          <cell r="E418">
            <v>91</v>
          </cell>
          <cell r="F418">
            <v>0.86</v>
          </cell>
          <cell r="G418">
            <v>2</v>
          </cell>
          <cell r="H418">
            <v>7</v>
          </cell>
          <cell r="I418">
            <v>2.2</v>
          </cell>
          <cell r="J418">
            <v>77</v>
          </cell>
          <cell r="K418">
            <v>82</v>
          </cell>
          <cell r="L418">
            <v>1.8</v>
          </cell>
          <cell r="M418">
            <v>174</v>
          </cell>
          <cell r="N418">
            <v>2380</v>
          </cell>
        </row>
        <row r="419">
          <cell r="A419" t="str">
            <v>Y180L-4/22</v>
          </cell>
          <cell r="B419">
            <v>19</v>
          </cell>
          <cell r="C419">
            <v>42.5</v>
          </cell>
          <cell r="D419">
            <v>1470</v>
          </cell>
          <cell r="E419">
            <v>91.5</v>
          </cell>
          <cell r="F419">
            <v>0.86</v>
          </cell>
          <cell r="G419">
            <v>2</v>
          </cell>
          <cell r="H419">
            <v>7</v>
          </cell>
          <cell r="I419">
            <v>2.2</v>
          </cell>
          <cell r="J419">
            <v>77</v>
          </cell>
          <cell r="K419">
            <v>82</v>
          </cell>
          <cell r="L419">
            <v>1.8</v>
          </cell>
          <cell r="M419">
            <v>192</v>
          </cell>
          <cell r="N419">
            <v>2541</v>
          </cell>
        </row>
        <row r="420">
          <cell r="A420" t="str">
            <v>Y180L-4/22</v>
          </cell>
          <cell r="B420">
            <v>20</v>
          </cell>
          <cell r="C420">
            <v>42.5</v>
          </cell>
          <cell r="D420">
            <v>1470</v>
          </cell>
          <cell r="E420">
            <v>91.5</v>
          </cell>
          <cell r="F420">
            <v>0.86</v>
          </cell>
          <cell r="G420">
            <v>2</v>
          </cell>
          <cell r="H420">
            <v>7</v>
          </cell>
          <cell r="I420">
            <v>2.2</v>
          </cell>
          <cell r="J420">
            <v>77</v>
          </cell>
          <cell r="K420">
            <v>82</v>
          </cell>
          <cell r="L420">
            <v>1.8</v>
          </cell>
          <cell r="M420">
            <v>192</v>
          </cell>
          <cell r="N420">
            <v>2541</v>
          </cell>
        </row>
        <row r="421">
          <cell r="A421" t="str">
            <v>Y180L-4/22</v>
          </cell>
          <cell r="B421">
            <v>21</v>
          </cell>
          <cell r="C421">
            <v>42.5</v>
          </cell>
          <cell r="D421">
            <v>1470</v>
          </cell>
          <cell r="E421">
            <v>91.5</v>
          </cell>
          <cell r="F421">
            <v>0.86</v>
          </cell>
          <cell r="G421">
            <v>2</v>
          </cell>
          <cell r="H421">
            <v>7</v>
          </cell>
          <cell r="I421">
            <v>2.2</v>
          </cell>
          <cell r="J421">
            <v>77</v>
          </cell>
          <cell r="K421">
            <v>82</v>
          </cell>
          <cell r="L421">
            <v>1.8</v>
          </cell>
          <cell r="M421">
            <v>192</v>
          </cell>
          <cell r="N421">
            <v>2541</v>
          </cell>
        </row>
        <row r="422">
          <cell r="A422" t="str">
            <v>Y180L-4/22</v>
          </cell>
          <cell r="B422">
            <v>22</v>
          </cell>
          <cell r="C422">
            <v>42.5</v>
          </cell>
          <cell r="D422">
            <v>1470</v>
          </cell>
          <cell r="E422">
            <v>91.5</v>
          </cell>
          <cell r="F422">
            <v>0.86</v>
          </cell>
          <cell r="G422">
            <v>2</v>
          </cell>
          <cell r="H422">
            <v>7</v>
          </cell>
          <cell r="I422">
            <v>2.2</v>
          </cell>
          <cell r="J422">
            <v>77</v>
          </cell>
          <cell r="K422">
            <v>82</v>
          </cell>
          <cell r="L422">
            <v>1.8</v>
          </cell>
          <cell r="M422">
            <v>192</v>
          </cell>
          <cell r="N422">
            <v>2541</v>
          </cell>
        </row>
        <row r="423">
          <cell r="A423" t="str">
            <v>Y200L-4/30</v>
          </cell>
          <cell r="B423">
            <v>23</v>
          </cell>
          <cell r="C423">
            <v>56.8</v>
          </cell>
          <cell r="D423">
            <v>1470</v>
          </cell>
          <cell r="E423">
            <v>92.2</v>
          </cell>
          <cell r="F423">
            <v>0.87</v>
          </cell>
          <cell r="G423">
            <v>2</v>
          </cell>
          <cell r="H423">
            <v>7</v>
          </cell>
          <cell r="I423">
            <v>2.2</v>
          </cell>
          <cell r="J423">
            <v>79</v>
          </cell>
          <cell r="K423">
            <v>84</v>
          </cell>
          <cell r="L423">
            <v>1.8</v>
          </cell>
          <cell r="M423">
            <v>253</v>
          </cell>
          <cell r="N423">
            <v>3346</v>
          </cell>
        </row>
        <row r="424">
          <cell r="A424" t="str">
            <v>Y200L-4/30</v>
          </cell>
          <cell r="B424">
            <v>24</v>
          </cell>
          <cell r="C424">
            <v>56.8</v>
          </cell>
          <cell r="D424">
            <v>1470</v>
          </cell>
          <cell r="E424">
            <v>92.2</v>
          </cell>
          <cell r="F424">
            <v>0.87</v>
          </cell>
          <cell r="G424">
            <v>2</v>
          </cell>
          <cell r="H424">
            <v>7</v>
          </cell>
          <cell r="I424">
            <v>2.2</v>
          </cell>
          <cell r="J424">
            <v>79</v>
          </cell>
          <cell r="K424">
            <v>84</v>
          </cell>
          <cell r="L424">
            <v>1.8</v>
          </cell>
          <cell r="M424">
            <v>253</v>
          </cell>
          <cell r="N424">
            <v>3346</v>
          </cell>
        </row>
        <row r="425">
          <cell r="A425" t="str">
            <v>Y200L-4/30</v>
          </cell>
          <cell r="B425">
            <v>25</v>
          </cell>
          <cell r="C425">
            <v>56.8</v>
          </cell>
          <cell r="D425">
            <v>1470</v>
          </cell>
          <cell r="E425">
            <v>92.2</v>
          </cell>
          <cell r="F425">
            <v>0.87</v>
          </cell>
          <cell r="G425">
            <v>2</v>
          </cell>
          <cell r="H425">
            <v>7</v>
          </cell>
          <cell r="I425">
            <v>2.2</v>
          </cell>
          <cell r="J425">
            <v>79</v>
          </cell>
          <cell r="K425">
            <v>84</v>
          </cell>
          <cell r="L425">
            <v>1.8</v>
          </cell>
          <cell r="M425">
            <v>253</v>
          </cell>
          <cell r="N425">
            <v>3346</v>
          </cell>
        </row>
        <row r="426">
          <cell r="A426" t="str">
            <v>Y200L-4/30</v>
          </cell>
          <cell r="B426">
            <v>26</v>
          </cell>
          <cell r="C426">
            <v>56.8</v>
          </cell>
          <cell r="D426">
            <v>1470</v>
          </cell>
          <cell r="E426">
            <v>92.2</v>
          </cell>
          <cell r="F426">
            <v>0.87</v>
          </cell>
          <cell r="G426">
            <v>2</v>
          </cell>
          <cell r="H426">
            <v>7</v>
          </cell>
          <cell r="I426">
            <v>2.2</v>
          </cell>
          <cell r="J426">
            <v>79</v>
          </cell>
          <cell r="K426">
            <v>84</v>
          </cell>
          <cell r="L426">
            <v>1.8</v>
          </cell>
          <cell r="M426">
            <v>253</v>
          </cell>
          <cell r="N426">
            <v>3346</v>
          </cell>
        </row>
        <row r="427">
          <cell r="A427" t="str">
            <v>Y200L-4/30</v>
          </cell>
          <cell r="B427">
            <v>27</v>
          </cell>
          <cell r="C427">
            <v>56.8</v>
          </cell>
          <cell r="D427">
            <v>1470</v>
          </cell>
          <cell r="E427">
            <v>92.2</v>
          </cell>
          <cell r="F427">
            <v>0.87</v>
          </cell>
          <cell r="G427">
            <v>2</v>
          </cell>
          <cell r="H427">
            <v>7</v>
          </cell>
          <cell r="I427">
            <v>2.2</v>
          </cell>
          <cell r="J427">
            <v>79</v>
          </cell>
          <cell r="K427">
            <v>84</v>
          </cell>
          <cell r="L427">
            <v>1.8</v>
          </cell>
          <cell r="M427">
            <v>253</v>
          </cell>
          <cell r="N427">
            <v>3346</v>
          </cell>
        </row>
        <row r="428">
          <cell r="A428" t="str">
            <v>Y200L-4/30</v>
          </cell>
          <cell r="B428">
            <v>28</v>
          </cell>
          <cell r="C428">
            <v>56.8</v>
          </cell>
          <cell r="D428">
            <v>1470</v>
          </cell>
          <cell r="E428">
            <v>92.2</v>
          </cell>
          <cell r="F428">
            <v>0.87</v>
          </cell>
          <cell r="G428">
            <v>2</v>
          </cell>
          <cell r="H428">
            <v>7</v>
          </cell>
          <cell r="I428">
            <v>2.2</v>
          </cell>
          <cell r="J428">
            <v>79</v>
          </cell>
          <cell r="K428">
            <v>84</v>
          </cell>
          <cell r="L428">
            <v>1.8</v>
          </cell>
          <cell r="M428">
            <v>253</v>
          </cell>
          <cell r="N428">
            <v>3346</v>
          </cell>
        </row>
        <row r="429">
          <cell r="A429" t="str">
            <v>Y200L-4/30</v>
          </cell>
          <cell r="B429">
            <v>29</v>
          </cell>
          <cell r="C429">
            <v>56.8</v>
          </cell>
          <cell r="D429">
            <v>1470</v>
          </cell>
          <cell r="E429">
            <v>92.2</v>
          </cell>
          <cell r="F429">
            <v>0.87</v>
          </cell>
          <cell r="G429">
            <v>2</v>
          </cell>
          <cell r="H429">
            <v>7</v>
          </cell>
          <cell r="I429">
            <v>2.2</v>
          </cell>
          <cell r="J429">
            <v>79</v>
          </cell>
          <cell r="K429">
            <v>84</v>
          </cell>
          <cell r="L429">
            <v>1.8</v>
          </cell>
          <cell r="M429">
            <v>253</v>
          </cell>
          <cell r="N429">
            <v>3346</v>
          </cell>
        </row>
        <row r="430">
          <cell r="A430" t="str">
            <v>Y200L-4/30</v>
          </cell>
          <cell r="B430">
            <v>30</v>
          </cell>
          <cell r="C430">
            <v>56.8</v>
          </cell>
          <cell r="D430">
            <v>1470</v>
          </cell>
          <cell r="E430">
            <v>92.2</v>
          </cell>
          <cell r="F430">
            <v>0.87</v>
          </cell>
          <cell r="G430">
            <v>2</v>
          </cell>
          <cell r="H430">
            <v>7</v>
          </cell>
          <cell r="I430">
            <v>2.2</v>
          </cell>
          <cell r="J430">
            <v>79</v>
          </cell>
          <cell r="K430">
            <v>84</v>
          </cell>
          <cell r="L430">
            <v>1.8</v>
          </cell>
          <cell r="M430">
            <v>253</v>
          </cell>
          <cell r="N430">
            <v>3346</v>
          </cell>
        </row>
        <row r="431">
          <cell r="A431" t="str">
            <v>Y225S-4/37</v>
          </cell>
          <cell r="B431">
            <v>31</v>
          </cell>
          <cell r="C431">
            <v>70.4</v>
          </cell>
          <cell r="D431">
            <v>1480</v>
          </cell>
          <cell r="E431">
            <v>91.8</v>
          </cell>
          <cell r="F431">
            <v>0.87</v>
          </cell>
          <cell r="G431">
            <v>1.9</v>
          </cell>
          <cell r="H431">
            <v>7</v>
          </cell>
          <cell r="I431">
            <v>2.2</v>
          </cell>
          <cell r="J431">
            <v>79</v>
          </cell>
          <cell r="K431">
            <v>84</v>
          </cell>
          <cell r="L431">
            <v>1.8</v>
          </cell>
          <cell r="M431">
            <v>294</v>
          </cell>
          <cell r="N431">
            <v>4130</v>
          </cell>
        </row>
        <row r="432">
          <cell r="A432" t="str">
            <v>Y225S-4/37</v>
          </cell>
          <cell r="B432">
            <v>32</v>
          </cell>
          <cell r="C432">
            <v>70.4</v>
          </cell>
          <cell r="D432">
            <v>1480</v>
          </cell>
          <cell r="E432">
            <v>91.8</v>
          </cell>
          <cell r="F432">
            <v>0.87</v>
          </cell>
          <cell r="G432">
            <v>1.9</v>
          </cell>
          <cell r="H432">
            <v>7</v>
          </cell>
          <cell r="I432">
            <v>2.2</v>
          </cell>
          <cell r="J432">
            <v>79</v>
          </cell>
          <cell r="K432">
            <v>84</v>
          </cell>
          <cell r="L432">
            <v>1.8</v>
          </cell>
          <cell r="M432">
            <v>294</v>
          </cell>
          <cell r="N432">
            <v>4130</v>
          </cell>
        </row>
        <row r="433">
          <cell r="A433" t="str">
            <v>Y225S-4/37</v>
          </cell>
          <cell r="B433">
            <v>33</v>
          </cell>
          <cell r="C433">
            <v>70.4</v>
          </cell>
          <cell r="D433">
            <v>1480</v>
          </cell>
          <cell r="E433">
            <v>91.8</v>
          </cell>
          <cell r="F433">
            <v>0.87</v>
          </cell>
          <cell r="G433">
            <v>1.9</v>
          </cell>
          <cell r="H433">
            <v>7</v>
          </cell>
          <cell r="I433">
            <v>2.2</v>
          </cell>
          <cell r="J433">
            <v>79</v>
          </cell>
          <cell r="K433">
            <v>84</v>
          </cell>
          <cell r="L433">
            <v>1.8</v>
          </cell>
          <cell r="M433">
            <v>294</v>
          </cell>
          <cell r="N433">
            <v>4130</v>
          </cell>
        </row>
        <row r="434">
          <cell r="A434" t="str">
            <v>Y225S-4/37</v>
          </cell>
          <cell r="B434">
            <v>34</v>
          </cell>
          <cell r="C434">
            <v>70.4</v>
          </cell>
          <cell r="D434">
            <v>1480</v>
          </cell>
          <cell r="E434">
            <v>91.8</v>
          </cell>
          <cell r="F434">
            <v>0.87</v>
          </cell>
          <cell r="G434">
            <v>1.9</v>
          </cell>
          <cell r="H434">
            <v>7</v>
          </cell>
          <cell r="I434">
            <v>2.2</v>
          </cell>
          <cell r="J434">
            <v>79</v>
          </cell>
          <cell r="K434">
            <v>84</v>
          </cell>
          <cell r="L434">
            <v>1.8</v>
          </cell>
          <cell r="M434">
            <v>294</v>
          </cell>
          <cell r="N434">
            <v>4130</v>
          </cell>
        </row>
        <row r="435">
          <cell r="A435" t="str">
            <v>Y225S-4/37</v>
          </cell>
          <cell r="B435">
            <v>35</v>
          </cell>
          <cell r="C435">
            <v>70.4</v>
          </cell>
          <cell r="D435">
            <v>1480</v>
          </cell>
          <cell r="E435">
            <v>91.8</v>
          </cell>
          <cell r="F435">
            <v>0.87</v>
          </cell>
          <cell r="G435">
            <v>1.9</v>
          </cell>
          <cell r="H435">
            <v>7</v>
          </cell>
          <cell r="I435">
            <v>2.2</v>
          </cell>
          <cell r="J435">
            <v>79</v>
          </cell>
          <cell r="K435">
            <v>84</v>
          </cell>
          <cell r="L435">
            <v>1.8</v>
          </cell>
          <cell r="M435">
            <v>294</v>
          </cell>
          <cell r="N435">
            <v>4130</v>
          </cell>
        </row>
        <row r="436">
          <cell r="A436" t="str">
            <v>Y225S-4/37</v>
          </cell>
          <cell r="B436">
            <v>36</v>
          </cell>
          <cell r="C436">
            <v>70.4</v>
          </cell>
          <cell r="D436">
            <v>1480</v>
          </cell>
          <cell r="E436">
            <v>91.8</v>
          </cell>
          <cell r="F436">
            <v>0.87</v>
          </cell>
          <cell r="G436">
            <v>1.9</v>
          </cell>
          <cell r="H436">
            <v>7</v>
          </cell>
          <cell r="I436">
            <v>2.2</v>
          </cell>
          <cell r="J436">
            <v>79</v>
          </cell>
          <cell r="K436">
            <v>84</v>
          </cell>
          <cell r="L436">
            <v>1.8</v>
          </cell>
          <cell r="M436">
            <v>294</v>
          </cell>
          <cell r="N436">
            <v>4130</v>
          </cell>
        </row>
        <row r="437">
          <cell r="A437" t="str">
            <v>Y225S-4/37</v>
          </cell>
          <cell r="B437">
            <v>37</v>
          </cell>
          <cell r="C437">
            <v>70.4</v>
          </cell>
          <cell r="D437">
            <v>1480</v>
          </cell>
          <cell r="E437">
            <v>91.8</v>
          </cell>
          <cell r="F437">
            <v>0.87</v>
          </cell>
          <cell r="G437">
            <v>1.9</v>
          </cell>
          <cell r="H437">
            <v>7</v>
          </cell>
          <cell r="I437">
            <v>2.2</v>
          </cell>
          <cell r="J437">
            <v>79</v>
          </cell>
          <cell r="K437">
            <v>84</v>
          </cell>
          <cell r="L437">
            <v>1.8</v>
          </cell>
          <cell r="M437">
            <v>294</v>
          </cell>
          <cell r="N437">
            <v>4130</v>
          </cell>
        </row>
        <row r="438">
          <cell r="A438" t="str">
            <v>Y225M-4/45</v>
          </cell>
          <cell r="B438">
            <v>38</v>
          </cell>
          <cell r="C438">
            <v>84.2</v>
          </cell>
          <cell r="D438">
            <v>1480</v>
          </cell>
          <cell r="E438">
            <v>92.3</v>
          </cell>
          <cell r="F438">
            <v>0.88</v>
          </cell>
          <cell r="G438">
            <v>1.9</v>
          </cell>
          <cell r="H438">
            <v>7</v>
          </cell>
          <cell r="I438">
            <v>2.2</v>
          </cell>
          <cell r="J438">
            <v>79</v>
          </cell>
          <cell r="K438">
            <v>84</v>
          </cell>
          <cell r="L438">
            <v>1.8</v>
          </cell>
          <cell r="M438">
            <v>327</v>
          </cell>
          <cell r="N438">
            <v>4620</v>
          </cell>
        </row>
        <row r="439">
          <cell r="A439" t="str">
            <v>Y225M-4/45</v>
          </cell>
          <cell r="B439">
            <v>39</v>
          </cell>
          <cell r="C439">
            <v>84.2</v>
          </cell>
          <cell r="D439">
            <v>1480</v>
          </cell>
          <cell r="E439">
            <v>92.3</v>
          </cell>
          <cell r="F439">
            <v>0.88</v>
          </cell>
          <cell r="G439">
            <v>1.9</v>
          </cell>
          <cell r="H439">
            <v>7</v>
          </cell>
          <cell r="I439">
            <v>2.2</v>
          </cell>
          <cell r="J439">
            <v>79</v>
          </cell>
          <cell r="K439">
            <v>84</v>
          </cell>
          <cell r="L439">
            <v>1.8</v>
          </cell>
          <cell r="M439">
            <v>327</v>
          </cell>
          <cell r="N439">
            <v>4620</v>
          </cell>
        </row>
        <row r="440">
          <cell r="A440" t="str">
            <v>Y225M-4/45</v>
          </cell>
          <cell r="B440">
            <v>40</v>
          </cell>
          <cell r="C440">
            <v>84.2</v>
          </cell>
          <cell r="D440">
            <v>1480</v>
          </cell>
          <cell r="E440">
            <v>92.3</v>
          </cell>
          <cell r="F440">
            <v>0.88</v>
          </cell>
          <cell r="G440">
            <v>1.9</v>
          </cell>
          <cell r="H440">
            <v>7</v>
          </cell>
          <cell r="I440">
            <v>2.2</v>
          </cell>
          <cell r="J440">
            <v>79</v>
          </cell>
          <cell r="K440">
            <v>84</v>
          </cell>
          <cell r="L440">
            <v>1.8</v>
          </cell>
          <cell r="M440">
            <v>327</v>
          </cell>
          <cell r="N440">
            <v>4620</v>
          </cell>
        </row>
        <row r="441">
          <cell r="A441" t="str">
            <v>Y225M-4/45</v>
          </cell>
          <cell r="B441">
            <v>41</v>
          </cell>
          <cell r="C441">
            <v>84.2</v>
          </cell>
          <cell r="D441">
            <v>1480</v>
          </cell>
          <cell r="E441">
            <v>92.3</v>
          </cell>
          <cell r="F441">
            <v>0.88</v>
          </cell>
          <cell r="G441">
            <v>1.9</v>
          </cell>
          <cell r="H441">
            <v>7</v>
          </cell>
          <cell r="I441">
            <v>2.2</v>
          </cell>
          <cell r="J441">
            <v>79</v>
          </cell>
          <cell r="K441">
            <v>84</v>
          </cell>
          <cell r="L441">
            <v>1.8</v>
          </cell>
          <cell r="M441">
            <v>327</v>
          </cell>
          <cell r="N441">
            <v>4620</v>
          </cell>
        </row>
        <row r="442">
          <cell r="A442" t="str">
            <v>Y225M-4/45</v>
          </cell>
          <cell r="B442">
            <v>42</v>
          </cell>
          <cell r="C442">
            <v>84.2</v>
          </cell>
          <cell r="D442">
            <v>1480</v>
          </cell>
          <cell r="E442">
            <v>92.3</v>
          </cell>
          <cell r="F442">
            <v>0.88</v>
          </cell>
          <cell r="G442">
            <v>1.9</v>
          </cell>
          <cell r="H442">
            <v>7</v>
          </cell>
          <cell r="I442">
            <v>2.2</v>
          </cell>
          <cell r="J442">
            <v>79</v>
          </cell>
          <cell r="K442">
            <v>84</v>
          </cell>
          <cell r="L442">
            <v>1.8</v>
          </cell>
          <cell r="M442">
            <v>327</v>
          </cell>
          <cell r="N442">
            <v>4620</v>
          </cell>
        </row>
        <row r="443">
          <cell r="A443" t="str">
            <v>Y225M-4/45</v>
          </cell>
          <cell r="B443">
            <v>43</v>
          </cell>
          <cell r="C443">
            <v>84.2</v>
          </cell>
          <cell r="D443">
            <v>1480</v>
          </cell>
          <cell r="E443">
            <v>92.3</v>
          </cell>
          <cell r="F443">
            <v>0.88</v>
          </cell>
          <cell r="G443">
            <v>1.9</v>
          </cell>
          <cell r="H443">
            <v>7</v>
          </cell>
          <cell r="I443">
            <v>2.2</v>
          </cell>
          <cell r="J443">
            <v>79</v>
          </cell>
          <cell r="K443">
            <v>84</v>
          </cell>
          <cell r="L443">
            <v>1.8</v>
          </cell>
          <cell r="M443">
            <v>327</v>
          </cell>
          <cell r="N443">
            <v>4620</v>
          </cell>
        </row>
        <row r="444">
          <cell r="A444" t="str">
            <v>Y225M-4/45</v>
          </cell>
          <cell r="B444">
            <v>44</v>
          </cell>
          <cell r="C444">
            <v>84.2</v>
          </cell>
          <cell r="D444">
            <v>1480</v>
          </cell>
          <cell r="E444">
            <v>92.3</v>
          </cell>
          <cell r="F444">
            <v>0.88</v>
          </cell>
          <cell r="G444">
            <v>1.9</v>
          </cell>
          <cell r="H444">
            <v>7</v>
          </cell>
          <cell r="I444">
            <v>2.2</v>
          </cell>
          <cell r="J444">
            <v>79</v>
          </cell>
          <cell r="K444">
            <v>84</v>
          </cell>
          <cell r="L444">
            <v>1.8</v>
          </cell>
          <cell r="M444">
            <v>327</v>
          </cell>
          <cell r="N444">
            <v>4620</v>
          </cell>
        </row>
        <row r="445">
          <cell r="A445" t="str">
            <v>Y225M-4/45</v>
          </cell>
          <cell r="B445">
            <v>45</v>
          </cell>
          <cell r="C445">
            <v>84.2</v>
          </cell>
          <cell r="D445">
            <v>1480</v>
          </cell>
          <cell r="E445">
            <v>92.3</v>
          </cell>
          <cell r="F445">
            <v>0.88</v>
          </cell>
          <cell r="G445">
            <v>1.9</v>
          </cell>
          <cell r="H445">
            <v>7</v>
          </cell>
          <cell r="I445">
            <v>2.2</v>
          </cell>
          <cell r="J445">
            <v>79</v>
          </cell>
          <cell r="K445">
            <v>84</v>
          </cell>
          <cell r="L445">
            <v>1.8</v>
          </cell>
          <cell r="M445">
            <v>327</v>
          </cell>
          <cell r="N445">
            <v>4620</v>
          </cell>
        </row>
        <row r="446">
          <cell r="A446" t="str">
            <v>Y250M-4/55</v>
          </cell>
          <cell r="B446">
            <v>46</v>
          </cell>
          <cell r="C446">
            <v>103</v>
          </cell>
          <cell r="D446">
            <v>1480</v>
          </cell>
          <cell r="E446">
            <v>92.6</v>
          </cell>
          <cell r="F446">
            <v>0.88</v>
          </cell>
          <cell r="G446">
            <v>2</v>
          </cell>
          <cell r="H446">
            <v>7</v>
          </cell>
          <cell r="I446">
            <v>2.2</v>
          </cell>
          <cell r="J446">
            <v>81</v>
          </cell>
          <cell r="K446">
            <v>86</v>
          </cell>
          <cell r="L446">
            <v>2.8</v>
          </cell>
          <cell r="M446">
            <v>381</v>
          </cell>
          <cell r="N446">
            <v>5726</v>
          </cell>
        </row>
        <row r="447">
          <cell r="A447" t="str">
            <v>Y250M-4/55</v>
          </cell>
          <cell r="B447">
            <v>47</v>
          </cell>
          <cell r="C447">
            <v>103</v>
          </cell>
          <cell r="D447">
            <v>1480</v>
          </cell>
          <cell r="E447">
            <v>92.6</v>
          </cell>
          <cell r="F447">
            <v>0.88</v>
          </cell>
          <cell r="G447">
            <v>2</v>
          </cell>
          <cell r="H447">
            <v>7</v>
          </cell>
          <cell r="I447">
            <v>2.2</v>
          </cell>
          <cell r="J447">
            <v>81</v>
          </cell>
          <cell r="K447">
            <v>86</v>
          </cell>
          <cell r="L447">
            <v>2.8</v>
          </cell>
          <cell r="M447">
            <v>381</v>
          </cell>
          <cell r="N447">
            <v>5726</v>
          </cell>
        </row>
        <row r="448">
          <cell r="A448" t="str">
            <v>Y250M-4/55</v>
          </cell>
          <cell r="B448">
            <v>48</v>
          </cell>
          <cell r="C448">
            <v>103</v>
          </cell>
          <cell r="D448">
            <v>1480</v>
          </cell>
          <cell r="E448">
            <v>92.6</v>
          </cell>
          <cell r="F448">
            <v>0.88</v>
          </cell>
          <cell r="G448">
            <v>2</v>
          </cell>
          <cell r="H448">
            <v>7</v>
          </cell>
          <cell r="I448">
            <v>2.2</v>
          </cell>
          <cell r="J448">
            <v>81</v>
          </cell>
          <cell r="K448">
            <v>86</v>
          </cell>
          <cell r="L448">
            <v>2.8</v>
          </cell>
          <cell r="M448">
            <v>381</v>
          </cell>
          <cell r="N448">
            <v>5726</v>
          </cell>
        </row>
        <row r="449">
          <cell r="A449" t="str">
            <v>Y250M-4/55</v>
          </cell>
          <cell r="B449">
            <v>49</v>
          </cell>
          <cell r="C449">
            <v>103</v>
          </cell>
          <cell r="D449">
            <v>1480</v>
          </cell>
          <cell r="E449">
            <v>92.6</v>
          </cell>
          <cell r="F449">
            <v>0.88</v>
          </cell>
          <cell r="G449">
            <v>2</v>
          </cell>
          <cell r="H449">
            <v>7</v>
          </cell>
          <cell r="I449">
            <v>2.2</v>
          </cell>
          <cell r="J449">
            <v>81</v>
          </cell>
          <cell r="K449">
            <v>86</v>
          </cell>
          <cell r="L449">
            <v>2.8</v>
          </cell>
          <cell r="M449">
            <v>381</v>
          </cell>
          <cell r="N449">
            <v>5726</v>
          </cell>
        </row>
        <row r="450">
          <cell r="A450" t="str">
            <v>Y250M-4/55</v>
          </cell>
          <cell r="B450">
            <v>50</v>
          </cell>
          <cell r="C450">
            <v>103</v>
          </cell>
          <cell r="D450">
            <v>1480</v>
          </cell>
          <cell r="E450">
            <v>92.6</v>
          </cell>
          <cell r="F450">
            <v>0.88</v>
          </cell>
          <cell r="G450">
            <v>2</v>
          </cell>
          <cell r="H450">
            <v>7</v>
          </cell>
          <cell r="I450">
            <v>2.2</v>
          </cell>
          <cell r="J450">
            <v>81</v>
          </cell>
          <cell r="K450">
            <v>86</v>
          </cell>
          <cell r="L450">
            <v>2.8</v>
          </cell>
          <cell r="M450">
            <v>381</v>
          </cell>
          <cell r="N450">
            <v>5726</v>
          </cell>
        </row>
        <row r="451">
          <cell r="A451" t="str">
            <v>Y250M-4/55</v>
          </cell>
          <cell r="B451">
            <v>51</v>
          </cell>
          <cell r="C451">
            <v>103</v>
          </cell>
          <cell r="D451">
            <v>1480</v>
          </cell>
          <cell r="E451">
            <v>92.6</v>
          </cell>
          <cell r="F451">
            <v>0.88</v>
          </cell>
          <cell r="G451">
            <v>2</v>
          </cell>
          <cell r="H451">
            <v>7</v>
          </cell>
          <cell r="I451">
            <v>2.2</v>
          </cell>
          <cell r="J451">
            <v>81</v>
          </cell>
          <cell r="K451">
            <v>86</v>
          </cell>
          <cell r="L451">
            <v>2.8</v>
          </cell>
          <cell r="M451">
            <v>381</v>
          </cell>
          <cell r="N451">
            <v>5726</v>
          </cell>
        </row>
        <row r="452">
          <cell r="A452" t="str">
            <v>Y250M-4/55</v>
          </cell>
          <cell r="B452">
            <v>52</v>
          </cell>
          <cell r="C452">
            <v>103</v>
          </cell>
          <cell r="D452">
            <v>1480</v>
          </cell>
          <cell r="E452">
            <v>92.6</v>
          </cell>
          <cell r="F452">
            <v>0.88</v>
          </cell>
          <cell r="G452">
            <v>2</v>
          </cell>
          <cell r="H452">
            <v>7</v>
          </cell>
          <cell r="I452">
            <v>2.2</v>
          </cell>
          <cell r="J452">
            <v>81</v>
          </cell>
          <cell r="K452">
            <v>86</v>
          </cell>
          <cell r="L452">
            <v>2.8</v>
          </cell>
          <cell r="M452">
            <v>381</v>
          </cell>
          <cell r="N452">
            <v>5726</v>
          </cell>
        </row>
        <row r="453">
          <cell r="A453" t="str">
            <v>Y250M-4/55</v>
          </cell>
          <cell r="B453">
            <v>53</v>
          </cell>
          <cell r="C453">
            <v>103</v>
          </cell>
          <cell r="D453">
            <v>1480</v>
          </cell>
          <cell r="E453">
            <v>92.6</v>
          </cell>
          <cell r="F453">
            <v>0.88</v>
          </cell>
          <cell r="G453">
            <v>2</v>
          </cell>
          <cell r="H453">
            <v>7</v>
          </cell>
          <cell r="I453">
            <v>2.2</v>
          </cell>
          <cell r="J453">
            <v>81</v>
          </cell>
          <cell r="K453">
            <v>86</v>
          </cell>
          <cell r="L453">
            <v>2.8</v>
          </cell>
          <cell r="M453">
            <v>381</v>
          </cell>
          <cell r="N453">
            <v>5726</v>
          </cell>
        </row>
        <row r="454">
          <cell r="A454" t="str">
            <v>Y250M-4/55</v>
          </cell>
          <cell r="B454">
            <v>54</v>
          </cell>
          <cell r="C454">
            <v>103</v>
          </cell>
          <cell r="D454">
            <v>1480</v>
          </cell>
          <cell r="E454">
            <v>92.6</v>
          </cell>
          <cell r="F454">
            <v>0.88</v>
          </cell>
          <cell r="G454">
            <v>2</v>
          </cell>
          <cell r="H454">
            <v>7</v>
          </cell>
          <cell r="I454">
            <v>2.2</v>
          </cell>
          <cell r="J454">
            <v>81</v>
          </cell>
          <cell r="K454">
            <v>86</v>
          </cell>
          <cell r="L454">
            <v>2.8</v>
          </cell>
          <cell r="M454">
            <v>381</v>
          </cell>
          <cell r="N454">
            <v>5726</v>
          </cell>
        </row>
        <row r="455">
          <cell r="A455" t="str">
            <v>Y250M-4/55</v>
          </cell>
          <cell r="B455">
            <v>55</v>
          </cell>
          <cell r="C455">
            <v>103</v>
          </cell>
          <cell r="D455">
            <v>1480</v>
          </cell>
          <cell r="E455">
            <v>92.6</v>
          </cell>
          <cell r="F455">
            <v>0.88</v>
          </cell>
          <cell r="G455">
            <v>2</v>
          </cell>
          <cell r="H455">
            <v>7</v>
          </cell>
          <cell r="I455">
            <v>2.2</v>
          </cell>
          <cell r="J455">
            <v>81</v>
          </cell>
          <cell r="K455">
            <v>86</v>
          </cell>
          <cell r="L455">
            <v>2.8</v>
          </cell>
          <cell r="M455">
            <v>381</v>
          </cell>
          <cell r="N455">
            <v>5726</v>
          </cell>
        </row>
        <row r="456">
          <cell r="A456" t="str">
            <v>Y280S-4/75</v>
          </cell>
          <cell r="B456">
            <v>56</v>
          </cell>
          <cell r="C456">
            <v>140</v>
          </cell>
          <cell r="D456">
            <v>1480</v>
          </cell>
          <cell r="E456">
            <v>92.7</v>
          </cell>
          <cell r="F456">
            <v>0.88</v>
          </cell>
          <cell r="G456">
            <v>1.9</v>
          </cell>
          <cell r="H456">
            <v>7</v>
          </cell>
          <cell r="I456">
            <v>2.2</v>
          </cell>
          <cell r="J456">
            <v>85</v>
          </cell>
          <cell r="K456">
            <v>90</v>
          </cell>
          <cell r="L456">
            <v>2.8</v>
          </cell>
          <cell r="M456">
            <v>535</v>
          </cell>
          <cell r="N456">
            <v>7196</v>
          </cell>
        </row>
        <row r="457">
          <cell r="A457" t="str">
            <v>Y280S-4/75</v>
          </cell>
          <cell r="B457">
            <v>57</v>
          </cell>
          <cell r="C457">
            <v>140</v>
          </cell>
          <cell r="D457">
            <v>1480</v>
          </cell>
          <cell r="E457">
            <v>92.7</v>
          </cell>
          <cell r="F457">
            <v>0.88</v>
          </cell>
          <cell r="G457">
            <v>1.9</v>
          </cell>
          <cell r="H457">
            <v>7</v>
          </cell>
          <cell r="I457">
            <v>2.2</v>
          </cell>
          <cell r="J457">
            <v>85</v>
          </cell>
          <cell r="K457">
            <v>90</v>
          </cell>
          <cell r="L457">
            <v>2.8</v>
          </cell>
          <cell r="M457">
            <v>535</v>
          </cell>
          <cell r="N457">
            <v>7196</v>
          </cell>
        </row>
        <row r="458">
          <cell r="A458" t="str">
            <v>Y280S-4/75</v>
          </cell>
          <cell r="B458">
            <v>58</v>
          </cell>
          <cell r="C458">
            <v>140</v>
          </cell>
          <cell r="D458">
            <v>1480</v>
          </cell>
          <cell r="E458">
            <v>92.7</v>
          </cell>
          <cell r="F458">
            <v>0.88</v>
          </cell>
          <cell r="G458">
            <v>1.9</v>
          </cell>
          <cell r="H458">
            <v>7</v>
          </cell>
          <cell r="I458">
            <v>2.2</v>
          </cell>
          <cell r="J458">
            <v>85</v>
          </cell>
          <cell r="K458">
            <v>90</v>
          </cell>
          <cell r="L458">
            <v>2.8</v>
          </cell>
          <cell r="M458">
            <v>535</v>
          </cell>
          <cell r="N458">
            <v>7196</v>
          </cell>
        </row>
        <row r="459">
          <cell r="A459" t="str">
            <v>Y280S-4/75</v>
          </cell>
          <cell r="B459">
            <v>59</v>
          </cell>
          <cell r="C459">
            <v>140</v>
          </cell>
          <cell r="D459">
            <v>1480</v>
          </cell>
          <cell r="E459">
            <v>92.7</v>
          </cell>
          <cell r="F459">
            <v>0.88</v>
          </cell>
          <cell r="G459">
            <v>1.9</v>
          </cell>
          <cell r="H459">
            <v>7</v>
          </cell>
          <cell r="I459">
            <v>2.2</v>
          </cell>
          <cell r="J459">
            <v>85</v>
          </cell>
          <cell r="K459">
            <v>90</v>
          </cell>
          <cell r="L459">
            <v>2.8</v>
          </cell>
          <cell r="M459">
            <v>535</v>
          </cell>
          <cell r="N459">
            <v>7196</v>
          </cell>
        </row>
        <row r="460">
          <cell r="A460" t="str">
            <v>Y280S-4/75</v>
          </cell>
          <cell r="B460">
            <v>60</v>
          </cell>
          <cell r="C460">
            <v>140</v>
          </cell>
          <cell r="D460">
            <v>1480</v>
          </cell>
          <cell r="E460">
            <v>92.7</v>
          </cell>
          <cell r="F460">
            <v>0.88</v>
          </cell>
          <cell r="G460">
            <v>1.9</v>
          </cell>
          <cell r="H460">
            <v>7</v>
          </cell>
          <cell r="I460">
            <v>2.2</v>
          </cell>
          <cell r="J460">
            <v>85</v>
          </cell>
          <cell r="K460">
            <v>90</v>
          </cell>
          <cell r="L460">
            <v>2.8</v>
          </cell>
          <cell r="M460">
            <v>535</v>
          </cell>
          <cell r="N460">
            <v>7196</v>
          </cell>
        </row>
        <row r="461">
          <cell r="A461" t="str">
            <v>Y280S-4/75</v>
          </cell>
          <cell r="B461">
            <v>61</v>
          </cell>
          <cell r="C461">
            <v>140</v>
          </cell>
          <cell r="D461">
            <v>1480</v>
          </cell>
          <cell r="E461">
            <v>92.7</v>
          </cell>
          <cell r="F461">
            <v>0.88</v>
          </cell>
          <cell r="G461">
            <v>1.9</v>
          </cell>
          <cell r="H461">
            <v>7</v>
          </cell>
          <cell r="I461">
            <v>2.2</v>
          </cell>
          <cell r="J461">
            <v>85</v>
          </cell>
          <cell r="K461">
            <v>90</v>
          </cell>
          <cell r="L461">
            <v>2.8</v>
          </cell>
          <cell r="M461">
            <v>535</v>
          </cell>
          <cell r="N461">
            <v>7196</v>
          </cell>
        </row>
        <row r="462">
          <cell r="A462" t="str">
            <v>Y280S-4/75</v>
          </cell>
          <cell r="B462">
            <v>62</v>
          </cell>
          <cell r="C462">
            <v>140</v>
          </cell>
          <cell r="D462">
            <v>1480</v>
          </cell>
          <cell r="E462">
            <v>92.7</v>
          </cell>
          <cell r="F462">
            <v>0.88</v>
          </cell>
          <cell r="G462">
            <v>1.9</v>
          </cell>
          <cell r="H462">
            <v>7</v>
          </cell>
          <cell r="I462">
            <v>2.2</v>
          </cell>
          <cell r="J462">
            <v>85</v>
          </cell>
          <cell r="K462">
            <v>90</v>
          </cell>
          <cell r="L462">
            <v>2.8</v>
          </cell>
          <cell r="M462">
            <v>535</v>
          </cell>
          <cell r="N462">
            <v>7196</v>
          </cell>
        </row>
        <row r="463">
          <cell r="A463" t="str">
            <v>Y280S-4/75</v>
          </cell>
          <cell r="B463">
            <v>63</v>
          </cell>
          <cell r="C463">
            <v>140</v>
          </cell>
          <cell r="D463">
            <v>1480</v>
          </cell>
          <cell r="E463">
            <v>92.7</v>
          </cell>
          <cell r="F463">
            <v>0.88</v>
          </cell>
          <cell r="G463">
            <v>1.9</v>
          </cell>
          <cell r="H463">
            <v>7</v>
          </cell>
          <cell r="I463">
            <v>2.2</v>
          </cell>
          <cell r="J463">
            <v>85</v>
          </cell>
          <cell r="K463">
            <v>90</v>
          </cell>
          <cell r="L463">
            <v>2.8</v>
          </cell>
          <cell r="M463">
            <v>535</v>
          </cell>
          <cell r="N463">
            <v>7196</v>
          </cell>
        </row>
        <row r="464">
          <cell r="A464" t="str">
            <v>Y280S-4/75</v>
          </cell>
          <cell r="B464">
            <v>64</v>
          </cell>
          <cell r="C464">
            <v>140</v>
          </cell>
          <cell r="D464">
            <v>1480</v>
          </cell>
          <cell r="E464">
            <v>92.7</v>
          </cell>
          <cell r="F464">
            <v>0.88</v>
          </cell>
          <cell r="G464">
            <v>1.9</v>
          </cell>
          <cell r="H464">
            <v>7</v>
          </cell>
          <cell r="I464">
            <v>2.2</v>
          </cell>
          <cell r="J464">
            <v>85</v>
          </cell>
          <cell r="K464">
            <v>90</v>
          </cell>
          <cell r="L464">
            <v>2.8</v>
          </cell>
          <cell r="M464">
            <v>535</v>
          </cell>
          <cell r="N464">
            <v>7196</v>
          </cell>
        </row>
        <row r="465">
          <cell r="A465" t="str">
            <v>Y280S-4/75</v>
          </cell>
          <cell r="B465">
            <v>65</v>
          </cell>
          <cell r="C465">
            <v>140</v>
          </cell>
          <cell r="D465">
            <v>1480</v>
          </cell>
          <cell r="E465">
            <v>92.7</v>
          </cell>
          <cell r="F465">
            <v>0.88</v>
          </cell>
          <cell r="G465">
            <v>1.9</v>
          </cell>
          <cell r="H465">
            <v>7</v>
          </cell>
          <cell r="I465">
            <v>2.2</v>
          </cell>
          <cell r="J465">
            <v>85</v>
          </cell>
          <cell r="K465">
            <v>90</v>
          </cell>
          <cell r="L465">
            <v>2.8</v>
          </cell>
          <cell r="M465">
            <v>535</v>
          </cell>
          <cell r="N465">
            <v>7196</v>
          </cell>
        </row>
        <row r="466">
          <cell r="A466" t="str">
            <v>Y280S-4/75</v>
          </cell>
          <cell r="B466">
            <v>66</v>
          </cell>
          <cell r="C466">
            <v>140</v>
          </cell>
          <cell r="D466">
            <v>1480</v>
          </cell>
          <cell r="E466">
            <v>92.7</v>
          </cell>
          <cell r="F466">
            <v>0.88</v>
          </cell>
          <cell r="G466">
            <v>1.9</v>
          </cell>
          <cell r="H466">
            <v>7</v>
          </cell>
          <cell r="I466">
            <v>2.2</v>
          </cell>
          <cell r="J466">
            <v>85</v>
          </cell>
          <cell r="K466">
            <v>90</v>
          </cell>
          <cell r="L466">
            <v>2.8</v>
          </cell>
          <cell r="M466">
            <v>535</v>
          </cell>
          <cell r="N466">
            <v>7196</v>
          </cell>
        </row>
        <row r="467">
          <cell r="A467" t="str">
            <v>Y280S-4/75</v>
          </cell>
          <cell r="B467">
            <v>67</v>
          </cell>
          <cell r="C467">
            <v>140</v>
          </cell>
          <cell r="D467">
            <v>1480</v>
          </cell>
          <cell r="E467">
            <v>92.7</v>
          </cell>
          <cell r="F467">
            <v>0.88</v>
          </cell>
          <cell r="G467">
            <v>1.9</v>
          </cell>
          <cell r="H467">
            <v>7</v>
          </cell>
          <cell r="I467">
            <v>2.2</v>
          </cell>
          <cell r="J467">
            <v>85</v>
          </cell>
          <cell r="K467">
            <v>90</v>
          </cell>
          <cell r="L467">
            <v>2.8</v>
          </cell>
          <cell r="M467">
            <v>535</v>
          </cell>
          <cell r="N467">
            <v>7196</v>
          </cell>
        </row>
        <row r="468">
          <cell r="A468" t="str">
            <v>Y280S-4/75</v>
          </cell>
          <cell r="B468">
            <v>68</v>
          </cell>
          <cell r="C468">
            <v>140</v>
          </cell>
          <cell r="D468">
            <v>1480</v>
          </cell>
          <cell r="E468">
            <v>92.7</v>
          </cell>
          <cell r="F468">
            <v>0.88</v>
          </cell>
          <cell r="G468">
            <v>1.9</v>
          </cell>
          <cell r="H468">
            <v>7</v>
          </cell>
          <cell r="I468">
            <v>2.2</v>
          </cell>
          <cell r="J468">
            <v>85</v>
          </cell>
          <cell r="K468">
            <v>90</v>
          </cell>
          <cell r="L468">
            <v>2.8</v>
          </cell>
          <cell r="M468">
            <v>535</v>
          </cell>
          <cell r="N468">
            <v>7196</v>
          </cell>
        </row>
        <row r="469">
          <cell r="A469" t="str">
            <v>Y280S-4/75</v>
          </cell>
          <cell r="B469">
            <v>69</v>
          </cell>
          <cell r="C469">
            <v>140</v>
          </cell>
          <cell r="D469">
            <v>1480</v>
          </cell>
          <cell r="E469">
            <v>92.7</v>
          </cell>
          <cell r="F469">
            <v>0.88</v>
          </cell>
          <cell r="G469">
            <v>1.9</v>
          </cell>
          <cell r="H469">
            <v>7</v>
          </cell>
          <cell r="I469">
            <v>2.2</v>
          </cell>
          <cell r="J469">
            <v>85</v>
          </cell>
          <cell r="K469">
            <v>90</v>
          </cell>
          <cell r="L469">
            <v>2.8</v>
          </cell>
          <cell r="M469">
            <v>535</v>
          </cell>
          <cell r="N469">
            <v>7196</v>
          </cell>
        </row>
        <row r="470">
          <cell r="A470" t="str">
            <v>Y280S-4/75</v>
          </cell>
          <cell r="B470">
            <v>70</v>
          </cell>
          <cell r="C470">
            <v>140</v>
          </cell>
          <cell r="D470">
            <v>1480</v>
          </cell>
          <cell r="E470">
            <v>92.7</v>
          </cell>
          <cell r="F470">
            <v>0.88</v>
          </cell>
          <cell r="G470">
            <v>1.9</v>
          </cell>
          <cell r="H470">
            <v>7</v>
          </cell>
          <cell r="I470">
            <v>2.2</v>
          </cell>
          <cell r="J470">
            <v>85</v>
          </cell>
          <cell r="K470">
            <v>90</v>
          </cell>
          <cell r="L470">
            <v>2.8</v>
          </cell>
          <cell r="M470">
            <v>535</v>
          </cell>
          <cell r="N470">
            <v>7196</v>
          </cell>
        </row>
        <row r="471">
          <cell r="A471" t="str">
            <v>Y280S-4/75</v>
          </cell>
          <cell r="B471">
            <v>71</v>
          </cell>
          <cell r="C471">
            <v>140</v>
          </cell>
          <cell r="D471">
            <v>1480</v>
          </cell>
          <cell r="E471">
            <v>92.7</v>
          </cell>
          <cell r="F471">
            <v>0.88</v>
          </cell>
          <cell r="G471">
            <v>1.9</v>
          </cell>
          <cell r="H471">
            <v>7</v>
          </cell>
          <cell r="I471">
            <v>2.2</v>
          </cell>
          <cell r="J471">
            <v>85</v>
          </cell>
          <cell r="K471">
            <v>90</v>
          </cell>
          <cell r="L471">
            <v>2.8</v>
          </cell>
          <cell r="M471">
            <v>535</v>
          </cell>
          <cell r="N471">
            <v>7196</v>
          </cell>
        </row>
        <row r="472">
          <cell r="A472" t="str">
            <v>Y280S-4/75</v>
          </cell>
          <cell r="B472">
            <v>72</v>
          </cell>
          <cell r="C472">
            <v>140</v>
          </cell>
          <cell r="D472">
            <v>1480</v>
          </cell>
          <cell r="E472">
            <v>92.7</v>
          </cell>
          <cell r="F472">
            <v>0.88</v>
          </cell>
          <cell r="G472">
            <v>1.9</v>
          </cell>
          <cell r="H472">
            <v>7</v>
          </cell>
          <cell r="I472">
            <v>2.2</v>
          </cell>
          <cell r="J472">
            <v>85</v>
          </cell>
          <cell r="K472">
            <v>90</v>
          </cell>
          <cell r="L472">
            <v>2.8</v>
          </cell>
          <cell r="M472">
            <v>535</v>
          </cell>
          <cell r="N472">
            <v>7196</v>
          </cell>
        </row>
        <row r="473">
          <cell r="A473" t="str">
            <v>Y280S-4/75</v>
          </cell>
          <cell r="B473">
            <v>73</v>
          </cell>
          <cell r="C473">
            <v>140</v>
          </cell>
          <cell r="D473">
            <v>1480</v>
          </cell>
          <cell r="E473">
            <v>92.7</v>
          </cell>
          <cell r="F473">
            <v>0.88</v>
          </cell>
          <cell r="G473">
            <v>1.9</v>
          </cell>
          <cell r="H473">
            <v>7</v>
          </cell>
          <cell r="I473">
            <v>2.2</v>
          </cell>
          <cell r="J473">
            <v>85</v>
          </cell>
          <cell r="K473">
            <v>90</v>
          </cell>
          <cell r="L473">
            <v>2.8</v>
          </cell>
          <cell r="M473">
            <v>535</v>
          </cell>
          <cell r="N473">
            <v>7196</v>
          </cell>
        </row>
        <row r="474">
          <cell r="A474" t="str">
            <v>Y280S-4/75</v>
          </cell>
          <cell r="B474">
            <v>74</v>
          </cell>
          <cell r="C474">
            <v>140</v>
          </cell>
          <cell r="D474">
            <v>1480</v>
          </cell>
          <cell r="E474">
            <v>92.7</v>
          </cell>
          <cell r="F474">
            <v>0.88</v>
          </cell>
          <cell r="G474">
            <v>1.9</v>
          </cell>
          <cell r="H474">
            <v>7</v>
          </cell>
          <cell r="I474">
            <v>2.2</v>
          </cell>
          <cell r="J474">
            <v>85</v>
          </cell>
          <cell r="K474">
            <v>90</v>
          </cell>
          <cell r="L474">
            <v>2.8</v>
          </cell>
          <cell r="M474">
            <v>535</v>
          </cell>
          <cell r="N474">
            <v>7196</v>
          </cell>
        </row>
        <row r="475">
          <cell r="A475" t="str">
            <v>Y280S-4/75</v>
          </cell>
          <cell r="B475">
            <v>75</v>
          </cell>
          <cell r="C475">
            <v>140</v>
          </cell>
          <cell r="D475">
            <v>1480</v>
          </cell>
          <cell r="E475">
            <v>92.7</v>
          </cell>
          <cell r="F475">
            <v>0.88</v>
          </cell>
          <cell r="G475">
            <v>1.9</v>
          </cell>
          <cell r="H475">
            <v>7</v>
          </cell>
          <cell r="I475">
            <v>2.2</v>
          </cell>
          <cell r="J475">
            <v>85</v>
          </cell>
          <cell r="K475">
            <v>90</v>
          </cell>
          <cell r="L475">
            <v>2.8</v>
          </cell>
          <cell r="M475">
            <v>535</v>
          </cell>
          <cell r="N475">
            <v>7196</v>
          </cell>
        </row>
        <row r="476">
          <cell r="A476" t="str">
            <v>Y280M-4/90</v>
          </cell>
          <cell r="B476">
            <v>76</v>
          </cell>
          <cell r="C476">
            <v>164</v>
          </cell>
          <cell r="D476">
            <v>1480</v>
          </cell>
          <cell r="E476">
            <v>93.5</v>
          </cell>
          <cell r="F476">
            <v>0.89</v>
          </cell>
          <cell r="G476">
            <v>1.9</v>
          </cell>
          <cell r="H476">
            <v>7</v>
          </cell>
          <cell r="I476">
            <v>2.2</v>
          </cell>
          <cell r="J476">
            <v>85</v>
          </cell>
          <cell r="K476">
            <v>90</v>
          </cell>
          <cell r="L476">
            <v>2.8</v>
          </cell>
          <cell r="M476">
            <v>634</v>
          </cell>
          <cell r="N476">
            <v>8022</v>
          </cell>
        </row>
        <row r="477">
          <cell r="A477" t="str">
            <v>Y280M-4/90</v>
          </cell>
          <cell r="B477">
            <v>77</v>
          </cell>
          <cell r="C477">
            <v>164</v>
          </cell>
          <cell r="D477">
            <v>1480</v>
          </cell>
          <cell r="E477">
            <v>93.5</v>
          </cell>
          <cell r="F477">
            <v>0.89</v>
          </cell>
          <cell r="G477">
            <v>1.9</v>
          </cell>
          <cell r="H477">
            <v>7</v>
          </cell>
          <cell r="I477">
            <v>2.2</v>
          </cell>
          <cell r="J477">
            <v>85</v>
          </cell>
          <cell r="K477">
            <v>90</v>
          </cell>
          <cell r="L477">
            <v>2.8</v>
          </cell>
          <cell r="M477">
            <v>634</v>
          </cell>
          <cell r="N477">
            <v>8022</v>
          </cell>
        </row>
        <row r="478">
          <cell r="A478" t="str">
            <v>Y280M-4/90</v>
          </cell>
          <cell r="B478">
            <v>78</v>
          </cell>
          <cell r="C478">
            <v>164</v>
          </cell>
          <cell r="D478">
            <v>1480</v>
          </cell>
          <cell r="E478">
            <v>93.5</v>
          </cell>
          <cell r="F478">
            <v>0.89</v>
          </cell>
          <cell r="G478">
            <v>1.9</v>
          </cell>
          <cell r="H478">
            <v>7</v>
          </cell>
          <cell r="I478">
            <v>2.2</v>
          </cell>
          <cell r="J478">
            <v>85</v>
          </cell>
          <cell r="K478">
            <v>90</v>
          </cell>
          <cell r="L478">
            <v>2.8</v>
          </cell>
          <cell r="M478">
            <v>634</v>
          </cell>
          <cell r="N478">
            <v>8022</v>
          </cell>
        </row>
        <row r="479">
          <cell r="A479" t="str">
            <v>Y280M-4/90</v>
          </cell>
          <cell r="B479">
            <v>79</v>
          </cell>
          <cell r="C479">
            <v>164</v>
          </cell>
          <cell r="D479">
            <v>1480</v>
          </cell>
          <cell r="E479">
            <v>93.5</v>
          </cell>
          <cell r="F479">
            <v>0.89</v>
          </cell>
          <cell r="G479">
            <v>1.9</v>
          </cell>
          <cell r="H479">
            <v>7</v>
          </cell>
          <cell r="I479">
            <v>2.2</v>
          </cell>
          <cell r="J479">
            <v>85</v>
          </cell>
          <cell r="K479">
            <v>90</v>
          </cell>
          <cell r="L479">
            <v>2.8</v>
          </cell>
          <cell r="M479">
            <v>634</v>
          </cell>
          <cell r="N479">
            <v>8022</v>
          </cell>
        </row>
        <row r="480">
          <cell r="A480" t="str">
            <v>Y280M-4/90</v>
          </cell>
          <cell r="B480">
            <v>80</v>
          </cell>
          <cell r="C480">
            <v>164</v>
          </cell>
          <cell r="D480">
            <v>1480</v>
          </cell>
          <cell r="E480">
            <v>93.5</v>
          </cell>
          <cell r="F480">
            <v>0.89</v>
          </cell>
          <cell r="G480">
            <v>1.9</v>
          </cell>
          <cell r="H480">
            <v>7</v>
          </cell>
          <cell r="I480">
            <v>2.2</v>
          </cell>
          <cell r="J480">
            <v>85</v>
          </cell>
          <cell r="K480">
            <v>90</v>
          </cell>
          <cell r="L480">
            <v>2.8</v>
          </cell>
          <cell r="M480">
            <v>634</v>
          </cell>
          <cell r="N480">
            <v>8022</v>
          </cell>
        </row>
        <row r="481">
          <cell r="A481" t="str">
            <v>Y280M-4/90</v>
          </cell>
          <cell r="B481">
            <v>81</v>
          </cell>
          <cell r="C481">
            <v>164</v>
          </cell>
          <cell r="D481">
            <v>1480</v>
          </cell>
          <cell r="E481">
            <v>93.5</v>
          </cell>
          <cell r="F481">
            <v>0.89</v>
          </cell>
          <cell r="G481">
            <v>1.9</v>
          </cell>
          <cell r="H481">
            <v>7</v>
          </cell>
          <cell r="I481">
            <v>2.2</v>
          </cell>
          <cell r="J481">
            <v>85</v>
          </cell>
          <cell r="K481">
            <v>90</v>
          </cell>
          <cell r="L481">
            <v>2.8</v>
          </cell>
          <cell r="M481">
            <v>634</v>
          </cell>
          <cell r="N481">
            <v>8022</v>
          </cell>
        </row>
        <row r="482">
          <cell r="A482" t="str">
            <v>Y280M-4/90</v>
          </cell>
          <cell r="B482">
            <v>82</v>
          </cell>
          <cell r="C482">
            <v>164</v>
          </cell>
          <cell r="D482">
            <v>1480</v>
          </cell>
          <cell r="E482">
            <v>93.5</v>
          </cell>
          <cell r="F482">
            <v>0.89</v>
          </cell>
          <cell r="G482">
            <v>1.9</v>
          </cell>
          <cell r="H482">
            <v>7</v>
          </cell>
          <cell r="I482">
            <v>2.2</v>
          </cell>
          <cell r="J482">
            <v>85</v>
          </cell>
          <cell r="K482">
            <v>90</v>
          </cell>
          <cell r="L482">
            <v>2.8</v>
          </cell>
          <cell r="M482">
            <v>634</v>
          </cell>
          <cell r="N482">
            <v>8022</v>
          </cell>
        </row>
        <row r="483">
          <cell r="A483" t="str">
            <v>Y280M-4/90</v>
          </cell>
          <cell r="B483">
            <v>83</v>
          </cell>
          <cell r="C483">
            <v>164</v>
          </cell>
          <cell r="D483">
            <v>1480</v>
          </cell>
          <cell r="E483">
            <v>93.5</v>
          </cell>
          <cell r="F483">
            <v>0.89</v>
          </cell>
          <cell r="G483">
            <v>1.9</v>
          </cell>
          <cell r="H483">
            <v>7</v>
          </cell>
          <cell r="I483">
            <v>2.2</v>
          </cell>
          <cell r="J483">
            <v>85</v>
          </cell>
          <cell r="K483">
            <v>90</v>
          </cell>
          <cell r="L483">
            <v>2.8</v>
          </cell>
          <cell r="M483">
            <v>634</v>
          </cell>
          <cell r="N483">
            <v>8022</v>
          </cell>
        </row>
        <row r="484">
          <cell r="A484" t="str">
            <v>Y280M-4/90</v>
          </cell>
          <cell r="B484">
            <v>84</v>
          </cell>
          <cell r="C484">
            <v>164</v>
          </cell>
          <cell r="D484">
            <v>1480</v>
          </cell>
          <cell r="E484">
            <v>93.5</v>
          </cell>
          <cell r="F484">
            <v>0.89</v>
          </cell>
          <cell r="G484">
            <v>1.9</v>
          </cell>
          <cell r="H484">
            <v>7</v>
          </cell>
          <cell r="I484">
            <v>2.2</v>
          </cell>
          <cell r="J484">
            <v>85</v>
          </cell>
          <cell r="K484">
            <v>90</v>
          </cell>
          <cell r="L484">
            <v>2.8</v>
          </cell>
          <cell r="M484">
            <v>634</v>
          </cell>
          <cell r="N484">
            <v>8022</v>
          </cell>
        </row>
        <row r="485">
          <cell r="A485" t="str">
            <v>Y280M-4/90</v>
          </cell>
          <cell r="B485">
            <v>85</v>
          </cell>
          <cell r="C485">
            <v>164</v>
          </cell>
          <cell r="D485">
            <v>1480</v>
          </cell>
          <cell r="E485">
            <v>93.5</v>
          </cell>
          <cell r="F485">
            <v>0.89</v>
          </cell>
          <cell r="G485">
            <v>1.9</v>
          </cell>
          <cell r="H485">
            <v>7</v>
          </cell>
          <cell r="I485">
            <v>2.2</v>
          </cell>
          <cell r="J485">
            <v>85</v>
          </cell>
          <cell r="K485">
            <v>90</v>
          </cell>
          <cell r="L485">
            <v>2.8</v>
          </cell>
          <cell r="M485">
            <v>634</v>
          </cell>
          <cell r="N485">
            <v>8022</v>
          </cell>
        </row>
        <row r="486">
          <cell r="A486" t="str">
            <v>Y280M-4/90</v>
          </cell>
          <cell r="B486">
            <v>86</v>
          </cell>
          <cell r="C486">
            <v>164</v>
          </cell>
          <cell r="D486">
            <v>1480</v>
          </cell>
          <cell r="E486">
            <v>93.5</v>
          </cell>
          <cell r="F486">
            <v>0.89</v>
          </cell>
          <cell r="G486">
            <v>1.9</v>
          </cell>
          <cell r="H486">
            <v>7</v>
          </cell>
          <cell r="I486">
            <v>2.2</v>
          </cell>
          <cell r="J486">
            <v>85</v>
          </cell>
          <cell r="K486">
            <v>90</v>
          </cell>
          <cell r="L486">
            <v>2.8</v>
          </cell>
          <cell r="M486">
            <v>634</v>
          </cell>
          <cell r="N486">
            <v>8022</v>
          </cell>
        </row>
        <row r="487">
          <cell r="A487" t="str">
            <v>Y280M-4/90</v>
          </cell>
          <cell r="B487">
            <v>87</v>
          </cell>
          <cell r="C487">
            <v>164</v>
          </cell>
          <cell r="D487">
            <v>1480</v>
          </cell>
          <cell r="E487">
            <v>93.5</v>
          </cell>
          <cell r="F487">
            <v>0.89</v>
          </cell>
          <cell r="G487">
            <v>1.9</v>
          </cell>
          <cell r="H487">
            <v>7</v>
          </cell>
          <cell r="I487">
            <v>2.2</v>
          </cell>
          <cell r="J487">
            <v>85</v>
          </cell>
          <cell r="K487">
            <v>90</v>
          </cell>
          <cell r="L487">
            <v>2.8</v>
          </cell>
          <cell r="M487">
            <v>634</v>
          </cell>
          <cell r="N487">
            <v>8022</v>
          </cell>
        </row>
        <row r="488">
          <cell r="A488" t="str">
            <v>Y280M-4/90</v>
          </cell>
          <cell r="B488">
            <v>88</v>
          </cell>
          <cell r="C488">
            <v>164</v>
          </cell>
          <cell r="D488">
            <v>1480</v>
          </cell>
          <cell r="E488">
            <v>93.5</v>
          </cell>
          <cell r="F488">
            <v>0.89</v>
          </cell>
          <cell r="G488">
            <v>1.9</v>
          </cell>
          <cell r="H488">
            <v>7</v>
          </cell>
          <cell r="I488">
            <v>2.2</v>
          </cell>
          <cell r="J488">
            <v>85</v>
          </cell>
          <cell r="K488">
            <v>90</v>
          </cell>
          <cell r="L488">
            <v>2.8</v>
          </cell>
          <cell r="M488">
            <v>634</v>
          </cell>
          <cell r="N488">
            <v>8022</v>
          </cell>
        </row>
        <row r="489">
          <cell r="A489" t="str">
            <v>Y280M-4/90</v>
          </cell>
          <cell r="B489">
            <v>89</v>
          </cell>
          <cell r="C489">
            <v>164</v>
          </cell>
          <cell r="D489">
            <v>1480</v>
          </cell>
          <cell r="E489">
            <v>93.5</v>
          </cell>
          <cell r="F489">
            <v>0.89</v>
          </cell>
          <cell r="G489">
            <v>1.9</v>
          </cell>
          <cell r="H489">
            <v>7</v>
          </cell>
          <cell r="I489">
            <v>2.2</v>
          </cell>
          <cell r="J489">
            <v>85</v>
          </cell>
          <cell r="K489">
            <v>90</v>
          </cell>
          <cell r="L489">
            <v>2.8</v>
          </cell>
          <cell r="M489">
            <v>634</v>
          </cell>
          <cell r="N489">
            <v>8022</v>
          </cell>
        </row>
        <row r="490">
          <cell r="A490" t="str">
            <v>Y280M-4/90</v>
          </cell>
          <cell r="B490">
            <v>90</v>
          </cell>
          <cell r="C490">
            <v>164</v>
          </cell>
          <cell r="D490">
            <v>1480</v>
          </cell>
          <cell r="E490">
            <v>93.5</v>
          </cell>
          <cell r="F490">
            <v>0.89</v>
          </cell>
          <cell r="G490">
            <v>1.9</v>
          </cell>
          <cell r="H490">
            <v>7</v>
          </cell>
          <cell r="I490">
            <v>2.2</v>
          </cell>
          <cell r="J490">
            <v>85</v>
          </cell>
          <cell r="K490">
            <v>90</v>
          </cell>
          <cell r="L490">
            <v>2.8</v>
          </cell>
          <cell r="M490">
            <v>634</v>
          </cell>
          <cell r="N490">
            <v>8022</v>
          </cell>
        </row>
        <row r="491">
          <cell r="A491" t="str">
            <v>Y315S-4/110</v>
          </cell>
          <cell r="B491">
            <v>91</v>
          </cell>
          <cell r="C491">
            <v>201</v>
          </cell>
          <cell r="D491">
            <v>1480</v>
          </cell>
          <cell r="E491">
            <v>93.5</v>
          </cell>
          <cell r="F491">
            <v>0.89</v>
          </cell>
          <cell r="G491">
            <v>1.8</v>
          </cell>
          <cell r="H491">
            <v>6.8</v>
          </cell>
          <cell r="I491">
            <v>2.2</v>
          </cell>
          <cell r="J491">
            <v>93</v>
          </cell>
          <cell r="K491">
            <v>98</v>
          </cell>
          <cell r="L491">
            <v>2.8</v>
          </cell>
          <cell r="M491">
            <v>912</v>
          </cell>
          <cell r="N491">
            <v>13300</v>
          </cell>
        </row>
        <row r="492">
          <cell r="A492" t="str">
            <v>Y315S-4/110</v>
          </cell>
          <cell r="B492">
            <v>92</v>
          </cell>
          <cell r="C492">
            <v>201</v>
          </cell>
          <cell r="D492">
            <v>1480</v>
          </cell>
          <cell r="E492">
            <v>93.5</v>
          </cell>
          <cell r="F492">
            <v>0.89</v>
          </cell>
          <cell r="G492">
            <v>1.8</v>
          </cell>
          <cell r="H492">
            <v>6.8</v>
          </cell>
          <cell r="I492">
            <v>2.2</v>
          </cell>
          <cell r="J492">
            <v>93</v>
          </cell>
          <cell r="K492">
            <v>98</v>
          </cell>
          <cell r="L492">
            <v>2.8</v>
          </cell>
          <cell r="M492">
            <v>912</v>
          </cell>
          <cell r="N492">
            <v>13300</v>
          </cell>
        </row>
        <row r="493">
          <cell r="A493" t="str">
            <v>Y315S-4/110</v>
          </cell>
          <cell r="B493">
            <v>93</v>
          </cell>
          <cell r="C493">
            <v>201</v>
          </cell>
          <cell r="D493">
            <v>1480</v>
          </cell>
          <cell r="E493">
            <v>93.5</v>
          </cell>
          <cell r="F493">
            <v>0.89</v>
          </cell>
          <cell r="G493">
            <v>1.8</v>
          </cell>
          <cell r="H493">
            <v>6.8</v>
          </cell>
          <cell r="I493">
            <v>2.2</v>
          </cell>
          <cell r="J493">
            <v>93</v>
          </cell>
          <cell r="K493">
            <v>98</v>
          </cell>
          <cell r="L493">
            <v>2.8</v>
          </cell>
          <cell r="M493">
            <v>912</v>
          </cell>
          <cell r="N493">
            <v>13300</v>
          </cell>
        </row>
        <row r="494">
          <cell r="A494" t="str">
            <v>Y315S-4/110</v>
          </cell>
          <cell r="B494">
            <v>94</v>
          </cell>
          <cell r="C494">
            <v>201</v>
          </cell>
          <cell r="D494">
            <v>1480</v>
          </cell>
          <cell r="E494">
            <v>93.5</v>
          </cell>
          <cell r="F494">
            <v>0.89</v>
          </cell>
          <cell r="G494">
            <v>1.8</v>
          </cell>
          <cell r="H494">
            <v>6.8</v>
          </cell>
          <cell r="I494">
            <v>2.2</v>
          </cell>
          <cell r="J494">
            <v>93</v>
          </cell>
          <cell r="K494">
            <v>98</v>
          </cell>
          <cell r="L494">
            <v>2.8</v>
          </cell>
          <cell r="M494">
            <v>912</v>
          </cell>
          <cell r="N494">
            <v>13300</v>
          </cell>
        </row>
        <row r="495">
          <cell r="A495" t="str">
            <v>Y315S-4/110</v>
          </cell>
          <cell r="B495">
            <v>95</v>
          </cell>
          <cell r="C495">
            <v>201</v>
          </cell>
          <cell r="D495">
            <v>1480</v>
          </cell>
          <cell r="E495">
            <v>93.5</v>
          </cell>
          <cell r="F495">
            <v>0.89</v>
          </cell>
          <cell r="G495">
            <v>1.8</v>
          </cell>
          <cell r="H495">
            <v>6.8</v>
          </cell>
          <cell r="I495">
            <v>2.2</v>
          </cell>
          <cell r="J495">
            <v>93</v>
          </cell>
          <cell r="K495">
            <v>98</v>
          </cell>
          <cell r="L495">
            <v>2.8</v>
          </cell>
          <cell r="M495">
            <v>912</v>
          </cell>
          <cell r="N495">
            <v>13300</v>
          </cell>
        </row>
        <row r="496">
          <cell r="A496" t="str">
            <v>Y315S-4/110</v>
          </cell>
          <cell r="B496">
            <v>96</v>
          </cell>
          <cell r="C496">
            <v>201</v>
          </cell>
          <cell r="D496">
            <v>1480</v>
          </cell>
          <cell r="E496">
            <v>93.5</v>
          </cell>
          <cell r="F496">
            <v>0.89</v>
          </cell>
          <cell r="G496">
            <v>1.8</v>
          </cell>
          <cell r="H496">
            <v>6.8</v>
          </cell>
          <cell r="I496">
            <v>2.2</v>
          </cell>
          <cell r="J496">
            <v>93</v>
          </cell>
          <cell r="K496">
            <v>98</v>
          </cell>
          <cell r="L496">
            <v>2.8</v>
          </cell>
          <cell r="M496">
            <v>912</v>
          </cell>
          <cell r="N496">
            <v>13300</v>
          </cell>
        </row>
        <row r="497">
          <cell r="A497" t="str">
            <v>Y315S-4/110</v>
          </cell>
          <cell r="B497">
            <v>97</v>
          </cell>
          <cell r="C497">
            <v>201</v>
          </cell>
          <cell r="D497">
            <v>1480</v>
          </cell>
          <cell r="E497">
            <v>93.5</v>
          </cell>
          <cell r="F497">
            <v>0.89</v>
          </cell>
          <cell r="G497">
            <v>1.8</v>
          </cell>
          <cell r="H497">
            <v>6.8</v>
          </cell>
          <cell r="I497">
            <v>2.2</v>
          </cell>
          <cell r="J497">
            <v>93</v>
          </cell>
          <cell r="K497">
            <v>98</v>
          </cell>
          <cell r="L497">
            <v>2.8</v>
          </cell>
          <cell r="M497">
            <v>912</v>
          </cell>
          <cell r="N497">
            <v>13300</v>
          </cell>
        </row>
        <row r="498">
          <cell r="A498" t="str">
            <v>Y315S-4/110</v>
          </cell>
          <cell r="B498">
            <v>98</v>
          </cell>
          <cell r="C498">
            <v>201</v>
          </cell>
          <cell r="D498">
            <v>1480</v>
          </cell>
          <cell r="E498">
            <v>93.5</v>
          </cell>
          <cell r="F498">
            <v>0.89</v>
          </cell>
          <cell r="G498">
            <v>1.8</v>
          </cell>
          <cell r="H498">
            <v>6.8</v>
          </cell>
          <cell r="I498">
            <v>2.2</v>
          </cell>
          <cell r="J498">
            <v>93</v>
          </cell>
          <cell r="K498">
            <v>98</v>
          </cell>
          <cell r="L498">
            <v>2.8</v>
          </cell>
          <cell r="M498">
            <v>912</v>
          </cell>
          <cell r="N498">
            <v>13300</v>
          </cell>
        </row>
        <row r="499">
          <cell r="A499" t="str">
            <v>Y315S-4/110</v>
          </cell>
          <cell r="B499">
            <v>99</v>
          </cell>
          <cell r="C499">
            <v>201</v>
          </cell>
          <cell r="D499">
            <v>1480</v>
          </cell>
          <cell r="E499">
            <v>93.5</v>
          </cell>
          <cell r="F499">
            <v>0.89</v>
          </cell>
          <cell r="G499">
            <v>1.8</v>
          </cell>
          <cell r="H499">
            <v>6.8</v>
          </cell>
          <cell r="I499">
            <v>2.2</v>
          </cell>
          <cell r="J499">
            <v>93</v>
          </cell>
          <cell r="K499">
            <v>98</v>
          </cell>
          <cell r="L499">
            <v>2.8</v>
          </cell>
          <cell r="M499">
            <v>912</v>
          </cell>
          <cell r="N499">
            <v>13300</v>
          </cell>
        </row>
        <row r="500">
          <cell r="A500" t="str">
            <v>Y315S-4/110</v>
          </cell>
          <cell r="B500">
            <v>100</v>
          </cell>
          <cell r="C500">
            <v>201</v>
          </cell>
          <cell r="D500">
            <v>1480</v>
          </cell>
          <cell r="E500">
            <v>93.5</v>
          </cell>
          <cell r="F500">
            <v>0.89</v>
          </cell>
          <cell r="G500">
            <v>1.8</v>
          </cell>
          <cell r="H500">
            <v>6.8</v>
          </cell>
          <cell r="I500">
            <v>2.2</v>
          </cell>
          <cell r="J500">
            <v>93</v>
          </cell>
          <cell r="K500">
            <v>98</v>
          </cell>
          <cell r="L500">
            <v>2.8</v>
          </cell>
          <cell r="M500">
            <v>912</v>
          </cell>
          <cell r="N500">
            <v>13300</v>
          </cell>
        </row>
        <row r="501">
          <cell r="A501" t="str">
            <v>Y315S-4/110</v>
          </cell>
          <cell r="B501">
            <v>101</v>
          </cell>
          <cell r="C501">
            <v>201</v>
          </cell>
          <cell r="D501">
            <v>1480</v>
          </cell>
          <cell r="E501">
            <v>93.5</v>
          </cell>
          <cell r="F501">
            <v>0.89</v>
          </cell>
          <cell r="G501">
            <v>1.8</v>
          </cell>
          <cell r="H501">
            <v>6.8</v>
          </cell>
          <cell r="I501">
            <v>2.2</v>
          </cell>
          <cell r="J501">
            <v>93</v>
          </cell>
          <cell r="K501">
            <v>98</v>
          </cell>
          <cell r="L501">
            <v>2.8</v>
          </cell>
          <cell r="M501">
            <v>912</v>
          </cell>
          <cell r="N501">
            <v>13300</v>
          </cell>
        </row>
        <row r="502">
          <cell r="A502" t="str">
            <v>Y315S-4/110</v>
          </cell>
          <cell r="B502">
            <v>102</v>
          </cell>
          <cell r="C502">
            <v>201</v>
          </cell>
          <cell r="D502">
            <v>1480</v>
          </cell>
          <cell r="E502">
            <v>93.5</v>
          </cell>
          <cell r="F502">
            <v>0.89</v>
          </cell>
          <cell r="G502">
            <v>1.8</v>
          </cell>
          <cell r="H502">
            <v>6.8</v>
          </cell>
          <cell r="I502">
            <v>2.2</v>
          </cell>
          <cell r="J502">
            <v>93</v>
          </cell>
          <cell r="K502">
            <v>98</v>
          </cell>
          <cell r="L502">
            <v>2.8</v>
          </cell>
          <cell r="M502">
            <v>912</v>
          </cell>
          <cell r="N502">
            <v>13300</v>
          </cell>
        </row>
        <row r="503">
          <cell r="A503" t="str">
            <v>Y315S-4/110</v>
          </cell>
          <cell r="B503">
            <v>103</v>
          </cell>
          <cell r="C503">
            <v>201</v>
          </cell>
          <cell r="D503">
            <v>1480</v>
          </cell>
          <cell r="E503">
            <v>93.5</v>
          </cell>
          <cell r="F503">
            <v>0.89</v>
          </cell>
          <cell r="G503">
            <v>1.8</v>
          </cell>
          <cell r="H503">
            <v>6.8</v>
          </cell>
          <cell r="I503">
            <v>2.2</v>
          </cell>
          <cell r="J503">
            <v>93</v>
          </cell>
          <cell r="K503">
            <v>98</v>
          </cell>
          <cell r="L503">
            <v>2.8</v>
          </cell>
          <cell r="M503">
            <v>912</v>
          </cell>
          <cell r="N503">
            <v>13300</v>
          </cell>
        </row>
        <row r="504">
          <cell r="A504" t="str">
            <v>Y315S-4/110</v>
          </cell>
          <cell r="B504">
            <v>104</v>
          </cell>
          <cell r="C504">
            <v>201</v>
          </cell>
          <cell r="D504">
            <v>1480</v>
          </cell>
          <cell r="E504">
            <v>93.5</v>
          </cell>
          <cell r="F504">
            <v>0.89</v>
          </cell>
          <cell r="G504">
            <v>1.8</v>
          </cell>
          <cell r="H504">
            <v>6.8</v>
          </cell>
          <cell r="I504">
            <v>2.2</v>
          </cell>
          <cell r="J504">
            <v>93</v>
          </cell>
          <cell r="K504">
            <v>98</v>
          </cell>
          <cell r="L504">
            <v>2.8</v>
          </cell>
          <cell r="M504">
            <v>912</v>
          </cell>
          <cell r="N504">
            <v>13300</v>
          </cell>
        </row>
        <row r="505">
          <cell r="A505" t="str">
            <v>Y315S-4/110</v>
          </cell>
          <cell r="B505">
            <v>105</v>
          </cell>
          <cell r="C505">
            <v>201</v>
          </cell>
          <cell r="D505">
            <v>1480</v>
          </cell>
          <cell r="E505">
            <v>93.5</v>
          </cell>
          <cell r="F505">
            <v>0.89</v>
          </cell>
          <cell r="G505">
            <v>1.8</v>
          </cell>
          <cell r="H505">
            <v>6.8</v>
          </cell>
          <cell r="I505">
            <v>2.2</v>
          </cell>
          <cell r="J505">
            <v>93</v>
          </cell>
          <cell r="K505">
            <v>98</v>
          </cell>
          <cell r="L505">
            <v>2.8</v>
          </cell>
          <cell r="M505">
            <v>912</v>
          </cell>
          <cell r="N505">
            <v>13300</v>
          </cell>
        </row>
        <row r="506">
          <cell r="A506" t="str">
            <v>Y315S-4/110</v>
          </cell>
          <cell r="B506">
            <v>106</v>
          </cell>
          <cell r="C506">
            <v>201</v>
          </cell>
          <cell r="D506">
            <v>1480</v>
          </cell>
          <cell r="E506">
            <v>93.5</v>
          </cell>
          <cell r="F506">
            <v>0.89</v>
          </cell>
          <cell r="G506">
            <v>1.8</v>
          </cell>
          <cell r="H506">
            <v>6.8</v>
          </cell>
          <cell r="I506">
            <v>2.2</v>
          </cell>
          <cell r="J506">
            <v>93</v>
          </cell>
          <cell r="K506">
            <v>98</v>
          </cell>
          <cell r="L506">
            <v>2.8</v>
          </cell>
          <cell r="M506">
            <v>912</v>
          </cell>
          <cell r="N506">
            <v>13300</v>
          </cell>
        </row>
        <row r="507">
          <cell r="A507" t="str">
            <v>Y315S-4/110</v>
          </cell>
          <cell r="B507">
            <v>107</v>
          </cell>
          <cell r="C507">
            <v>201</v>
          </cell>
          <cell r="D507">
            <v>1480</v>
          </cell>
          <cell r="E507">
            <v>93.5</v>
          </cell>
          <cell r="F507">
            <v>0.89</v>
          </cell>
          <cell r="G507">
            <v>1.8</v>
          </cell>
          <cell r="H507">
            <v>6.8</v>
          </cell>
          <cell r="I507">
            <v>2.2</v>
          </cell>
          <cell r="J507">
            <v>93</v>
          </cell>
          <cell r="K507">
            <v>98</v>
          </cell>
          <cell r="L507">
            <v>2.8</v>
          </cell>
          <cell r="M507">
            <v>912</v>
          </cell>
          <cell r="N507">
            <v>13300</v>
          </cell>
        </row>
        <row r="508">
          <cell r="A508" t="str">
            <v>Y315S-4/110</v>
          </cell>
          <cell r="B508">
            <v>108</v>
          </cell>
          <cell r="C508">
            <v>201</v>
          </cell>
          <cell r="D508">
            <v>1480</v>
          </cell>
          <cell r="E508">
            <v>93.5</v>
          </cell>
          <cell r="F508">
            <v>0.89</v>
          </cell>
          <cell r="G508">
            <v>1.8</v>
          </cell>
          <cell r="H508">
            <v>6.8</v>
          </cell>
          <cell r="I508">
            <v>2.2</v>
          </cell>
          <cell r="J508">
            <v>93</v>
          </cell>
          <cell r="K508">
            <v>98</v>
          </cell>
          <cell r="L508">
            <v>2.8</v>
          </cell>
          <cell r="M508">
            <v>912</v>
          </cell>
          <cell r="N508">
            <v>13300</v>
          </cell>
        </row>
        <row r="509">
          <cell r="A509" t="str">
            <v>Y315S-4/110</v>
          </cell>
          <cell r="B509">
            <v>109</v>
          </cell>
          <cell r="C509">
            <v>201</v>
          </cell>
          <cell r="D509">
            <v>1480</v>
          </cell>
          <cell r="E509">
            <v>93.5</v>
          </cell>
          <cell r="F509">
            <v>0.89</v>
          </cell>
          <cell r="G509">
            <v>1.8</v>
          </cell>
          <cell r="H509">
            <v>6.8</v>
          </cell>
          <cell r="I509">
            <v>2.2</v>
          </cell>
          <cell r="J509">
            <v>93</v>
          </cell>
          <cell r="K509">
            <v>98</v>
          </cell>
          <cell r="L509">
            <v>2.8</v>
          </cell>
          <cell r="M509">
            <v>912</v>
          </cell>
          <cell r="N509">
            <v>13300</v>
          </cell>
        </row>
        <row r="510">
          <cell r="A510" t="str">
            <v>Y315S-4/110</v>
          </cell>
          <cell r="B510">
            <v>110</v>
          </cell>
          <cell r="C510">
            <v>201</v>
          </cell>
          <cell r="D510">
            <v>1480</v>
          </cell>
          <cell r="E510">
            <v>93.5</v>
          </cell>
          <cell r="F510">
            <v>0.89</v>
          </cell>
          <cell r="G510">
            <v>1.8</v>
          </cell>
          <cell r="H510">
            <v>6.8</v>
          </cell>
          <cell r="I510">
            <v>2.2</v>
          </cell>
          <cell r="J510">
            <v>93</v>
          </cell>
          <cell r="K510">
            <v>98</v>
          </cell>
          <cell r="L510">
            <v>2.8</v>
          </cell>
          <cell r="M510">
            <v>912</v>
          </cell>
          <cell r="N510">
            <v>13300</v>
          </cell>
        </row>
        <row r="511">
          <cell r="A511" t="str">
            <v>Y315M-4/132</v>
          </cell>
          <cell r="B511">
            <v>111</v>
          </cell>
          <cell r="C511">
            <v>240</v>
          </cell>
          <cell r="D511">
            <v>1480</v>
          </cell>
          <cell r="E511">
            <v>94</v>
          </cell>
          <cell r="F511">
            <v>0.89</v>
          </cell>
          <cell r="G511">
            <v>1.8</v>
          </cell>
          <cell r="H511">
            <v>6.8</v>
          </cell>
          <cell r="I511">
            <v>2.2</v>
          </cell>
          <cell r="J511">
            <v>96</v>
          </cell>
          <cell r="K511">
            <v>101</v>
          </cell>
          <cell r="L511">
            <v>2.8</v>
          </cell>
          <cell r="M511">
            <v>1048</v>
          </cell>
          <cell r="N511">
            <v>14896</v>
          </cell>
        </row>
        <row r="512">
          <cell r="A512" t="str">
            <v>Y315M-4/132</v>
          </cell>
          <cell r="B512">
            <v>112</v>
          </cell>
          <cell r="C512">
            <v>240</v>
          </cell>
          <cell r="D512">
            <v>1480</v>
          </cell>
          <cell r="E512">
            <v>94</v>
          </cell>
          <cell r="F512">
            <v>0.89</v>
          </cell>
          <cell r="G512">
            <v>1.8</v>
          </cell>
          <cell r="H512">
            <v>6.8</v>
          </cell>
          <cell r="I512">
            <v>2.2</v>
          </cell>
          <cell r="J512">
            <v>96</v>
          </cell>
          <cell r="K512">
            <v>101</v>
          </cell>
          <cell r="L512">
            <v>2.8</v>
          </cell>
          <cell r="M512">
            <v>1048</v>
          </cell>
          <cell r="N512">
            <v>14896</v>
          </cell>
        </row>
        <row r="513">
          <cell r="A513" t="str">
            <v>Y315M-4/132</v>
          </cell>
          <cell r="B513">
            <v>113</v>
          </cell>
          <cell r="C513">
            <v>240</v>
          </cell>
          <cell r="D513">
            <v>1480</v>
          </cell>
          <cell r="E513">
            <v>94</v>
          </cell>
          <cell r="F513">
            <v>0.89</v>
          </cell>
          <cell r="G513">
            <v>1.8</v>
          </cell>
          <cell r="H513">
            <v>6.8</v>
          </cell>
          <cell r="I513">
            <v>2.2</v>
          </cell>
          <cell r="J513">
            <v>96</v>
          </cell>
          <cell r="K513">
            <v>101</v>
          </cell>
          <cell r="L513">
            <v>2.8</v>
          </cell>
          <cell r="M513">
            <v>1048</v>
          </cell>
          <cell r="N513">
            <v>14896</v>
          </cell>
        </row>
        <row r="514">
          <cell r="A514" t="str">
            <v>Y315M-4/132</v>
          </cell>
          <cell r="B514">
            <v>114</v>
          </cell>
          <cell r="C514">
            <v>240</v>
          </cell>
          <cell r="D514">
            <v>1480</v>
          </cell>
          <cell r="E514">
            <v>94</v>
          </cell>
          <cell r="F514">
            <v>0.89</v>
          </cell>
          <cell r="G514">
            <v>1.8</v>
          </cell>
          <cell r="H514">
            <v>6.8</v>
          </cell>
          <cell r="I514">
            <v>2.2</v>
          </cell>
          <cell r="J514">
            <v>96</v>
          </cell>
          <cell r="K514">
            <v>101</v>
          </cell>
          <cell r="L514">
            <v>2.8</v>
          </cell>
          <cell r="M514">
            <v>1048</v>
          </cell>
          <cell r="N514">
            <v>14896</v>
          </cell>
        </row>
        <row r="515">
          <cell r="A515" t="str">
            <v>Y315M-4/132</v>
          </cell>
          <cell r="B515">
            <v>115</v>
          </cell>
          <cell r="C515">
            <v>240</v>
          </cell>
          <cell r="D515">
            <v>1480</v>
          </cell>
          <cell r="E515">
            <v>94</v>
          </cell>
          <cell r="F515">
            <v>0.89</v>
          </cell>
          <cell r="G515">
            <v>1.8</v>
          </cell>
          <cell r="H515">
            <v>6.8</v>
          </cell>
          <cell r="I515">
            <v>2.2</v>
          </cell>
          <cell r="J515">
            <v>96</v>
          </cell>
          <cell r="K515">
            <v>101</v>
          </cell>
          <cell r="L515">
            <v>2.8</v>
          </cell>
          <cell r="M515">
            <v>1048</v>
          </cell>
          <cell r="N515">
            <v>14896</v>
          </cell>
        </row>
        <row r="516">
          <cell r="A516" t="str">
            <v>Y315M-4/132</v>
          </cell>
          <cell r="B516">
            <v>116</v>
          </cell>
          <cell r="C516">
            <v>240</v>
          </cell>
          <cell r="D516">
            <v>1480</v>
          </cell>
          <cell r="E516">
            <v>94</v>
          </cell>
          <cell r="F516">
            <v>0.89</v>
          </cell>
          <cell r="G516">
            <v>1.8</v>
          </cell>
          <cell r="H516">
            <v>6.8</v>
          </cell>
          <cell r="I516">
            <v>2.2</v>
          </cell>
          <cell r="J516">
            <v>96</v>
          </cell>
          <cell r="K516">
            <v>101</v>
          </cell>
          <cell r="L516">
            <v>2.8</v>
          </cell>
          <cell r="M516">
            <v>1048</v>
          </cell>
          <cell r="N516">
            <v>14896</v>
          </cell>
        </row>
        <row r="517">
          <cell r="A517" t="str">
            <v>Y315M-4/132</v>
          </cell>
          <cell r="B517">
            <v>117</v>
          </cell>
          <cell r="C517">
            <v>240</v>
          </cell>
          <cell r="D517">
            <v>1480</v>
          </cell>
          <cell r="E517">
            <v>94</v>
          </cell>
          <cell r="F517">
            <v>0.89</v>
          </cell>
          <cell r="G517">
            <v>1.8</v>
          </cell>
          <cell r="H517">
            <v>6.8</v>
          </cell>
          <cell r="I517">
            <v>2.2</v>
          </cell>
          <cell r="J517">
            <v>96</v>
          </cell>
          <cell r="K517">
            <v>101</v>
          </cell>
          <cell r="L517">
            <v>2.8</v>
          </cell>
          <cell r="M517">
            <v>1048</v>
          </cell>
          <cell r="N517">
            <v>14896</v>
          </cell>
        </row>
        <row r="518">
          <cell r="A518" t="str">
            <v>Y315M-4/132</v>
          </cell>
          <cell r="B518">
            <v>118</v>
          </cell>
          <cell r="C518">
            <v>240</v>
          </cell>
          <cell r="D518">
            <v>1480</v>
          </cell>
          <cell r="E518">
            <v>94</v>
          </cell>
          <cell r="F518">
            <v>0.89</v>
          </cell>
          <cell r="G518">
            <v>1.8</v>
          </cell>
          <cell r="H518">
            <v>6.8</v>
          </cell>
          <cell r="I518">
            <v>2.2</v>
          </cell>
          <cell r="J518">
            <v>96</v>
          </cell>
          <cell r="K518">
            <v>101</v>
          </cell>
          <cell r="L518">
            <v>2.8</v>
          </cell>
          <cell r="M518">
            <v>1048</v>
          </cell>
          <cell r="N518">
            <v>14896</v>
          </cell>
        </row>
        <row r="519">
          <cell r="A519" t="str">
            <v>Y315M-4/132</v>
          </cell>
          <cell r="B519">
            <v>119</v>
          </cell>
          <cell r="C519">
            <v>240</v>
          </cell>
          <cell r="D519">
            <v>1480</v>
          </cell>
          <cell r="E519">
            <v>94</v>
          </cell>
          <cell r="F519">
            <v>0.89</v>
          </cell>
          <cell r="G519">
            <v>1.8</v>
          </cell>
          <cell r="H519">
            <v>6.8</v>
          </cell>
          <cell r="I519">
            <v>2.2</v>
          </cell>
          <cell r="J519">
            <v>96</v>
          </cell>
          <cell r="K519">
            <v>101</v>
          </cell>
          <cell r="L519">
            <v>2.8</v>
          </cell>
          <cell r="M519">
            <v>1048</v>
          </cell>
          <cell r="N519">
            <v>14896</v>
          </cell>
        </row>
        <row r="520">
          <cell r="A520" t="str">
            <v>Y315M-4/132</v>
          </cell>
          <cell r="B520">
            <v>120</v>
          </cell>
          <cell r="C520">
            <v>240</v>
          </cell>
          <cell r="D520">
            <v>1480</v>
          </cell>
          <cell r="E520">
            <v>94</v>
          </cell>
          <cell r="F520">
            <v>0.89</v>
          </cell>
          <cell r="G520">
            <v>1.8</v>
          </cell>
          <cell r="H520">
            <v>6.8</v>
          </cell>
          <cell r="I520">
            <v>2.2</v>
          </cell>
          <cell r="J520">
            <v>96</v>
          </cell>
          <cell r="K520">
            <v>101</v>
          </cell>
          <cell r="L520">
            <v>2.8</v>
          </cell>
          <cell r="M520">
            <v>1048</v>
          </cell>
          <cell r="N520">
            <v>14896</v>
          </cell>
        </row>
        <row r="521">
          <cell r="A521" t="str">
            <v>Y315M-4/132</v>
          </cell>
          <cell r="B521">
            <v>121</v>
          </cell>
          <cell r="C521">
            <v>240</v>
          </cell>
          <cell r="D521">
            <v>1480</v>
          </cell>
          <cell r="E521">
            <v>94</v>
          </cell>
          <cell r="F521">
            <v>0.89</v>
          </cell>
          <cell r="G521">
            <v>1.8</v>
          </cell>
          <cell r="H521">
            <v>6.8</v>
          </cell>
          <cell r="I521">
            <v>2.2</v>
          </cell>
          <cell r="J521">
            <v>96</v>
          </cell>
          <cell r="K521">
            <v>101</v>
          </cell>
          <cell r="L521">
            <v>2.8</v>
          </cell>
          <cell r="M521">
            <v>1048</v>
          </cell>
          <cell r="N521">
            <v>14896</v>
          </cell>
        </row>
        <row r="522">
          <cell r="A522" t="str">
            <v>Y315M-4/132</v>
          </cell>
          <cell r="B522">
            <v>122</v>
          </cell>
          <cell r="C522">
            <v>240</v>
          </cell>
          <cell r="D522">
            <v>1480</v>
          </cell>
          <cell r="E522">
            <v>94</v>
          </cell>
          <cell r="F522">
            <v>0.89</v>
          </cell>
          <cell r="G522">
            <v>1.8</v>
          </cell>
          <cell r="H522">
            <v>6.8</v>
          </cell>
          <cell r="I522">
            <v>2.2</v>
          </cell>
          <cell r="J522">
            <v>96</v>
          </cell>
          <cell r="K522">
            <v>101</v>
          </cell>
          <cell r="L522">
            <v>2.8</v>
          </cell>
          <cell r="M522">
            <v>1048</v>
          </cell>
          <cell r="N522">
            <v>14896</v>
          </cell>
        </row>
        <row r="523">
          <cell r="A523" t="str">
            <v>Y315M-4/132</v>
          </cell>
          <cell r="B523">
            <v>123</v>
          </cell>
          <cell r="C523">
            <v>240</v>
          </cell>
          <cell r="D523">
            <v>1480</v>
          </cell>
          <cell r="E523">
            <v>94</v>
          </cell>
          <cell r="F523">
            <v>0.89</v>
          </cell>
          <cell r="G523">
            <v>1.8</v>
          </cell>
          <cell r="H523">
            <v>6.8</v>
          </cell>
          <cell r="I523">
            <v>2.2</v>
          </cell>
          <cell r="J523">
            <v>96</v>
          </cell>
          <cell r="K523">
            <v>101</v>
          </cell>
          <cell r="L523">
            <v>2.8</v>
          </cell>
          <cell r="M523">
            <v>1048</v>
          </cell>
          <cell r="N523">
            <v>14896</v>
          </cell>
        </row>
        <row r="524">
          <cell r="A524" t="str">
            <v>Y315M-4/132</v>
          </cell>
          <cell r="B524">
            <v>124</v>
          </cell>
          <cell r="C524">
            <v>240</v>
          </cell>
          <cell r="D524">
            <v>1480</v>
          </cell>
          <cell r="E524">
            <v>94</v>
          </cell>
          <cell r="F524">
            <v>0.89</v>
          </cell>
          <cell r="G524">
            <v>1.8</v>
          </cell>
          <cell r="H524">
            <v>6.8</v>
          </cell>
          <cell r="I524">
            <v>2.2</v>
          </cell>
          <cell r="J524">
            <v>96</v>
          </cell>
          <cell r="K524">
            <v>101</v>
          </cell>
          <cell r="L524">
            <v>2.8</v>
          </cell>
          <cell r="M524">
            <v>1048</v>
          </cell>
          <cell r="N524">
            <v>14896</v>
          </cell>
        </row>
        <row r="525">
          <cell r="A525" t="str">
            <v>Y315M-4/132</v>
          </cell>
          <cell r="B525">
            <v>125</v>
          </cell>
          <cell r="C525">
            <v>240</v>
          </cell>
          <cell r="D525">
            <v>1480</v>
          </cell>
          <cell r="E525">
            <v>94</v>
          </cell>
          <cell r="F525">
            <v>0.89</v>
          </cell>
          <cell r="G525">
            <v>1.8</v>
          </cell>
          <cell r="H525">
            <v>6.8</v>
          </cell>
          <cell r="I525">
            <v>2.2</v>
          </cell>
          <cell r="J525">
            <v>96</v>
          </cell>
          <cell r="K525">
            <v>101</v>
          </cell>
          <cell r="L525">
            <v>2.8</v>
          </cell>
          <cell r="M525">
            <v>1048</v>
          </cell>
          <cell r="N525">
            <v>14896</v>
          </cell>
        </row>
        <row r="526">
          <cell r="A526" t="str">
            <v>Y315M-4/132</v>
          </cell>
          <cell r="B526">
            <v>126</v>
          </cell>
          <cell r="C526">
            <v>240</v>
          </cell>
          <cell r="D526">
            <v>1480</v>
          </cell>
          <cell r="E526">
            <v>94</v>
          </cell>
          <cell r="F526">
            <v>0.89</v>
          </cell>
          <cell r="G526">
            <v>1.8</v>
          </cell>
          <cell r="H526">
            <v>6.8</v>
          </cell>
          <cell r="I526">
            <v>2.2</v>
          </cell>
          <cell r="J526">
            <v>96</v>
          </cell>
          <cell r="K526">
            <v>101</v>
          </cell>
          <cell r="L526">
            <v>2.8</v>
          </cell>
          <cell r="M526">
            <v>1048</v>
          </cell>
          <cell r="N526">
            <v>14896</v>
          </cell>
        </row>
        <row r="527">
          <cell r="A527" t="str">
            <v>Y315M-4/132</v>
          </cell>
          <cell r="B527">
            <v>127</v>
          </cell>
          <cell r="C527">
            <v>240</v>
          </cell>
          <cell r="D527">
            <v>1480</v>
          </cell>
          <cell r="E527">
            <v>94</v>
          </cell>
          <cell r="F527">
            <v>0.89</v>
          </cell>
          <cell r="G527">
            <v>1.8</v>
          </cell>
          <cell r="H527">
            <v>6.8</v>
          </cell>
          <cell r="I527">
            <v>2.2</v>
          </cell>
          <cell r="J527">
            <v>96</v>
          </cell>
          <cell r="K527">
            <v>101</v>
          </cell>
          <cell r="L527">
            <v>2.8</v>
          </cell>
          <cell r="M527">
            <v>1048</v>
          </cell>
          <cell r="N527">
            <v>14896</v>
          </cell>
        </row>
        <row r="528">
          <cell r="A528" t="str">
            <v>Y315M-4/132</v>
          </cell>
          <cell r="B528">
            <v>128</v>
          </cell>
          <cell r="C528">
            <v>240</v>
          </cell>
          <cell r="D528">
            <v>1480</v>
          </cell>
          <cell r="E528">
            <v>94</v>
          </cell>
          <cell r="F528">
            <v>0.89</v>
          </cell>
          <cell r="G528">
            <v>1.8</v>
          </cell>
          <cell r="H528">
            <v>6.8</v>
          </cell>
          <cell r="I528">
            <v>2.2</v>
          </cell>
          <cell r="J528">
            <v>96</v>
          </cell>
          <cell r="K528">
            <v>101</v>
          </cell>
          <cell r="L528">
            <v>2.8</v>
          </cell>
          <cell r="M528">
            <v>1048</v>
          </cell>
          <cell r="N528">
            <v>14896</v>
          </cell>
        </row>
        <row r="529">
          <cell r="A529" t="str">
            <v>Y315M-4/132</v>
          </cell>
          <cell r="B529">
            <v>129</v>
          </cell>
          <cell r="C529">
            <v>240</v>
          </cell>
          <cell r="D529">
            <v>1480</v>
          </cell>
          <cell r="E529">
            <v>94</v>
          </cell>
          <cell r="F529">
            <v>0.89</v>
          </cell>
          <cell r="G529">
            <v>1.8</v>
          </cell>
          <cell r="H529">
            <v>6.8</v>
          </cell>
          <cell r="I529">
            <v>2.2</v>
          </cell>
          <cell r="J529">
            <v>96</v>
          </cell>
          <cell r="K529">
            <v>101</v>
          </cell>
          <cell r="L529">
            <v>2.8</v>
          </cell>
          <cell r="M529">
            <v>1048</v>
          </cell>
          <cell r="N529">
            <v>14896</v>
          </cell>
        </row>
        <row r="530">
          <cell r="A530" t="str">
            <v>Y315M-4/132</v>
          </cell>
          <cell r="B530">
            <v>130</v>
          </cell>
          <cell r="C530">
            <v>240</v>
          </cell>
          <cell r="D530">
            <v>1480</v>
          </cell>
          <cell r="E530">
            <v>94</v>
          </cell>
          <cell r="F530">
            <v>0.89</v>
          </cell>
          <cell r="G530">
            <v>1.8</v>
          </cell>
          <cell r="H530">
            <v>6.8</v>
          </cell>
          <cell r="I530">
            <v>2.2</v>
          </cell>
          <cell r="J530">
            <v>96</v>
          </cell>
          <cell r="K530">
            <v>101</v>
          </cell>
          <cell r="L530">
            <v>2.8</v>
          </cell>
          <cell r="M530">
            <v>1048</v>
          </cell>
          <cell r="N530">
            <v>14896</v>
          </cell>
        </row>
        <row r="531">
          <cell r="A531" t="str">
            <v>Y315M-4/132</v>
          </cell>
          <cell r="B531">
            <v>131</v>
          </cell>
          <cell r="C531">
            <v>240</v>
          </cell>
          <cell r="D531">
            <v>1480</v>
          </cell>
          <cell r="E531">
            <v>94</v>
          </cell>
          <cell r="F531">
            <v>0.89</v>
          </cell>
          <cell r="G531">
            <v>1.8</v>
          </cell>
          <cell r="H531">
            <v>6.8</v>
          </cell>
          <cell r="I531">
            <v>2.2</v>
          </cell>
          <cell r="J531">
            <v>96</v>
          </cell>
          <cell r="K531">
            <v>101</v>
          </cell>
          <cell r="L531">
            <v>2.8</v>
          </cell>
          <cell r="M531">
            <v>1048</v>
          </cell>
          <cell r="N531">
            <v>14896</v>
          </cell>
        </row>
        <row r="532">
          <cell r="A532" t="str">
            <v>Y315M-4/132</v>
          </cell>
          <cell r="B532">
            <v>132</v>
          </cell>
          <cell r="C532">
            <v>240</v>
          </cell>
          <cell r="D532">
            <v>1480</v>
          </cell>
          <cell r="E532">
            <v>94</v>
          </cell>
          <cell r="F532">
            <v>0.89</v>
          </cell>
          <cell r="G532">
            <v>1.8</v>
          </cell>
          <cell r="H532">
            <v>6.8</v>
          </cell>
          <cell r="I532">
            <v>2.2</v>
          </cell>
          <cell r="J532">
            <v>96</v>
          </cell>
          <cell r="K532">
            <v>101</v>
          </cell>
          <cell r="L532">
            <v>2.8</v>
          </cell>
          <cell r="M532">
            <v>1048</v>
          </cell>
          <cell r="N532">
            <v>14896</v>
          </cell>
        </row>
        <row r="533">
          <cell r="A533" t="str">
            <v>Y315L1-4/160</v>
          </cell>
          <cell r="B533">
            <v>133</v>
          </cell>
          <cell r="C533">
            <v>289</v>
          </cell>
          <cell r="D533">
            <v>1480</v>
          </cell>
          <cell r="E533">
            <v>94.5</v>
          </cell>
          <cell r="F533">
            <v>0.89</v>
          </cell>
          <cell r="G533">
            <v>1.8</v>
          </cell>
          <cell r="H533">
            <v>6.8</v>
          </cell>
          <cell r="I533">
            <v>2.2</v>
          </cell>
          <cell r="J533">
            <v>96</v>
          </cell>
          <cell r="K533">
            <v>101</v>
          </cell>
          <cell r="L533">
            <v>2.8</v>
          </cell>
          <cell r="M533">
            <v>1105</v>
          </cell>
          <cell r="N533">
            <v>17402</v>
          </cell>
        </row>
        <row r="534">
          <cell r="A534" t="str">
            <v>Y315L1-4/160</v>
          </cell>
          <cell r="B534">
            <v>134</v>
          </cell>
          <cell r="C534">
            <v>289</v>
          </cell>
          <cell r="D534">
            <v>1480</v>
          </cell>
          <cell r="E534">
            <v>94.5</v>
          </cell>
          <cell r="F534">
            <v>0.89</v>
          </cell>
          <cell r="G534">
            <v>1.8</v>
          </cell>
          <cell r="H534">
            <v>6.8</v>
          </cell>
          <cell r="I534">
            <v>2.2</v>
          </cell>
          <cell r="J534">
            <v>96</v>
          </cell>
          <cell r="K534">
            <v>101</v>
          </cell>
          <cell r="L534">
            <v>2.8</v>
          </cell>
          <cell r="M534">
            <v>1105</v>
          </cell>
          <cell r="N534">
            <v>17402</v>
          </cell>
        </row>
        <row r="535">
          <cell r="A535" t="str">
            <v>Y315L1-4/160</v>
          </cell>
          <cell r="B535">
            <v>135</v>
          </cell>
          <cell r="C535">
            <v>289</v>
          </cell>
          <cell r="D535">
            <v>1480</v>
          </cell>
          <cell r="E535">
            <v>94.5</v>
          </cell>
          <cell r="F535">
            <v>0.89</v>
          </cell>
          <cell r="G535">
            <v>1.8</v>
          </cell>
          <cell r="H535">
            <v>6.8</v>
          </cell>
          <cell r="I535">
            <v>2.2</v>
          </cell>
          <cell r="J535">
            <v>96</v>
          </cell>
          <cell r="K535">
            <v>101</v>
          </cell>
          <cell r="L535">
            <v>2.8</v>
          </cell>
          <cell r="M535">
            <v>1105</v>
          </cell>
          <cell r="N535">
            <v>17402</v>
          </cell>
        </row>
        <row r="536">
          <cell r="A536" t="str">
            <v>Y315L1-4/160</v>
          </cell>
          <cell r="B536">
            <v>136</v>
          </cell>
          <cell r="C536">
            <v>289</v>
          </cell>
          <cell r="D536">
            <v>1480</v>
          </cell>
          <cell r="E536">
            <v>94.5</v>
          </cell>
          <cell r="F536">
            <v>0.89</v>
          </cell>
          <cell r="G536">
            <v>1.8</v>
          </cell>
          <cell r="H536">
            <v>6.8</v>
          </cell>
          <cell r="I536">
            <v>2.2</v>
          </cell>
          <cell r="J536">
            <v>96</v>
          </cell>
          <cell r="K536">
            <v>101</v>
          </cell>
          <cell r="L536">
            <v>2.8</v>
          </cell>
          <cell r="M536">
            <v>1105</v>
          </cell>
          <cell r="N536">
            <v>17402</v>
          </cell>
        </row>
        <row r="537">
          <cell r="A537" t="str">
            <v>Y315L1-4/160</v>
          </cell>
          <cell r="B537">
            <v>137</v>
          </cell>
          <cell r="C537">
            <v>289</v>
          </cell>
          <cell r="D537">
            <v>1480</v>
          </cell>
          <cell r="E537">
            <v>94.5</v>
          </cell>
          <cell r="F537">
            <v>0.89</v>
          </cell>
          <cell r="G537">
            <v>1.8</v>
          </cell>
          <cell r="H537">
            <v>6.8</v>
          </cell>
          <cell r="I537">
            <v>2.2</v>
          </cell>
          <cell r="J537">
            <v>96</v>
          </cell>
          <cell r="K537">
            <v>101</v>
          </cell>
          <cell r="L537">
            <v>2.8</v>
          </cell>
          <cell r="M537">
            <v>1105</v>
          </cell>
          <cell r="N537">
            <v>17402</v>
          </cell>
        </row>
        <row r="538">
          <cell r="A538" t="str">
            <v>Y315L1-4/160</v>
          </cell>
          <cell r="B538">
            <v>138</v>
          </cell>
          <cell r="C538">
            <v>289</v>
          </cell>
          <cell r="D538">
            <v>1480</v>
          </cell>
          <cell r="E538">
            <v>94.5</v>
          </cell>
          <cell r="F538">
            <v>0.89</v>
          </cell>
          <cell r="G538">
            <v>1.8</v>
          </cell>
          <cell r="H538">
            <v>6.8</v>
          </cell>
          <cell r="I538">
            <v>2.2</v>
          </cell>
          <cell r="J538">
            <v>96</v>
          </cell>
          <cell r="K538">
            <v>101</v>
          </cell>
          <cell r="L538">
            <v>2.8</v>
          </cell>
          <cell r="M538">
            <v>1105</v>
          </cell>
          <cell r="N538">
            <v>17402</v>
          </cell>
        </row>
        <row r="539">
          <cell r="A539" t="str">
            <v>Y315L1-4/160</v>
          </cell>
          <cell r="B539">
            <v>139</v>
          </cell>
          <cell r="C539">
            <v>289</v>
          </cell>
          <cell r="D539">
            <v>1480</v>
          </cell>
          <cell r="E539">
            <v>94.5</v>
          </cell>
          <cell r="F539">
            <v>0.89</v>
          </cell>
          <cell r="G539">
            <v>1.8</v>
          </cell>
          <cell r="H539">
            <v>6.8</v>
          </cell>
          <cell r="I539">
            <v>2.2</v>
          </cell>
          <cell r="J539">
            <v>96</v>
          </cell>
          <cell r="K539">
            <v>101</v>
          </cell>
          <cell r="L539">
            <v>2.8</v>
          </cell>
          <cell r="M539">
            <v>1105</v>
          </cell>
          <cell r="N539">
            <v>17402</v>
          </cell>
        </row>
        <row r="540">
          <cell r="A540" t="str">
            <v>Y315L1-4/160</v>
          </cell>
          <cell r="B540">
            <v>140</v>
          </cell>
          <cell r="C540">
            <v>289</v>
          </cell>
          <cell r="D540">
            <v>1480</v>
          </cell>
          <cell r="E540">
            <v>94.5</v>
          </cell>
          <cell r="F540">
            <v>0.89</v>
          </cell>
          <cell r="G540">
            <v>1.8</v>
          </cell>
          <cell r="H540">
            <v>6.8</v>
          </cell>
          <cell r="I540">
            <v>2.2</v>
          </cell>
          <cell r="J540">
            <v>96</v>
          </cell>
          <cell r="K540">
            <v>101</v>
          </cell>
          <cell r="L540">
            <v>2.8</v>
          </cell>
          <cell r="M540">
            <v>1105</v>
          </cell>
          <cell r="N540">
            <v>17402</v>
          </cell>
        </row>
        <row r="541">
          <cell r="A541" t="str">
            <v>Y315L1-4/160</v>
          </cell>
          <cell r="B541">
            <v>141</v>
          </cell>
          <cell r="C541">
            <v>289</v>
          </cell>
          <cell r="D541">
            <v>1480</v>
          </cell>
          <cell r="E541">
            <v>94.5</v>
          </cell>
          <cell r="F541">
            <v>0.89</v>
          </cell>
          <cell r="G541">
            <v>1.8</v>
          </cell>
          <cell r="H541">
            <v>6.8</v>
          </cell>
          <cell r="I541">
            <v>2.2</v>
          </cell>
          <cell r="J541">
            <v>96</v>
          </cell>
          <cell r="K541">
            <v>101</v>
          </cell>
          <cell r="L541">
            <v>2.8</v>
          </cell>
          <cell r="M541">
            <v>1105</v>
          </cell>
          <cell r="N541">
            <v>17402</v>
          </cell>
        </row>
        <row r="542">
          <cell r="A542" t="str">
            <v>Y315L1-4/160</v>
          </cell>
          <cell r="B542">
            <v>142</v>
          </cell>
          <cell r="C542">
            <v>289</v>
          </cell>
          <cell r="D542">
            <v>1480</v>
          </cell>
          <cell r="E542">
            <v>94.5</v>
          </cell>
          <cell r="F542">
            <v>0.89</v>
          </cell>
          <cell r="G542">
            <v>1.8</v>
          </cell>
          <cell r="H542">
            <v>6.8</v>
          </cell>
          <cell r="I542">
            <v>2.2</v>
          </cell>
          <cell r="J542">
            <v>96</v>
          </cell>
          <cell r="K542">
            <v>101</v>
          </cell>
          <cell r="L542">
            <v>2.8</v>
          </cell>
          <cell r="M542">
            <v>1105</v>
          </cell>
          <cell r="N542">
            <v>17402</v>
          </cell>
        </row>
        <row r="543">
          <cell r="A543" t="str">
            <v>Y315L1-4/160</v>
          </cell>
          <cell r="B543">
            <v>143</v>
          </cell>
          <cell r="C543">
            <v>289</v>
          </cell>
          <cell r="D543">
            <v>1480</v>
          </cell>
          <cell r="E543">
            <v>94.5</v>
          </cell>
          <cell r="F543">
            <v>0.89</v>
          </cell>
          <cell r="G543">
            <v>1.8</v>
          </cell>
          <cell r="H543">
            <v>6.8</v>
          </cell>
          <cell r="I543">
            <v>2.2</v>
          </cell>
          <cell r="J543">
            <v>96</v>
          </cell>
          <cell r="K543">
            <v>101</v>
          </cell>
          <cell r="L543">
            <v>2.8</v>
          </cell>
          <cell r="M543">
            <v>1105</v>
          </cell>
          <cell r="N543">
            <v>17402</v>
          </cell>
        </row>
        <row r="544">
          <cell r="A544" t="str">
            <v>Y315L1-4/160</v>
          </cell>
          <cell r="B544">
            <v>144</v>
          </cell>
          <cell r="C544">
            <v>289</v>
          </cell>
          <cell r="D544">
            <v>1480</v>
          </cell>
          <cell r="E544">
            <v>94.5</v>
          </cell>
          <cell r="F544">
            <v>0.89</v>
          </cell>
          <cell r="G544">
            <v>1.8</v>
          </cell>
          <cell r="H544">
            <v>6.8</v>
          </cell>
          <cell r="I544">
            <v>2.2</v>
          </cell>
          <cell r="J544">
            <v>96</v>
          </cell>
          <cell r="K544">
            <v>101</v>
          </cell>
          <cell r="L544">
            <v>2.8</v>
          </cell>
          <cell r="M544">
            <v>1105</v>
          </cell>
          <cell r="N544">
            <v>17402</v>
          </cell>
        </row>
        <row r="545">
          <cell r="A545" t="str">
            <v>Y315L1-4/160</v>
          </cell>
          <cell r="B545">
            <v>145</v>
          </cell>
          <cell r="C545">
            <v>289</v>
          </cell>
          <cell r="D545">
            <v>1480</v>
          </cell>
          <cell r="E545">
            <v>94.5</v>
          </cell>
          <cell r="F545">
            <v>0.89</v>
          </cell>
          <cell r="G545">
            <v>1.8</v>
          </cell>
          <cell r="H545">
            <v>6.8</v>
          </cell>
          <cell r="I545">
            <v>2.2</v>
          </cell>
          <cell r="J545">
            <v>96</v>
          </cell>
          <cell r="K545">
            <v>101</v>
          </cell>
          <cell r="L545">
            <v>2.8</v>
          </cell>
          <cell r="M545">
            <v>1105</v>
          </cell>
          <cell r="N545">
            <v>17402</v>
          </cell>
        </row>
        <row r="546">
          <cell r="A546" t="str">
            <v>Y315L1-4/160</v>
          </cell>
          <cell r="B546">
            <v>146</v>
          </cell>
          <cell r="C546">
            <v>289</v>
          </cell>
          <cell r="D546">
            <v>1480</v>
          </cell>
          <cell r="E546">
            <v>94.5</v>
          </cell>
          <cell r="F546">
            <v>0.89</v>
          </cell>
          <cell r="G546">
            <v>1.8</v>
          </cell>
          <cell r="H546">
            <v>6.8</v>
          </cell>
          <cell r="I546">
            <v>2.2</v>
          </cell>
          <cell r="J546">
            <v>96</v>
          </cell>
          <cell r="K546">
            <v>101</v>
          </cell>
          <cell r="L546">
            <v>2.8</v>
          </cell>
          <cell r="M546">
            <v>1105</v>
          </cell>
          <cell r="N546">
            <v>17402</v>
          </cell>
        </row>
        <row r="547">
          <cell r="A547" t="str">
            <v>Y315L1-4/160</v>
          </cell>
          <cell r="B547">
            <v>147</v>
          </cell>
          <cell r="C547">
            <v>289</v>
          </cell>
          <cell r="D547">
            <v>1480</v>
          </cell>
          <cell r="E547">
            <v>94.5</v>
          </cell>
          <cell r="F547">
            <v>0.89</v>
          </cell>
          <cell r="G547">
            <v>1.8</v>
          </cell>
          <cell r="H547">
            <v>6.8</v>
          </cell>
          <cell r="I547">
            <v>2.2</v>
          </cell>
          <cell r="J547">
            <v>96</v>
          </cell>
          <cell r="K547">
            <v>101</v>
          </cell>
          <cell r="L547">
            <v>2.8</v>
          </cell>
          <cell r="M547">
            <v>1105</v>
          </cell>
          <cell r="N547">
            <v>17402</v>
          </cell>
        </row>
        <row r="548">
          <cell r="A548" t="str">
            <v>Y315L1-4/160</v>
          </cell>
          <cell r="B548">
            <v>148</v>
          </cell>
          <cell r="C548">
            <v>289</v>
          </cell>
          <cell r="D548">
            <v>1480</v>
          </cell>
          <cell r="E548">
            <v>94.5</v>
          </cell>
          <cell r="F548">
            <v>0.89</v>
          </cell>
          <cell r="G548">
            <v>1.8</v>
          </cell>
          <cell r="H548">
            <v>6.8</v>
          </cell>
          <cell r="I548">
            <v>2.2</v>
          </cell>
          <cell r="J548">
            <v>96</v>
          </cell>
          <cell r="K548">
            <v>101</v>
          </cell>
          <cell r="L548">
            <v>2.8</v>
          </cell>
          <cell r="M548">
            <v>1105</v>
          </cell>
          <cell r="N548">
            <v>17402</v>
          </cell>
        </row>
        <row r="549">
          <cell r="A549" t="str">
            <v>Y315L1-4/160</v>
          </cell>
          <cell r="B549">
            <v>149</v>
          </cell>
          <cell r="C549">
            <v>289</v>
          </cell>
          <cell r="D549">
            <v>1480</v>
          </cell>
          <cell r="E549">
            <v>94.5</v>
          </cell>
          <cell r="F549">
            <v>0.89</v>
          </cell>
          <cell r="G549">
            <v>1.8</v>
          </cell>
          <cell r="H549">
            <v>6.8</v>
          </cell>
          <cell r="I549">
            <v>2.2</v>
          </cell>
          <cell r="J549">
            <v>96</v>
          </cell>
          <cell r="K549">
            <v>101</v>
          </cell>
          <cell r="L549">
            <v>2.8</v>
          </cell>
          <cell r="M549">
            <v>1105</v>
          </cell>
          <cell r="N549">
            <v>17402</v>
          </cell>
        </row>
        <row r="550">
          <cell r="A550" t="str">
            <v>Y315L1-4/160</v>
          </cell>
          <cell r="B550">
            <v>150</v>
          </cell>
          <cell r="C550">
            <v>289</v>
          </cell>
          <cell r="D550">
            <v>1480</v>
          </cell>
          <cell r="E550">
            <v>94.5</v>
          </cell>
          <cell r="F550">
            <v>0.89</v>
          </cell>
          <cell r="G550">
            <v>1.8</v>
          </cell>
          <cell r="H550">
            <v>6.8</v>
          </cell>
          <cell r="I550">
            <v>2.2</v>
          </cell>
          <cell r="J550">
            <v>96</v>
          </cell>
          <cell r="K550">
            <v>101</v>
          </cell>
          <cell r="L550">
            <v>2.8</v>
          </cell>
          <cell r="M550">
            <v>1105</v>
          </cell>
          <cell r="N550">
            <v>17402</v>
          </cell>
        </row>
        <row r="551">
          <cell r="A551" t="str">
            <v>Y315L1-4/160</v>
          </cell>
          <cell r="B551">
            <v>151</v>
          </cell>
          <cell r="C551">
            <v>289</v>
          </cell>
          <cell r="D551">
            <v>1480</v>
          </cell>
          <cell r="E551">
            <v>94.5</v>
          </cell>
          <cell r="F551">
            <v>0.89</v>
          </cell>
          <cell r="G551">
            <v>1.8</v>
          </cell>
          <cell r="H551">
            <v>6.8</v>
          </cell>
          <cell r="I551">
            <v>2.2</v>
          </cell>
          <cell r="J551">
            <v>96</v>
          </cell>
          <cell r="K551">
            <v>101</v>
          </cell>
          <cell r="L551">
            <v>2.8</v>
          </cell>
          <cell r="M551">
            <v>1105</v>
          </cell>
          <cell r="N551">
            <v>17402</v>
          </cell>
        </row>
        <row r="552">
          <cell r="A552" t="str">
            <v>Y315L1-4/160</v>
          </cell>
          <cell r="B552">
            <v>152</v>
          </cell>
          <cell r="C552">
            <v>289</v>
          </cell>
          <cell r="D552">
            <v>1480</v>
          </cell>
          <cell r="E552">
            <v>94.5</v>
          </cell>
          <cell r="F552">
            <v>0.89</v>
          </cell>
          <cell r="G552">
            <v>1.8</v>
          </cell>
          <cell r="H552">
            <v>6.8</v>
          </cell>
          <cell r="I552">
            <v>2.2</v>
          </cell>
          <cell r="J552">
            <v>96</v>
          </cell>
          <cell r="K552">
            <v>101</v>
          </cell>
          <cell r="L552">
            <v>2.8</v>
          </cell>
          <cell r="M552">
            <v>1105</v>
          </cell>
          <cell r="N552">
            <v>17402</v>
          </cell>
        </row>
        <row r="553">
          <cell r="A553" t="str">
            <v>Y315L1-4/160</v>
          </cell>
          <cell r="B553">
            <v>153</v>
          </cell>
          <cell r="C553">
            <v>289</v>
          </cell>
          <cell r="D553">
            <v>1480</v>
          </cell>
          <cell r="E553">
            <v>94.5</v>
          </cell>
          <cell r="F553">
            <v>0.89</v>
          </cell>
          <cell r="G553">
            <v>1.8</v>
          </cell>
          <cell r="H553">
            <v>6.8</v>
          </cell>
          <cell r="I553">
            <v>2.2</v>
          </cell>
          <cell r="J553">
            <v>96</v>
          </cell>
          <cell r="K553">
            <v>101</v>
          </cell>
          <cell r="L553">
            <v>2.8</v>
          </cell>
          <cell r="M553">
            <v>1105</v>
          </cell>
          <cell r="N553">
            <v>17402</v>
          </cell>
        </row>
        <row r="554">
          <cell r="A554" t="str">
            <v>Y315L1-4/160</v>
          </cell>
          <cell r="B554">
            <v>154</v>
          </cell>
          <cell r="C554">
            <v>289</v>
          </cell>
          <cell r="D554">
            <v>1480</v>
          </cell>
          <cell r="E554">
            <v>94.5</v>
          </cell>
          <cell r="F554">
            <v>0.89</v>
          </cell>
          <cell r="G554">
            <v>1.8</v>
          </cell>
          <cell r="H554">
            <v>6.8</v>
          </cell>
          <cell r="I554">
            <v>2.2</v>
          </cell>
          <cell r="J554">
            <v>96</v>
          </cell>
          <cell r="K554">
            <v>101</v>
          </cell>
          <cell r="L554">
            <v>2.8</v>
          </cell>
          <cell r="M554">
            <v>1105</v>
          </cell>
          <cell r="N554">
            <v>17402</v>
          </cell>
        </row>
        <row r="555">
          <cell r="A555" t="str">
            <v>Y315L1-4/160</v>
          </cell>
          <cell r="B555">
            <v>155</v>
          </cell>
          <cell r="C555">
            <v>289</v>
          </cell>
          <cell r="D555">
            <v>1480</v>
          </cell>
          <cell r="E555">
            <v>94.5</v>
          </cell>
          <cell r="F555">
            <v>0.89</v>
          </cell>
          <cell r="G555">
            <v>1.8</v>
          </cell>
          <cell r="H555">
            <v>6.8</v>
          </cell>
          <cell r="I555">
            <v>2.2</v>
          </cell>
          <cell r="J555">
            <v>96</v>
          </cell>
          <cell r="K555">
            <v>101</v>
          </cell>
          <cell r="L555">
            <v>2.8</v>
          </cell>
          <cell r="M555">
            <v>1105</v>
          </cell>
          <cell r="N555">
            <v>17402</v>
          </cell>
        </row>
        <row r="556">
          <cell r="A556" t="str">
            <v>Y315L1-4/160</v>
          </cell>
          <cell r="B556">
            <v>156</v>
          </cell>
          <cell r="C556">
            <v>289</v>
          </cell>
          <cell r="D556">
            <v>1480</v>
          </cell>
          <cell r="E556">
            <v>94.5</v>
          </cell>
          <cell r="F556">
            <v>0.89</v>
          </cell>
          <cell r="G556">
            <v>1.8</v>
          </cell>
          <cell r="H556">
            <v>6.8</v>
          </cell>
          <cell r="I556">
            <v>2.2</v>
          </cell>
          <cell r="J556">
            <v>96</v>
          </cell>
          <cell r="K556">
            <v>101</v>
          </cell>
          <cell r="L556">
            <v>2.8</v>
          </cell>
          <cell r="M556">
            <v>1105</v>
          </cell>
          <cell r="N556">
            <v>17402</v>
          </cell>
        </row>
        <row r="557">
          <cell r="A557" t="str">
            <v>Y315L1-4/160</v>
          </cell>
          <cell r="B557">
            <v>157</v>
          </cell>
          <cell r="C557">
            <v>289</v>
          </cell>
          <cell r="D557">
            <v>1480</v>
          </cell>
          <cell r="E557">
            <v>94.5</v>
          </cell>
          <cell r="F557">
            <v>0.89</v>
          </cell>
          <cell r="G557">
            <v>1.8</v>
          </cell>
          <cell r="H557">
            <v>6.8</v>
          </cell>
          <cell r="I557">
            <v>2.2</v>
          </cell>
          <cell r="J557">
            <v>96</v>
          </cell>
          <cell r="K557">
            <v>101</v>
          </cell>
          <cell r="L557">
            <v>2.8</v>
          </cell>
          <cell r="M557">
            <v>1105</v>
          </cell>
          <cell r="N557">
            <v>17402</v>
          </cell>
        </row>
        <row r="558">
          <cell r="A558" t="str">
            <v>Y315L1-4/160</v>
          </cell>
          <cell r="B558">
            <v>158</v>
          </cell>
          <cell r="C558">
            <v>289</v>
          </cell>
          <cell r="D558">
            <v>1480</v>
          </cell>
          <cell r="E558">
            <v>94.5</v>
          </cell>
          <cell r="F558">
            <v>0.89</v>
          </cell>
          <cell r="G558">
            <v>1.8</v>
          </cell>
          <cell r="H558">
            <v>6.8</v>
          </cell>
          <cell r="I558">
            <v>2.2</v>
          </cell>
          <cell r="J558">
            <v>96</v>
          </cell>
          <cell r="K558">
            <v>101</v>
          </cell>
          <cell r="L558">
            <v>2.8</v>
          </cell>
          <cell r="M558">
            <v>1105</v>
          </cell>
          <cell r="N558">
            <v>17402</v>
          </cell>
        </row>
        <row r="559">
          <cell r="A559" t="str">
            <v>Y315L1-4/160</v>
          </cell>
          <cell r="B559">
            <v>159</v>
          </cell>
          <cell r="C559">
            <v>289</v>
          </cell>
          <cell r="D559">
            <v>1480</v>
          </cell>
          <cell r="E559">
            <v>94.5</v>
          </cell>
          <cell r="F559">
            <v>0.89</v>
          </cell>
          <cell r="G559">
            <v>1.8</v>
          </cell>
          <cell r="H559">
            <v>6.8</v>
          </cell>
          <cell r="I559">
            <v>2.2</v>
          </cell>
          <cell r="J559">
            <v>96</v>
          </cell>
          <cell r="K559">
            <v>101</v>
          </cell>
          <cell r="L559">
            <v>2.8</v>
          </cell>
          <cell r="M559">
            <v>1105</v>
          </cell>
          <cell r="N559">
            <v>17402</v>
          </cell>
        </row>
        <row r="560">
          <cell r="A560" t="str">
            <v>Y315L1-4/160</v>
          </cell>
          <cell r="B560">
            <v>160</v>
          </cell>
          <cell r="C560">
            <v>289</v>
          </cell>
          <cell r="D560">
            <v>1480</v>
          </cell>
          <cell r="E560">
            <v>94.5</v>
          </cell>
          <cell r="F560">
            <v>0.89</v>
          </cell>
          <cell r="G560">
            <v>1.8</v>
          </cell>
          <cell r="H560">
            <v>6.8</v>
          </cell>
          <cell r="I560">
            <v>2.2</v>
          </cell>
          <cell r="J560">
            <v>96</v>
          </cell>
          <cell r="K560">
            <v>101</v>
          </cell>
          <cell r="L560">
            <v>2.8</v>
          </cell>
          <cell r="M560">
            <v>1105</v>
          </cell>
          <cell r="N560">
            <v>17402</v>
          </cell>
        </row>
        <row r="561">
          <cell r="A561" t="str">
            <v>Y315L2-4/200</v>
          </cell>
          <cell r="B561">
            <v>161</v>
          </cell>
          <cell r="C561">
            <v>361</v>
          </cell>
          <cell r="D561">
            <v>1480</v>
          </cell>
          <cell r="E561">
            <v>94.5</v>
          </cell>
          <cell r="F561">
            <v>0.89</v>
          </cell>
          <cell r="G561">
            <v>1.8</v>
          </cell>
          <cell r="H561">
            <v>6.8</v>
          </cell>
          <cell r="I561">
            <v>2.2</v>
          </cell>
          <cell r="J561">
            <v>96</v>
          </cell>
          <cell r="K561">
            <v>101</v>
          </cell>
          <cell r="L561">
            <v>2.8</v>
          </cell>
          <cell r="M561">
            <v>1260</v>
          </cell>
          <cell r="N561">
            <v>19138</v>
          </cell>
        </row>
        <row r="562">
          <cell r="A562" t="str">
            <v>Y315L2-4/200</v>
          </cell>
          <cell r="B562">
            <v>162</v>
          </cell>
          <cell r="C562">
            <v>361</v>
          </cell>
          <cell r="D562">
            <v>1480</v>
          </cell>
          <cell r="E562">
            <v>94.5</v>
          </cell>
          <cell r="F562">
            <v>0.89</v>
          </cell>
          <cell r="G562">
            <v>1.8</v>
          </cell>
          <cell r="H562">
            <v>6.8</v>
          </cell>
          <cell r="I562">
            <v>2.2</v>
          </cell>
          <cell r="J562">
            <v>96</v>
          </cell>
          <cell r="K562">
            <v>101</v>
          </cell>
          <cell r="L562">
            <v>2.8</v>
          </cell>
          <cell r="M562">
            <v>1260</v>
          </cell>
          <cell r="N562">
            <v>19138</v>
          </cell>
        </row>
        <row r="563">
          <cell r="A563" t="str">
            <v>Y315L2-4/200</v>
          </cell>
          <cell r="B563">
            <v>163</v>
          </cell>
          <cell r="C563">
            <v>361</v>
          </cell>
          <cell r="D563">
            <v>1480</v>
          </cell>
          <cell r="E563">
            <v>94.5</v>
          </cell>
          <cell r="F563">
            <v>0.89</v>
          </cell>
          <cell r="G563">
            <v>1.8</v>
          </cell>
          <cell r="H563">
            <v>6.8</v>
          </cell>
          <cell r="I563">
            <v>2.2</v>
          </cell>
          <cell r="J563">
            <v>96</v>
          </cell>
          <cell r="K563">
            <v>101</v>
          </cell>
          <cell r="L563">
            <v>2.8</v>
          </cell>
          <cell r="M563">
            <v>1260</v>
          </cell>
          <cell r="N563">
            <v>19138</v>
          </cell>
        </row>
        <row r="564">
          <cell r="A564" t="str">
            <v>Y315L2-4/200</v>
          </cell>
          <cell r="B564">
            <v>164</v>
          </cell>
          <cell r="C564">
            <v>361</v>
          </cell>
          <cell r="D564">
            <v>1480</v>
          </cell>
          <cell r="E564">
            <v>94.5</v>
          </cell>
          <cell r="F564">
            <v>0.89</v>
          </cell>
          <cell r="G564">
            <v>1.8</v>
          </cell>
          <cell r="H564">
            <v>6.8</v>
          </cell>
          <cell r="I564">
            <v>2.2</v>
          </cell>
          <cell r="J564">
            <v>96</v>
          </cell>
          <cell r="K564">
            <v>101</v>
          </cell>
          <cell r="L564">
            <v>2.8</v>
          </cell>
          <cell r="M564">
            <v>1260</v>
          </cell>
          <cell r="N564">
            <v>19138</v>
          </cell>
        </row>
        <row r="565">
          <cell r="A565" t="str">
            <v>Y315L2-4/200</v>
          </cell>
          <cell r="B565">
            <v>165</v>
          </cell>
          <cell r="C565">
            <v>361</v>
          </cell>
          <cell r="D565">
            <v>1480</v>
          </cell>
          <cell r="E565">
            <v>94.5</v>
          </cell>
          <cell r="F565">
            <v>0.89</v>
          </cell>
          <cell r="G565">
            <v>1.8</v>
          </cell>
          <cell r="H565">
            <v>6.8</v>
          </cell>
          <cell r="I565">
            <v>2.2</v>
          </cell>
          <cell r="J565">
            <v>96</v>
          </cell>
          <cell r="K565">
            <v>101</v>
          </cell>
          <cell r="L565">
            <v>2.8</v>
          </cell>
          <cell r="M565">
            <v>1260</v>
          </cell>
          <cell r="N565">
            <v>19138</v>
          </cell>
        </row>
        <row r="566">
          <cell r="A566" t="str">
            <v>Y315L2-4/200</v>
          </cell>
          <cell r="B566">
            <v>166</v>
          </cell>
          <cell r="C566">
            <v>361</v>
          </cell>
          <cell r="D566">
            <v>1480</v>
          </cell>
          <cell r="E566">
            <v>94.5</v>
          </cell>
          <cell r="F566">
            <v>0.89</v>
          </cell>
          <cell r="G566">
            <v>1.8</v>
          </cell>
          <cell r="H566">
            <v>6.8</v>
          </cell>
          <cell r="I566">
            <v>2.2</v>
          </cell>
          <cell r="J566">
            <v>96</v>
          </cell>
          <cell r="K566">
            <v>101</v>
          </cell>
          <cell r="L566">
            <v>2.8</v>
          </cell>
          <cell r="M566">
            <v>1260</v>
          </cell>
          <cell r="N566">
            <v>19138</v>
          </cell>
        </row>
        <row r="567">
          <cell r="A567" t="str">
            <v>Y315L2-4/200</v>
          </cell>
          <cell r="B567">
            <v>167</v>
          </cell>
          <cell r="C567">
            <v>361</v>
          </cell>
          <cell r="D567">
            <v>1480</v>
          </cell>
          <cell r="E567">
            <v>94.5</v>
          </cell>
          <cell r="F567">
            <v>0.89</v>
          </cell>
          <cell r="G567">
            <v>1.8</v>
          </cell>
          <cell r="H567">
            <v>6.8</v>
          </cell>
          <cell r="I567">
            <v>2.2</v>
          </cell>
          <cell r="J567">
            <v>96</v>
          </cell>
          <cell r="K567">
            <v>101</v>
          </cell>
          <cell r="L567">
            <v>2.8</v>
          </cell>
          <cell r="M567">
            <v>1260</v>
          </cell>
          <cell r="N567">
            <v>19138</v>
          </cell>
        </row>
        <row r="568">
          <cell r="A568" t="str">
            <v>Y315L2-4/200</v>
          </cell>
          <cell r="B568">
            <v>168</v>
          </cell>
          <cell r="C568">
            <v>361</v>
          </cell>
          <cell r="D568">
            <v>1480</v>
          </cell>
          <cell r="E568">
            <v>94.5</v>
          </cell>
          <cell r="F568">
            <v>0.89</v>
          </cell>
          <cell r="G568">
            <v>1.8</v>
          </cell>
          <cell r="H568">
            <v>6.8</v>
          </cell>
          <cell r="I568">
            <v>2.2</v>
          </cell>
          <cell r="J568">
            <v>96</v>
          </cell>
          <cell r="K568">
            <v>101</v>
          </cell>
          <cell r="L568">
            <v>2.8</v>
          </cell>
          <cell r="M568">
            <v>1260</v>
          </cell>
          <cell r="N568">
            <v>19138</v>
          </cell>
        </row>
        <row r="569">
          <cell r="A569" t="str">
            <v>Y315L2-4/200</v>
          </cell>
          <cell r="B569">
            <v>169</v>
          </cell>
          <cell r="C569">
            <v>361</v>
          </cell>
          <cell r="D569">
            <v>1480</v>
          </cell>
          <cell r="E569">
            <v>94.5</v>
          </cell>
          <cell r="F569">
            <v>0.89</v>
          </cell>
          <cell r="G569">
            <v>1.8</v>
          </cell>
          <cell r="H569">
            <v>6.8</v>
          </cell>
          <cell r="I569">
            <v>2.2</v>
          </cell>
          <cell r="J569">
            <v>96</v>
          </cell>
          <cell r="K569">
            <v>101</v>
          </cell>
          <cell r="L569">
            <v>2.8</v>
          </cell>
          <cell r="M569">
            <v>1260</v>
          </cell>
          <cell r="N569">
            <v>19138</v>
          </cell>
        </row>
        <row r="570">
          <cell r="A570" t="str">
            <v>Y315L2-4/200</v>
          </cell>
          <cell r="B570">
            <v>170</v>
          </cell>
          <cell r="C570">
            <v>361</v>
          </cell>
          <cell r="D570">
            <v>1480</v>
          </cell>
          <cell r="E570">
            <v>94.5</v>
          </cell>
          <cell r="F570">
            <v>0.89</v>
          </cell>
          <cell r="G570">
            <v>1.8</v>
          </cell>
          <cell r="H570">
            <v>6.8</v>
          </cell>
          <cell r="I570">
            <v>2.2</v>
          </cell>
          <cell r="J570">
            <v>96</v>
          </cell>
          <cell r="K570">
            <v>101</v>
          </cell>
          <cell r="L570">
            <v>2.8</v>
          </cell>
          <cell r="M570">
            <v>1260</v>
          </cell>
          <cell r="N570">
            <v>19138</v>
          </cell>
        </row>
        <row r="571">
          <cell r="A571" t="str">
            <v>Y315L2-4/200</v>
          </cell>
          <cell r="B571">
            <v>171</v>
          </cell>
          <cell r="C571">
            <v>361</v>
          </cell>
          <cell r="D571">
            <v>1480</v>
          </cell>
          <cell r="E571">
            <v>94.5</v>
          </cell>
          <cell r="F571">
            <v>0.89</v>
          </cell>
          <cell r="G571">
            <v>1.8</v>
          </cell>
          <cell r="H571">
            <v>6.8</v>
          </cell>
          <cell r="I571">
            <v>2.2</v>
          </cell>
          <cell r="J571">
            <v>96</v>
          </cell>
          <cell r="K571">
            <v>101</v>
          </cell>
          <cell r="L571">
            <v>2.8</v>
          </cell>
          <cell r="M571">
            <v>1260</v>
          </cell>
          <cell r="N571">
            <v>19138</v>
          </cell>
        </row>
        <row r="572">
          <cell r="A572" t="str">
            <v>Y315L2-4/200</v>
          </cell>
          <cell r="B572">
            <v>172</v>
          </cell>
          <cell r="C572">
            <v>361</v>
          </cell>
          <cell r="D572">
            <v>1480</v>
          </cell>
          <cell r="E572">
            <v>94.5</v>
          </cell>
          <cell r="F572">
            <v>0.89</v>
          </cell>
          <cell r="G572">
            <v>1.8</v>
          </cell>
          <cell r="H572">
            <v>6.8</v>
          </cell>
          <cell r="I572">
            <v>2.2</v>
          </cell>
          <cell r="J572">
            <v>96</v>
          </cell>
          <cell r="K572">
            <v>101</v>
          </cell>
          <cell r="L572">
            <v>2.8</v>
          </cell>
          <cell r="M572">
            <v>1260</v>
          </cell>
          <cell r="N572">
            <v>19138</v>
          </cell>
        </row>
        <row r="573">
          <cell r="A573" t="str">
            <v>Y315L2-4/200</v>
          </cell>
          <cell r="B573">
            <v>173</v>
          </cell>
          <cell r="C573">
            <v>361</v>
          </cell>
          <cell r="D573">
            <v>1480</v>
          </cell>
          <cell r="E573">
            <v>94.5</v>
          </cell>
          <cell r="F573">
            <v>0.89</v>
          </cell>
          <cell r="G573">
            <v>1.8</v>
          </cell>
          <cell r="H573">
            <v>6.8</v>
          </cell>
          <cell r="I573">
            <v>2.2</v>
          </cell>
          <cell r="J573">
            <v>96</v>
          </cell>
          <cell r="K573">
            <v>101</v>
          </cell>
          <cell r="L573">
            <v>2.8</v>
          </cell>
          <cell r="M573">
            <v>1260</v>
          </cell>
          <cell r="N573">
            <v>19138</v>
          </cell>
        </row>
        <row r="574">
          <cell r="A574" t="str">
            <v>Y315L2-4/200</v>
          </cell>
          <cell r="B574">
            <v>174</v>
          </cell>
          <cell r="C574">
            <v>361</v>
          </cell>
          <cell r="D574">
            <v>1480</v>
          </cell>
          <cell r="E574">
            <v>94.5</v>
          </cell>
          <cell r="F574">
            <v>0.89</v>
          </cell>
          <cell r="G574">
            <v>1.8</v>
          </cell>
          <cell r="H574">
            <v>6.8</v>
          </cell>
          <cell r="I574">
            <v>2.2</v>
          </cell>
          <cell r="J574">
            <v>96</v>
          </cell>
          <cell r="K574">
            <v>101</v>
          </cell>
          <cell r="L574">
            <v>2.8</v>
          </cell>
          <cell r="M574">
            <v>1260</v>
          </cell>
          <cell r="N574">
            <v>19138</v>
          </cell>
        </row>
        <row r="575">
          <cell r="A575" t="str">
            <v>Y315L2-4/200</v>
          </cell>
          <cell r="B575">
            <v>175</v>
          </cell>
          <cell r="C575">
            <v>361</v>
          </cell>
          <cell r="D575">
            <v>1480</v>
          </cell>
          <cell r="E575">
            <v>94.5</v>
          </cell>
          <cell r="F575">
            <v>0.89</v>
          </cell>
          <cell r="G575">
            <v>1.8</v>
          </cell>
          <cell r="H575">
            <v>6.8</v>
          </cell>
          <cell r="I575">
            <v>2.2</v>
          </cell>
          <cell r="J575">
            <v>96</v>
          </cell>
          <cell r="K575">
            <v>101</v>
          </cell>
          <cell r="L575">
            <v>2.8</v>
          </cell>
          <cell r="M575">
            <v>1260</v>
          </cell>
          <cell r="N575">
            <v>19138</v>
          </cell>
        </row>
        <row r="576">
          <cell r="A576" t="str">
            <v>Y315L2-4/200</v>
          </cell>
          <cell r="B576">
            <v>176</v>
          </cell>
          <cell r="C576">
            <v>361</v>
          </cell>
          <cell r="D576">
            <v>1480</v>
          </cell>
          <cell r="E576">
            <v>94.5</v>
          </cell>
          <cell r="F576">
            <v>0.89</v>
          </cell>
          <cell r="G576">
            <v>1.8</v>
          </cell>
          <cell r="H576">
            <v>6.8</v>
          </cell>
          <cell r="I576">
            <v>2.2</v>
          </cell>
          <cell r="J576">
            <v>96</v>
          </cell>
          <cell r="K576">
            <v>101</v>
          </cell>
          <cell r="L576">
            <v>2.8</v>
          </cell>
          <cell r="M576">
            <v>1260</v>
          </cell>
          <cell r="N576">
            <v>19138</v>
          </cell>
        </row>
        <row r="577">
          <cell r="A577" t="str">
            <v>Y315L2-4/200</v>
          </cell>
          <cell r="B577">
            <v>177</v>
          </cell>
          <cell r="C577">
            <v>361</v>
          </cell>
          <cell r="D577">
            <v>1480</v>
          </cell>
          <cell r="E577">
            <v>94.5</v>
          </cell>
          <cell r="F577">
            <v>0.89</v>
          </cell>
          <cell r="G577">
            <v>1.8</v>
          </cell>
          <cell r="H577">
            <v>6.8</v>
          </cell>
          <cell r="I577">
            <v>2.2</v>
          </cell>
          <cell r="J577">
            <v>96</v>
          </cell>
          <cell r="K577">
            <v>101</v>
          </cell>
          <cell r="L577">
            <v>2.8</v>
          </cell>
          <cell r="M577">
            <v>1260</v>
          </cell>
          <cell r="N577">
            <v>19138</v>
          </cell>
        </row>
        <row r="578">
          <cell r="A578" t="str">
            <v>Y315L2-4/200</v>
          </cell>
          <cell r="B578">
            <v>178</v>
          </cell>
          <cell r="C578">
            <v>361</v>
          </cell>
          <cell r="D578">
            <v>1480</v>
          </cell>
          <cell r="E578">
            <v>94.5</v>
          </cell>
          <cell r="F578">
            <v>0.89</v>
          </cell>
          <cell r="G578">
            <v>1.8</v>
          </cell>
          <cell r="H578">
            <v>6.8</v>
          </cell>
          <cell r="I578">
            <v>2.2</v>
          </cell>
          <cell r="J578">
            <v>96</v>
          </cell>
          <cell r="K578">
            <v>101</v>
          </cell>
          <cell r="L578">
            <v>2.8</v>
          </cell>
          <cell r="M578">
            <v>1260</v>
          </cell>
          <cell r="N578">
            <v>19138</v>
          </cell>
        </row>
        <row r="579">
          <cell r="A579" t="str">
            <v>Y315L2-4/200</v>
          </cell>
          <cell r="B579">
            <v>179</v>
          </cell>
          <cell r="C579">
            <v>361</v>
          </cell>
          <cell r="D579">
            <v>1480</v>
          </cell>
          <cell r="E579">
            <v>94.5</v>
          </cell>
          <cell r="F579">
            <v>0.89</v>
          </cell>
          <cell r="G579">
            <v>1.8</v>
          </cell>
          <cell r="H579">
            <v>6.8</v>
          </cell>
          <cell r="I579">
            <v>2.2</v>
          </cell>
          <cell r="J579">
            <v>96</v>
          </cell>
          <cell r="K579">
            <v>101</v>
          </cell>
          <cell r="L579">
            <v>2.8</v>
          </cell>
          <cell r="M579">
            <v>1260</v>
          </cell>
          <cell r="N579">
            <v>19138</v>
          </cell>
        </row>
        <row r="580">
          <cell r="A580" t="str">
            <v>Y315L2-4/200</v>
          </cell>
          <cell r="B580">
            <v>180</v>
          </cell>
          <cell r="C580">
            <v>361</v>
          </cell>
          <cell r="D580">
            <v>1480</v>
          </cell>
          <cell r="E580">
            <v>94.5</v>
          </cell>
          <cell r="F580">
            <v>0.89</v>
          </cell>
          <cell r="G580">
            <v>1.8</v>
          </cell>
          <cell r="H580">
            <v>6.8</v>
          </cell>
          <cell r="I580">
            <v>2.2</v>
          </cell>
          <cell r="J580">
            <v>96</v>
          </cell>
          <cell r="K580">
            <v>101</v>
          </cell>
          <cell r="L580">
            <v>2.8</v>
          </cell>
          <cell r="M580">
            <v>1260</v>
          </cell>
          <cell r="N580">
            <v>19138</v>
          </cell>
        </row>
        <row r="581">
          <cell r="A581" t="str">
            <v>Y315L2-4/200</v>
          </cell>
          <cell r="B581">
            <v>181</v>
          </cell>
          <cell r="C581">
            <v>361</v>
          </cell>
          <cell r="D581">
            <v>1480</v>
          </cell>
          <cell r="E581">
            <v>94.5</v>
          </cell>
          <cell r="F581">
            <v>0.89</v>
          </cell>
          <cell r="G581">
            <v>1.8</v>
          </cell>
          <cell r="H581">
            <v>6.8</v>
          </cell>
          <cell r="I581">
            <v>2.2</v>
          </cell>
          <cell r="J581">
            <v>96</v>
          </cell>
          <cell r="K581">
            <v>101</v>
          </cell>
          <cell r="L581">
            <v>2.8</v>
          </cell>
          <cell r="M581">
            <v>1260</v>
          </cell>
          <cell r="N581">
            <v>19138</v>
          </cell>
        </row>
        <row r="582">
          <cell r="A582" t="str">
            <v>Y315L2-4/200</v>
          </cell>
          <cell r="B582">
            <v>182</v>
          </cell>
          <cell r="C582">
            <v>361</v>
          </cell>
          <cell r="D582">
            <v>1480</v>
          </cell>
          <cell r="E582">
            <v>94.5</v>
          </cell>
          <cell r="F582">
            <v>0.89</v>
          </cell>
          <cell r="G582">
            <v>1.8</v>
          </cell>
          <cell r="H582">
            <v>6.8</v>
          </cell>
          <cell r="I582">
            <v>2.2</v>
          </cell>
          <cell r="J582">
            <v>96</v>
          </cell>
          <cell r="K582">
            <v>101</v>
          </cell>
          <cell r="L582">
            <v>2.8</v>
          </cell>
          <cell r="M582">
            <v>1260</v>
          </cell>
          <cell r="N582">
            <v>19138</v>
          </cell>
        </row>
        <row r="583">
          <cell r="A583" t="str">
            <v>Y315L2-4/200</v>
          </cell>
          <cell r="B583">
            <v>183</v>
          </cell>
          <cell r="C583">
            <v>361</v>
          </cell>
          <cell r="D583">
            <v>1480</v>
          </cell>
          <cell r="E583">
            <v>94.5</v>
          </cell>
          <cell r="F583">
            <v>0.89</v>
          </cell>
          <cell r="G583">
            <v>1.8</v>
          </cell>
          <cell r="H583">
            <v>6.8</v>
          </cell>
          <cell r="I583">
            <v>2.2</v>
          </cell>
          <cell r="J583">
            <v>96</v>
          </cell>
          <cell r="K583">
            <v>101</v>
          </cell>
          <cell r="L583">
            <v>2.8</v>
          </cell>
          <cell r="M583">
            <v>1260</v>
          </cell>
          <cell r="N583">
            <v>19138</v>
          </cell>
        </row>
        <row r="584">
          <cell r="A584" t="str">
            <v>Y315L2-4/200</v>
          </cell>
          <cell r="B584">
            <v>184</v>
          </cell>
          <cell r="C584">
            <v>361</v>
          </cell>
          <cell r="D584">
            <v>1480</v>
          </cell>
          <cell r="E584">
            <v>94.5</v>
          </cell>
          <cell r="F584">
            <v>0.89</v>
          </cell>
          <cell r="G584">
            <v>1.8</v>
          </cell>
          <cell r="H584">
            <v>6.8</v>
          </cell>
          <cell r="I584">
            <v>2.2</v>
          </cell>
          <cell r="J584">
            <v>96</v>
          </cell>
          <cell r="K584">
            <v>101</v>
          </cell>
          <cell r="L584">
            <v>2.8</v>
          </cell>
          <cell r="M584">
            <v>1260</v>
          </cell>
          <cell r="N584">
            <v>19138</v>
          </cell>
        </row>
        <row r="585">
          <cell r="A585" t="str">
            <v>Y315L2-4/200</v>
          </cell>
          <cell r="B585">
            <v>185</v>
          </cell>
          <cell r="C585">
            <v>361</v>
          </cell>
          <cell r="D585">
            <v>1480</v>
          </cell>
          <cell r="E585">
            <v>94.5</v>
          </cell>
          <cell r="F585">
            <v>0.89</v>
          </cell>
          <cell r="G585">
            <v>1.8</v>
          </cell>
          <cell r="H585">
            <v>6.8</v>
          </cell>
          <cell r="I585">
            <v>2.2</v>
          </cell>
          <cell r="J585">
            <v>96</v>
          </cell>
          <cell r="K585">
            <v>101</v>
          </cell>
          <cell r="L585">
            <v>2.8</v>
          </cell>
          <cell r="M585">
            <v>1260</v>
          </cell>
          <cell r="N585">
            <v>19138</v>
          </cell>
        </row>
        <row r="586">
          <cell r="A586" t="str">
            <v>Y315L2-4/200</v>
          </cell>
          <cell r="B586">
            <v>186</v>
          </cell>
          <cell r="C586">
            <v>361</v>
          </cell>
          <cell r="D586">
            <v>1480</v>
          </cell>
          <cell r="E586">
            <v>94.5</v>
          </cell>
          <cell r="F586">
            <v>0.89</v>
          </cell>
          <cell r="G586">
            <v>1.8</v>
          </cell>
          <cell r="H586">
            <v>6.8</v>
          </cell>
          <cell r="I586">
            <v>2.2</v>
          </cell>
          <cell r="J586">
            <v>96</v>
          </cell>
          <cell r="K586">
            <v>101</v>
          </cell>
          <cell r="L586">
            <v>2.8</v>
          </cell>
          <cell r="M586">
            <v>1260</v>
          </cell>
          <cell r="N586">
            <v>19138</v>
          </cell>
        </row>
        <row r="587">
          <cell r="A587" t="str">
            <v>Y315L2-4/200</v>
          </cell>
          <cell r="B587">
            <v>187</v>
          </cell>
          <cell r="C587">
            <v>361</v>
          </cell>
          <cell r="D587">
            <v>1480</v>
          </cell>
          <cell r="E587">
            <v>94.5</v>
          </cell>
          <cell r="F587">
            <v>0.89</v>
          </cell>
          <cell r="G587">
            <v>1.8</v>
          </cell>
          <cell r="H587">
            <v>6.8</v>
          </cell>
          <cell r="I587">
            <v>2.2</v>
          </cell>
          <cell r="J587">
            <v>96</v>
          </cell>
          <cell r="K587">
            <v>101</v>
          </cell>
          <cell r="L587">
            <v>2.8</v>
          </cell>
          <cell r="M587">
            <v>1260</v>
          </cell>
          <cell r="N587">
            <v>19138</v>
          </cell>
        </row>
        <row r="588">
          <cell r="A588" t="str">
            <v>Y315L2-4/200</v>
          </cell>
          <cell r="B588">
            <v>188</v>
          </cell>
          <cell r="C588">
            <v>361</v>
          </cell>
          <cell r="D588">
            <v>1480</v>
          </cell>
          <cell r="E588">
            <v>94.5</v>
          </cell>
          <cell r="F588">
            <v>0.89</v>
          </cell>
          <cell r="G588">
            <v>1.8</v>
          </cell>
          <cell r="H588">
            <v>6.8</v>
          </cell>
          <cell r="I588">
            <v>2.2</v>
          </cell>
          <cell r="J588">
            <v>96</v>
          </cell>
          <cell r="K588">
            <v>101</v>
          </cell>
          <cell r="L588">
            <v>2.8</v>
          </cell>
          <cell r="M588">
            <v>1260</v>
          </cell>
          <cell r="N588">
            <v>19138</v>
          </cell>
        </row>
        <row r="589">
          <cell r="A589" t="str">
            <v>Y315L2-4/200</v>
          </cell>
          <cell r="B589">
            <v>189</v>
          </cell>
          <cell r="C589">
            <v>361</v>
          </cell>
          <cell r="D589">
            <v>1480</v>
          </cell>
          <cell r="E589">
            <v>94.5</v>
          </cell>
          <cell r="F589">
            <v>0.89</v>
          </cell>
          <cell r="G589">
            <v>1.8</v>
          </cell>
          <cell r="H589">
            <v>6.8</v>
          </cell>
          <cell r="I589">
            <v>2.2</v>
          </cell>
          <cell r="J589">
            <v>96</v>
          </cell>
          <cell r="K589">
            <v>101</v>
          </cell>
          <cell r="L589">
            <v>2.8</v>
          </cell>
          <cell r="M589">
            <v>1260</v>
          </cell>
          <cell r="N589">
            <v>19138</v>
          </cell>
        </row>
        <row r="590">
          <cell r="A590" t="str">
            <v>Y315L2-4/200</v>
          </cell>
          <cell r="B590">
            <v>190</v>
          </cell>
          <cell r="C590">
            <v>361</v>
          </cell>
          <cell r="D590">
            <v>1480</v>
          </cell>
          <cell r="E590">
            <v>94.5</v>
          </cell>
          <cell r="F590">
            <v>0.89</v>
          </cell>
          <cell r="G590">
            <v>1.8</v>
          </cell>
          <cell r="H590">
            <v>6.8</v>
          </cell>
          <cell r="I590">
            <v>2.2</v>
          </cell>
          <cell r="J590">
            <v>96</v>
          </cell>
          <cell r="K590">
            <v>101</v>
          </cell>
          <cell r="L590">
            <v>2.8</v>
          </cell>
          <cell r="M590">
            <v>1260</v>
          </cell>
          <cell r="N590">
            <v>19138</v>
          </cell>
        </row>
        <row r="591">
          <cell r="A591" t="str">
            <v>Y315L2-4/200</v>
          </cell>
          <cell r="B591">
            <v>191</v>
          </cell>
          <cell r="C591">
            <v>361</v>
          </cell>
          <cell r="D591">
            <v>1480</v>
          </cell>
          <cell r="E591">
            <v>94.5</v>
          </cell>
          <cell r="F591">
            <v>0.89</v>
          </cell>
          <cell r="G591">
            <v>1.8</v>
          </cell>
          <cell r="H591">
            <v>6.8</v>
          </cell>
          <cell r="I591">
            <v>2.2</v>
          </cell>
          <cell r="J591">
            <v>96</v>
          </cell>
          <cell r="K591">
            <v>101</v>
          </cell>
          <cell r="L591">
            <v>2.8</v>
          </cell>
          <cell r="M591">
            <v>1260</v>
          </cell>
          <cell r="N591">
            <v>19138</v>
          </cell>
        </row>
        <row r="592">
          <cell r="A592" t="str">
            <v>Y315L2-4/200</v>
          </cell>
          <cell r="B592">
            <v>192</v>
          </cell>
          <cell r="C592">
            <v>361</v>
          </cell>
          <cell r="D592">
            <v>1480</v>
          </cell>
          <cell r="E592">
            <v>94.5</v>
          </cell>
          <cell r="F592">
            <v>0.89</v>
          </cell>
          <cell r="G592">
            <v>1.8</v>
          </cell>
          <cell r="H592">
            <v>6.8</v>
          </cell>
          <cell r="I592">
            <v>2.2</v>
          </cell>
          <cell r="J592">
            <v>96</v>
          </cell>
          <cell r="K592">
            <v>101</v>
          </cell>
          <cell r="L592">
            <v>2.8</v>
          </cell>
          <cell r="M592">
            <v>1260</v>
          </cell>
          <cell r="N592">
            <v>19138</v>
          </cell>
        </row>
        <row r="593">
          <cell r="A593" t="str">
            <v>Y315L2-4/200</v>
          </cell>
          <cell r="B593">
            <v>193</v>
          </cell>
          <cell r="C593">
            <v>361</v>
          </cell>
          <cell r="D593">
            <v>1480</v>
          </cell>
          <cell r="E593">
            <v>94.5</v>
          </cell>
          <cell r="F593">
            <v>0.89</v>
          </cell>
          <cell r="G593">
            <v>1.8</v>
          </cell>
          <cell r="H593">
            <v>6.8</v>
          </cell>
          <cell r="I593">
            <v>2.2</v>
          </cell>
          <cell r="J593">
            <v>96</v>
          </cell>
          <cell r="K593">
            <v>101</v>
          </cell>
          <cell r="L593">
            <v>2.8</v>
          </cell>
          <cell r="M593">
            <v>1260</v>
          </cell>
          <cell r="N593">
            <v>19138</v>
          </cell>
        </row>
        <row r="594">
          <cell r="A594" t="str">
            <v>Y315L2-4/200</v>
          </cell>
          <cell r="B594">
            <v>194</v>
          </cell>
          <cell r="C594">
            <v>361</v>
          </cell>
          <cell r="D594">
            <v>1480</v>
          </cell>
          <cell r="E594">
            <v>94.5</v>
          </cell>
          <cell r="F594">
            <v>0.89</v>
          </cell>
          <cell r="G594">
            <v>1.8</v>
          </cell>
          <cell r="H594">
            <v>6.8</v>
          </cell>
          <cell r="I594">
            <v>2.2</v>
          </cell>
          <cell r="J594">
            <v>96</v>
          </cell>
          <cell r="K594">
            <v>101</v>
          </cell>
          <cell r="L594">
            <v>2.8</v>
          </cell>
          <cell r="M594">
            <v>1260</v>
          </cell>
          <cell r="N594">
            <v>19138</v>
          </cell>
        </row>
        <row r="595">
          <cell r="A595" t="str">
            <v>Y315L2-4/200</v>
          </cell>
          <cell r="B595">
            <v>195</v>
          </cell>
          <cell r="C595">
            <v>361</v>
          </cell>
          <cell r="D595">
            <v>1480</v>
          </cell>
          <cell r="E595">
            <v>94.5</v>
          </cell>
          <cell r="F595">
            <v>0.89</v>
          </cell>
          <cell r="G595">
            <v>1.8</v>
          </cell>
          <cell r="H595">
            <v>6.8</v>
          </cell>
          <cell r="I595">
            <v>2.2</v>
          </cell>
          <cell r="J595">
            <v>96</v>
          </cell>
          <cell r="K595">
            <v>101</v>
          </cell>
          <cell r="L595">
            <v>2.8</v>
          </cell>
          <cell r="M595">
            <v>1260</v>
          </cell>
          <cell r="N595">
            <v>19138</v>
          </cell>
        </row>
        <row r="596">
          <cell r="A596" t="str">
            <v>Y315L2-4/200</v>
          </cell>
          <cell r="B596">
            <v>196</v>
          </cell>
          <cell r="C596">
            <v>361</v>
          </cell>
          <cell r="D596">
            <v>1480</v>
          </cell>
          <cell r="E596">
            <v>94.5</v>
          </cell>
          <cell r="F596">
            <v>0.89</v>
          </cell>
          <cell r="G596">
            <v>1.8</v>
          </cell>
          <cell r="H596">
            <v>6.8</v>
          </cell>
          <cell r="I596">
            <v>2.2</v>
          </cell>
          <cell r="J596">
            <v>96</v>
          </cell>
          <cell r="K596">
            <v>101</v>
          </cell>
          <cell r="L596">
            <v>2.8</v>
          </cell>
          <cell r="M596">
            <v>1260</v>
          </cell>
          <cell r="N596">
            <v>19138</v>
          </cell>
        </row>
        <row r="597">
          <cell r="A597" t="str">
            <v>Y315L2-4/200</v>
          </cell>
          <cell r="B597">
            <v>197</v>
          </cell>
          <cell r="C597">
            <v>361</v>
          </cell>
          <cell r="D597">
            <v>1480</v>
          </cell>
          <cell r="E597">
            <v>94.5</v>
          </cell>
          <cell r="F597">
            <v>0.89</v>
          </cell>
          <cell r="G597">
            <v>1.8</v>
          </cell>
          <cell r="H597">
            <v>6.8</v>
          </cell>
          <cell r="I597">
            <v>2.2</v>
          </cell>
          <cell r="J597">
            <v>96</v>
          </cell>
          <cell r="K597">
            <v>101</v>
          </cell>
          <cell r="L597">
            <v>2.8</v>
          </cell>
          <cell r="M597">
            <v>1260</v>
          </cell>
          <cell r="N597">
            <v>19138</v>
          </cell>
        </row>
        <row r="598">
          <cell r="A598" t="str">
            <v>Y315L2-4/200</v>
          </cell>
          <cell r="B598">
            <v>198</v>
          </cell>
          <cell r="C598">
            <v>361</v>
          </cell>
          <cell r="D598">
            <v>1480</v>
          </cell>
          <cell r="E598">
            <v>94.5</v>
          </cell>
          <cell r="F598">
            <v>0.89</v>
          </cell>
          <cell r="G598">
            <v>1.8</v>
          </cell>
          <cell r="H598">
            <v>6.8</v>
          </cell>
          <cell r="I598">
            <v>2.2</v>
          </cell>
          <cell r="J598">
            <v>96</v>
          </cell>
          <cell r="K598">
            <v>101</v>
          </cell>
          <cell r="L598">
            <v>2.8</v>
          </cell>
          <cell r="M598">
            <v>1260</v>
          </cell>
          <cell r="N598">
            <v>19138</v>
          </cell>
        </row>
        <row r="599">
          <cell r="A599" t="str">
            <v>Y315L2-4/200</v>
          </cell>
          <cell r="B599">
            <v>199</v>
          </cell>
          <cell r="C599">
            <v>361</v>
          </cell>
          <cell r="D599">
            <v>1480</v>
          </cell>
          <cell r="E599">
            <v>94.5</v>
          </cell>
          <cell r="F599">
            <v>0.89</v>
          </cell>
          <cell r="G599">
            <v>1.8</v>
          </cell>
          <cell r="H599">
            <v>6.8</v>
          </cell>
          <cell r="I599">
            <v>2.2</v>
          </cell>
          <cell r="J599">
            <v>96</v>
          </cell>
          <cell r="K599">
            <v>101</v>
          </cell>
          <cell r="L599">
            <v>2.8</v>
          </cell>
          <cell r="M599">
            <v>1260</v>
          </cell>
          <cell r="N599">
            <v>19138</v>
          </cell>
        </row>
        <row r="600">
          <cell r="A600" t="str">
            <v>Y315L2-4/200</v>
          </cell>
          <cell r="B600">
            <v>200</v>
          </cell>
          <cell r="C600">
            <v>361</v>
          </cell>
          <cell r="D600">
            <v>1480</v>
          </cell>
          <cell r="E600">
            <v>94.5</v>
          </cell>
          <cell r="F600">
            <v>0.89</v>
          </cell>
          <cell r="G600">
            <v>1.8</v>
          </cell>
          <cell r="H600">
            <v>6.8</v>
          </cell>
          <cell r="I600">
            <v>2.2</v>
          </cell>
          <cell r="J600">
            <v>96</v>
          </cell>
          <cell r="K600">
            <v>101</v>
          </cell>
          <cell r="L600">
            <v>2.8</v>
          </cell>
          <cell r="M600">
            <v>1260</v>
          </cell>
          <cell r="N600">
            <v>19138</v>
          </cell>
        </row>
        <row r="601">
          <cell r="A601" t="str">
            <v>Y355M1-4/220</v>
          </cell>
          <cell r="B601">
            <v>201</v>
          </cell>
          <cell r="C601">
            <v>407</v>
          </cell>
          <cell r="D601">
            <v>1488</v>
          </cell>
          <cell r="E601">
            <v>94.4</v>
          </cell>
          <cell r="F601">
            <v>0.87</v>
          </cell>
          <cell r="G601">
            <v>1.4</v>
          </cell>
          <cell r="H601">
            <v>6.8</v>
          </cell>
          <cell r="I601">
            <v>2.2</v>
          </cell>
          <cell r="J601">
            <v>106</v>
          </cell>
        </row>
        <row r="601">
          <cell r="L601">
            <v>4.5</v>
          </cell>
          <cell r="M601">
            <v>1690</v>
          </cell>
        </row>
        <row r="602">
          <cell r="A602" t="str">
            <v>Y355M1-4/220</v>
          </cell>
          <cell r="B602">
            <v>202</v>
          </cell>
          <cell r="C602">
            <v>407</v>
          </cell>
          <cell r="D602">
            <v>1488</v>
          </cell>
          <cell r="E602">
            <v>94.4</v>
          </cell>
          <cell r="F602">
            <v>0.87</v>
          </cell>
          <cell r="G602">
            <v>1.4</v>
          </cell>
          <cell r="H602">
            <v>6.8</v>
          </cell>
          <cell r="I602">
            <v>2.2</v>
          </cell>
          <cell r="J602">
            <v>106</v>
          </cell>
        </row>
        <row r="602">
          <cell r="L602">
            <v>4.5</v>
          </cell>
          <cell r="M602">
            <v>1690</v>
          </cell>
        </row>
        <row r="603">
          <cell r="A603" t="str">
            <v>Y355M1-4/220</v>
          </cell>
          <cell r="B603">
            <v>203</v>
          </cell>
          <cell r="C603">
            <v>407</v>
          </cell>
          <cell r="D603">
            <v>1488</v>
          </cell>
          <cell r="E603">
            <v>94.4</v>
          </cell>
          <cell r="F603">
            <v>0.87</v>
          </cell>
          <cell r="G603">
            <v>1.4</v>
          </cell>
          <cell r="H603">
            <v>6.8</v>
          </cell>
          <cell r="I603">
            <v>2.2</v>
          </cell>
          <cell r="J603">
            <v>106</v>
          </cell>
        </row>
        <row r="603">
          <cell r="L603">
            <v>4.5</v>
          </cell>
          <cell r="M603">
            <v>1690</v>
          </cell>
        </row>
        <row r="604">
          <cell r="A604" t="str">
            <v>Y355M1-4/220</v>
          </cell>
          <cell r="B604">
            <v>204</v>
          </cell>
          <cell r="C604">
            <v>407</v>
          </cell>
          <cell r="D604">
            <v>1488</v>
          </cell>
          <cell r="E604">
            <v>94.4</v>
          </cell>
          <cell r="F604">
            <v>0.87</v>
          </cell>
          <cell r="G604">
            <v>1.4</v>
          </cell>
          <cell r="H604">
            <v>6.8</v>
          </cell>
          <cell r="I604">
            <v>2.2</v>
          </cell>
          <cell r="J604">
            <v>106</v>
          </cell>
        </row>
        <row r="604">
          <cell r="L604">
            <v>4.5</v>
          </cell>
          <cell r="M604">
            <v>1690</v>
          </cell>
        </row>
        <row r="605">
          <cell r="A605" t="str">
            <v>Y355M1-4/220</v>
          </cell>
          <cell r="B605">
            <v>205</v>
          </cell>
          <cell r="C605">
            <v>407</v>
          </cell>
          <cell r="D605">
            <v>1488</v>
          </cell>
          <cell r="E605">
            <v>94.4</v>
          </cell>
          <cell r="F605">
            <v>0.87</v>
          </cell>
          <cell r="G605">
            <v>1.4</v>
          </cell>
          <cell r="H605">
            <v>6.8</v>
          </cell>
          <cell r="I605">
            <v>2.2</v>
          </cell>
          <cell r="J605">
            <v>106</v>
          </cell>
        </row>
        <row r="605">
          <cell r="L605">
            <v>4.5</v>
          </cell>
          <cell r="M605">
            <v>1690</v>
          </cell>
        </row>
        <row r="606">
          <cell r="A606" t="str">
            <v>Y355M1-4/220</v>
          </cell>
          <cell r="B606">
            <v>206</v>
          </cell>
          <cell r="C606">
            <v>407</v>
          </cell>
          <cell r="D606">
            <v>1488</v>
          </cell>
          <cell r="E606">
            <v>94.4</v>
          </cell>
          <cell r="F606">
            <v>0.87</v>
          </cell>
          <cell r="G606">
            <v>1.4</v>
          </cell>
          <cell r="H606">
            <v>6.8</v>
          </cell>
          <cell r="I606">
            <v>2.2</v>
          </cell>
          <cell r="J606">
            <v>106</v>
          </cell>
        </row>
        <row r="606">
          <cell r="L606">
            <v>4.5</v>
          </cell>
          <cell r="M606">
            <v>1690</v>
          </cell>
        </row>
        <row r="607">
          <cell r="A607" t="str">
            <v>Y355M1-4/220</v>
          </cell>
          <cell r="B607">
            <v>207</v>
          </cell>
          <cell r="C607">
            <v>407</v>
          </cell>
          <cell r="D607">
            <v>1488</v>
          </cell>
          <cell r="E607">
            <v>94.4</v>
          </cell>
          <cell r="F607">
            <v>0.87</v>
          </cell>
          <cell r="G607">
            <v>1.4</v>
          </cell>
          <cell r="H607">
            <v>6.8</v>
          </cell>
          <cell r="I607">
            <v>2.2</v>
          </cell>
          <cell r="J607">
            <v>106</v>
          </cell>
        </row>
        <row r="607">
          <cell r="L607">
            <v>4.5</v>
          </cell>
          <cell r="M607">
            <v>1690</v>
          </cell>
        </row>
        <row r="608">
          <cell r="A608" t="str">
            <v>Y355M1-4/220</v>
          </cell>
          <cell r="B608">
            <v>208</v>
          </cell>
          <cell r="C608">
            <v>407</v>
          </cell>
          <cell r="D608">
            <v>1488</v>
          </cell>
          <cell r="E608">
            <v>94.4</v>
          </cell>
          <cell r="F608">
            <v>0.87</v>
          </cell>
          <cell r="G608">
            <v>1.4</v>
          </cell>
          <cell r="H608">
            <v>6.8</v>
          </cell>
          <cell r="I608">
            <v>2.2</v>
          </cell>
          <cell r="J608">
            <v>106</v>
          </cell>
        </row>
        <row r="608">
          <cell r="L608">
            <v>4.5</v>
          </cell>
          <cell r="M608">
            <v>1690</v>
          </cell>
        </row>
        <row r="609">
          <cell r="A609" t="str">
            <v>Y355M1-4/220</v>
          </cell>
          <cell r="B609">
            <v>209</v>
          </cell>
          <cell r="C609">
            <v>407</v>
          </cell>
          <cell r="D609">
            <v>1488</v>
          </cell>
          <cell r="E609">
            <v>94.4</v>
          </cell>
          <cell r="F609">
            <v>0.87</v>
          </cell>
          <cell r="G609">
            <v>1.4</v>
          </cell>
          <cell r="H609">
            <v>6.8</v>
          </cell>
          <cell r="I609">
            <v>2.2</v>
          </cell>
          <cell r="J609">
            <v>106</v>
          </cell>
        </row>
        <row r="609">
          <cell r="L609">
            <v>4.5</v>
          </cell>
          <cell r="M609">
            <v>1690</v>
          </cell>
        </row>
        <row r="610">
          <cell r="A610" t="str">
            <v>Y355M1-4/220</v>
          </cell>
          <cell r="B610">
            <v>210</v>
          </cell>
          <cell r="C610">
            <v>407</v>
          </cell>
          <cell r="D610">
            <v>1488</v>
          </cell>
          <cell r="E610">
            <v>94.4</v>
          </cell>
          <cell r="F610">
            <v>0.87</v>
          </cell>
          <cell r="G610">
            <v>1.4</v>
          </cell>
          <cell r="H610">
            <v>6.8</v>
          </cell>
          <cell r="I610">
            <v>2.2</v>
          </cell>
          <cell r="J610">
            <v>106</v>
          </cell>
        </row>
        <row r="610">
          <cell r="L610">
            <v>4.5</v>
          </cell>
          <cell r="M610">
            <v>1690</v>
          </cell>
        </row>
        <row r="611">
          <cell r="A611" t="str">
            <v>Y355M1-4/220</v>
          </cell>
          <cell r="B611">
            <v>211</v>
          </cell>
          <cell r="C611">
            <v>407</v>
          </cell>
          <cell r="D611">
            <v>1488</v>
          </cell>
          <cell r="E611">
            <v>94.4</v>
          </cell>
          <cell r="F611">
            <v>0.87</v>
          </cell>
          <cell r="G611">
            <v>1.4</v>
          </cell>
          <cell r="H611">
            <v>6.8</v>
          </cell>
          <cell r="I611">
            <v>2.2</v>
          </cell>
          <cell r="J611">
            <v>106</v>
          </cell>
        </row>
        <row r="611">
          <cell r="L611">
            <v>4.5</v>
          </cell>
          <cell r="M611">
            <v>1690</v>
          </cell>
        </row>
        <row r="612">
          <cell r="A612" t="str">
            <v>Y355M1-4/220</v>
          </cell>
          <cell r="B612">
            <v>212</v>
          </cell>
          <cell r="C612">
            <v>407</v>
          </cell>
          <cell r="D612">
            <v>1488</v>
          </cell>
          <cell r="E612">
            <v>94.4</v>
          </cell>
          <cell r="F612">
            <v>0.87</v>
          </cell>
          <cell r="G612">
            <v>1.4</v>
          </cell>
          <cell r="H612">
            <v>6.8</v>
          </cell>
          <cell r="I612">
            <v>2.2</v>
          </cell>
          <cell r="J612">
            <v>106</v>
          </cell>
        </row>
        <row r="612">
          <cell r="L612">
            <v>4.5</v>
          </cell>
          <cell r="M612">
            <v>1690</v>
          </cell>
        </row>
        <row r="613">
          <cell r="A613" t="str">
            <v>Y355M1-4/220</v>
          </cell>
          <cell r="B613">
            <v>213</v>
          </cell>
          <cell r="C613">
            <v>407</v>
          </cell>
          <cell r="D613">
            <v>1488</v>
          </cell>
          <cell r="E613">
            <v>94.4</v>
          </cell>
          <cell r="F613">
            <v>0.87</v>
          </cell>
          <cell r="G613">
            <v>1.4</v>
          </cell>
          <cell r="H613">
            <v>6.8</v>
          </cell>
          <cell r="I613">
            <v>2.2</v>
          </cell>
          <cell r="J613">
            <v>106</v>
          </cell>
        </row>
        <row r="613">
          <cell r="L613">
            <v>4.5</v>
          </cell>
          <cell r="M613">
            <v>1690</v>
          </cell>
        </row>
        <row r="614">
          <cell r="A614" t="str">
            <v>Y355M1-4/220</v>
          </cell>
          <cell r="B614">
            <v>214</v>
          </cell>
          <cell r="C614">
            <v>407</v>
          </cell>
          <cell r="D614">
            <v>1488</v>
          </cell>
          <cell r="E614">
            <v>94.4</v>
          </cell>
          <cell r="F614">
            <v>0.87</v>
          </cell>
          <cell r="G614">
            <v>1.4</v>
          </cell>
          <cell r="H614">
            <v>6.8</v>
          </cell>
          <cell r="I614">
            <v>2.2</v>
          </cell>
          <cell r="J614">
            <v>106</v>
          </cell>
        </row>
        <row r="614">
          <cell r="L614">
            <v>4.5</v>
          </cell>
          <cell r="M614">
            <v>1690</v>
          </cell>
        </row>
        <row r="615">
          <cell r="A615" t="str">
            <v>Y355M1-4/220</v>
          </cell>
          <cell r="B615">
            <v>215</v>
          </cell>
          <cell r="C615">
            <v>407</v>
          </cell>
          <cell r="D615">
            <v>1488</v>
          </cell>
          <cell r="E615">
            <v>94.4</v>
          </cell>
          <cell r="F615">
            <v>0.87</v>
          </cell>
          <cell r="G615">
            <v>1.4</v>
          </cell>
          <cell r="H615">
            <v>6.8</v>
          </cell>
          <cell r="I615">
            <v>2.2</v>
          </cell>
          <cell r="J615">
            <v>106</v>
          </cell>
        </row>
        <row r="615">
          <cell r="L615">
            <v>4.5</v>
          </cell>
          <cell r="M615">
            <v>1690</v>
          </cell>
        </row>
        <row r="616">
          <cell r="A616" t="str">
            <v>Y355M1-4/220</v>
          </cell>
          <cell r="B616">
            <v>216</v>
          </cell>
          <cell r="C616">
            <v>407</v>
          </cell>
          <cell r="D616">
            <v>1488</v>
          </cell>
          <cell r="E616">
            <v>94.4</v>
          </cell>
          <cell r="F616">
            <v>0.87</v>
          </cell>
          <cell r="G616">
            <v>1.4</v>
          </cell>
          <cell r="H616">
            <v>6.8</v>
          </cell>
          <cell r="I616">
            <v>2.2</v>
          </cell>
          <cell r="J616">
            <v>106</v>
          </cell>
        </row>
        <row r="616">
          <cell r="L616">
            <v>4.5</v>
          </cell>
          <cell r="M616">
            <v>1690</v>
          </cell>
        </row>
        <row r="617">
          <cell r="A617" t="str">
            <v>Y355M1-4/220</v>
          </cell>
          <cell r="B617">
            <v>217</v>
          </cell>
          <cell r="C617">
            <v>407</v>
          </cell>
          <cell r="D617">
            <v>1488</v>
          </cell>
          <cell r="E617">
            <v>94.4</v>
          </cell>
          <cell r="F617">
            <v>0.87</v>
          </cell>
          <cell r="G617">
            <v>1.4</v>
          </cell>
          <cell r="H617">
            <v>6.8</v>
          </cell>
          <cell r="I617">
            <v>2.2</v>
          </cell>
          <cell r="J617">
            <v>106</v>
          </cell>
        </row>
        <row r="617">
          <cell r="L617">
            <v>4.5</v>
          </cell>
          <cell r="M617">
            <v>1690</v>
          </cell>
        </row>
        <row r="618">
          <cell r="A618" t="str">
            <v>Y355M1-4/220</v>
          </cell>
          <cell r="B618">
            <v>218</v>
          </cell>
          <cell r="C618">
            <v>407</v>
          </cell>
          <cell r="D618">
            <v>1488</v>
          </cell>
          <cell r="E618">
            <v>94.4</v>
          </cell>
          <cell r="F618">
            <v>0.87</v>
          </cell>
          <cell r="G618">
            <v>1.4</v>
          </cell>
          <cell r="H618">
            <v>6.8</v>
          </cell>
          <cell r="I618">
            <v>2.2</v>
          </cell>
          <cell r="J618">
            <v>106</v>
          </cell>
        </row>
        <row r="618">
          <cell r="L618">
            <v>4.5</v>
          </cell>
          <cell r="M618">
            <v>1690</v>
          </cell>
        </row>
        <row r="619">
          <cell r="A619" t="str">
            <v>Y355M1-4/220</v>
          </cell>
          <cell r="B619">
            <v>219</v>
          </cell>
          <cell r="C619">
            <v>407</v>
          </cell>
          <cell r="D619">
            <v>1488</v>
          </cell>
          <cell r="E619">
            <v>94.4</v>
          </cell>
          <cell r="F619">
            <v>0.87</v>
          </cell>
          <cell r="G619">
            <v>1.4</v>
          </cell>
          <cell r="H619">
            <v>6.8</v>
          </cell>
          <cell r="I619">
            <v>2.2</v>
          </cell>
          <cell r="J619">
            <v>106</v>
          </cell>
        </row>
        <row r="619">
          <cell r="L619">
            <v>4.5</v>
          </cell>
          <cell r="M619">
            <v>1690</v>
          </cell>
        </row>
        <row r="620">
          <cell r="A620" t="str">
            <v>Y355M1-4/220</v>
          </cell>
          <cell r="B620">
            <v>220</v>
          </cell>
          <cell r="C620">
            <v>407</v>
          </cell>
          <cell r="D620">
            <v>1488</v>
          </cell>
          <cell r="E620">
            <v>94.4</v>
          </cell>
          <cell r="F620">
            <v>0.87</v>
          </cell>
          <cell r="G620">
            <v>1.4</v>
          </cell>
          <cell r="H620">
            <v>6.8</v>
          </cell>
          <cell r="I620">
            <v>2.2</v>
          </cell>
          <cell r="J620">
            <v>106</v>
          </cell>
        </row>
        <row r="620">
          <cell r="L620">
            <v>4.5</v>
          </cell>
          <cell r="M620">
            <v>1690</v>
          </cell>
        </row>
        <row r="621">
          <cell r="A621" t="str">
            <v>Y355M3-4/250</v>
          </cell>
          <cell r="B621">
            <v>221</v>
          </cell>
          <cell r="C621">
            <v>461</v>
          </cell>
          <cell r="D621">
            <v>1488</v>
          </cell>
          <cell r="E621">
            <v>94.7</v>
          </cell>
          <cell r="F621">
            <v>0.87</v>
          </cell>
          <cell r="G621">
            <v>1.4</v>
          </cell>
          <cell r="H621">
            <v>6.8</v>
          </cell>
          <cell r="I621">
            <v>2.2</v>
          </cell>
          <cell r="J621">
            <v>108</v>
          </cell>
        </row>
        <row r="621">
          <cell r="L621">
            <v>4.5</v>
          </cell>
          <cell r="M621">
            <v>1800</v>
          </cell>
        </row>
        <row r="622">
          <cell r="A622" t="str">
            <v>Y355M3-4/250</v>
          </cell>
          <cell r="B622">
            <v>222</v>
          </cell>
          <cell r="C622">
            <v>461</v>
          </cell>
          <cell r="D622">
            <v>1488</v>
          </cell>
          <cell r="E622">
            <v>94.7</v>
          </cell>
          <cell r="F622">
            <v>0.87</v>
          </cell>
          <cell r="G622">
            <v>1.4</v>
          </cell>
          <cell r="H622">
            <v>6.8</v>
          </cell>
          <cell r="I622">
            <v>2.2</v>
          </cell>
          <cell r="J622">
            <v>108</v>
          </cell>
        </row>
        <row r="622">
          <cell r="L622">
            <v>4.5</v>
          </cell>
          <cell r="M622">
            <v>1800</v>
          </cell>
        </row>
        <row r="623">
          <cell r="A623" t="str">
            <v>Y355M3-4/250</v>
          </cell>
          <cell r="B623">
            <v>223</v>
          </cell>
          <cell r="C623">
            <v>461</v>
          </cell>
          <cell r="D623">
            <v>1488</v>
          </cell>
          <cell r="E623">
            <v>94.7</v>
          </cell>
          <cell r="F623">
            <v>0.87</v>
          </cell>
          <cell r="G623">
            <v>1.4</v>
          </cell>
          <cell r="H623">
            <v>6.8</v>
          </cell>
          <cell r="I623">
            <v>2.2</v>
          </cell>
          <cell r="J623">
            <v>108</v>
          </cell>
        </row>
        <row r="623">
          <cell r="L623">
            <v>4.5</v>
          </cell>
          <cell r="M623">
            <v>1800</v>
          </cell>
        </row>
        <row r="624">
          <cell r="A624" t="str">
            <v>Y355M3-4/250</v>
          </cell>
          <cell r="B624">
            <v>224</v>
          </cell>
          <cell r="C624">
            <v>461</v>
          </cell>
          <cell r="D624">
            <v>1488</v>
          </cell>
          <cell r="E624">
            <v>94.7</v>
          </cell>
          <cell r="F624">
            <v>0.87</v>
          </cell>
          <cell r="G624">
            <v>1.4</v>
          </cell>
          <cell r="H624">
            <v>6.8</v>
          </cell>
          <cell r="I624">
            <v>2.2</v>
          </cell>
          <cell r="J624">
            <v>108</v>
          </cell>
        </row>
        <row r="624">
          <cell r="L624">
            <v>4.5</v>
          </cell>
          <cell r="M624">
            <v>1800</v>
          </cell>
        </row>
        <row r="625">
          <cell r="A625" t="str">
            <v>Y355M3-4/250</v>
          </cell>
          <cell r="B625">
            <v>225</v>
          </cell>
          <cell r="C625">
            <v>461</v>
          </cell>
          <cell r="D625">
            <v>1488</v>
          </cell>
          <cell r="E625">
            <v>94.7</v>
          </cell>
          <cell r="F625">
            <v>0.87</v>
          </cell>
          <cell r="G625">
            <v>1.4</v>
          </cell>
          <cell r="H625">
            <v>6.8</v>
          </cell>
          <cell r="I625">
            <v>2.2</v>
          </cell>
          <cell r="J625">
            <v>108</v>
          </cell>
        </row>
        <row r="625">
          <cell r="L625">
            <v>4.5</v>
          </cell>
          <cell r="M625">
            <v>1800</v>
          </cell>
        </row>
        <row r="626">
          <cell r="A626" t="str">
            <v>Y355M3-4/250</v>
          </cell>
          <cell r="B626">
            <v>226</v>
          </cell>
          <cell r="C626">
            <v>461</v>
          </cell>
          <cell r="D626">
            <v>1488</v>
          </cell>
          <cell r="E626">
            <v>94.7</v>
          </cell>
          <cell r="F626">
            <v>0.87</v>
          </cell>
          <cell r="G626">
            <v>1.4</v>
          </cell>
          <cell r="H626">
            <v>6.8</v>
          </cell>
          <cell r="I626">
            <v>2.2</v>
          </cell>
          <cell r="J626">
            <v>108</v>
          </cell>
        </row>
        <row r="626">
          <cell r="L626">
            <v>4.5</v>
          </cell>
          <cell r="M626">
            <v>1800</v>
          </cell>
        </row>
        <row r="627">
          <cell r="A627" t="str">
            <v>Y355M3-4/250</v>
          </cell>
          <cell r="B627">
            <v>227</v>
          </cell>
          <cell r="C627">
            <v>461</v>
          </cell>
          <cell r="D627">
            <v>1488</v>
          </cell>
          <cell r="E627">
            <v>94.7</v>
          </cell>
          <cell r="F627">
            <v>0.87</v>
          </cell>
          <cell r="G627">
            <v>1.4</v>
          </cell>
          <cell r="H627">
            <v>6.8</v>
          </cell>
          <cell r="I627">
            <v>2.2</v>
          </cell>
          <cell r="J627">
            <v>108</v>
          </cell>
        </row>
        <row r="627">
          <cell r="L627">
            <v>4.5</v>
          </cell>
          <cell r="M627">
            <v>1800</v>
          </cell>
        </row>
        <row r="628">
          <cell r="A628" t="str">
            <v>Y355M3-4/250</v>
          </cell>
          <cell r="B628">
            <v>228</v>
          </cell>
          <cell r="C628">
            <v>461</v>
          </cell>
          <cell r="D628">
            <v>1488</v>
          </cell>
          <cell r="E628">
            <v>94.7</v>
          </cell>
          <cell r="F628">
            <v>0.87</v>
          </cell>
          <cell r="G628">
            <v>1.4</v>
          </cell>
          <cell r="H628">
            <v>6.8</v>
          </cell>
          <cell r="I628">
            <v>2.2</v>
          </cell>
          <cell r="J628">
            <v>108</v>
          </cell>
        </row>
        <row r="628">
          <cell r="L628">
            <v>4.5</v>
          </cell>
          <cell r="M628">
            <v>1800</v>
          </cell>
        </row>
        <row r="629">
          <cell r="A629" t="str">
            <v>Y355M3-4/250</v>
          </cell>
          <cell r="B629">
            <v>229</v>
          </cell>
          <cell r="C629">
            <v>461</v>
          </cell>
          <cell r="D629">
            <v>1488</v>
          </cell>
          <cell r="E629">
            <v>94.7</v>
          </cell>
          <cell r="F629">
            <v>0.87</v>
          </cell>
          <cell r="G629">
            <v>1.4</v>
          </cell>
          <cell r="H629">
            <v>6.8</v>
          </cell>
          <cell r="I629">
            <v>2.2</v>
          </cell>
          <cell r="J629">
            <v>108</v>
          </cell>
        </row>
        <row r="629">
          <cell r="L629">
            <v>4.5</v>
          </cell>
          <cell r="M629">
            <v>1800</v>
          </cell>
        </row>
        <row r="630">
          <cell r="A630" t="str">
            <v>Y355M3-4/250</v>
          </cell>
          <cell r="B630">
            <v>230</v>
          </cell>
          <cell r="C630">
            <v>461</v>
          </cell>
          <cell r="D630">
            <v>1488</v>
          </cell>
          <cell r="E630">
            <v>94.7</v>
          </cell>
          <cell r="F630">
            <v>0.87</v>
          </cell>
          <cell r="G630">
            <v>1.4</v>
          </cell>
          <cell r="H630">
            <v>6.8</v>
          </cell>
          <cell r="I630">
            <v>2.2</v>
          </cell>
          <cell r="J630">
            <v>108</v>
          </cell>
        </row>
        <row r="630">
          <cell r="L630">
            <v>4.5</v>
          </cell>
          <cell r="M630">
            <v>1800</v>
          </cell>
        </row>
        <row r="631">
          <cell r="A631" t="str">
            <v>Y355M3-4/250</v>
          </cell>
          <cell r="B631">
            <v>231</v>
          </cell>
          <cell r="C631">
            <v>461</v>
          </cell>
          <cell r="D631">
            <v>1488</v>
          </cell>
          <cell r="E631">
            <v>94.7</v>
          </cell>
          <cell r="F631">
            <v>0.87</v>
          </cell>
          <cell r="G631">
            <v>1.4</v>
          </cell>
          <cell r="H631">
            <v>6.8</v>
          </cell>
          <cell r="I631">
            <v>2.2</v>
          </cell>
          <cell r="J631">
            <v>108</v>
          </cell>
        </row>
        <row r="631">
          <cell r="L631">
            <v>4.5</v>
          </cell>
          <cell r="M631">
            <v>1800</v>
          </cell>
        </row>
        <row r="632">
          <cell r="A632" t="str">
            <v>Y355M3-4/250</v>
          </cell>
          <cell r="B632">
            <v>232</v>
          </cell>
          <cell r="C632">
            <v>461</v>
          </cell>
          <cell r="D632">
            <v>1488</v>
          </cell>
          <cell r="E632">
            <v>94.7</v>
          </cell>
          <cell r="F632">
            <v>0.87</v>
          </cell>
          <cell r="G632">
            <v>1.4</v>
          </cell>
          <cell r="H632">
            <v>6.8</v>
          </cell>
          <cell r="I632">
            <v>2.2</v>
          </cell>
          <cell r="J632">
            <v>108</v>
          </cell>
        </row>
        <row r="632">
          <cell r="L632">
            <v>4.5</v>
          </cell>
          <cell r="M632">
            <v>1800</v>
          </cell>
        </row>
        <row r="633">
          <cell r="A633" t="str">
            <v>Y355M3-4/250</v>
          </cell>
          <cell r="B633">
            <v>233</v>
          </cell>
          <cell r="C633">
            <v>461</v>
          </cell>
          <cell r="D633">
            <v>1488</v>
          </cell>
          <cell r="E633">
            <v>94.7</v>
          </cell>
          <cell r="F633">
            <v>0.87</v>
          </cell>
          <cell r="G633">
            <v>1.4</v>
          </cell>
          <cell r="H633">
            <v>6.8</v>
          </cell>
          <cell r="I633">
            <v>2.2</v>
          </cell>
          <cell r="J633">
            <v>108</v>
          </cell>
        </row>
        <row r="633">
          <cell r="L633">
            <v>4.5</v>
          </cell>
          <cell r="M633">
            <v>1800</v>
          </cell>
        </row>
        <row r="634">
          <cell r="A634" t="str">
            <v>Y355M3-4/250</v>
          </cell>
          <cell r="B634">
            <v>234</v>
          </cell>
          <cell r="C634">
            <v>461</v>
          </cell>
          <cell r="D634">
            <v>1488</v>
          </cell>
          <cell r="E634">
            <v>94.7</v>
          </cell>
          <cell r="F634">
            <v>0.87</v>
          </cell>
          <cell r="G634">
            <v>1.4</v>
          </cell>
          <cell r="H634">
            <v>6.8</v>
          </cell>
          <cell r="I634">
            <v>2.2</v>
          </cell>
          <cell r="J634">
            <v>108</v>
          </cell>
        </row>
        <row r="634">
          <cell r="L634">
            <v>4.5</v>
          </cell>
          <cell r="M634">
            <v>1800</v>
          </cell>
        </row>
        <row r="635">
          <cell r="A635" t="str">
            <v>Y355M3-4/250</v>
          </cell>
          <cell r="B635">
            <v>235</v>
          </cell>
          <cell r="C635">
            <v>461</v>
          </cell>
          <cell r="D635">
            <v>1488</v>
          </cell>
          <cell r="E635">
            <v>94.7</v>
          </cell>
          <cell r="F635">
            <v>0.87</v>
          </cell>
          <cell r="G635">
            <v>1.4</v>
          </cell>
          <cell r="H635">
            <v>6.8</v>
          </cell>
          <cell r="I635">
            <v>2.2</v>
          </cell>
          <cell r="J635">
            <v>108</v>
          </cell>
        </row>
        <row r="635">
          <cell r="L635">
            <v>4.5</v>
          </cell>
          <cell r="M635">
            <v>1800</v>
          </cell>
        </row>
        <row r="636">
          <cell r="A636" t="str">
            <v>Y355M3-4/250</v>
          </cell>
          <cell r="B636">
            <v>236</v>
          </cell>
          <cell r="C636">
            <v>461</v>
          </cell>
          <cell r="D636">
            <v>1488</v>
          </cell>
          <cell r="E636">
            <v>94.7</v>
          </cell>
          <cell r="F636">
            <v>0.87</v>
          </cell>
          <cell r="G636">
            <v>1.4</v>
          </cell>
          <cell r="H636">
            <v>6.8</v>
          </cell>
          <cell r="I636">
            <v>2.2</v>
          </cell>
          <cell r="J636">
            <v>108</v>
          </cell>
        </row>
        <row r="636">
          <cell r="L636">
            <v>4.5</v>
          </cell>
          <cell r="M636">
            <v>1800</v>
          </cell>
        </row>
        <row r="637">
          <cell r="A637" t="str">
            <v>Y355M3-4/250</v>
          </cell>
          <cell r="B637">
            <v>237</v>
          </cell>
          <cell r="C637">
            <v>461</v>
          </cell>
          <cell r="D637">
            <v>1488</v>
          </cell>
          <cell r="E637">
            <v>94.7</v>
          </cell>
          <cell r="F637">
            <v>0.87</v>
          </cell>
          <cell r="G637">
            <v>1.4</v>
          </cell>
          <cell r="H637">
            <v>6.8</v>
          </cell>
          <cell r="I637">
            <v>2.2</v>
          </cell>
          <cell r="J637">
            <v>108</v>
          </cell>
        </row>
        <row r="637">
          <cell r="L637">
            <v>4.5</v>
          </cell>
          <cell r="M637">
            <v>1800</v>
          </cell>
        </row>
        <row r="638">
          <cell r="A638" t="str">
            <v>Y355M3-4/250</v>
          </cell>
          <cell r="B638">
            <v>238</v>
          </cell>
          <cell r="C638">
            <v>461</v>
          </cell>
          <cell r="D638">
            <v>1488</v>
          </cell>
          <cell r="E638">
            <v>94.7</v>
          </cell>
          <cell r="F638">
            <v>0.87</v>
          </cell>
          <cell r="G638">
            <v>1.4</v>
          </cell>
          <cell r="H638">
            <v>6.8</v>
          </cell>
          <cell r="I638">
            <v>2.2</v>
          </cell>
          <cell r="J638">
            <v>108</v>
          </cell>
        </row>
        <row r="638">
          <cell r="L638">
            <v>4.5</v>
          </cell>
          <cell r="M638">
            <v>1800</v>
          </cell>
        </row>
        <row r="639">
          <cell r="A639" t="str">
            <v>Y355M3-4/250</v>
          </cell>
          <cell r="B639">
            <v>239</v>
          </cell>
          <cell r="C639">
            <v>461</v>
          </cell>
          <cell r="D639">
            <v>1488</v>
          </cell>
          <cell r="E639">
            <v>94.7</v>
          </cell>
          <cell r="F639">
            <v>0.87</v>
          </cell>
          <cell r="G639">
            <v>1.4</v>
          </cell>
          <cell r="H639">
            <v>6.8</v>
          </cell>
          <cell r="I639">
            <v>2.2</v>
          </cell>
          <cell r="J639">
            <v>108</v>
          </cell>
        </row>
        <row r="639">
          <cell r="L639">
            <v>4.5</v>
          </cell>
          <cell r="M639">
            <v>1800</v>
          </cell>
        </row>
        <row r="640">
          <cell r="A640" t="str">
            <v>Y355M3-4/250</v>
          </cell>
          <cell r="B640">
            <v>240</v>
          </cell>
          <cell r="C640">
            <v>461</v>
          </cell>
          <cell r="D640">
            <v>1488</v>
          </cell>
          <cell r="E640">
            <v>94.7</v>
          </cell>
          <cell r="F640">
            <v>0.87</v>
          </cell>
          <cell r="G640">
            <v>1.4</v>
          </cell>
          <cell r="H640">
            <v>6.8</v>
          </cell>
          <cell r="I640">
            <v>2.2</v>
          </cell>
          <cell r="J640">
            <v>108</v>
          </cell>
        </row>
        <row r="640">
          <cell r="L640">
            <v>4.5</v>
          </cell>
          <cell r="M640">
            <v>1800</v>
          </cell>
        </row>
        <row r="641">
          <cell r="A641" t="str">
            <v>Y355M3-4/250</v>
          </cell>
          <cell r="B641">
            <v>241</v>
          </cell>
          <cell r="C641">
            <v>461</v>
          </cell>
          <cell r="D641">
            <v>1488</v>
          </cell>
          <cell r="E641">
            <v>94.7</v>
          </cell>
          <cell r="F641">
            <v>0.87</v>
          </cell>
          <cell r="G641">
            <v>1.4</v>
          </cell>
          <cell r="H641">
            <v>6.8</v>
          </cell>
          <cell r="I641">
            <v>2.2</v>
          </cell>
          <cell r="J641">
            <v>108</v>
          </cell>
        </row>
        <row r="641">
          <cell r="L641">
            <v>4.5</v>
          </cell>
          <cell r="M641">
            <v>1800</v>
          </cell>
        </row>
        <row r="642">
          <cell r="A642" t="str">
            <v>Y355M3-4/250</v>
          </cell>
          <cell r="B642">
            <v>242</v>
          </cell>
          <cell r="C642">
            <v>461</v>
          </cell>
          <cell r="D642">
            <v>1488</v>
          </cell>
          <cell r="E642">
            <v>94.7</v>
          </cell>
          <cell r="F642">
            <v>0.87</v>
          </cell>
          <cell r="G642">
            <v>1.4</v>
          </cell>
          <cell r="H642">
            <v>6.8</v>
          </cell>
          <cell r="I642">
            <v>2.2</v>
          </cell>
          <cell r="J642">
            <v>108</v>
          </cell>
        </row>
        <row r="642">
          <cell r="L642">
            <v>4.5</v>
          </cell>
          <cell r="M642">
            <v>1800</v>
          </cell>
        </row>
        <row r="643">
          <cell r="A643" t="str">
            <v>Y355M3-4/250</v>
          </cell>
          <cell r="B643">
            <v>243</v>
          </cell>
          <cell r="C643">
            <v>461</v>
          </cell>
          <cell r="D643">
            <v>1488</v>
          </cell>
          <cell r="E643">
            <v>94.7</v>
          </cell>
          <cell r="F643">
            <v>0.87</v>
          </cell>
          <cell r="G643">
            <v>1.4</v>
          </cell>
          <cell r="H643">
            <v>6.8</v>
          </cell>
          <cell r="I643">
            <v>2.2</v>
          </cell>
          <cell r="J643">
            <v>108</v>
          </cell>
        </row>
        <row r="643">
          <cell r="L643">
            <v>4.5</v>
          </cell>
          <cell r="M643">
            <v>1800</v>
          </cell>
        </row>
        <row r="644">
          <cell r="A644" t="str">
            <v>Y355M3-4/250</v>
          </cell>
          <cell r="B644">
            <v>244</v>
          </cell>
          <cell r="C644">
            <v>461</v>
          </cell>
          <cell r="D644">
            <v>1488</v>
          </cell>
          <cell r="E644">
            <v>94.7</v>
          </cell>
          <cell r="F644">
            <v>0.87</v>
          </cell>
          <cell r="G644">
            <v>1.4</v>
          </cell>
          <cell r="H644">
            <v>6.8</v>
          </cell>
          <cell r="I644">
            <v>2.2</v>
          </cell>
          <cell r="J644">
            <v>108</v>
          </cell>
        </row>
        <row r="644">
          <cell r="L644">
            <v>4.5</v>
          </cell>
          <cell r="M644">
            <v>1800</v>
          </cell>
        </row>
        <row r="645">
          <cell r="A645" t="str">
            <v>Y355M3-4/250</v>
          </cell>
          <cell r="B645">
            <v>245</v>
          </cell>
          <cell r="C645">
            <v>461</v>
          </cell>
          <cell r="D645">
            <v>1488</v>
          </cell>
          <cell r="E645">
            <v>94.7</v>
          </cell>
          <cell r="F645">
            <v>0.87</v>
          </cell>
          <cell r="G645">
            <v>1.4</v>
          </cell>
          <cell r="H645">
            <v>6.8</v>
          </cell>
          <cell r="I645">
            <v>2.2</v>
          </cell>
          <cell r="J645">
            <v>108</v>
          </cell>
        </row>
        <row r="645">
          <cell r="L645">
            <v>4.5</v>
          </cell>
          <cell r="M645">
            <v>1800</v>
          </cell>
        </row>
        <row r="646">
          <cell r="A646" t="str">
            <v>Y355M3-4/250</v>
          </cell>
          <cell r="B646">
            <v>246</v>
          </cell>
          <cell r="C646">
            <v>461</v>
          </cell>
          <cell r="D646">
            <v>1488</v>
          </cell>
          <cell r="E646">
            <v>94.7</v>
          </cell>
          <cell r="F646">
            <v>0.87</v>
          </cell>
          <cell r="G646">
            <v>1.4</v>
          </cell>
          <cell r="H646">
            <v>6.8</v>
          </cell>
          <cell r="I646">
            <v>2.2</v>
          </cell>
          <cell r="J646">
            <v>108</v>
          </cell>
        </row>
        <row r="646">
          <cell r="L646">
            <v>4.5</v>
          </cell>
          <cell r="M646">
            <v>1800</v>
          </cell>
        </row>
        <row r="647">
          <cell r="A647" t="str">
            <v>Y355M3-4/250</v>
          </cell>
          <cell r="B647">
            <v>247</v>
          </cell>
          <cell r="C647">
            <v>461</v>
          </cell>
          <cell r="D647">
            <v>1488</v>
          </cell>
          <cell r="E647">
            <v>94.7</v>
          </cell>
          <cell r="F647">
            <v>0.87</v>
          </cell>
          <cell r="G647">
            <v>1.4</v>
          </cell>
          <cell r="H647">
            <v>6.8</v>
          </cell>
          <cell r="I647">
            <v>2.2</v>
          </cell>
          <cell r="J647">
            <v>108</v>
          </cell>
        </row>
        <row r="647">
          <cell r="L647">
            <v>4.5</v>
          </cell>
          <cell r="M647">
            <v>1800</v>
          </cell>
        </row>
        <row r="648">
          <cell r="A648" t="str">
            <v>Y355M3-4/250</v>
          </cell>
          <cell r="B648">
            <v>248</v>
          </cell>
          <cell r="C648">
            <v>461</v>
          </cell>
          <cell r="D648">
            <v>1488</v>
          </cell>
          <cell r="E648">
            <v>94.7</v>
          </cell>
          <cell r="F648">
            <v>0.87</v>
          </cell>
          <cell r="G648">
            <v>1.4</v>
          </cell>
          <cell r="H648">
            <v>6.8</v>
          </cell>
          <cell r="I648">
            <v>2.2</v>
          </cell>
          <cell r="J648">
            <v>108</v>
          </cell>
        </row>
        <row r="648">
          <cell r="L648">
            <v>4.5</v>
          </cell>
          <cell r="M648">
            <v>1800</v>
          </cell>
        </row>
        <row r="649">
          <cell r="A649" t="str">
            <v>Y355M3-4/250</v>
          </cell>
          <cell r="B649">
            <v>249</v>
          </cell>
          <cell r="C649">
            <v>461</v>
          </cell>
          <cell r="D649">
            <v>1488</v>
          </cell>
          <cell r="E649">
            <v>94.7</v>
          </cell>
          <cell r="F649">
            <v>0.87</v>
          </cell>
          <cell r="G649">
            <v>1.4</v>
          </cell>
          <cell r="H649">
            <v>6.8</v>
          </cell>
          <cell r="I649">
            <v>2.2</v>
          </cell>
          <cell r="J649">
            <v>108</v>
          </cell>
        </row>
        <row r="649">
          <cell r="L649">
            <v>4.5</v>
          </cell>
          <cell r="M649">
            <v>1800</v>
          </cell>
        </row>
        <row r="650">
          <cell r="A650" t="str">
            <v>Y355M3-4/250</v>
          </cell>
          <cell r="B650">
            <v>250</v>
          </cell>
          <cell r="C650">
            <v>461</v>
          </cell>
          <cell r="D650">
            <v>1488</v>
          </cell>
          <cell r="E650">
            <v>94.7</v>
          </cell>
          <cell r="F650">
            <v>0.87</v>
          </cell>
          <cell r="G650">
            <v>1.4</v>
          </cell>
          <cell r="H650">
            <v>6.8</v>
          </cell>
          <cell r="I650">
            <v>2.2</v>
          </cell>
          <cell r="J650">
            <v>108</v>
          </cell>
        </row>
        <row r="650">
          <cell r="L650">
            <v>4.5</v>
          </cell>
          <cell r="M650">
            <v>1800</v>
          </cell>
        </row>
        <row r="651">
          <cell r="A651" t="str">
            <v>Y355L2-4/280</v>
          </cell>
          <cell r="B651">
            <v>251</v>
          </cell>
          <cell r="C651">
            <v>515</v>
          </cell>
          <cell r="D651">
            <v>1488</v>
          </cell>
          <cell r="E651">
            <v>94.9</v>
          </cell>
          <cell r="F651">
            <v>0.87</v>
          </cell>
          <cell r="G651">
            <v>1.4</v>
          </cell>
          <cell r="H651">
            <v>6.8</v>
          </cell>
          <cell r="I651">
            <v>2.2</v>
          </cell>
          <cell r="J651">
            <v>108</v>
          </cell>
        </row>
        <row r="651">
          <cell r="L651">
            <v>4.5</v>
          </cell>
          <cell r="M651">
            <v>1945</v>
          </cell>
        </row>
        <row r="652">
          <cell r="A652" t="str">
            <v>Y355L2-4/280</v>
          </cell>
          <cell r="B652">
            <v>252</v>
          </cell>
          <cell r="C652">
            <v>515</v>
          </cell>
          <cell r="D652">
            <v>1488</v>
          </cell>
          <cell r="E652">
            <v>94.9</v>
          </cell>
          <cell r="F652">
            <v>0.87</v>
          </cell>
          <cell r="G652">
            <v>1.4</v>
          </cell>
          <cell r="H652">
            <v>6.8</v>
          </cell>
          <cell r="I652">
            <v>2.2</v>
          </cell>
          <cell r="J652">
            <v>108</v>
          </cell>
        </row>
        <row r="652">
          <cell r="L652">
            <v>4.5</v>
          </cell>
          <cell r="M652">
            <v>1945</v>
          </cell>
        </row>
        <row r="653">
          <cell r="A653" t="str">
            <v>Y355L2-4/280</v>
          </cell>
          <cell r="B653">
            <v>253</v>
          </cell>
          <cell r="C653">
            <v>515</v>
          </cell>
          <cell r="D653">
            <v>1488</v>
          </cell>
          <cell r="E653">
            <v>94.9</v>
          </cell>
          <cell r="F653">
            <v>0.87</v>
          </cell>
          <cell r="G653">
            <v>1.4</v>
          </cell>
          <cell r="H653">
            <v>6.8</v>
          </cell>
          <cell r="I653">
            <v>2.2</v>
          </cell>
          <cell r="J653">
            <v>108</v>
          </cell>
        </row>
        <row r="653">
          <cell r="L653">
            <v>4.5</v>
          </cell>
          <cell r="M653">
            <v>1945</v>
          </cell>
        </row>
        <row r="654">
          <cell r="A654" t="str">
            <v>Y355L2-4/280</v>
          </cell>
          <cell r="B654">
            <v>254</v>
          </cell>
          <cell r="C654">
            <v>515</v>
          </cell>
          <cell r="D654">
            <v>1488</v>
          </cell>
          <cell r="E654">
            <v>94.9</v>
          </cell>
          <cell r="F654">
            <v>0.87</v>
          </cell>
          <cell r="G654">
            <v>1.4</v>
          </cell>
          <cell r="H654">
            <v>6.8</v>
          </cell>
          <cell r="I654">
            <v>2.2</v>
          </cell>
          <cell r="J654">
            <v>108</v>
          </cell>
        </row>
        <row r="654">
          <cell r="L654">
            <v>4.5</v>
          </cell>
          <cell r="M654">
            <v>1945</v>
          </cell>
        </row>
        <row r="655">
          <cell r="A655" t="str">
            <v>Y355L2-4/280</v>
          </cell>
          <cell r="B655">
            <v>255</v>
          </cell>
          <cell r="C655">
            <v>515</v>
          </cell>
          <cell r="D655">
            <v>1488</v>
          </cell>
          <cell r="E655">
            <v>94.9</v>
          </cell>
          <cell r="F655">
            <v>0.87</v>
          </cell>
          <cell r="G655">
            <v>1.4</v>
          </cell>
          <cell r="H655">
            <v>6.8</v>
          </cell>
          <cell r="I655">
            <v>2.2</v>
          </cell>
          <cell r="J655">
            <v>108</v>
          </cell>
        </row>
        <row r="655">
          <cell r="L655">
            <v>4.5</v>
          </cell>
          <cell r="M655">
            <v>1945</v>
          </cell>
        </row>
        <row r="656">
          <cell r="A656" t="str">
            <v>Y355L2-4/280</v>
          </cell>
          <cell r="B656">
            <v>256</v>
          </cell>
          <cell r="C656">
            <v>515</v>
          </cell>
          <cell r="D656">
            <v>1488</v>
          </cell>
          <cell r="E656">
            <v>94.9</v>
          </cell>
          <cell r="F656">
            <v>0.87</v>
          </cell>
          <cell r="G656">
            <v>1.4</v>
          </cell>
          <cell r="H656">
            <v>6.8</v>
          </cell>
          <cell r="I656">
            <v>2.2</v>
          </cell>
          <cell r="J656">
            <v>108</v>
          </cell>
        </row>
        <row r="656">
          <cell r="L656">
            <v>4.5</v>
          </cell>
          <cell r="M656">
            <v>1945</v>
          </cell>
        </row>
        <row r="657">
          <cell r="A657" t="str">
            <v>Y355L2-4/280</v>
          </cell>
          <cell r="B657">
            <v>257</v>
          </cell>
          <cell r="C657">
            <v>515</v>
          </cell>
          <cell r="D657">
            <v>1488</v>
          </cell>
          <cell r="E657">
            <v>94.9</v>
          </cell>
          <cell r="F657">
            <v>0.87</v>
          </cell>
          <cell r="G657">
            <v>1.4</v>
          </cell>
          <cell r="H657">
            <v>6.8</v>
          </cell>
          <cell r="I657">
            <v>2.2</v>
          </cell>
          <cell r="J657">
            <v>108</v>
          </cell>
        </row>
        <row r="657">
          <cell r="L657">
            <v>4.5</v>
          </cell>
          <cell r="M657">
            <v>1945</v>
          </cell>
        </row>
        <row r="658">
          <cell r="A658" t="str">
            <v>Y355L2-4/280</v>
          </cell>
          <cell r="B658">
            <v>258</v>
          </cell>
          <cell r="C658">
            <v>515</v>
          </cell>
          <cell r="D658">
            <v>1488</v>
          </cell>
          <cell r="E658">
            <v>94.9</v>
          </cell>
          <cell r="F658">
            <v>0.87</v>
          </cell>
          <cell r="G658">
            <v>1.4</v>
          </cell>
          <cell r="H658">
            <v>6.8</v>
          </cell>
          <cell r="I658">
            <v>2.2</v>
          </cell>
          <cell r="J658">
            <v>108</v>
          </cell>
        </row>
        <row r="658">
          <cell r="L658">
            <v>4.5</v>
          </cell>
          <cell r="M658">
            <v>1945</v>
          </cell>
        </row>
        <row r="659">
          <cell r="A659" t="str">
            <v>Y355L2-4/280</v>
          </cell>
          <cell r="B659">
            <v>259</v>
          </cell>
          <cell r="C659">
            <v>515</v>
          </cell>
          <cell r="D659">
            <v>1488</v>
          </cell>
          <cell r="E659">
            <v>94.9</v>
          </cell>
          <cell r="F659">
            <v>0.87</v>
          </cell>
          <cell r="G659">
            <v>1.4</v>
          </cell>
          <cell r="H659">
            <v>6.8</v>
          </cell>
          <cell r="I659">
            <v>2.2</v>
          </cell>
          <cell r="J659">
            <v>108</v>
          </cell>
        </row>
        <row r="659">
          <cell r="L659">
            <v>4.5</v>
          </cell>
          <cell r="M659">
            <v>1945</v>
          </cell>
        </row>
        <row r="660">
          <cell r="A660" t="str">
            <v>Y355L2-4/280</v>
          </cell>
          <cell r="B660">
            <v>260</v>
          </cell>
          <cell r="C660">
            <v>515</v>
          </cell>
          <cell r="D660">
            <v>1488</v>
          </cell>
          <cell r="E660">
            <v>94.9</v>
          </cell>
          <cell r="F660">
            <v>0.87</v>
          </cell>
          <cell r="G660">
            <v>1.4</v>
          </cell>
          <cell r="H660">
            <v>6.8</v>
          </cell>
          <cell r="I660">
            <v>2.2</v>
          </cell>
          <cell r="J660">
            <v>108</v>
          </cell>
        </row>
        <row r="660">
          <cell r="L660">
            <v>4.5</v>
          </cell>
          <cell r="M660">
            <v>1945</v>
          </cell>
        </row>
        <row r="661">
          <cell r="A661" t="str">
            <v>Y355L2-4/280</v>
          </cell>
          <cell r="B661">
            <v>261</v>
          </cell>
          <cell r="C661">
            <v>515</v>
          </cell>
          <cell r="D661">
            <v>1488</v>
          </cell>
          <cell r="E661">
            <v>94.9</v>
          </cell>
          <cell r="F661">
            <v>0.87</v>
          </cell>
          <cell r="G661">
            <v>1.4</v>
          </cell>
          <cell r="H661">
            <v>6.8</v>
          </cell>
          <cell r="I661">
            <v>2.2</v>
          </cell>
          <cell r="J661">
            <v>108</v>
          </cell>
        </row>
        <row r="661">
          <cell r="L661">
            <v>4.5</v>
          </cell>
          <cell r="M661">
            <v>1945</v>
          </cell>
        </row>
        <row r="662">
          <cell r="A662" t="str">
            <v>Y355L2-4/280</v>
          </cell>
          <cell r="B662">
            <v>262</v>
          </cell>
          <cell r="C662">
            <v>515</v>
          </cell>
          <cell r="D662">
            <v>1488</v>
          </cell>
          <cell r="E662">
            <v>94.9</v>
          </cell>
          <cell r="F662">
            <v>0.87</v>
          </cell>
          <cell r="G662">
            <v>1.4</v>
          </cell>
          <cell r="H662">
            <v>6.8</v>
          </cell>
          <cell r="I662">
            <v>2.2</v>
          </cell>
          <cell r="J662">
            <v>108</v>
          </cell>
        </row>
        <row r="662">
          <cell r="L662">
            <v>4.5</v>
          </cell>
          <cell r="M662">
            <v>1945</v>
          </cell>
        </row>
        <row r="663">
          <cell r="A663" t="str">
            <v>Y355L2-4/280</v>
          </cell>
          <cell r="B663">
            <v>263</v>
          </cell>
          <cell r="C663">
            <v>515</v>
          </cell>
          <cell r="D663">
            <v>1488</v>
          </cell>
          <cell r="E663">
            <v>94.9</v>
          </cell>
          <cell r="F663">
            <v>0.87</v>
          </cell>
          <cell r="G663">
            <v>1.4</v>
          </cell>
          <cell r="H663">
            <v>6.8</v>
          </cell>
          <cell r="I663">
            <v>2.2</v>
          </cell>
          <cell r="J663">
            <v>108</v>
          </cell>
        </row>
        <row r="663">
          <cell r="L663">
            <v>4.5</v>
          </cell>
          <cell r="M663">
            <v>1945</v>
          </cell>
        </row>
        <row r="664">
          <cell r="A664" t="str">
            <v>Y355L2-4/280</v>
          </cell>
          <cell r="B664">
            <v>264</v>
          </cell>
          <cell r="C664">
            <v>515</v>
          </cell>
          <cell r="D664">
            <v>1488</v>
          </cell>
          <cell r="E664">
            <v>94.9</v>
          </cell>
          <cell r="F664">
            <v>0.87</v>
          </cell>
          <cell r="G664">
            <v>1.4</v>
          </cell>
          <cell r="H664">
            <v>6.8</v>
          </cell>
          <cell r="I664">
            <v>2.2</v>
          </cell>
          <cell r="J664">
            <v>108</v>
          </cell>
        </row>
        <row r="664">
          <cell r="L664">
            <v>4.5</v>
          </cell>
          <cell r="M664">
            <v>1945</v>
          </cell>
        </row>
        <row r="665">
          <cell r="A665" t="str">
            <v>Y355L2-4/280</v>
          </cell>
          <cell r="B665">
            <v>265</v>
          </cell>
          <cell r="C665">
            <v>515</v>
          </cell>
          <cell r="D665">
            <v>1488</v>
          </cell>
          <cell r="E665">
            <v>94.9</v>
          </cell>
          <cell r="F665">
            <v>0.87</v>
          </cell>
          <cell r="G665">
            <v>1.4</v>
          </cell>
          <cell r="H665">
            <v>6.8</v>
          </cell>
          <cell r="I665">
            <v>2.2</v>
          </cell>
          <cell r="J665">
            <v>108</v>
          </cell>
        </row>
        <row r="665">
          <cell r="L665">
            <v>4.5</v>
          </cell>
          <cell r="M665">
            <v>1945</v>
          </cell>
        </row>
        <row r="666">
          <cell r="A666" t="str">
            <v>Y355L2-4/280</v>
          </cell>
          <cell r="B666">
            <v>266</v>
          </cell>
          <cell r="C666">
            <v>515</v>
          </cell>
          <cell r="D666">
            <v>1488</v>
          </cell>
          <cell r="E666">
            <v>94.9</v>
          </cell>
          <cell r="F666">
            <v>0.87</v>
          </cell>
          <cell r="G666">
            <v>1.4</v>
          </cell>
          <cell r="H666">
            <v>6.8</v>
          </cell>
          <cell r="I666">
            <v>2.2</v>
          </cell>
          <cell r="J666">
            <v>108</v>
          </cell>
        </row>
        <row r="666">
          <cell r="L666">
            <v>4.5</v>
          </cell>
          <cell r="M666">
            <v>1945</v>
          </cell>
        </row>
        <row r="667">
          <cell r="A667" t="str">
            <v>Y355L2-4/280</v>
          </cell>
          <cell r="B667">
            <v>267</v>
          </cell>
          <cell r="C667">
            <v>515</v>
          </cell>
          <cell r="D667">
            <v>1488</v>
          </cell>
          <cell r="E667">
            <v>94.9</v>
          </cell>
          <cell r="F667">
            <v>0.87</v>
          </cell>
          <cell r="G667">
            <v>1.4</v>
          </cell>
          <cell r="H667">
            <v>6.8</v>
          </cell>
          <cell r="I667">
            <v>2.2</v>
          </cell>
          <cell r="J667">
            <v>108</v>
          </cell>
        </row>
        <row r="667">
          <cell r="L667">
            <v>4.5</v>
          </cell>
          <cell r="M667">
            <v>1945</v>
          </cell>
        </row>
        <row r="668">
          <cell r="A668" t="str">
            <v>Y355L2-4/280</v>
          </cell>
          <cell r="B668">
            <v>268</v>
          </cell>
          <cell r="C668">
            <v>515</v>
          </cell>
          <cell r="D668">
            <v>1488</v>
          </cell>
          <cell r="E668">
            <v>94.9</v>
          </cell>
          <cell r="F668">
            <v>0.87</v>
          </cell>
          <cell r="G668">
            <v>1.4</v>
          </cell>
          <cell r="H668">
            <v>6.8</v>
          </cell>
          <cell r="I668">
            <v>2.2</v>
          </cell>
          <cell r="J668">
            <v>108</v>
          </cell>
        </row>
        <row r="668">
          <cell r="L668">
            <v>4.5</v>
          </cell>
          <cell r="M668">
            <v>1945</v>
          </cell>
        </row>
        <row r="669">
          <cell r="A669" t="str">
            <v>Y355L2-4/280</v>
          </cell>
          <cell r="B669">
            <v>269</v>
          </cell>
          <cell r="C669">
            <v>515</v>
          </cell>
          <cell r="D669">
            <v>1488</v>
          </cell>
          <cell r="E669">
            <v>94.9</v>
          </cell>
          <cell r="F669">
            <v>0.87</v>
          </cell>
          <cell r="G669">
            <v>1.4</v>
          </cell>
          <cell r="H669">
            <v>6.8</v>
          </cell>
          <cell r="I669">
            <v>2.2</v>
          </cell>
          <cell r="J669">
            <v>108</v>
          </cell>
        </row>
        <row r="669">
          <cell r="L669">
            <v>4.5</v>
          </cell>
          <cell r="M669">
            <v>1945</v>
          </cell>
        </row>
        <row r="670">
          <cell r="A670" t="str">
            <v>Y355L2-4/280</v>
          </cell>
          <cell r="B670">
            <v>270</v>
          </cell>
          <cell r="C670">
            <v>515</v>
          </cell>
          <cell r="D670">
            <v>1488</v>
          </cell>
          <cell r="E670">
            <v>94.9</v>
          </cell>
          <cell r="F670">
            <v>0.87</v>
          </cell>
          <cell r="G670">
            <v>1.4</v>
          </cell>
          <cell r="H670">
            <v>6.8</v>
          </cell>
          <cell r="I670">
            <v>2.2</v>
          </cell>
          <cell r="J670">
            <v>108</v>
          </cell>
        </row>
        <row r="670">
          <cell r="L670">
            <v>4.5</v>
          </cell>
          <cell r="M670">
            <v>1945</v>
          </cell>
        </row>
        <row r="671">
          <cell r="A671" t="str">
            <v>Y355L2-4/280</v>
          </cell>
          <cell r="B671">
            <v>271</v>
          </cell>
          <cell r="C671">
            <v>515</v>
          </cell>
          <cell r="D671">
            <v>1488</v>
          </cell>
          <cell r="E671">
            <v>94.9</v>
          </cell>
          <cell r="F671">
            <v>0.87</v>
          </cell>
          <cell r="G671">
            <v>1.4</v>
          </cell>
          <cell r="H671">
            <v>6.8</v>
          </cell>
          <cell r="I671">
            <v>2.2</v>
          </cell>
          <cell r="J671">
            <v>108</v>
          </cell>
        </row>
        <row r="671">
          <cell r="L671">
            <v>4.5</v>
          </cell>
          <cell r="M671">
            <v>1945</v>
          </cell>
        </row>
        <row r="672">
          <cell r="A672" t="str">
            <v>Y355L2-4/280</v>
          </cell>
          <cell r="B672">
            <v>272</v>
          </cell>
          <cell r="C672">
            <v>515</v>
          </cell>
          <cell r="D672">
            <v>1488</v>
          </cell>
          <cell r="E672">
            <v>94.9</v>
          </cell>
          <cell r="F672">
            <v>0.87</v>
          </cell>
          <cell r="G672">
            <v>1.4</v>
          </cell>
          <cell r="H672">
            <v>6.8</v>
          </cell>
          <cell r="I672">
            <v>2.2</v>
          </cell>
          <cell r="J672">
            <v>108</v>
          </cell>
        </row>
        <row r="672">
          <cell r="L672">
            <v>4.5</v>
          </cell>
          <cell r="M672">
            <v>1945</v>
          </cell>
        </row>
        <row r="673">
          <cell r="A673" t="str">
            <v>Y355L2-4/280</v>
          </cell>
          <cell r="B673">
            <v>273</v>
          </cell>
          <cell r="C673">
            <v>515</v>
          </cell>
          <cell r="D673">
            <v>1488</v>
          </cell>
          <cell r="E673">
            <v>94.9</v>
          </cell>
          <cell r="F673">
            <v>0.87</v>
          </cell>
          <cell r="G673">
            <v>1.4</v>
          </cell>
          <cell r="H673">
            <v>6.8</v>
          </cell>
          <cell r="I673">
            <v>2.2</v>
          </cell>
          <cell r="J673">
            <v>108</v>
          </cell>
        </row>
        <row r="673">
          <cell r="L673">
            <v>4.5</v>
          </cell>
          <cell r="M673">
            <v>1945</v>
          </cell>
        </row>
        <row r="674">
          <cell r="A674" t="str">
            <v>Y355L2-4/280</v>
          </cell>
          <cell r="B674">
            <v>274</v>
          </cell>
          <cell r="C674">
            <v>515</v>
          </cell>
          <cell r="D674">
            <v>1488</v>
          </cell>
          <cell r="E674">
            <v>94.9</v>
          </cell>
          <cell r="F674">
            <v>0.87</v>
          </cell>
          <cell r="G674">
            <v>1.4</v>
          </cell>
          <cell r="H674">
            <v>6.8</v>
          </cell>
          <cell r="I674">
            <v>2.2</v>
          </cell>
          <cell r="J674">
            <v>108</v>
          </cell>
        </row>
        <row r="674">
          <cell r="L674">
            <v>4.5</v>
          </cell>
          <cell r="M674">
            <v>1945</v>
          </cell>
        </row>
        <row r="675">
          <cell r="A675" t="str">
            <v>Y355L2-4/280</v>
          </cell>
          <cell r="B675">
            <v>275</v>
          </cell>
          <cell r="C675">
            <v>515</v>
          </cell>
          <cell r="D675">
            <v>1488</v>
          </cell>
          <cell r="E675">
            <v>94.9</v>
          </cell>
          <cell r="F675">
            <v>0.87</v>
          </cell>
          <cell r="G675">
            <v>1.4</v>
          </cell>
          <cell r="H675">
            <v>6.8</v>
          </cell>
          <cell r="I675">
            <v>2.2</v>
          </cell>
          <cell r="J675">
            <v>108</v>
          </cell>
        </row>
        <row r="675">
          <cell r="L675">
            <v>4.5</v>
          </cell>
          <cell r="M675">
            <v>1945</v>
          </cell>
        </row>
        <row r="676">
          <cell r="A676" t="str">
            <v>Y355L2-4/280</v>
          </cell>
          <cell r="B676">
            <v>276</v>
          </cell>
          <cell r="C676">
            <v>515</v>
          </cell>
          <cell r="D676">
            <v>1488</v>
          </cell>
          <cell r="E676">
            <v>94.9</v>
          </cell>
          <cell r="F676">
            <v>0.87</v>
          </cell>
          <cell r="G676">
            <v>1.4</v>
          </cell>
          <cell r="H676">
            <v>6.8</v>
          </cell>
          <cell r="I676">
            <v>2.2</v>
          </cell>
          <cell r="J676">
            <v>108</v>
          </cell>
        </row>
        <row r="676">
          <cell r="L676">
            <v>4.5</v>
          </cell>
          <cell r="M676">
            <v>1945</v>
          </cell>
        </row>
        <row r="677">
          <cell r="A677" t="str">
            <v>Y355L2-4/280</v>
          </cell>
          <cell r="B677">
            <v>277</v>
          </cell>
          <cell r="C677">
            <v>515</v>
          </cell>
          <cell r="D677">
            <v>1488</v>
          </cell>
          <cell r="E677">
            <v>94.9</v>
          </cell>
          <cell r="F677">
            <v>0.87</v>
          </cell>
          <cell r="G677">
            <v>1.4</v>
          </cell>
          <cell r="H677">
            <v>6.8</v>
          </cell>
          <cell r="I677">
            <v>2.2</v>
          </cell>
          <cell r="J677">
            <v>108</v>
          </cell>
        </row>
        <row r="677">
          <cell r="L677">
            <v>4.5</v>
          </cell>
          <cell r="M677">
            <v>1945</v>
          </cell>
        </row>
        <row r="678">
          <cell r="A678" t="str">
            <v>Y355L2-4/280</v>
          </cell>
          <cell r="B678">
            <v>278</v>
          </cell>
          <cell r="C678">
            <v>515</v>
          </cell>
          <cell r="D678">
            <v>1488</v>
          </cell>
          <cell r="E678">
            <v>94.9</v>
          </cell>
          <cell r="F678">
            <v>0.87</v>
          </cell>
          <cell r="G678">
            <v>1.4</v>
          </cell>
          <cell r="H678">
            <v>6.8</v>
          </cell>
          <cell r="I678">
            <v>2.2</v>
          </cell>
          <cell r="J678">
            <v>108</v>
          </cell>
        </row>
        <row r="678">
          <cell r="L678">
            <v>4.5</v>
          </cell>
          <cell r="M678">
            <v>1945</v>
          </cell>
        </row>
        <row r="679">
          <cell r="A679" t="str">
            <v>Y355L2-4/280</v>
          </cell>
          <cell r="B679">
            <v>279</v>
          </cell>
          <cell r="C679">
            <v>515</v>
          </cell>
          <cell r="D679">
            <v>1488</v>
          </cell>
          <cell r="E679">
            <v>94.9</v>
          </cell>
          <cell r="F679">
            <v>0.87</v>
          </cell>
          <cell r="G679">
            <v>1.4</v>
          </cell>
          <cell r="H679">
            <v>6.8</v>
          </cell>
          <cell r="I679">
            <v>2.2</v>
          </cell>
          <cell r="J679">
            <v>108</v>
          </cell>
        </row>
        <row r="679">
          <cell r="L679">
            <v>4.5</v>
          </cell>
          <cell r="M679">
            <v>1945</v>
          </cell>
        </row>
        <row r="680">
          <cell r="A680" t="str">
            <v>Y355L2-4/280</v>
          </cell>
          <cell r="B680">
            <v>280</v>
          </cell>
          <cell r="C680">
            <v>515</v>
          </cell>
          <cell r="D680">
            <v>1488</v>
          </cell>
          <cell r="E680">
            <v>94.9</v>
          </cell>
          <cell r="F680">
            <v>0.87</v>
          </cell>
          <cell r="G680">
            <v>1.4</v>
          </cell>
          <cell r="H680">
            <v>6.8</v>
          </cell>
          <cell r="I680">
            <v>2.2</v>
          </cell>
          <cell r="J680">
            <v>108</v>
          </cell>
        </row>
        <row r="680">
          <cell r="L680">
            <v>4.5</v>
          </cell>
          <cell r="M680">
            <v>1945</v>
          </cell>
        </row>
        <row r="681">
          <cell r="A681" t="str">
            <v>Y355L3-4/315</v>
          </cell>
          <cell r="B681">
            <v>281</v>
          </cell>
          <cell r="C681">
            <v>578</v>
          </cell>
          <cell r="D681">
            <v>1488</v>
          </cell>
          <cell r="E681">
            <v>95.2</v>
          </cell>
          <cell r="F681">
            <v>0.87</v>
          </cell>
          <cell r="G681">
            <v>1.4</v>
          </cell>
          <cell r="H681">
            <v>6.9</v>
          </cell>
          <cell r="I681">
            <v>2.2</v>
          </cell>
          <cell r="J681">
            <v>108</v>
          </cell>
        </row>
        <row r="681">
          <cell r="L681">
            <v>4.5</v>
          </cell>
          <cell r="M681">
            <v>1985</v>
          </cell>
        </row>
        <row r="682">
          <cell r="A682" t="str">
            <v>Y355L3-4/315</v>
          </cell>
          <cell r="B682">
            <v>282</v>
          </cell>
          <cell r="C682">
            <v>578</v>
          </cell>
          <cell r="D682">
            <v>1488</v>
          </cell>
          <cell r="E682">
            <v>95.2</v>
          </cell>
          <cell r="F682">
            <v>0.87</v>
          </cell>
          <cell r="G682">
            <v>1.4</v>
          </cell>
          <cell r="H682">
            <v>6.9</v>
          </cell>
          <cell r="I682">
            <v>2.2</v>
          </cell>
          <cell r="J682">
            <v>108</v>
          </cell>
        </row>
        <row r="682">
          <cell r="L682">
            <v>4.5</v>
          </cell>
          <cell r="M682">
            <v>1985</v>
          </cell>
        </row>
        <row r="683">
          <cell r="A683" t="str">
            <v>Y355L3-4/315</v>
          </cell>
          <cell r="B683">
            <v>283</v>
          </cell>
          <cell r="C683">
            <v>578</v>
          </cell>
          <cell r="D683">
            <v>1488</v>
          </cell>
          <cell r="E683">
            <v>95.2</v>
          </cell>
          <cell r="F683">
            <v>0.87</v>
          </cell>
          <cell r="G683">
            <v>1.4</v>
          </cell>
          <cell r="H683">
            <v>6.9</v>
          </cell>
          <cell r="I683">
            <v>2.2</v>
          </cell>
          <cell r="J683">
            <v>108</v>
          </cell>
        </row>
        <row r="683">
          <cell r="L683">
            <v>4.5</v>
          </cell>
          <cell r="M683">
            <v>1985</v>
          </cell>
        </row>
        <row r="684">
          <cell r="A684" t="str">
            <v>Y355L3-4/315</v>
          </cell>
          <cell r="B684">
            <v>284</v>
          </cell>
          <cell r="C684">
            <v>578</v>
          </cell>
          <cell r="D684">
            <v>1488</v>
          </cell>
          <cell r="E684">
            <v>95.2</v>
          </cell>
          <cell r="F684">
            <v>0.87</v>
          </cell>
          <cell r="G684">
            <v>1.4</v>
          </cell>
          <cell r="H684">
            <v>6.9</v>
          </cell>
          <cell r="I684">
            <v>2.2</v>
          </cell>
          <cell r="J684">
            <v>108</v>
          </cell>
        </row>
        <row r="684">
          <cell r="L684">
            <v>4.5</v>
          </cell>
          <cell r="M684">
            <v>1985</v>
          </cell>
        </row>
        <row r="685">
          <cell r="A685" t="str">
            <v>Y355L3-4/315</v>
          </cell>
          <cell r="B685">
            <v>285</v>
          </cell>
          <cell r="C685">
            <v>578</v>
          </cell>
          <cell r="D685">
            <v>1488</v>
          </cell>
          <cell r="E685">
            <v>95.2</v>
          </cell>
          <cell r="F685">
            <v>0.87</v>
          </cell>
          <cell r="G685">
            <v>1.4</v>
          </cell>
          <cell r="H685">
            <v>6.9</v>
          </cell>
          <cell r="I685">
            <v>2.2</v>
          </cell>
          <cell r="J685">
            <v>108</v>
          </cell>
        </row>
        <row r="685">
          <cell r="L685">
            <v>4.5</v>
          </cell>
          <cell r="M685">
            <v>1985</v>
          </cell>
        </row>
        <row r="686">
          <cell r="A686" t="str">
            <v>Y355L3-4/315</v>
          </cell>
          <cell r="B686">
            <v>286</v>
          </cell>
          <cell r="C686">
            <v>578</v>
          </cell>
          <cell r="D686">
            <v>1488</v>
          </cell>
          <cell r="E686">
            <v>95.2</v>
          </cell>
          <cell r="F686">
            <v>0.87</v>
          </cell>
          <cell r="G686">
            <v>1.4</v>
          </cell>
          <cell r="H686">
            <v>6.9</v>
          </cell>
          <cell r="I686">
            <v>2.2</v>
          </cell>
          <cell r="J686">
            <v>108</v>
          </cell>
        </row>
        <row r="686">
          <cell r="L686">
            <v>4.5</v>
          </cell>
          <cell r="M686">
            <v>1985</v>
          </cell>
        </row>
        <row r="687">
          <cell r="A687" t="str">
            <v>Y355L3-4/315</v>
          </cell>
          <cell r="B687">
            <v>287</v>
          </cell>
          <cell r="C687">
            <v>578</v>
          </cell>
          <cell r="D687">
            <v>1488</v>
          </cell>
          <cell r="E687">
            <v>95.2</v>
          </cell>
          <cell r="F687">
            <v>0.87</v>
          </cell>
          <cell r="G687">
            <v>1.4</v>
          </cell>
          <cell r="H687">
            <v>6.9</v>
          </cell>
          <cell r="I687">
            <v>2.2</v>
          </cell>
          <cell r="J687">
            <v>108</v>
          </cell>
        </row>
        <row r="687">
          <cell r="L687">
            <v>4.5</v>
          </cell>
          <cell r="M687">
            <v>1985</v>
          </cell>
        </row>
        <row r="688">
          <cell r="A688" t="str">
            <v>Y355L3-4/315</v>
          </cell>
          <cell r="B688">
            <v>288</v>
          </cell>
          <cell r="C688">
            <v>578</v>
          </cell>
          <cell r="D688">
            <v>1488</v>
          </cell>
          <cell r="E688">
            <v>95.2</v>
          </cell>
          <cell r="F688">
            <v>0.87</v>
          </cell>
          <cell r="G688">
            <v>1.4</v>
          </cell>
          <cell r="H688">
            <v>6.9</v>
          </cell>
          <cell r="I688">
            <v>2.2</v>
          </cell>
          <cell r="J688">
            <v>108</v>
          </cell>
        </row>
        <row r="688">
          <cell r="L688">
            <v>4.5</v>
          </cell>
          <cell r="M688">
            <v>1985</v>
          </cell>
        </row>
        <row r="689">
          <cell r="A689" t="str">
            <v>Y355L3-4/315</v>
          </cell>
          <cell r="B689">
            <v>289</v>
          </cell>
          <cell r="C689">
            <v>578</v>
          </cell>
          <cell r="D689">
            <v>1488</v>
          </cell>
          <cell r="E689">
            <v>95.2</v>
          </cell>
          <cell r="F689">
            <v>0.87</v>
          </cell>
          <cell r="G689">
            <v>1.4</v>
          </cell>
          <cell r="H689">
            <v>6.9</v>
          </cell>
          <cell r="I689">
            <v>2.2</v>
          </cell>
          <cell r="J689">
            <v>108</v>
          </cell>
        </row>
        <row r="689">
          <cell r="L689">
            <v>4.5</v>
          </cell>
          <cell r="M689">
            <v>1985</v>
          </cell>
        </row>
        <row r="690">
          <cell r="A690" t="str">
            <v>Y355L3-4/315</v>
          </cell>
          <cell r="B690">
            <v>290</v>
          </cell>
          <cell r="C690">
            <v>578</v>
          </cell>
          <cell r="D690">
            <v>1488</v>
          </cell>
          <cell r="E690">
            <v>95.2</v>
          </cell>
          <cell r="F690">
            <v>0.87</v>
          </cell>
          <cell r="G690">
            <v>1.4</v>
          </cell>
          <cell r="H690">
            <v>6.9</v>
          </cell>
          <cell r="I690">
            <v>2.2</v>
          </cell>
          <cell r="J690">
            <v>108</v>
          </cell>
        </row>
        <row r="690">
          <cell r="L690">
            <v>4.5</v>
          </cell>
          <cell r="M690">
            <v>1985</v>
          </cell>
        </row>
        <row r="691">
          <cell r="A691" t="str">
            <v>Y355L3-4/315</v>
          </cell>
          <cell r="B691">
            <v>291</v>
          </cell>
          <cell r="C691">
            <v>578</v>
          </cell>
          <cell r="D691">
            <v>1488</v>
          </cell>
          <cell r="E691">
            <v>95.2</v>
          </cell>
          <cell r="F691">
            <v>0.87</v>
          </cell>
          <cell r="G691">
            <v>1.4</v>
          </cell>
          <cell r="H691">
            <v>6.9</v>
          </cell>
          <cell r="I691">
            <v>2.2</v>
          </cell>
          <cell r="J691">
            <v>108</v>
          </cell>
        </row>
        <row r="691">
          <cell r="L691">
            <v>4.5</v>
          </cell>
          <cell r="M691">
            <v>1985</v>
          </cell>
        </row>
        <row r="692">
          <cell r="A692" t="str">
            <v>Y355L3-4/315</v>
          </cell>
          <cell r="B692">
            <v>292</v>
          </cell>
          <cell r="C692">
            <v>578</v>
          </cell>
          <cell r="D692">
            <v>1488</v>
          </cell>
          <cell r="E692">
            <v>95.2</v>
          </cell>
          <cell r="F692">
            <v>0.87</v>
          </cell>
          <cell r="G692">
            <v>1.4</v>
          </cell>
          <cell r="H692">
            <v>6.9</v>
          </cell>
          <cell r="I692">
            <v>2.2</v>
          </cell>
          <cell r="J692">
            <v>108</v>
          </cell>
        </row>
        <row r="692">
          <cell r="L692">
            <v>4.5</v>
          </cell>
          <cell r="M692">
            <v>1985</v>
          </cell>
        </row>
        <row r="693">
          <cell r="A693" t="str">
            <v>Y355L3-4/315</v>
          </cell>
          <cell r="B693">
            <v>293</v>
          </cell>
          <cell r="C693">
            <v>578</v>
          </cell>
          <cell r="D693">
            <v>1488</v>
          </cell>
          <cell r="E693">
            <v>95.2</v>
          </cell>
          <cell r="F693">
            <v>0.87</v>
          </cell>
          <cell r="G693">
            <v>1.4</v>
          </cell>
          <cell r="H693">
            <v>6.9</v>
          </cell>
          <cell r="I693">
            <v>2.2</v>
          </cell>
          <cell r="J693">
            <v>108</v>
          </cell>
        </row>
        <row r="693">
          <cell r="L693">
            <v>4.5</v>
          </cell>
          <cell r="M693">
            <v>1985</v>
          </cell>
        </row>
        <row r="694">
          <cell r="A694" t="str">
            <v>Y355L3-4/315</v>
          </cell>
          <cell r="B694">
            <v>294</v>
          </cell>
          <cell r="C694">
            <v>578</v>
          </cell>
          <cell r="D694">
            <v>1488</v>
          </cell>
          <cell r="E694">
            <v>95.2</v>
          </cell>
          <cell r="F694">
            <v>0.87</v>
          </cell>
          <cell r="G694">
            <v>1.4</v>
          </cell>
          <cell r="H694">
            <v>6.9</v>
          </cell>
          <cell r="I694">
            <v>2.2</v>
          </cell>
          <cell r="J694">
            <v>108</v>
          </cell>
        </row>
        <row r="694">
          <cell r="L694">
            <v>4.5</v>
          </cell>
          <cell r="M694">
            <v>1985</v>
          </cell>
        </row>
        <row r="695">
          <cell r="A695" t="str">
            <v>Y355L3-4/315</v>
          </cell>
          <cell r="B695">
            <v>295</v>
          </cell>
          <cell r="C695">
            <v>578</v>
          </cell>
          <cell r="D695">
            <v>1488</v>
          </cell>
          <cell r="E695">
            <v>95.2</v>
          </cell>
          <cell r="F695">
            <v>0.87</v>
          </cell>
          <cell r="G695">
            <v>1.4</v>
          </cell>
          <cell r="H695">
            <v>6.9</v>
          </cell>
          <cell r="I695">
            <v>2.2</v>
          </cell>
          <cell r="J695">
            <v>108</v>
          </cell>
        </row>
        <row r="695">
          <cell r="L695">
            <v>4.5</v>
          </cell>
          <cell r="M695">
            <v>1985</v>
          </cell>
        </row>
        <row r="696">
          <cell r="A696" t="str">
            <v>Y355L3-4/315</v>
          </cell>
          <cell r="B696">
            <v>296</v>
          </cell>
          <cell r="C696">
            <v>578</v>
          </cell>
          <cell r="D696">
            <v>1488</v>
          </cell>
          <cell r="E696">
            <v>95.2</v>
          </cell>
          <cell r="F696">
            <v>0.87</v>
          </cell>
          <cell r="G696">
            <v>1.4</v>
          </cell>
          <cell r="H696">
            <v>6.9</v>
          </cell>
          <cell r="I696">
            <v>2.2</v>
          </cell>
          <cell r="J696">
            <v>108</v>
          </cell>
        </row>
        <row r="696">
          <cell r="L696">
            <v>4.5</v>
          </cell>
          <cell r="M696">
            <v>1985</v>
          </cell>
        </row>
        <row r="697">
          <cell r="A697" t="str">
            <v>Y355L3-4/315</v>
          </cell>
          <cell r="B697">
            <v>297</v>
          </cell>
          <cell r="C697">
            <v>578</v>
          </cell>
          <cell r="D697">
            <v>1488</v>
          </cell>
          <cell r="E697">
            <v>95.2</v>
          </cell>
          <cell r="F697">
            <v>0.87</v>
          </cell>
          <cell r="G697">
            <v>1.4</v>
          </cell>
          <cell r="H697">
            <v>6.9</v>
          </cell>
          <cell r="I697">
            <v>2.2</v>
          </cell>
          <cell r="J697">
            <v>108</v>
          </cell>
        </row>
        <row r="697">
          <cell r="L697">
            <v>4.5</v>
          </cell>
          <cell r="M697">
            <v>1985</v>
          </cell>
        </row>
        <row r="698">
          <cell r="A698" t="str">
            <v>Y355L3-4/315</v>
          </cell>
          <cell r="B698">
            <v>298</v>
          </cell>
          <cell r="C698">
            <v>578</v>
          </cell>
          <cell r="D698">
            <v>1488</v>
          </cell>
          <cell r="E698">
            <v>95.2</v>
          </cell>
          <cell r="F698">
            <v>0.87</v>
          </cell>
          <cell r="G698">
            <v>1.4</v>
          </cell>
          <cell r="H698">
            <v>6.9</v>
          </cell>
          <cell r="I698">
            <v>2.2</v>
          </cell>
          <cell r="J698">
            <v>108</v>
          </cell>
        </row>
        <row r="698">
          <cell r="L698">
            <v>4.5</v>
          </cell>
          <cell r="M698">
            <v>1985</v>
          </cell>
        </row>
        <row r="699">
          <cell r="A699" t="str">
            <v>Y355L3-4/315</v>
          </cell>
          <cell r="B699">
            <v>299</v>
          </cell>
          <cell r="C699">
            <v>578</v>
          </cell>
          <cell r="D699">
            <v>1488</v>
          </cell>
          <cell r="E699">
            <v>95.2</v>
          </cell>
          <cell r="F699">
            <v>0.87</v>
          </cell>
          <cell r="G699">
            <v>1.4</v>
          </cell>
          <cell r="H699">
            <v>6.9</v>
          </cell>
          <cell r="I699">
            <v>2.2</v>
          </cell>
          <cell r="J699">
            <v>108</v>
          </cell>
        </row>
        <row r="699">
          <cell r="L699">
            <v>4.5</v>
          </cell>
          <cell r="M699">
            <v>1985</v>
          </cell>
        </row>
        <row r="700">
          <cell r="A700" t="str">
            <v>Y355L3-4/315</v>
          </cell>
          <cell r="B700">
            <v>300</v>
          </cell>
          <cell r="C700">
            <v>578</v>
          </cell>
          <cell r="D700">
            <v>1488</v>
          </cell>
          <cell r="E700">
            <v>95.2</v>
          </cell>
          <cell r="F700">
            <v>0.87</v>
          </cell>
          <cell r="G700">
            <v>1.4</v>
          </cell>
          <cell r="H700">
            <v>6.9</v>
          </cell>
          <cell r="I700">
            <v>2.2</v>
          </cell>
          <cell r="J700">
            <v>108</v>
          </cell>
        </row>
        <row r="700">
          <cell r="L700">
            <v>4.5</v>
          </cell>
          <cell r="M700">
            <v>1985</v>
          </cell>
        </row>
        <row r="701">
          <cell r="A701" t="str">
            <v>Y355L3-4/315</v>
          </cell>
          <cell r="B701">
            <v>301</v>
          </cell>
          <cell r="C701">
            <v>578</v>
          </cell>
          <cell r="D701">
            <v>1488</v>
          </cell>
          <cell r="E701">
            <v>95.2</v>
          </cell>
          <cell r="F701">
            <v>0.87</v>
          </cell>
          <cell r="G701">
            <v>1.4</v>
          </cell>
          <cell r="H701">
            <v>6.9</v>
          </cell>
          <cell r="I701">
            <v>2.2</v>
          </cell>
          <cell r="J701">
            <v>108</v>
          </cell>
        </row>
        <row r="701">
          <cell r="L701">
            <v>4.5</v>
          </cell>
          <cell r="M701">
            <v>1985</v>
          </cell>
        </row>
        <row r="702">
          <cell r="A702" t="str">
            <v>Y355L3-4/315</v>
          </cell>
          <cell r="B702">
            <v>302</v>
          </cell>
          <cell r="C702">
            <v>578</v>
          </cell>
          <cell r="D702">
            <v>1488</v>
          </cell>
          <cell r="E702">
            <v>95.2</v>
          </cell>
          <cell r="F702">
            <v>0.87</v>
          </cell>
          <cell r="G702">
            <v>1.4</v>
          </cell>
          <cell r="H702">
            <v>6.9</v>
          </cell>
          <cell r="I702">
            <v>2.2</v>
          </cell>
          <cell r="J702">
            <v>108</v>
          </cell>
        </row>
        <row r="702">
          <cell r="L702">
            <v>4.5</v>
          </cell>
          <cell r="M702">
            <v>1985</v>
          </cell>
        </row>
        <row r="703">
          <cell r="A703" t="str">
            <v>Y355L3-4/315</v>
          </cell>
          <cell r="B703">
            <v>303</v>
          </cell>
          <cell r="C703">
            <v>578</v>
          </cell>
          <cell r="D703">
            <v>1488</v>
          </cell>
          <cell r="E703">
            <v>95.2</v>
          </cell>
          <cell r="F703">
            <v>0.87</v>
          </cell>
          <cell r="G703">
            <v>1.4</v>
          </cell>
          <cell r="H703">
            <v>6.9</v>
          </cell>
          <cell r="I703">
            <v>2.2</v>
          </cell>
          <cell r="J703">
            <v>108</v>
          </cell>
        </row>
        <row r="703">
          <cell r="L703">
            <v>4.5</v>
          </cell>
          <cell r="M703">
            <v>1985</v>
          </cell>
        </row>
        <row r="704">
          <cell r="A704" t="str">
            <v>Y355L3-4/315</v>
          </cell>
          <cell r="B704">
            <v>304</v>
          </cell>
          <cell r="C704">
            <v>578</v>
          </cell>
          <cell r="D704">
            <v>1488</v>
          </cell>
          <cell r="E704">
            <v>95.2</v>
          </cell>
          <cell r="F704">
            <v>0.87</v>
          </cell>
          <cell r="G704">
            <v>1.4</v>
          </cell>
          <cell r="H704">
            <v>6.9</v>
          </cell>
          <cell r="I704">
            <v>2.2</v>
          </cell>
          <cell r="J704">
            <v>108</v>
          </cell>
        </row>
        <row r="704">
          <cell r="L704">
            <v>4.5</v>
          </cell>
          <cell r="M704">
            <v>1985</v>
          </cell>
        </row>
        <row r="705">
          <cell r="A705" t="str">
            <v>Y355L3-4/315</v>
          </cell>
          <cell r="B705">
            <v>305</v>
          </cell>
          <cell r="C705">
            <v>578</v>
          </cell>
          <cell r="D705">
            <v>1488</v>
          </cell>
          <cell r="E705">
            <v>95.2</v>
          </cell>
          <cell r="F705">
            <v>0.87</v>
          </cell>
          <cell r="G705">
            <v>1.4</v>
          </cell>
          <cell r="H705">
            <v>6.9</v>
          </cell>
          <cell r="I705">
            <v>2.2</v>
          </cell>
          <cell r="J705">
            <v>108</v>
          </cell>
        </row>
        <row r="705">
          <cell r="L705">
            <v>4.5</v>
          </cell>
          <cell r="M705">
            <v>1985</v>
          </cell>
        </row>
        <row r="706">
          <cell r="A706" t="str">
            <v>Y355L3-4/315</v>
          </cell>
          <cell r="B706">
            <v>306</v>
          </cell>
          <cell r="C706">
            <v>578</v>
          </cell>
          <cell r="D706">
            <v>1488</v>
          </cell>
          <cell r="E706">
            <v>95.2</v>
          </cell>
          <cell r="F706">
            <v>0.87</v>
          </cell>
          <cell r="G706">
            <v>1.4</v>
          </cell>
          <cell r="H706">
            <v>6.9</v>
          </cell>
          <cell r="I706">
            <v>2.2</v>
          </cell>
          <cell r="J706">
            <v>108</v>
          </cell>
        </row>
        <row r="706">
          <cell r="L706">
            <v>4.5</v>
          </cell>
          <cell r="M706">
            <v>1985</v>
          </cell>
        </row>
        <row r="707">
          <cell r="A707" t="str">
            <v>Y355L3-4/315</v>
          </cell>
          <cell r="B707">
            <v>307</v>
          </cell>
          <cell r="C707">
            <v>578</v>
          </cell>
          <cell r="D707">
            <v>1488</v>
          </cell>
          <cell r="E707">
            <v>95.2</v>
          </cell>
          <cell r="F707">
            <v>0.87</v>
          </cell>
          <cell r="G707">
            <v>1.4</v>
          </cell>
          <cell r="H707">
            <v>6.9</v>
          </cell>
          <cell r="I707">
            <v>2.2</v>
          </cell>
          <cell r="J707">
            <v>108</v>
          </cell>
        </row>
        <row r="707">
          <cell r="L707">
            <v>4.5</v>
          </cell>
          <cell r="M707">
            <v>1985</v>
          </cell>
        </row>
        <row r="708">
          <cell r="A708" t="str">
            <v>Y355L3-4/315</v>
          </cell>
          <cell r="B708">
            <v>308</v>
          </cell>
          <cell r="C708">
            <v>578</v>
          </cell>
          <cell r="D708">
            <v>1488</v>
          </cell>
          <cell r="E708">
            <v>95.2</v>
          </cell>
          <cell r="F708">
            <v>0.87</v>
          </cell>
          <cell r="G708">
            <v>1.4</v>
          </cell>
          <cell r="H708">
            <v>6.9</v>
          </cell>
          <cell r="I708">
            <v>2.2</v>
          </cell>
          <cell r="J708">
            <v>108</v>
          </cell>
        </row>
        <row r="708">
          <cell r="L708">
            <v>4.5</v>
          </cell>
          <cell r="M708">
            <v>1985</v>
          </cell>
        </row>
        <row r="709">
          <cell r="A709" t="str">
            <v>Y355L3-4/315</v>
          </cell>
          <cell r="B709">
            <v>309</v>
          </cell>
          <cell r="C709">
            <v>578</v>
          </cell>
          <cell r="D709">
            <v>1488</v>
          </cell>
          <cell r="E709">
            <v>95.2</v>
          </cell>
          <cell r="F709">
            <v>0.87</v>
          </cell>
          <cell r="G709">
            <v>1.4</v>
          </cell>
          <cell r="H709">
            <v>6.9</v>
          </cell>
          <cell r="I709">
            <v>2.2</v>
          </cell>
          <cell r="J709">
            <v>108</v>
          </cell>
        </row>
        <row r="709">
          <cell r="L709">
            <v>4.5</v>
          </cell>
          <cell r="M709">
            <v>1985</v>
          </cell>
        </row>
        <row r="710">
          <cell r="A710" t="str">
            <v>Y355L3-4/315</v>
          </cell>
          <cell r="B710">
            <v>310</v>
          </cell>
          <cell r="C710">
            <v>578</v>
          </cell>
          <cell r="D710">
            <v>1488</v>
          </cell>
          <cell r="E710">
            <v>95.2</v>
          </cell>
          <cell r="F710">
            <v>0.87</v>
          </cell>
          <cell r="G710">
            <v>1.4</v>
          </cell>
          <cell r="H710">
            <v>6.9</v>
          </cell>
          <cell r="I710">
            <v>2.2</v>
          </cell>
          <cell r="J710">
            <v>108</v>
          </cell>
        </row>
        <row r="710">
          <cell r="L710">
            <v>4.5</v>
          </cell>
          <cell r="M710">
            <v>1985</v>
          </cell>
        </row>
        <row r="711">
          <cell r="A711" t="str">
            <v>Y355L3-4/315</v>
          </cell>
          <cell r="B711">
            <v>311</v>
          </cell>
          <cell r="C711">
            <v>578</v>
          </cell>
          <cell r="D711">
            <v>1488</v>
          </cell>
          <cell r="E711">
            <v>95.2</v>
          </cell>
          <cell r="F711">
            <v>0.87</v>
          </cell>
          <cell r="G711">
            <v>1.4</v>
          </cell>
          <cell r="H711">
            <v>6.9</v>
          </cell>
          <cell r="I711">
            <v>2.2</v>
          </cell>
          <cell r="J711">
            <v>108</v>
          </cell>
        </row>
        <row r="711">
          <cell r="L711">
            <v>4.5</v>
          </cell>
          <cell r="M711">
            <v>1985</v>
          </cell>
        </row>
        <row r="712">
          <cell r="A712" t="str">
            <v>Y355L3-4/315</v>
          </cell>
          <cell r="B712">
            <v>312</v>
          </cell>
          <cell r="C712">
            <v>578</v>
          </cell>
          <cell r="D712">
            <v>1488</v>
          </cell>
          <cell r="E712">
            <v>95.2</v>
          </cell>
          <cell r="F712">
            <v>0.87</v>
          </cell>
          <cell r="G712">
            <v>1.4</v>
          </cell>
          <cell r="H712">
            <v>6.9</v>
          </cell>
          <cell r="I712">
            <v>2.2</v>
          </cell>
          <cell r="J712">
            <v>108</v>
          </cell>
        </row>
        <row r="712">
          <cell r="L712">
            <v>4.5</v>
          </cell>
          <cell r="M712">
            <v>1985</v>
          </cell>
        </row>
        <row r="713">
          <cell r="A713" t="str">
            <v>Y355L3-4/315</v>
          </cell>
          <cell r="B713">
            <v>313</v>
          </cell>
          <cell r="C713">
            <v>578</v>
          </cell>
          <cell r="D713">
            <v>1488</v>
          </cell>
          <cell r="E713">
            <v>95.2</v>
          </cell>
          <cell r="F713">
            <v>0.87</v>
          </cell>
          <cell r="G713">
            <v>1.4</v>
          </cell>
          <cell r="H713">
            <v>6.9</v>
          </cell>
          <cell r="I713">
            <v>2.2</v>
          </cell>
          <cell r="J713">
            <v>108</v>
          </cell>
        </row>
        <row r="713">
          <cell r="L713">
            <v>4.5</v>
          </cell>
          <cell r="M713">
            <v>1985</v>
          </cell>
        </row>
        <row r="714">
          <cell r="A714" t="str">
            <v>Y355L3-4/315</v>
          </cell>
          <cell r="B714">
            <v>314</v>
          </cell>
          <cell r="C714">
            <v>578</v>
          </cell>
          <cell r="D714">
            <v>1488</v>
          </cell>
          <cell r="E714">
            <v>95.2</v>
          </cell>
          <cell r="F714">
            <v>0.87</v>
          </cell>
          <cell r="G714">
            <v>1.4</v>
          </cell>
          <cell r="H714">
            <v>6.9</v>
          </cell>
          <cell r="I714">
            <v>2.2</v>
          </cell>
          <cell r="J714">
            <v>108</v>
          </cell>
        </row>
        <row r="714">
          <cell r="L714">
            <v>4.5</v>
          </cell>
          <cell r="M714">
            <v>1985</v>
          </cell>
        </row>
        <row r="715">
          <cell r="A715" t="str">
            <v>Y355L3-4/315</v>
          </cell>
          <cell r="B715">
            <v>315</v>
          </cell>
          <cell r="C715">
            <v>578</v>
          </cell>
          <cell r="D715">
            <v>1488</v>
          </cell>
          <cell r="E715">
            <v>95.2</v>
          </cell>
          <cell r="F715">
            <v>0.87</v>
          </cell>
          <cell r="G715">
            <v>1.4</v>
          </cell>
          <cell r="H715">
            <v>6.9</v>
          </cell>
          <cell r="I715">
            <v>2.2</v>
          </cell>
          <cell r="J715">
            <v>108</v>
          </cell>
        </row>
        <row r="715">
          <cell r="L715">
            <v>4.5</v>
          </cell>
          <cell r="M715">
            <v>1985</v>
          </cell>
        </row>
        <row r="716">
          <cell r="A716" t="str">
            <v> 同步转速     1000r/min   6 级</v>
          </cell>
        </row>
        <row r="717">
          <cell r="A717" t="str">
            <v>Y90S-6/0.75</v>
          </cell>
          <cell r="B717">
            <v>0.75</v>
          </cell>
          <cell r="C717">
            <v>2.3</v>
          </cell>
          <cell r="D717">
            <v>910</v>
          </cell>
          <cell r="E717">
            <v>72.5</v>
          </cell>
          <cell r="F717">
            <v>0.7</v>
          </cell>
          <cell r="G717">
            <v>2</v>
          </cell>
          <cell r="H717">
            <v>5.5</v>
          </cell>
          <cell r="I717">
            <v>2.2</v>
          </cell>
          <cell r="J717">
            <v>56</v>
          </cell>
          <cell r="K717">
            <v>65</v>
          </cell>
          <cell r="L717">
            <v>1.8</v>
          </cell>
          <cell r="M717">
            <v>21</v>
          </cell>
          <cell r="N717">
            <v>392</v>
          </cell>
        </row>
        <row r="718">
          <cell r="A718" t="str">
            <v>Y90L-6/1.1</v>
          </cell>
          <cell r="B718">
            <v>1</v>
          </cell>
          <cell r="C718">
            <v>3.2</v>
          </cell>
          <cell r="D718">
            <v>910</v>
          </cell>
          <cell r="E718">
            <v>73.5</v>
          </cell>
          <cell r="F718">
            <v>0.7</v>
          </cell>
          <cell r="G718">
            <v>2</v>
          </cell>
          <cell r="H718">
            <v>5.5</v>
          </cell>
          <cell r="I718">
            <v>2.2</v>
          </cell>
          <cell r="J718">
            <v>56</v>
          </cell>
          <cell r="K718">
            <v>65</v>
          </cell>
          <cell r="L718">
            <v>1.8</v>
          </cell>
          <cell r="M718">
            <v>24</v>
          </cell>
          <cell r="N718">
            <v>420</v>
          </cell>
        </row>
        <row r="719">
          <cell r="A719" t="str">
            <v>Y90L-6/1.1</v>
          </cell>
          <cell r="B719">
            <v>1.1</v>
          </cell>
          <cell r="C719">
            <v>3.2</v>
          </cell>
          <cell r="D719">
            <v>910</v>
          </cell>
          <cell r="E719">
            <v>73.5</v>
          </cell>
          <cell r="F719">
            <v>0.7</v>
          </cell>
          <cell r="G719">
            <v>2</v>
          </cell>
          <cell r="H719">
            <v>5.5</v>
          </cell>
          <cell r="I719">
            <v>2.2</v>
          </cell>
          <cell r="J719">
            <v>56</v>
          </cell>
          <cell r="K719">
            <v>65</v>
          </cell>
          <cell r="L719">
            <v>1.8</v>
          </cell>
          <cell r="M719">
            <v>24</v>
          </cell>
          <cell r="N719">
            <v>420</v>
          </cell>
        </row>
        <row r="720">
          <cell r="A720" t="str">
            <v>Y100L-6/1.5</v>
          </cell>
          <cell r="B720">
            <v>1.5</v>
          </cell>
          <cell r="C720">
            <v>4</v>
          </cell>
          <cell r="D720">
            <v>940</v>
          </cell>
          <cell r="E720">
            <v>77.5</v>
          </cell>
          <cell r="F720">
            <v>0.7</v>
          </cell>
          <cell r="G720">
            <v>2</v>
          </cell>
          <cell r="H720">
            <v>6</v>
          </cell>
          <cell r="I720">
            <v>2.2</v>
          </cell>
          <cell r="J720">
            <v>62</v>
          </cell>
          <cell r="K720">
            <v>67</v>
          </cell>
          <cell r="L720">
            <v>1.8</v>
          </cell>
          <cell r="M720">
            <v>35</v>
          </cell>
          <cell r="N720">
            <v>560</v>
          </cell>
        </row>
        <row r="721">
          <cell r="A721" t="str">
            <v>Y112M-6/2.2</v>
          </cell>
          <cell r="B721">
            <v>2</v>
          </cell>
          <cell r="C721">
            <v>5.6</v>
          </cell>
          <cell r="D721">
            <v>940</v>
          </cell>
          <cell r="E721">
            <v>80.5</v>
          </cell>
          <cell r="F721">
            <v>0.7</v>
          </cell>
          <cell r="G721">
            <v>2</v>
          </cell>
          <cell r="H721">
            <v>6</v>
          </cell>
          <cell r="I721">
            <v>2.2</v>
          </cell>
          <cell r="J721">
            <v>62</v>
          </cell>
          <cell r="K721">
            <v>67</v>
          </cell>
          <cell r="L721">
            <v>1.8</v>
          </cell>
          <cell r="M721">
            <v>45</v>
          </cell>
          <cell r="N721">
            <v>714</v>
          </cell>
        </row>
        <row r="722">
          <cell r="A722" t="str">
            <v>Y112M-6/2.2</v>
          </cell>
          <cell r="B722">
            <v>2.2</v>
          </cell>
          <cell r="C722">
            <v>5.6</v>
          </cell>
          <cell r="D722">
            <v>940</v>
          </cell>
          <cell r="E722">
            <v>80.5</v>
          </cell>
          <cell r="F722">
            <v>0.7</v>
          </cell>
          <cell r="G722">
            <v>2</v>
          </cell>
          <cell r="H722">
            <v>6</v>
          </cell>
          <cell r="I722">
            <v>2.2</v>
          </cell>
          <cell r="J722">
            <v>62</v>
          </cell>
          <cell r="K722">
            <v>67</v>
          </cell>
          <cell r="L722">
            <v>1.8</v>
          </cell>
          <cell r="M722">
            <v>45</v>
          </cell>
          <cell r="N722">
            <v>714</v>
          </cell>
        </row>
        <row r="723">
          <cell r="A723" t="str">
            <v>Y132S-6/3</v>
          </cell>
          <cell r="B723">
            <v>3</v>
          </cell>
          <cell r="C723">
            <v>7.2</v>
          </cell>
          <cell r="D723">
            <v>960</v>
          </cell>
          <cell r="E723">
            <v>83</v>
          </cell>
          <cell r="F723">
            <v>0.8</v>
          </cell>
          <cell r="G723">
            <v>2</v>
          </cell>
          <cell r="H723">
            <v>6.5</v>
          </cell>
          <cell r="I723">
            <v>2.2</v>
          </cell>
          <cell r="J723">
            <v>66</v>
          </cell>
          <cell r="K723">
            <v>71</v>
          </cell>
          <cell r="L723">
            <v>1.8</v>
          </cell>
          <cell r="M723">
            <v>66</v>
          </cell>
          <cell r="N723">
            <v>987</v>
          </cell>
        </row>
        <row r="724">
          <cell r="A724" t="str">
            <v>Y132M1-6/4</v>
          </cell>
          <cell r="B724">
            <v>4</v>
          </cell>
          <cell r="C724">
            <v>9.4</v>
          </cell>
          <cell r="D724">
            <v>960</v>
          </cell>
          <cell r="E724">
            <v>84</v>
          </cell>
          <cell r="F724">
            <v>0.8</v>
          </cell>
          <cell r="G724">
            <v>2</v>
          </cell>
          <cell r="H724">
            <v>6.5</v>
          </cell>
          <cell r="I724">
            <v>2.2</v>
          </cell>
          <cell r="J724">
            <v>66</v>
          </cell>
          <cell r="K724">
            <v>71</v>
          </cell>
          <cell r="L724">
            <v>1.8</v>
          </cell>
          <cell r="M724">
            <v>75</v>
          </cell>
          <cell r="N724">
            <v>1085</v>
          </cell>
        </row>
        <row r="725">
          <cell r="A725" t="str">
            <v>Y132M2-6/5.5</v>
          </cell>
          <cell r="B725">
            <v>5</v>
          </cell>
          <cell r="C725">
            <v>12.6</v>
          </cell>
          <cell r="D725">
            <v>960</v>
          </cell>
          <cell r="E725">
            <v>85.3</v>
          </cell>
          <cell r="F725">
            <v>0.8</v>
          </cell>
          <cell r="G725">
            <v>2</v>
          </cell>
          <cell r="H725">
            <v>6.5</v>
          </cell>
          <cell r="I725">
            <v>2.2</v>
          </cell>
          <cell r="J725">
            <v>66</v>
          </cell>
          <cell r="K725">
            <v>71</v>
          </cell>
          <cell r="L725">
            <v>1.8</v>
          </cell>
          <cell r="M725">
            <v>85</v>
          </cell>
          <cell r="N725">
            <v>1176</v>
          </cell>
        </row>
        <row r="726">
          <cell r="A726" t="str">
            <v>Y132M2-6/5.5</v>
          </cell>
          <cell r="B726">
            <v>5.5</v>
          </cell>
          <cell r="C726">
            <v>12.6</v>
          </cell>
          <cell r="D726">
            <v>960</v>
          </cell>
          <cell r="E726">
            <v>85.3</v>
          </cell>
          <cell r="F726">
            <v>0.8</v>
          </cell>
          <cell r="G726">
            <v>2</v>
          </cell>
          <cell r="H726">
            <v>6.5</v>
          </cell>
          <cell r="I726">
            <v>2.2</v>
          </cell>
          <cell r="J726">
            <v>66</v>
          </cell>
          <cell r="K726">
            <v>71</v>
          </cell>
          <cell r="L726">
            <v>1.8</v>
          </cell>
          <cell r="M726">
            <v>85</v>
          </cell>
          <cell r="N726">
            <v>1176</v>
          </cell>
        </row>
        <row r="727">
          <cell r="A727" t="str">
            <v>Y160M-6/7.5</v>
          </cell>
          <cell r="B727">
            <v>6</v>
          </cell>
          <cell r="C727">
            <v>17</v>
          </cell>
          <cell r="D727">
            <v>970</v>
          </cell>
          <cell r="E727">
            <v>86</v>
          </cell>
          <cell r="F727">
            <v>0.8</v>
          </cell>
          <cell r="G727">
            <v>2</v>
          </cell>
          <cell r="H727">
            <v>6.5</v>
          </cell>
          <cell r="I727">
            <v>2</v>
          </cell>
          <cell r="J727">
            <v>69</v>
          </cell>
          <cell r="K727">
            <v>75</v>
          </cell>
          <cell r="L727">
            <v>1.8</v>
          </cell>
          <cell r="M727">
            <v>116</v>
          </cell>
          <cell r="N727">
            <v>1659</v>
          </cell>
        </row>
        <row r="728">
          <cell r="A728" t="str">
            <v>Y160M-6/7.5</v>
          </cell>
          <cell r="B728">
            <v>7</v>
          </cell>
          <cell r="C728">
            <v>17</v>
          </cell>
          <cell r="D728">
            <v>970</v>
          </cell>
          <cell r="E728">
            <v>86</v>
          </cell>
          <cell r="F728">
            <v>0.8</v>
          </cell>
          <cell r="G728">
            <v>2</v>
          </cell>
          <cell r="H728">
            <v>6.5</v>
          </cell>
          <cell r="I728">
            <v>2</v>
          </cell>
          <cell r="J728">
            <v>69</v>
          </cell>
          <cell r="K728">
            <v>75</v>
          </cell>
          <cell r="L728">
            <v>1.8</v>
          </cell>
          <cell r="M728">
            <v>116</v>
          </cell>
          <cell r="N728">
            <v>1659</v>
          </cell>
        </row>
        <row r="729">
          <cell r="A729" t="str">
            <v>Y160M-6/7.5</v>
          </cell>
          <cell r="B729">
            <v>7.5</v>
          </cell>
          <cell r="C729">
            <v>17</v>
          </cell>
          <cell r="D729">
            <v>970</v>
          </cell>
          <cell r="E729">
            <v>86</v>
          </cell>
          <cell r="F729">
            <v>0.8</v>
          </cell>
          <cell r="G729">
            <v>2</v>
          </cell>
          <cell r="H729">
            <v>6.5</v>
          </cell>
          <cell r="I729">
            <v>2</v>
          </cell>
          <cell r="J729">
            <v>69</v>
          </cell>
          <cell r="K729">
            <v>75</v>
          </cell>
          <cell r="L729">
            <v>1.8</v>
          </cell>
          <cell r="M729">
            <v>116</v>
          </cell>
          <cell r="N729">
            <v>1659</v>
          </cell>
        </row>
        <row r="730">
          <cell r="A730" t="str">
            <v>Y160L-6/11</v>
          </cell>
          <cell r="B730">
            <v>8</v>
          </cell>
          <cell r="C730">
            <v>24.6</v>
          </cell>
          <cell r="D730">
            <v>970</v>
          </cell>
          <cell r="E730">
            <v>87</v>
          </cell>
          <cell r="F730">
            <v>0.8</v>
          </cell>
          <cell r="G730">
            <v>2</v>
          </cell>
          <cell r="H730">
            <v>6.5</v>
          </cell>
          <cell r="I730">
            <v>2</v>
          </cell>
          <cell r="J730">
            <v>70</v>
          </cell>
          <cell r="K730">
            <v>75</v>
          </cell>
          <cell r="L730">
            <v>1.8</v>
          </cell>
          <cell r="M730">
            <v>139</v>
          </cell>
          <cell r="N730">
            <v>1918</v>
          </cell>
        </row>
        <row r="731">
          <cell r="A731" t="str">
            <v>Y160L-6/11</v>
          </cell>
          <cell r="B731">
            <v>9</v>
          </cell>
          <cell r="C731">
            <v>24.6</v>
          </cell>
          <cell r="D731">
            <v>970</v>
          </cell>
          <cell r="E731">
            <v>87</v>
          </cell>
          <cell r="F731">
            <v>0.8</v>
          </cell>
          <cell r="G731">
            <v>2</v>
          </cell>
          <cell r="H731">
            <v>6.5</v>
          </cell>
          <cell r="I731">
            <v>2</v>
          </cell>
          <cell r="J731">
            <v>70</v>
          </cell>
          <cell r="K731">
            <v>75</v>
          </cell>
          <cell r="L731">
            <v>1.8</v>
          </cell>
          <cell r="M731">
            <v>139</v>
          </cell>
          <cell r="N731">
            <v>1918</v>
          </cell>
        </row>
        <row r="732">
          <cell r="A732" t="str">
            <v>Y160L-6/11</v>
          </cell>
          <cell r="B732">
            <v>10</v>
          </cell>
          <cell r="C732">
            <v>24.6</v>
          </cell>
          <cell r="D732">
            <v>970</v>
          </cell>
          <cell r="E732">
            <v>87</v>
          </cell>
          <cell r="F732">
            <v>0.8</v>
          </cell>
          <cell r="G732">
            <v>2</v>
          </cell>
          <cell r="H732">
            <v>6.5</v>
          </cell>
          <cell r="I732">
            <v>2</v>
          </cell>
          <cell r="J732">
            <v>70</v>
          </cell>
          <cell r="K732">
            <v>75</v>
          </cell>
          <cell r="L732">
            <v>1.8</v>
          </cell>
          <cell r="M732">
            <v>139</v>
          </cell>
          <cell r="N732">
            <v>1918</v>
          </cell>
        </row>
        <row r="733">
          <cell r="A733" t="str">
            <v>Y160L-6/11</v>
          </cell>
          <cell r="B733">
            <v>11</v>
          </cell>
          <cell r="C733">
            <v>24.6</v>
          </cell>
          <cell r="D733">
            <v>970</v>
          </cell>
          <cell r="E733">
            <v>87</v>
          </cell>
          <cell r="F733">
            <v>0.8</v>
          </cell>
          <cell r="G733">
            <v>2</v>
          </cell>
          <cell r="H733">
            <v>6.5</v>
          </cell>
          <cell r="I733">
            <v>2</v>
          </cell>
          <cell r="J733">
            <v>70</v>
          </cell>
          <cell r="K733">
            <v>75</v>
          </cell>
          <cell r="L733">
            <v>1.8</v>
          </cell>
          <cell r="M733">
            <v>139</v>
          </cell>
          <cell r="N733">
            <v>1918</v>
          </cell>
        </row>
        <row r="734">
          <cell r="A734" t="str">
            <v>Y180M-6/15</v>
          </cell>
          <cell r="B734">
            <v>12</v>
          </cell>
          <cell r="C734">
            <v>31.4</v>
          </cell>
          <cell r="D734">
            <v>970</v>
          </cell>
          <cell r="E734">
            <v>89.5</v>
          </cell>
          <cell r="F734">
            <v>0.8</v>
          </cell>
          <cell r="G734">
            <v>1.8</v>
          </cell>
          <cell r="H734">
            <v>6.5</v>
          </cell>
          <cell r="I734">
            <v>2</v>
          </cell>
          <cell r="J734">
            <v>70</v>
          </cell>
          <cell r="K734">
            <v>78</v>
          </cell>
          <cell r="L734">
            <v>1.8</v>
          </cell>
          <cell r="M734">
            <v>182</v>
          </cell>
          <cell r="N734">
            <v>2541</v>
          </cell>
        </row>
        <row r="735">
          <cell r="A735" t="str">
            <v>Y180M-6/15</v>
          </cell>
          <cell r="B735">
            <v>13</v>
          </cell>
          <cell r="C735">
            <v>31.4</v>
          </cell>
          <cell r="D735">
            <v>970</v>
          </cell>
          <cell r="E735">
            <v>89.5</v>
          </cell>
          <cell r="F735">
            <v>0.8</v>
          </cell>
          <cell r="G735">
            <v>1.8</v>
          </cell>
          <cell r="H735">
            <v>6.5</v>
          </cell>
          <cell r="I735">
            <v>2</v>
          </cell>
          <cell r="J735">
            <v>70</v>
          </cell>
          <cell r="K735">
            <v>78</v>
          </cell>
          <cell r="L735">
            <v>1.8</v>
          </cell>
          <cell r="M735">
            <v>182</v>
          </cell>
          <cell r="N735">
            <v>2541</v>
          </cell>
        </row>
        <row r="736">
          <cell r="A736" t="str">
            <v>Y180M-6/15</v>
          </cell>
          <cell r="B736">
            <v>14</v>
          </cell>
          <cell r="C736">
            <v>31.4</v>
          </cell>
          <cell r="D736">
            <v>970</v>
          </cell>
          <cell r="E736">
            <v>89.5</v>
          </cell>
          <cell r="F736">
            <v>0.8</v>
          </cell>
          <cell r="G736">
            <v>1.8</v>
          </cell>
          <cell r="H736">
            <v>6.5</v>
          </cell>
          <cell r="I736">
            <v>2</v>
          </cell>
          <cell r="J736">
            <v>70</v>
          </cell>
          <cell r="K736">
            <v>78</v>
          </cell>
          <cell r="L736">
            <v>1.8</v>
          </cell>
          <cell r="M736">
            <v>182</v>
          </cell>
          <cell r="N736">
            <v>2541</v>
          </cell>
        </row>
        <row r="737">
          <cell r="A737" t="str">
            <v>Y180M-6/15</v>
          </cell>
          <cell r="B737">
            <v>15</v>
          </cell>
          <cell r="C737">
            <v>31.4</v>
          </cell>
          <cell r="D737">
            <v>970</v>
          </cell>
          <cell r="E737">
            <v>89.5</v>
          </cell>
          <cell r="F737">
            <v>0.8</v>
          </cell>
          <cell r="G737">
            <v>1.8</v>
          </cell>
          <cell r="H737">
            <v>6.5</v>
          </cell>
          <cell r="I737">
            <v>2</v>
          </cell>
          <cell r="J737">
            <v>70</v>
          </cell>
          <cell r="K737">
            <v>78</v>
          </cell>
          <cell r="L737">
            <v>1.8</v>
          </cell>
          <cell r="M737">
            <v>182</v>
          </cell>
          <cell r="N737">
            <v>2541</v>
          </cell>
        </row>
        <row r="738">
          <cell r="A738" t="str">
            <v>Y200L1-6/18.5</v>
          </cell>
          <cell r="B738">
            <v>16</v>
          </cell>
          <cell r="C738">
            <v>37.7</v>
          </cell>
          <cell r="D738">
            <v>970</v>
          </cell>
          <cell r="E738">
            <v>89.8</v>
          </cell>
          <cell r="F738">
            <v>0.8</v>
          </cell>
          <cell r="G738">
            <v>1.8</v>
          </cell>
          <cell r="H738">
            <v>6.5</v>
          </cell>
          <cell r="I738">
            <v>2</v>
          </cell>
          <cell r="J738">
            <v>73</v>
          </cell>
          <cell r="K738">
            <v>78</v>
          </cell>
          <cell r="L738">
            <v>1.8</v>
          </cell>
          <cell r="M738">
            <v>228</v>
          </cell>
          <cell r="N738">
            <v>3178</v>
          </cell>
        </row>
        <row r="739">
          <cell r="A739" t="str">
            <v>Y200L1-6/18.5</v>
          </cell>
          <cell r="B739">
            <v>17</v>
          </cell>
          <cell r="C739">
            <v>37.7</v>
          </cell>
          <cell r="D739">
            <v>970</v>
          </cell>
          <cell r="E739">
            <v>89.8</v>
          </cell>
          <cell r="F739">
            <v>0.8</v>
          </cell>
          <cell r="G739">
            <v>1.8</v>
          </cell>
          <cell r="H739">
            <v>6.5</v>
          </cell>
          <cell r="I739">
            <v>2</v>
          </cell>
          <cell r="J739">
            <v>73</v>
          </cell>
          <cell r="K739">
            <v>78</v>
          </cell>
          <cell r="L739">
            <v>1.8</v>
          </cell>
          <cell r="M739">
            <v>228</v>
          </cell>
          <cell r="N739">
            <v>3178</v>
          </cell>
        </row>
        <row r="740">
          <cell r="A740" t="str">
            <v>Y200L1-6/18.5</v>
          </cell>
          <cell r="B740">
            <v>18.5</v>
          </cell>
          <cell r="C740">
            <v>37.7</v>
          </cell>
          <cell r="D740">
            <v>970</v>
          </cell>
          <cell r="E740">
            <v>89.8</v>
          </cell>
          <cell r="F740">
            <v>0.8</v>
          </cell>
          <cell r="G740">
            <v>1.8</v>
          </cell>
          <cell r="H740">
            <v>6.5</v>
          </cell>
          <cell r="I740">
            <v>2</v>
          </cell>
          <cell r="J740">
            <v>73</v>
          </cell>
          <cell r="K740">
            <v>78</v>
          </cell>
          <cell r="L740">
            <v>1.8</v>
          </cell>
          <cell r="M740">
            <v>228</v>
          </cell>
          <cell r="N740">
            <v>3178</v>
          </cell>
        </row>
        <row r="741">
          <cell r="A741" t="str">
            <v>Y200L2-6/22</v>
          </cell>
          <cell r="B741">
            <v>19</v>
          </cell>
          <cell r="C741">
            <v>44.6</v>
          </cell>
          <cell r="D741">
            <v>980</v>
          </cell>
          <cell r="E741">
            <v>90.2</v>
          </cell>
          <cell r="F741">
            <v>0.8</v>
          </cell>
          <cell r="G741">
            <v>1.8</v>
          </cell>
          <cell r="H741">
            <v>6.5</v>
          </cell>
          <cell r="I741">
            <v>2</v>
          </cell>
          <cell r="J741">
            <v>73</v>
          </cell>
          <cell r="K741">
            <v>78</v>
          </cell>
          <cell r="L741">
            <v>1.8</v>
          </cell>
          <cell r="M741">
            <v>246</v>
          </cell>
          <cell r="N741">
            <v>3500</v>
          </cell>
        </row>
        <row r="742">
          <cell r="A742" t="str">
            <v>Y200L2-6/22</v>
          </cell>
          <cell r="B742">
            <v>20</v>
          </cell>
          <cell r="C742">
            <v>44.6</v>
          </cell>
          <cell r="D742">
            <v>980</v>
          </cell>
          <cell r="E742">
            <v>90.2</v>
          </cell>
          <cell r="F742">
            <v>0.8</v>
          </cell>
          <cell r="G742">
            <v>1.8</v>
          </cell>
          <cell r="H742">
            <v>6.5</v>
          </cell>
          <cell r="I742">
            <v>2</v>
          </cell>
          <cell r="J742">
            <v>73</v>
          </cell>
          <cell r="K742">
            <v>78</v>
          </cell>
          <cell r="L742">
            <v>1.8</v>
          </cell>
          <cell r="M742">
            <v>246</v>
          </cell>
          <cell r="N742">
            <v>3500</v>
          </cell>
        </row>
        <row r="743">
          <cell r="A743" t="str">
            <v>Y200L2-6/22</v>
          </cell>
          <cell r="B743">
            <v>21</v>
          </cell>
          <cell r="C743">
            <v>44.6</v>
          </cell>
          <cell r="D743">
            <v>980</v>
          </cell>
          <cell r="E743">
            <v>90.2</v>
          </cell>
          <cell r="F743">
            <v>0.8</v>
          </cell>
          <cell r="G743">
            <v>1.8</v>
          </cell>
          <cell r="H743">
            <v>6.5</v>
          </cell>
          <cell r="I743">
            <v>2</v>
          </cell>
          <cell r="J743">
            <v>73</v>
          </cell>
          <cell r="K743">
            <v>78</v>
          </cell>
          <cell r="L743">
            <v>1.8</v>
          </cell>
          <cell r="M743">
            <v>246</v>
          </cell>
          <cell r="N743">
            <v>3500</v>
          </cell>
        </row>
        <row r="744">
          <cell r="A744" t="str">
            <v>Y200L2-6/22</v>
          </cell>
          <cell r="B744">
            <v>22</v>
          </cell>
          <cell r="C744">
            <v>44.6</v>
          </cell>
          <cell r="D744">
            <v>980</v>
          </cell>
          <cell r="E744">
            <v>90.2</v>
          </cell>
          <cell r="F744">
            <v>0.8</v>
          </cell>
          <cell r="G744">
            <v>1.8</v>
          </cell>
          <cell r="H744">
            <v>6.5</v>
          </cell>
          <cell r="I744">
            <v>2</v>
          </cell>
          <cell r="J744">
            <v>73</v>
          </cell>
          <cell r="K744">
            <v>78</v>
          </cell>
          <cell r="L744">
            <v>1.8</v>
          </cell>
          <cell r="M744">
            <v>246</v>
          </cell>
          <cell r="N744">
            <v>3500</v>
          </cell>
        </row>
        <row r="745">
          <cell r="A745" t="str">
            <v>Y225M-6/30</v>
          </cell>
          <cell r="B745">
            <v>23</v>
          </cell>
          <cell r="C745">
            <v>59.5</v>
          </cell>
          <cell r="D745">
            <v>980</v>
          </cell>
          <cell r="E745">
            <v>90.2</v>
          </cell>
          <cell r="F745">
            <v>0.9</v>
          </cell>
          <cell r="G745">
            <v>1.7</v>
          </cell>
          <cell r="H745">
            <v>6.5</v>
          </cell>
          <cell r="I745">
            <v>2</v>
          </cell>
          <cell r="J745">
            <v>76</v>
          </cell>
          <cell r="K745">
            <v>81</v>
          </cell>
          <cell r="L745">
            <v>1.8</v>
          </cell>
          <cell r="M745">
            <v>294</v>
          </cell>
          <cell r="N745">
            <v>4606</v>
          </cell>
        </row>
        <row r="746">
          <cell r="A746" t="str">
            <v>Y225M-6/30</v>
          </cell>
          <cell r="B746">
            <v>24</v>
          </cell>
          <cell r="C746">
            <v>59.5</v>
          </cell>
          <cell r="D746">
            <v>980</v>
          </cell>
          <cell r="E746">
            <v>90.2</v>
          </cell>
          <cell r="F746">
            <v>0.9</v>
          </cell>
          <cell r="G746">
            <v>1.7</v>
          </cell>
          <cell r="H746">
            <v>6.5</v>
          </cell>
          <cell r="I746">
            <v>2</v>
          </cell>
          <cell r="J746">
            <v>76</v>
          </cell>
          <cell r="K746">
            <v>81</v>
          </cell>
          <cell r="L746">
            <v>1.8</v>
          </cell>
          <cell r="M746">
            <v>294</v>
          </cell>
          <cell r="N746">
            <v>4606</v>
          </cell>
        </row>
        <row r="747">
          <cell r="A747" t="str">
            <v>Y225M-6/30</v>
          </cell>
          <cell r="B747">
            <v>25</v>
          </cell>
          <cell r="C747">
            <v>59.5</v>
          </cell>
          <cell r="D747">
            <v>980</v>
          </cell>
          <cell r="E747">
            <v>90.2</v>
          </cell>
          <cell r="F747">
            <v>0.9</v>
          </cell>
          <cell r="G747">
            <v>1.7</v>
          </cell>
          <cell r="H747">
            <v>6.5</v>
          </cell>
          <cell r="I747">
            <v>2</v>
          </cell>
          <cell r="J747">
            <v>76</v>
          </cell>
          <cell r="K747">
            <v>81</v>
          </cell>
          <cell r="L747">
            <v>1.8</v>
          </cell>
          <cell r="M747">
            <v>294</v>
          </cell>
          <cell r="N747">
            <v>4606</v>
          </cell>
        </row>
        <row r="748">
          <cell r="A748" t="str">
            <v>Y225M-6/30</v>
          </cell>
          <cell r="B748">
            <v>26</v>
          </cell>
          <cell r="C748">
            <v>59.5</v>
          </cell>
          <cell r="D748">
            <v>980</v>
          </cell>
          <cell r="E748">
            <v>90.2</v>
          </cell>
          <cell r="F748">
            <v>0.9</v>
          </cell>
          <cell r="G748">
            <v>1.7</v>
          </cell>
          <cell r="H748">
            <v>6.5</v>
          </cell>
          <cell r="I748">
            <v>2</v>
          </cell>
          <cell r="J748">
            <v>76</v>
          </cell>
          <cell r="K748">
            <v>81</v>
          </cell>
          <cell r="L748">
            <v>1.8</v>
          </cell>
          <cell r="M748">
            <v>294</v>
          </cell>
          <cell r="N748">
            <v>4606</v>
          </cell>
        </row>
        <row r="749">
          <cell r="A749" t="str">
            <v>Y225M-6/30</v>
          </cell>
          <cell r="B749">
            <v>27</v>
          </cell>
          <cell r="C749">
            <v>59.5</v>
          </cell>
          <cell r="D749">
            <v>980</v>
          </cell>
          <cell r="E749">
            <v>90.2</v>
          </cell>
          <cell r="F749">
            <v>0.9</v>
          </cell>
          <cell r="G749">
            <v>1.7</v>
          </cell>
          <cell r="H749">
            <v>6.5</v>
          </cell>
          <cell r="I749">
            <v>2</v>
          </cell>
          <cell r="J749">
            <v>76</v>
          </cell>
          <cell r="K749">
            <v>81</v>
          </cell>
          <cell r="L749">
            <v>1.8</v>
          </cell>
          <cell r="M749">
            <v>294</v>
          </cell>
          <cell r="N749">
            <v>4606</v>
          </cell>
        </row>
        <row r="750">
          <cell r="A750" t="str">
            <v>Y225M-6/30</v>
          </cell>
          <cell r="B750">
            <v>28</v>
          </cell>
          <cell r="C750">
            <v>59.5</v>
          </cell>
          <cell r="D750">
            <v>980</v>
          </cell>
          <cell r="E750">
            <v>90.2</v>
          </cell>
          <cell r="F750">
            <v>0.9</v>
          </cell>
          <cell r="G750">
            <v>1.7</v>
          </cell>
          <cell r="H750">
            <v>6.5</v>
          </cell>
          <cell r="I750">
            <v>2</v>
          </cell>
          <cell r="J750">
            <v>76</v>
          </cell>
          <cell r="K750">
            <v>81</v>
          </cell>
          <cell r="L750">
            <v>1.8</v>
          </cell>
          <cell r="M750">
            <v>294</v>
          </cell>
          <cell r="N750">
            <v>4606</v>
          </cell>
        </row>
        <row r="751">
          <cell r="A751" t="str">
            <v>Y225M-6/30</v>
          </cell>
          <cell r="B751">
            <v>29</v>
          </cell>
          <cell r="C751">
            <v>59.5</v>
          </cell>
          <cell r="D751">
            <v>980</v>
          </cell>
          <cell r="E751">
            <v>90.2</v>
          </cell>
          <cell r="F751">
            <v>0.9</v>
          </cell>
          <cell r="G751">
            <v>1.7</v>
          </cell>
          <cell r="H751">
            <v>6.5</v>
          </cell>
          <cell r="I751">
            <v>2</v>
          </cell>
          <cell r="J751">
            <v>76</v>
          </cell>
          <cell r="K751">
            <v>81</v>
          </cell>
          <cell r="L751">
            <v>1.8</v>
          </cell>
          <cell r="M751">
            <v>294</v>
          </cell>
          <cell r="N751">
            <v>4606</v>
          </cell>
        </row>
        <row r="752">
          <cell r="A752" t="str">
            <v>Y225M-6/30</v>
          </cell>
          <cell r="B752">
            <v>30</v>
          </cell>
          <cell r="C752">
            <v>59.5</v>
          </cell>
          <cell r="D752">
            <v>980</v>
          </cell>
          <cell r="E752">
            <v>90.2</v>
          </cell>
          <cell r="F752">
            <v>0.9</v>
          </cell>
          <cell r="G752">
            <v>1.7</v>
          </cell>
          <cell r="H752">
            <v>6.5</v>
          </cell>
          <cell r="I752">
            <v>2</v>
          </cell>
          <cell r="J752">
            <v>76</v>
          </cell>
          <cell r="K752">
            <v>81</v>
          </cell>
          <cell r="L752">
            <v>1.8</v>
          </cell>
          <cell r="M752">
            <v>294</v>
          </cell>
          <cell r="N752">
            <v>4606</v>
          </cell>
        </row>
        <row r="753">
          <cell r="A753" t="str">
            <v>Y250M-6/37</v>
          </cell>
          <cell r="B753">
            <v>31</v>
          </cell>
          <cell r="C753">
            <v>72</v>
          </cell>
          <cell r="D753">
            <v>980</v>
          </cell>
          <cell r="E753">
            <v>90.8</v>
          </cell>
          <cell r="F753">
            <v>0.9</v>
          </cell>
          <cell r="G753">
            <v>1.8</v>
          </cell>
          <cell r="H753">
            <v>6.5</v>
          </cell>
          <cell r="I753">
            <v>2</v>
          </cell>
          <cell r="J753">
            <v>76</v>
          </cell>
          <cell r="K753">
            <v>81</v>
          </cell>
          <cell r="L753">
            <v>2.8</v>
          </cell>
          <cell r="M753">
            <v>395</v>
          </cell>
          <cell r="N753">
            <v>5670</v>
          </cell>
        </row>
        <row r="754">
          <cell r="A754" t="str">
            <v>Y250M-6/37</v>
          </cell>
          <cell r="B754">
            <v>32</v>
          </cell>
          <cell r="C754">
            <v>72</v>
          </cell>
          <cell r="D754">
            <v>980</v>
          </cell>
          <cell r="E754">
            <v>90.8</v>
          </cell>
          <cell r="F754">
            <v>0.9</v>
          </cell>
          <cell r="G754">
            <v>1.8</v>
          </cell>
          <cell r="H754">
            <v>6.5</v>
          </cell>
          <cell r="I754">
            <v>2</v>
          </cell>
          <cell r="J754">
            <v>76</v>
          </cell>
          <cell r="K754">
            <v>81</v>
          </cell>
          <cell r="L754">
            <v>2.8</v>
          </cell>
          <cell r="M754">
            <v>395</v>
          </cell>
          <cell r="N754">
            <v>5670</v>
          </cell>
        </row>
        <row r="755">
          <cell r="A755" t="str">
            <v>Y250M-6/37</v>
          </cell>
          <cell r="B755">
            <v>33</v>
          </cell>
          <cell r="C755">
            <v>72</v>
          </cell>
          <cell r="D755">
            <v>980</v>
          </cell>
          <cell r="E755">
            <v>90.8</v>
          </cell>
          <cell r="F755">
            <v>0.9</v>
          </cell>
          <cell r="G755">
            <v>1.8</v>
          </cell>
          <cell r="H755">
            <v>6.5</v>
          </cell>
          <cell r="I755">
            <v>2</v>
          </cell>
          <cell r="J755">
            <v>76</v>
          </cell>
          <cell r="K755">
            <v>81</v>
          </cell>
          <cell r="L755">
            <v>2.8</v>
          </cell>
          <cell r="M755">
            <v>395</v>
          </cell>
          <cell r="N755">
            <v>5670</v>
          </cell>
        </row>
        <row r="756">
          <cell r="A756" t="str">
            <v>Y250M-6/37</v>
          </cell>
          <cell r="B756">
            <v>34</v>
          </cell>
          <cell r="C756">
            <v>72</v>
          </cell>
          <cell r="D756">
            <v>980</v>
          </cell>
          <cell r="E756">
            <v>90.8</v>
          </cell>
          <cell r="F756">
            <v>0.9</v>
          </cell>
          <cell r="G756">
            <v>1.8</v>
          </cell>
          <cell r="H756">
            <v>6.5</v>
          </cell>
          <cell r="I756">
            <v>2</v>
          </cell>
          <cell r="J756">
            <v>76</v>
          </cell>
          <cell r="K756">
            <v>81</v>
          </cell>
          <cell r="L756">
            <v>2.8</v>
          </cell>
          <cell r="M756">
            <v>395</v>
          </cell>
          <cell r="N756">
            <v>5670</v>
          </cell>
        </row>
        <row r="757">
          <cell r="A757" t="str">
            <v>Y250M-6/37</v>
          </cell>
          <cell r="B757">
            <v>35</v>
          </cell>
          <cell r="C757">
            <v>72</v>
          </cell>
          <cell r="D757">
            <v>980</v>
          </cell>
          <cell r="E757">
            <v>90.8</v>
          </cell>
          <cell r="F757">
            <v>0.9</v>
          </cell>
          <cell r="G757">
            <v>1.8</v>
          </cell>
          <cell r="H757">
            <v>6.5</v>
          </cell>
          <cell r="I757">
            <v>2</v>
          </cell>
          <cell r="J757">
            <v>76</v>
          </cell>
          <cell r="K757">
            <v>81</v>
          </cell>
          <cell r="L757">
            <v>2.8</v>
          </cell>
          <cell r="M757">
            <v>395</v>
          </cell>
          <cell r="N757">
            <v>5670</v>
          </cell>
        </row>
        <row r="758">
          <cell r="A758" t="str">
            <v>Y250M-6/37</v>
          </cell>
          <cell r="B758">
            <v>36</v>
          </cell>
          <cell r="C758">
            <v>72</v>
          </cell>
          <cell r="D758">
            <v>980</v>
          </cell>
          <cell r="E758">
            <v>90.8</v>
          </cell>
          <cell r="F758">
            <v>0.9</v>
          </cell>
          <cell r="G758">
            <v>1.8</v>
          </cell>
          <cell r="H758">
            <v>6.5</v>
          </cell>
          <cell r="I758">
            <v>2</v>
          </cell>
          <cell r="J758">
            <v>76</v>
          </cell>
          <cell r="K758">
            <v>81</v>
          </cell>
          <cell r="L758">
            <v>2.8</v>
          </cell>
          <cell r="M758">
            <v>395</v>
          </cell>
          <cell r="N758">
            <v>5670</v>
          </cell>
        </row>
        <row r="759">
          <cell r="A759" t="str">
            <v>Y250M-6/37</v>
          </cell>
          <cell r="B759">
            <v>37</v>
          </cell>
          <cell r="C759">
            <v>72</v>
          </cell>
          <cell r="D759">
            <v>980</v>
          </cell>
          <cell r="E759">
            <v>90.8</v>
          </cell>
          <cell r="F759">
            <v>0.9</v>
          </cell>
          <cell r="G759">
            <v>1.8</v>
          </cell>
          <cell r="H759">
            <v>6.5</v>
          </cell>
          <cell r="I759">
            <v>2</v>
          </cell>
          <cell r="J759">
            <v>76</v>
          </cell>
          <cell r="K759">
            <v>81</v>
          </cell>
          <cell r="L759">
            <v>2.8</v>
          </cell>
          <cell r="M759">
            <v>395</v>
          </cell>
          <cell r="N759">
            <v>5670</v>
          </cell>
        </row>
        <row r="760">
          <cell r="A760" t="str">
            <v>Y280S-6/45</v>
          </cell>
          <cell r="B760">
            <v>38</v>
          </cell>
          <cell r="C760">
            <v>85.4</v>
          </cell>
          <cell r="D760">
            <v>980</v>
          </cell>
          <cell r="E760">
            <v>92</v>
          </cell>
          <cell r="F760">
            <v>0.9</v>
          </cell>
          <cell r="G760">
            <v>1.8</v>
          </cell>
          <cell r="H760">
            <v>6.5</v>
          </cell>
          <cell r="I760">
            <v>2</v>
          </cell>
          <cell r="J760">
            <v>79</v>
          </cell>
          <cell r="K760">
            <v>84</v>
          </cell>
          <cell r="L760">
            <v>2.8</v>
          </cell>
          <cell r="M760">
            <v>505</v>
          </cell>
          <cell r="N760">
            <v>7056</v>
          </cell>
        </row>
        <row r="761">
          <cell r="A761" t="str">
            <v>Y280S-6/45</v>
          </cell>
          <cell r="B761">
            <v>39</v>
          </cell>
          <cell r="C761">
            <v>85.4</v>
          </cell>
          <cell r="D761">
            <v>980</v>
          </cell>
          <cell r="E761">
            <v>92</v>
          </cell>
          <cell r="F761">
            <v>0.9</v>
          </cell>
          <cell r="G761">
            <v>1.8</v>
          </cell>
          <cell r="H761">
            <v>6.5</v>
          </cell>
          <cell r="I761">
            <v>2</v>
          </cell>
          <cell r="J761">
            <v>79</v>
          </cell>
          <cell r="K761">
            <v>84</v>
          </cell>
          <cell r="L761">
            <v>2.8</v>
          </cell>
          <cell r="M761">
            <v>505</v>
          </cell>
          <cell r="N761">
            <v>7056</v>
          </cell>
        </row>
        <row r="762">
          <cell r="A762" t="str">
            <v>Y280S-6/45</v>
          </cell>
          <cell r="B762">
            <v>40</v>
          </cell>
          <cell r="C762">
            <v>85.4</v>
          </cell>
          <cell r="D762">
            <v>980</v>
          </cell>
          <cell r="E762">
            <v>92</v>
          </cell>
          <cell r="F762">
            <v>0.9</v>
          </cell>
          <cell r="G762">
            <v>1.8</v>
          </cell>
          <cell r="H762">
            <v>6.5</v>
          </cell>
          <cell r="I762">
            <v>2</v>
          </cell>
          <cell r="J762">
            <v>79</v>
          </cell>
          <cell r="K762">
            <v>84</v>
          </cell>
          <cell r="L762">
            <v>2.8</v>
          </cell>
          <cell r="M762">
            <v>505</v>
          </cell>
          <cell r="N762">
            <v>7056</v>
          </cell>
        </row>
        <row r="763">
          <cell r="A763" t="str">
            <v>Y280S-6/45</v>
          </cell>
          <cell r="B763">
            <v>41</v>
          </cell>
          <cell r="C763">
            <v>85.4</v>
          </cell>
          <cell r="D763">
            <v>980</v>
          </cell>
          <cell r="E763">
            <v>92</v>
          </cell>
          <cell r="F763">
            <v>0.9</v>
          </cell>
          <cell r="G763">
            <v>1.8</v>
          </cell>
          <cell r="H763">
            <v>6.5</v>
          </cell>
          <cell r="I763">
            <v>2</v>
          </cell>
          <cell r="J763">
            <v>79</v>
          </cell>
          <cell r="K763">
            <v>84</v>
          </cell>
          <cell r="L763">
            <v>2.8</v>
          </cell>
          <cell r="M763">
            <v>505</v>
          </cell>
          <cell r="N763">
            <v>7056</v>
          </cell>
        </row>
        <row r="764">
          <cell r="A764" t="str">
            <v>Y280S-6/45</v>
          </cell>
          <cell r="B764">
            <v>42</v>
          </cell>
          <cell r="C764">
            <v>85.4</v>
          </cell>
          <cell r="D764">
            <v>980</v>
          </cell>
          <cell r="E764">
            <v>92</v>
          </cell>
          <cell r="F764">
            <v>0.9</v>
          </cell>
          <cell r="G764">
            <v>1.8</v>
          </cell>
          <cell r="H764">
            <v>6.5</v>
          </cell>
          <cell r="I764">
            <v>2</v>
          </cell>
          <cell r="J764">
            <v>79</v>
          </cell>
          <cell r="K764">
            <v>84</v>
          </cell>
          <cell r="L764">
            <v>2.8</v>
          </cell>
          <cell r="M764">
            <v>505</v>
          </cell>
          <cell r="N764">
            <v>7056</v>
          </cell>
        </row>
        <row r="765">
          <cell r="A765" t="str">
            <v>Y280S-6/45</v>
          </cell>
          <cell r="B765">
            <v>43</v>
          </cell>
          <cell r="C765">
            <v>85.4</v>
          </cell>
          <cell r="D765">
            <v>980</v>
          </cell>
          <cell r="E765">
            <v>92</v>
          </cell>
          <cell r="F765">
            <v>0.9</v>
          </cell>
          <cell r="G765">
            <v>1.8</v>
          </cell>
          <cell r="H765">
            <v>6.5</v>
          </cell>
          <cell r="I765">
            <v>2</v>
          </cell>
          <cell r="J765">
            <v>79</v>
          </cell>
          <cell r="K765">
            <v>84</v>
          </cell>
          <cell r="L765">
            <v>2.8</v>
          </cell>
          <cell r="M765">
            <v>505</v>
          </cell>
          <cell r="N765">
            <v>7056</v>
          </cell>
        </row>
        <row r="766">
          <cell r="A766" t="str">
            <v>Y280S-6/45</v>
          </cell>
          <cell r="B766">
            <v>44</v>
          </cell>
          <cell r="C766">
            <v>85.4</v>
          </cell>
          <cell r="D766">
            <v>980</v>
          </cell>
          <cell r="E766">
            <v>92</v>
          </cell>
          <cell r="F766">
            <v>0.9</v>
          </cell>
          <cell r="G766">
            <v>1.8</v>
          </cell>
          <cell r="H766">
            <v>6.5</v>
          </cell>
          <cell r="I766">
            <v>2</v>
          </cell>
          <cell r="J766">
            <v>79</v>
          </cell>
          <cell r="K766">
            <v>84</v>
          </cell>
          <cell r="L766">
            <v>2.8</v>
          </cell>
          <cell r="M766">
            <v>505</v>
          </cell>
          <cell r="N766">
            <v>7056</v>
          </cell>
        </row>
        <row r="767">
          <cell r="A767" t="str">
            <v>Y280S-6/45</v>
          </cell>
          <cell r="B767">
            <v>45</v>
          </cell>
          <cell r="C767">
            <v>85.4</v>
          </cell>
          <cell r="D767">
            <v>980</v>
          </cell>
          <cell r="E767">
            <v>92</v>
          </cell>
          <cell r="F767">
            <v>0.9</v>
          </cell>
          <cell r="G767">
            <v>1.8</v>
          </cell>
          <cell r="H767">
            <v>6.5</v>
          </cell>
          <cell r="I767">
            <v>2</v>
          </cell>
          <cell r="J767">
            <v>79</v>
          </cell>
          <cell r="K767">
            <v>84</v>
          </cell>
          <cell r="L767">
            <v>2.8</v>
          </cell>
          <cell r="M767">
            <v>505</v>
          </cell>
          <cell r="N767">
            <v>7056</v>
          </cell>
        </row>
        <row r="768">
          <cell r="A768" t="str">
            <v>Y280M-6/55</v>
          </cell>
          <cell r="B768">
            <v>46</v>
          </cell>
          <cell r="C768">
            <v>104</v>
          </cell>
          <cell r="D768">
            <v>980</v>
          </cell>
          <cell r="E768">
            <v>92</v>
          </cell>
          <cell r="F768">
            <v>0.9</v>
          </cell>
          <cell r="G768">
            <v>1.8</v>
          </cell>
          <cell r="H768">
            <v>6.5</v>
          </cell>
          <cell r="I768">
            <v>2</v>
          </cell>
          <cell r="J768">
            <v>79</v>
          </cell>
          <cell r="K768">
            <v>84</v>
          </cell>
          <cell r="L768">
            <v>2.8</v>
          </cell>
          <cell r="M768">
            <v>56</v>
          </cell>
          <cell r="N768">
            <v>8022</v>
          </cell>
        </row>
        <row r="769">
          <cell r="A769" t="str">
            <v>Y280M-6/55</v>
          </cell>
          <cell r="B769">
            <v>47</v>
          </cell>
          <cell r="C769">
            <v>104</v>
          </cell>
          <cell r="D769">
            <v>980</v>
          </cell>
          <cell r="E769">
            <v>92</v>
          </cell>
          <cell r="F769">
            <v>0.9</v>
          </cell>
          <cell r="G769">
            <v>1.8</v>
          </cell>
          <cell r="H769">
            <v>6.5</v>
          </cell>
          <cell r="I769">
            <v>2</v>
          </cell>
          <cell r="J769">
            <v>79</v>
          </cell>
          <cell r="K769">
            <v>84</v>
          </cell>
          <cell r="L769">
            <v>2.8</v>
          </cell>
          <cell r="M769">
            <v>56</v>
          </cell>
          <cell r="N769">
            <v>8022</v>
          </cell>
        </row>
        <row r="770">
          <cell r="A770" t="str">
            <v>Y280M-6/55</v>
          </cell>
          <cell r="B770">
            <v>48</v>
          </cell>
          <cell r="C770">
            <v>104</v>
          </cell>
          <cell r="D770">
            <v>980</v>
          </cell>
          <cell r="E770">
            <v>92</v>
          </cell>
          <cell r="F770">
            <v>0.9</v>
          </cell>
          <cell r="G770">
            <v>1.8</v>
          </cell>
          <cell r="H770">
            <v>6.5</v>
          </cell>
          <cell r="I770">
            <v>2</v>
          </cell>
          <cell r="J770">
            <v>79</v>
          </cell>
          <cell r="K770">
            <v>84</v>
          </cell>
          <cell r="L770">
            <v>2.8</v>
          </cell>
          <cell r="M770">
            <v>56</v>
          </cell>
          <cell r="N770">
            <v>8022</v>
          </cell>
        </row>
        <row r="771">
          <cell r="A771" t="str">
            <v>Y280M-6/55</v>
          </cell>
          <cell r="B771">
            <v>49</v>
          </cell>
          <cell r="C771">
            <v>104</v>
          </cell>
          <cell r="D771">
            <v>980</v>
          </cell>
          <cell r="E771">
            <v>92</v>
          </cell>
          <cell r="F771">
            <v>0.9</v>
          </cell>
          <cell r="G771">
            <v>1.8</v>
          </cell>
          <cell r="H771">
            <v>6.5</v>
          </cell>
          <cell r="I771">
            <v>2</v>
          </cell>
          <cell r="J771">
            <v>79</v>
          </cell>
          <cell r="K771">
            <v>84</v>
          </cell>
          <cell r="L771">
            <v>2.8</v>
          </cell>
          <cell r="M771">
            <v>56</v>
          </cell>
          <cell r="N771">
            <v>8022</v>
          </cell>
        </row>
        <row r="772">
          <cell r="A772" t="str">
            <v>Y280M-6/55</v>
          </cell>
          <cell r="B772">
            <v>50</v>
          </cell>
          <cell r="C772">
            <v>104</v>
          </cell>
          <cell r="D772">
            <v>980</v>
          </cell>
          <cell r="E772">
            <v>92</v>
          </cell>
          <cell r="F772">
            <v>0.9</v>
          </cell>
          <cell r="G772">
            <v>1.8</v>
          </cell>
          <cell r="H772">
            <v>6.5</v>
          </cell>
          <cell r="I772">
            <v>2</v>
          </cell>
          <cell r="J772">
            <v>79</v>
          </cell>
          <cell r="K772">
            <v>84</v>
          </cell>
          <cell r="L772">
            <v>2.8</v>
          </cell>
          <cell r="M772">
            <v>56</v>
          </cell>
          <cell r="N772">
            <v>8022</v>
          </cell>
        </row>
        <row r="773">
          <cell r="A773" t="str">
            <v>Y280M-6/55</v>
          </cell>
          <cell r="B773">
            <v>51</v>
          </cell>
          <cell r="C773">
            <v>104</v>
          </cell>
          <cell r="D773">
            <v>980</v>
          </cell>
          <cell r="E773">
            <v>92</v>
          </cell>
          <cell r="F773">
            <v>0.9</v>
          </cell>
          <cell r="G773">
            <v>1.8</v>
          </cell>
          <cell r="H773">
            <v>6.5</v>
          </cell>
          <cell r="I773">
            <v>2</v>
          </cell>
          <cell r="J773">
            <v>79</v>
          </cell>
          <cell r="K773">
            <v>84</v>
          </cell>
          <cell r="L773">
            <v>2.8</v>
          </cell>
          <cell r="M773">
            <v>56</v>
          </cell>
          <cell r="N773">
            <v>8022</v>
          </cell>
        </row>
        <row r="774">
          <cell r="A774" t="str">
            <v>Y280M-6/55</v>
          </cell>
          <cell r="B774">
            <v>52</v>
          </cell>
          <cell r="C774">
            <v>104</v>
          </cell>
          <cell r="D774">
            <v>980</v>
          </cell>
          <cell r="E774">
            <v>92</v>
          </cell>
          <cell r="F774">
            <v>0.9</v>
          </cell>
          <cell r="G774">
            <v>1.8</v>
          </cell>
          <cell r="H774">
            <v>6.5</v>
          </cell>
          <cell r="I774">
            <v>2</v>
          </cell>
          <cell r="J774">
            <v>79</v>
          </cell>
          <cell r="K774">
            <v>84</v>
          </cell>
          <cell r="L774">
            <v>2.8</v>
          </cell>
          <cell r="M774">
            <v>56</v>
          </cell>
          <cell r="N774">
            <v>8022</v>
          </cell>
        </row>
        <row r="775">
          <cell r="A775" t="str">
            <v>Y280M-6/55</v>
          </cell>
          <cell r="B775">
            <v>53</v>
          </cell>
          <cell r="C775">
            <v>104</v>
          </cell>
          <cell r="D775">
            <v>980</v>
          </cell>
          <cell r="E775">
            <v>92</v>
          </cell>
          <cell r="F775">
            <v>0.9</v>
          </cell>
          <cell r="G775">
            <v>1.8</v>
          </cell>
          <cell r="H775">
            <v>6.5</v>
          </cell>
          <cell r="I775">
            <v>2</v>
          </cell>
          <cell r="J775">
            <v>79</v>
          </cell>
          <cell r="K775">
            <v>84</v>
          </cell>
          <cell r="L775">
            <v>2.8</v>
          </cell>
          <cell r="M775">
            <v>56</v>
          </cell>
          <cell r="N775">
            <v>8022</v>
          </cell>
        </row>
        <row r="776">
          <cell r="A776" t="str">
            <v>Y280M-6/55</v>
          </cell>
          <cell r="B776">
            <v>54</v>
          </cell>
          <cell r="C776">
            <v>104</v>
          </cell>
          <cell r="D776">
            <v>980</v>
          </cell>
          <cell r="E776">
            <v>92</v>
          </cell>
          <cell r="F776">
            <v>0.9</v>
          </cell>
          <cell r="G776">
            <v>1.8</v>
          </cell>
          <cell r="H776">
            <v>6.5</v>
          </cell>
          <cell r="I776">
            <v>2</v>
          </cell>
          <cell r="J776">
            <v>79</v>
          </cell>
          <cell r="K776">
            <v>84</v>
          </cell>
          <cell r="L776">
            <v>2.8</v>
          </cell>
          <cell r="M776">
            <v>56</v>
          </cell>
          <cell r="N776">
            <v>8022</v>
          </cell>
        </row>
        <row r="777">
          <cell r="A777" t="str">
            <v>Y280M-6/55</v>
          </cell>
          <cell r="B777">
            <v>55</v>
          </cell>
          <cell r="C777">
            <v>104</v>
          </cell>
          <cell r="D777">
            <v>980</v>
          </cell>
          <cell r="E777">
            <v>92</v>
          </cell>
          <cell r="F777">
            <v>0.9</v>
          </cell>
          <cell r="G777">
            <v>1.8</v>
          </cell>
          <cell r="H777">
            <v>6.5</v>
          </cell>
          <cell r="I777">
            <v>2</v>
          </cell>
          <cell r="J777">
            <v>79</v>
          </cell>
          <cell r="K777">
            <v>84</v>
          </cell>
          <cell r="L777">
            <v>2.8</v>
          </cell>
          <cell r="M777">
            <v>56</v>
          </cell>
          <cell r="N777">
            <v>8022</v>
          </cell>
        </row>
        <row r="778">
          <cell r="A778" t="str">
            <v>Y315S-6/75</v>
          </cell>
          <cell r="B778">
            <v>56</v>
          </cell>
          <cell r="C778">
            <v>141</v>
          </cell>
          <cell r="D778">
            <v>980</v>
          </cell>
          <cell r="E778">
            <v>92.8</v>
          </cell>
          <cell r="F778">
            <v>0.9</v>
          </cell>
          <cell r="G778">
            <v>1.6</v>
          </cell>
          <cell r="H778">
            <v>6.5</v>
          </cell>
          <cell r="I778">
            <v>2</v>
          </cell>
          <cell r="J778">
            <v>87</v>
          </cell>
          <cell r="K778">
            <v>92</v>
          </cell>
          <cell r="L778">
            <v>2.8</v>
          </cell>
          <cell r="M778">
            <v>850</v>
          </cell>
          <cell r="N778">
            <v>14070</v>
          </cell>
        </row>
        <row r="779">
          <cell r="A779" t="str">
            <v>Y315S-6/75</v>
          </cell>
          <cell r="B779">
            <v>57</v>
          </cell>
          <cell r="C779">
            <v>141</v>
          </cell>
          <cell r="D779">
            <v>980</v>
          </cell>
          <cell r="E779">
            <v>92.8</v>
          </cell>
          <cell r="F779">
            <v>0.9</v>
          </cell>
          <cell r="G779">
            <v>1.6</v>
          </cell>
          <cell r="H779">
            <v>6.5</v>
          </cell>
          <cell r="I779">
            <v>2</v>
          </cell>
          <cell r="J779">
            <v>87</v>
          </cell>
          <cell r="K779">
            <v>92</v>
          </cell>
          <cell r="L779">
            <v>2.8</v>
          </cell>
          <cell r="M779">
            <v>850</v>
          </cell>
          <cell r="N779">
            <v>14070</v>
          </cell>
        </row>
        <row r="780">
          <cell r="A780" t="str">
            <v>Y315S-6/75</v>
          </cell>
          <cell r="B780">
            <v>58</v>
          </cell>
          <cell r="C780">
            <v>141</v>
          </cell>
          <cell r="D780">
            <v>980</v>
          </cell>
          <cell r="E780">
            <v>92.8</v>
          </cell>
          <cell r="F780">
            <v>0.9</v>
          </cell>
          <cell r="G780">
            <v>1.6</v>
          </cell>
          <cell r="H780">
            <v>6.5</v>
          </cell>
          <cell r="I780">
            <v>2</v>
          </cell>
          <cell r="J780">
            <v>87</v>
          </cell>
          <cell r="K780">
            <v>92</v>
          </cell>
          <cell r="L780">
            <v>2.8</v>
          </cell>
          <cell r="M780">
            <v>850</v>
          </cell>
          <cell r="N780">
            <v>14070</v>
          </cell>
        </row>
        <row r="781">
          <cell r="A781" t="str">
            <v>Y315S-6/75</v>
          </cell>
          <cell r="B781">
            <v>59</v>
          </cell>
          <cell r="C781">
            <v>141</v>
          </cell>
          <cell r="D781">
            <v>980</v>
          </cell>
          <cell r="E781">
            <v>92.8</v>
          </cell>
          <cell r="F781">
            <v>0.9</v>
          </cell>
          <cell r="G781">
            <v>1.6</v>
          </cell>
          <cell r="H781">
            <v>6.5</v>
          </cell>
          <cell r="I781">
            <v>2</v>
          </cell>
          <cell r="J781">
            <v>87</v>
          </cell>
          <cell r="K781">
            <v>92</v>
          </cell>
          <cell r="L781">
            <v>2.8</v>
          </cell>
          <cell r="M781">
            <v>850</v>
          </cell>
          <cell r="N781">
            <v>14070</v>
          </cell>
        </row>
        <row r="782">
          <cell r="A782" t="str">
            <v>Y315S-6/75</v>
          </cell>
          <cell r="B782">
            <v>60</v>
          </cell>
          <cell r="C782">
            <v>141</v>
          </cell>
          <cell r="D782">
            <v>980</v>
          </cell>
          <cell r="E782">
            <v>92.8</v>
          </cell>
          <cell r="F782">
            <v>0.9</v>
          </cell>
          <cell r="G782">
            <v>1.6</v>
          </cell>
          <cell r="H782">
            <v>6.5</v>
          </cell>
          <cell r="I782">
            <v>2</v>
          </cell>
          <cell r="J782">
            <v>87</v>
          </cell>
          <cell r="K782">
            <v>92</v>
          </cell>
          <cell r="L782">
            <v>2.8</v>
          </cell>
          <cell r="M782">
            <v>850</v>
          </cell>
          <cell r="N782">
            <v>14070</v>
          </cell>
        </row>
        <row r="783">
          <cell r="A783" t="str">
            <v>Y315S-6/75</v>
          </cell>
          <cell r="B783">
            <v>61</v>
          </cell>
          <cell r="C783">
            <v>141</v>
          </cell>
          <cell r="D783">
            <v>980</v>
          </cell>
          <cell r="E783">
            <v>92.8</v>
          </cell>
          <cell r="F783">
            <v>0.9</v>
          </cell>
          <cell r="G783">
            <v>1.6</v>
          </cell>
          <cell r="H783">
            <v>6.5</v>
          </cell>
          <cell r="I783">
            <v>2</v>
          </cell>
          <cell r="J783">
            <v>87</v>
          </cell>
          <cell r="K783">
            <v>92</v>
          </cell>
          <cell r="L783">
            <v>2.8</v>
          </cell>
          <cell r="M783">
            <v>850</v>
          </cell>
          <cell r="N783">
            <v>14070</v>
          </cell>
        </row>
        <row r="784">
          <cell r="A784" t="str">
            <v>Y315S-6/75</v>
          </cell>
          <cell r="B784">
            <v>62</v>
          </cell>
          <cell r="C784">
            <v>141</v>
          </cell>
          <cell r="D784">
            <v>980</v>
          </cell>
          <cell r="E784">
            <v>92.8</v>
          </cell>
          <cell r="F784">
            <v>0.9</v>
          </cell>
          <cell r="G784">
            <v>1.6</v>
          </cell>
          <cell r="H784">
            <v>6.5</v>
          </cell>
          <cell r="I784">
            <v>2</v>
          </cell>
          <cell r="J784">
            <v>87</v>
          </cell>
          <cell r="K784">
            <v>92</v>
          </cell>
          <cell r="L784">
            <v>2.8</v>
          </cell>
          <cell r="M784">
            <v>850</v>
          </cell>
          <cell r="N784">
            <v>14070</v>
          </cell>
        </row>
        <row r="785">
          <cell r="A785" t="str">
            <v>Y315S-6/75</v>
          </cell>
          <cell r="B785">
            <v>63</v>
          </cell>
          <cell r="C785">
            <v>141</v>
          </cell>
          <cell r="D785">
            <v>980</v>
          </cell>
          <cell r="E785">
            <v>92.8</v>
          </cell>
          <cell r="F785">
            <v>0.9</v>
          </cell>
          <cell r="G785">
            <v>1.6</v>
          </cell>
          <cell r="H785">
            <v>6.5</v>
          </cell>
          <cell r="I785">
            <v>2</v>
          </cell>
          <cell r="J785">
            <v>87</v>
          </cell>
          <cell r="K785">
            <v>92</v>
          </cell>
          <cell r="L785">
            <v>2.8</v>
          </cell>
          <cell r="M785">
            <v>850</v>
          </cell>
          <cell r="N785">
            <v>14070</v>
          </cell>
        </row>
        <row r="786">
          <cell r="A786" t="str">
            <v>Y315S-6/75</v>
          </cell>
          <cell r="B786">
            <v>64</v>
          </cell>
          <cell r="C786">
            <v>141</v>
          </cell>
          <cell r="D786">
            <v>980</v>
          </cell>
          <cell r="E786">
            <v>92.8</v>
          </cell>
          <cell r="F786">
            <v>0.9</v>
          </cell>
          <cell r="G786">
            <v>1.6</v>
          </cell>
          <cell r="H786">
            <v>6.5</v>
          </cell>
          <cell r="I786">
            <v>2</v>
          </cell>
          <cell r="J786">
            <v>87</v>
          </cell>
          <cell r="K786">
            <v>92</v>
          </cell>
          <cell r="L786">
            <v>2.8</v>
          </cell>
          <cell r="M786">
            <v>850</v>
          </cell>
          <cell r="N786">
            <v>14070</v>
          </cell>
        </row>
        <row r="787">
          <cell r="A787" t="str">
            <v>Y315S-6/75</v>
          </cell>
          <cell r="B787">
            <v>65</v>
          </cell>
          <cell r="C787">
            <v>141</v>
          </cell>
          <cell r="D787">
            <v>980</v>
          </cell>
          <cell r="E787">
            <v>92.8</v>
          </cell>
          <cell r="F787">
            <v>0.9</v>
          </cell>
          <cell r="G787">
            <v>1.6</v>
          </cell>
          <cell r="H787">
            <v>6.5</v>
          </cell>
          <cell r="I787">
            <v>2</v>
          </cell>
          <cell r="J787">
            <v>87</v>
          </cell>
          <cell r="K787">
            <v>92</v>
          </cell>
          <cell r="L787">
            <v>2.8</v>
          </cell>
          <cell r="M787">
            <v>850</v>
          </cell>
          <cell r="N787">
            <v>14070</v>
          </cell>
        </row>
        <row r="788">
          <cell r="A788" t="str">
            <v>Y315S-6/75</v>
          </cell>
          <cell r="B788">
            <v>66</v>
          </cell>
          <cell r="C788">
            <v>141</v>
          </cell>
          <cell r="D788">
            <v>980</v>
          </cell>
          <cell r="E788">
            <v>92.8</v>
          </cell>
          <cell r="F788">
            <v>0.9</v>
          </cell>
          <cell r="G788">
            <v>1.6</v>
          </cell>
          <cell r="H788">
            <v>6.5</v>
          </cell>
          <cell r="I788">
            <v>2</v>
          </cell>
          <cell r="J788">
            <v>87</v>
          </cell>
          <cell r="K788">
            <v>92</v>
          </cell>
          <cell r="L788">
            <v>2.8</v>
          </cell>
          <cell r="M788">
            <v>850</v>
          </cell>
          <cell r="N788">
            <v>14070</v>
          </cell>
        </row>
        <row r="789">
          <cell r="A789" t="str">
            <v>Y315S-6/75</v>
          </cell>
          <cell r="B789">
            <v>67</v>
          </cell>
          <cell r="C789">
            <v>141</v>
          </cell>
          <cell r="D789">
            <v>980</v>
          </cell>
          <cell r="E789">
            <v>92.8</v>
          </cell>
          <cell r="F789">
            <v>0.9</v>
          </cell>
          <cell r="G789">
            <v>1.6</v>
          </cell>
          <cell r="H789">
            <v>6.5</v>
          </cell>
          <cell r="I789">
            <v>2</v>
          </cell>
          <cell r="J789">
            <v>87</v>
          </cell>
          <cell r="K789">
            <v>92</v>
          </cell>
          <cell r="L789">
            <v>2.8</v>
          </cell>
          <cell r="M789">
            <v>850</v>
          </cell>
          <cell r="N789">
            <v>14070</v>
          </cell>
        </row>
        <row r="790">
          <cell r="A790" t="str">
            <v>Y315S-6/75</v>
          </cell>
          <cell r="B790">
            <v>68</v>
          </cell>
          <cell r="C790">
            <v>141</v>
          </cell>
          <cell r="D790">
            <v>980</v>
          </cell>
          <cell r="E790">
            <v>92.8</v>
          </cell>
          <cell r="F790">
            <v>0.9</v>
          </cell>
          <cell r="G790">
            <v>1.6</v>
          </cell>
          <cell r="H790">
            <v>6.5</v>
          </cell>
          <cell r="I790">
            <v>2</v>
          </cell>
          <cell r="J790">
            <v>87</v>
          </cell>
          <cell r="K790">
            <v>92</v>
          </cell>
          <cell r="L790">
            <v>2.8</v>
          </cell>
          <cell r="M790">
            <v>850</v>
          </cell>
          <cell r="N790">
            <v>14070</v>
          </cell>
        </row>
        <row r="791">
          <cell r="A791" t="str">
            <v>Y315S-6/75</v>
          </cell>
          <cell r="B791">
            <v>69</v>
          </cell>
          <cell r="C791">
            <v>141</v>
          </cell>
          <cell r="D791">
            <v>980</v>
          </cell>
          <cell r="E791">
            <v>92.8</v>
          </cell>
          <cell r="F791">
            <v>0.9</v>
          </cell>
          <cell r="G791">
            <v>1.6</v>
          </cell>
          <cell r="H791">
            <v>6.5</v>
          </cell>
          <cell r="I791">
            <v>2</v>
          </cell>
          <cell r="J791">
            <v>87</v>
          </cell>
          <cell r="K791">
            <v>92</v>
          </cell>
          <cell r="L791">
            <v>2.8</v>
          </cell>
          <cell r="M791">
            <v>850</v>
          </cell>
          <cell r="N791">
            <v>14070</v>
          </cell>
        </row>
        <row r="792">
          <cell r="A792" t="str">
            <v>Y315S-6/75</v>
          </cell>
          <cell r="B792">
            <v>70</v>
          </cell>
          <cell r="C792">
            <v>141</v>
          </cell>
          <cell r="D792">
            <v>980</v>
          </cell>
          <cell r="E792">
            <v>92.8</v>
          </cell>
          <cell r="F792">
            <v>0.9</v>
          </cell>
          <cell r="G792">
            <v>1.6</v>
          </cell>
          <cell r="H792">
            <v>6.5</v>
          </cell>
          <cell r="I792">
            <v>2</v>
          </cell>
          <cell r="J792">
            <v>87</v>
          </cell>
          <cell r="K792">
            <v>92</v>
          </cell>
          <cell r="L792">
            <v>2.8</v>
          </cell>
          <cell r="M792">
            <v>850</v>
          </cell>
          <cell r="N792">
            <v>14070</v>
          </cell>
        </row>
        <row r="793">
          <cell r="A793" t="str">
            <v>Y315S-6/75</v>
          </cell>
          <cell r="B793">
            <v>71</v>
          </cell>
          <cell r="C793">
            <v>141</v>
          </cell>
          <cell r="D793">
            <v>980</v>
          </cell>
          <cell r="E793">
            <v>92.8</v>
          </cell>
          <cell r="F793">
            <v>0.9</v>
          </cell>
          <cell r="G793">
            <v>1.6</v>
          </cell>
          <cell r="H793">
            <v>6.5</v>
          </cell>
          <cell r="I793">
            <v>2</v>
          </cell>
          <cell r="J793">
            <v>87</v>
          </cell>
          <cell r="K793">
            <v>92</v>
          </cell>
          <cell r="L793">
            <v>2.8</v>
          </cell>
          <cell r="M793">
            <v>850</v>
          </cell>
          <cell r="N793">
            <v>14070</v>
          </cell>
        </row>
        <row r="794">
          <cell r="A794" t="str">
            <v>Y315S-6/75</v>
          </cell>
          <cell r="B794">
            <v>72</v>
          </cell>
          <cell r="C794">
            <v>141</v>
          </cell>
          <cell r="D794">
            <v>980</v>
          </cell>
          <cell r="E794">
            <v>92.8</v>
          </cell>
          <cell r="F794">
            <v>0.9</v>
          </cell>
          <cell r="G794">
            <v>1.6</v>
          </cell>
          <cell r="H794">
            <v>6.5</v>
          </cell>
          <cell r="I794">
            <v>2</v>
          </cell>
          <cell r="J794">
            <v>87</v>
          </cell>
          <cell r="K794">
            <v>92</v>
          </cell>
          <cell r="L794">
            <v>2.8</v>
          </cell>
          <cell r="M794">
            <v>850</v>
          </cell>
          <cell r="N794">
            <v>14070</v>
          </cell>
        </row>
        <row r="795">
          <cell r="A795" t="str">
            <v>Y315S-6/75</v>
          </cell>
          <cell r="B795">
            <v>73</v>
          </cell>
          <cell r="C795">
            <v>141</v>
          </cell>
          <cell r="D795">
            <v>980</v>
          </cell>
          <cell r="E795">
            <v>92.8</v>
          </cell>
          <cell r="F795">
            <v>0.9</v>
          </cell>
          <cell r="G795">
            <v>1.6</v>
          </cell>
          <cell r="H795">
            <v>6.5</v>
          </cell>
          <cell r="I795">
            <v>2</v>
          </cell>
          <cell r="J795">
            <v>87</v>
          </cell>
          <cell r="K795">
            <v>92</v>
          </cell>
          <cell r="L795">
            <v>2.8</v>
          </cell>
          <cell r="M795">
            <v>850</v>
          </cell>
          <cell r="N795">
            <v>14070</v>
          </cell>
        </row>
        <row r="796">
          <cell r="A796" t="str">
            <v>Y315S-6/75</v>
          </cell>
          <cell r="B796">
            <v>74</v>
          </cell>
          <cell r="C796">
            <v>141</v>
          </cell>
          <cell r="D796">
            <v>980</v>
          </cell>
          <cell r="E796">
            <v>92.8</v>
          </cell>
          <cell r="F796">
            <v>0.9</v>
          </cell>
          <cell r="G796">
            <v>1.6</v>
          </cell>
          <cell r="H796">
            <v>6.5</v>
          </cell>
          <cell r="I796">
            <v>2</v>
          </cell>
          <cell r="J796">
            <v>87</v>
          </cell>
          <cell r="K796">
            <v>92</v>
          </cell>
          <cell r="L796">
            <v>2.8</v>
          </cell>
          <cell r="M796">
            <v>850</v>
          </cell>
          <cell r="N796">
            <v>14070</v>
          </cell>
        </row>
        <row r="797">
          <cell r="A797" t="str">
            <v>Y315S-6/75</v>
          </cell>
          <cell r="B797">
            <v>75</v>
          </cell>
          <cell r="C797">
            <v>141</v>
          </cell>
          <cell r="D797">
            <v>980</v>
          </cell>
          <cell r="E797">
            <v>92.8</v>
          </cell>
          <cell r="F797">
            <v>0.9</v>
          </cell>
          <cell r="G797">
            <v>1.6</v>
          </cell>
          <cell r="H797">
            <v>6.5</v>
          </cell>
          <cell r="I797">
            <v>2</v>
          </cell>
          <cell r="J797">
            <v>87</v>
          </cell>
          <cell r="K797">
            <v>92</v>
          </cell>
          <cell r="L797">
            <v>2.8</v>
          </cell>
          <cell r="M797">
            <v>850</v>
          </cell>
          <cell r="N797">
            <v>14070</v>
          </cell>
        </row>
        <row r="798">
          <cell r="A798" t="str">
            <v>Y315M-6/90</v>
          </cell>
          <cell r="B798">
            <v>76</v>
          </cell>
          <cell r="C798">
            <v>169</v>
          </cell>
          <cell r="D798">
            <v>980</v>
          </cell>
          <cell r="E798">
            <v>93.2</v>
          </cell>
          <cell r="F798">
            <v>0.9</v>
          </cell>
          <cell r="G798">
            <v>1.6</v>
          </cell>
          <cell r="H798">
            <v>6.5</v>
          </cell>
          <cell r="I798">
            <v>2</v>
          </cell>
          <cell r="J798">
            <v>87</v>
          </cell>
          <cell r="K798">
            <v>92</v>
          </cell>
          <cell r="L798">
            <v>2.8</v>
          </cell>
          <cell r="M798">
            <v>965</v>
          </cell>
          <cell r="N798">
            <v>14868</v>
          </cell>
        </row>
        <row r="799">
          <cell r="A799" t="str">
            <v>Y315M-6/90</v>
          </cell>
          <cell r="B799">
            <v>77</v>
          </cell>
          <cell r="C799">
            <v>169</v>
          </cell>
          <cell r="D799">
            <v>980</v>
          </cell>
          <cell r="E799">
            <v>93.2</v>
          </cell>
          <cell r="F799">
            <v>0.9</v>
          </cell>
          <cell r="G799">
            <v>1.6</v>
          </cell>
          <cell r="H799">
            <v>6.5</v>
          </cell>
          <cell r="I799">
            <v>2</v>
          </cell>
          <cell r="J799">
            <v>87</v>
          </cell>
          <cell r="K799">
            <v>92</v>
          </cell>
          <cell r="L799">
            <v>2.8</v>
          </cell>
          <cell r="M799">
            <v>965</v>
          </cell>
          <cell r="N799">
            <v>14868</v>
          </cell>
        </row>
        <row r="800">
          <cell r="A800" t="str">
            <v>Y315M-6/90</v>
          </cell>
          <cell r="B800">
            <v>78</v>
          </cell>
          <cell r="C800">
            <v>169</v>
          </cell>
          <cell r="D800">
            <v>980</v>
          </cell>
          <cell r="E800">
            <v>93.2</v>
          </cell>
          <cell r="F800">
            <v>0.9</v>
          </cell>
          <cell r="G800">
            <v>1.6</v>
          </cell>
          <cell r="H800">
            <v>6.5</v>
          </cell>
          <cell r="I800">
            <v>2</v>
          </cell>
          <cell r="J800">
            <v>87</v>
          </cell>
          <cell r="K800">
            <v>92</v>
          </cell>
          <cell r="L800">
            <v>2.8</v>
          </cell>
          <cell r="M800">
            <v>965</v>
          </cell>
          <cell r="N800">
            <v>14868</v>
          </cell>
        </row>
        <row r="801">
          <cell r="A801" t="str">
            <v>Y315M-6/90</v>
          </cell>
          <cell r="B801">
            <v>79</v>
          </cell>
          <cell r="C801">
            <v>169</v>
          </cell>
          <cell r="D801">
            <v>980</v>
          </cell>
          <cell r="E801">
            <v>93.2</v>
          </cell>
          <cell r="F801">
            <v>0.9</v>
          </cell>
          <cell r="G801">
            <v>1.6</v>
          </cell>
          <cell r="H801">
            <v>6.5</v>
          </cell>
          <cell r="I801">
            <v>2</v>
          </cell>
          <cell r="J801">
            <v>87</v>
          </cell>
          <cell r="K801">
            <v>92</v>
          </cell>
          <cell r="L801">
            <v>2.8</v>
          </cell>
          <cell r="M801">
            <v>965</v>
          </cell>
          <cell r="N801">
            <v>14868</v>
          </cell>
        </row>
        <row r="802">
          <cell r="A802" t="str">
            <v>Y315M-6/90</v>
          </cell>
          <cell r="B802">
            <v>80</v>
          </cell>
          <cell r="C802">
            <v>169</v>
          </cell>
          <cell r="D802">
            <v>980</v>
          </cell>
          <cell r="E802">
            <v>93.2</v>
          </cell>
          <cell r="F802">
            <v>0.9</v>
          </cell>
          <cell r="G802">
            <v>1.6</v>
          </cell>
          <cell r="H802">
            <v>6.5</v>
          </cell>
          <cell r="I802">
            <v>2</v>
          </cell>
          <cell r="J802">
            <v>87</v>
          </cell>
          <cell r="K802">
            <v>92</v>
          </cell>
          <cell r="L802">
            <v>2.8</v>
          </cell>
          <cell r="M802">
            <v>965</v>
          </cell>
          <cell r="N802">
            <v>14868</v>
          </cell>
        </row>
        <row r="803">
          <cell r="A803" t="str">
            <v>Y315M-6/90</v>
          </cell>
          <cell r="B803">
            <v>81</v>
          </cell>
          <cell r="C803">
            <v>169</v>
          </cell>
          <cell r="D803">
            <v>980</v>
          </cell>
          <cell r="E803">
            <v>93.2</v>
          </cell>
          <cell r="F803">
            <v>0.9</v>
          </cell>
          <cell r="G803">
            <v>1.6</v>
          </cell>
          <cell r="H803">
            <v>6.5</v>
          </cell>
          <cell r="I803">
            <v>2</v>
          </cell>
          <cell r="J803">
            <v>87</v>
          </cell>
          <cell r="K803">
            <v>92</v>
          </cell>
          <cell r="L803">
            <v>2.8</v>
          </cell>
          <cell r="M803">
            <v>965</v>
          </cell>
          <cell r="N803">
            <v>14868</v>
          </cell>
        </row>
        <row r="804">
          <cell r="A804" t="str">
            <v>Y315M-6/90</v>
          </cell>
          <cell r="B804">
            <v>82</v>
          </cell>
          <cell r="C804">
            <v>169</v>
          </cell>
          <cell r="D804">
            <v>980</v>
          </cell>
          <cell r="E804">
            <v>93.2</v>
          </cell>
          <cell r="F804">
            <v>0.9</v>
          </cell>
          <cell r="G804">
            <v>1.6</v>
          </cell>
          <cell r="H804">
            <v>6.5</v>
          </cell>
          <cell r="I804">
            <v>2</v>
          </cell>
          <cell r="J804">
            <v>87</v>
          </cell>
          <cell r="K804">
            <v>92</v>
          </cell>
          <cell r="L804">
            <v>2.8</v>
          </cell>
          <cell r="M804">
            <v>965</v>
          </cell>
          <cell r="N804">
            <v>14868</v>
          </cell>
        </row>
        <row r="805">
          <cell r="A805" t="str">
            <v>Y315M-6/90</v>
          </cell>
          <cell r="B805">
            <v>83</v>
          </cell>
          <cell r="C805">
            <v>169</v>
          </cell>
          <cell r="D805">
            <v>980</v>
          </cell>
          <cell r="E805">
            <v>93.2</v>
          </cell>
          <cell r="F805">
            <v>0.9</v>
          </cell>
          <cell r="G805">
            <v>1.6</v>
          </cell>
          <cell r="H805">
            <v>6.5</v>
          </cell>
          <cell r="I805">
            <v>2</v>
          </cell>
          <cell r="J805">
            <v>87</v>
          </cell>
          <cell r="K805">
            <v>92</v>
          </cell>
          <cell r="L805">
            <v>2.8</v>
          </cell>
          <cell r="M805">
            <v>965</v>
          </cell>
          <cell r="N805">
            <v>14868</v>
          </cell>
        </row>
        <row r="806">
          <cell r="A806" t="str">
            <v>Y315M-6/90</v>
          </cell>
          <cell r="B806">
            <v>84</v>
          </cell>
          <cell r="C806">
            <v>169</v>
          </cell>
          <cell r="D806">
            <v>980</v>
          </cell>
          <cell r="E806">
            <v>93.2</v>
          </cell>
          <cell r="F806">
            <v>0.9</v>
          </cell>
          <cell r="G806">
            <v>1.6</v>
          </cell>
          <cell r="H806">
            <v>6.5</v>
          </cell>
          <cell r="I806">
            <v>2</v>
          </cell>
          <cell r="J806">
            <v>87</v>
          </cell>
          <cell r="K806">
            <v>92</v>
          </cell>
          <cell r="L806">
            <v>2.8</v>
          </cell>
          <cell r="M806">
            <v>965</v>
          </cell>
          <cell r="N806">
            <v>14868</v>
          </cell>
        </row>
        <row r="807">
          <cell r="A807" t="str">
            <v>Y315M-6/90</v>
          </cell>
          <cell r="B807">
            <v>85</v>
          </cell>
          <cell r="C807">
            <v>169</v>
          </cell>
          <cell r="D807">
            <v>980</v>
          </cell>
          <cell r="E807">
            <v>93.2</v>
          </cell>
          <cell r="F807">
            <v>0.9</v>
          </cell>
          <cell r="G807">
            <v>1.6</v>
          </cell>
          <cell r="H807">
            <v>6.5</v>
          </cell>
          <cell r="I807">
            <v>2</v>
          </cell>
          <cell r="J807">
            <v>87</v>
          </cell>
          <cell r="K807">
            <v>92</v>
          </cell>
          <cell r="L807">
            <v>2.8</v>
          </cell>
          <cell r="M807">
            <v>965</v>
          </cell>
          <cell r="N807">
            <v>14868</v>
          </cell>
        </row>
        <row r="808">
          <cell r="A808" t="str">
            <v>Y315M-6/90</v>
          </cell>
          <cell r="B808">
            <v>86</v>
          </cell>
          <cell r="C808">
            <v>169</v>
          </cell>
          <cell r="D808">
            <v>980</v>
          </cell>
          <cell r="E808">
            <v>93.2</v>
          </cell>
          <cell r="F808">
            <v>0.9</v>
          </cell>
          <cell r="G808">
            <v>1.6</v>
          </cell>
          <cell r="H808">
            <v>6.5</v>
          </cell>
          <cell r="I808">
            <v>2</v>
          </cell>
          <cell r="J808">
            <v>87</v>
          </cell>
          <cell r="K808">
            <v>92</v>
          </cell>
          <cell r="L808">
            <v>2.8</v>
          </cell>
          <cell r="M808">
            <v>965</v>
          </cell>
          <cell r="N808">
            <v>14868</v>
          </cell>
        </row>
        <row r="809">
          <cell r="A809" t="str">
            <v>Y315M-6/90</v>
          </cell>
          <cell r="B809">
            <v>87</v>
          </cell>
          <cell r="C809">
            <v>169</v>
          </cell>
          <cell r="D809">
            <v>980</v>
          </cell>
          <cell r="E809">
            <v>93.2</v>
          </cell>
          <cell r="F809">
            <v>0.9</v>
          </cell>
          <cell r="G809">
            <v>1.6</v>
          </cell>
          <cell r="H809">
            <v>6.5</v>
          </cell>
          <cell r="I809">
            <v>2</v>
          </cell>
          <cell r="J809">
            <v>87</v>
          </cell>
          <cell r="K809">
            <v>92</v>
          </cell>
          <cell r="L809">
            <v>2.8</v>
          </cell>
          <cell r="M809">
            <v>965</v>
          </cell>
          <cell r="N809">
            <v>14868</v>
          </cell>
        </row>
        <row r="810">
          <cell r="A810" t="str">
            <v>Y315M-6/90</v>
          </cell>
          <cell r="B810">
            <v>88</v>
          </cell>
          <cell r="C810">
            <v>169</v>
          </cell>
          <cell r="D810">
            <v>980</v>
          </cell>
          <cell r="E810">
            <v>93.2</v>
          </cell>
          <cell r="F810">
            <v>0.9</v>
          </cell>
          <cell r="G810">
            <v>1.6</v>
          </cell>
          <cell r="H810">
            <v>6.5</v>
          </cell>
          <cell r="I810">
            <v>2</v>
          </cell>
          <cell r="J810">
            <v>87</v>
          </cell>
          <cell r="K810">
            <v>92</v>
          </cell>
          <cell r="L810">
            <v>2.8</v>
          </cell>
          <cell r="M810">
            <v>965</v>
          </cell>
          <cell r="N810">
            <v>14868</v>
          </cell>
        </row>
        <row r="811">
          <cell r="A811" t="str">
            <v>Y315M-6/90</v>
          </cell>
          <cell r="B811">
            <v>89</v>
          </cell>
          <cell r="C811">
            <v>169</v>
          </cell>
          <cell r="D811">
            <v>980</v>
          </cell>
          <cell r="E811">
            <v>93.2</v>
          </cell>
          <cell r="F811">
            <v>0.9</v>
          </cell>
          <cell r="G811">
            <v>1.6</v>
          </cell>
          <cell r="H811">
            <v>6.5</v>
          </cell>
          <cell r="I811">
            <v>2</v>
          </cell>
          <cell r="J811">
            <v>87</v>
          </cell>
          <cell r="K811">
            <v>92</v>
          </cell>
          <cell r="L811">
            <v>2.8</v>
          </cell>
          <cell r="M811">
            <v>965</v>
          </cell>
          <cell r="N811">
            <v>14868</v>
          </cell>
        </row>
        <row r="812">
          <cell r="A812" t="str">
            <v>Y315M-6/90</v>
          </cell>
          <cell r="B812">
            <v>90</v>
          </cell>
          <cell r="C812">
            <v>169</v>
          </cell>
          <cell r="D812">
            <v>980</v>
          </cell>
          <cell r="E812">
            <v>93.2</v>
          </cell>
          <cell r="F812">
            <v>0.9</v>
          </cell>
          <cell r="G812">
            <v>1.6</v>
          </cell>
          <cell r="H812">
            <v>6.5</v>
          </cell>
          <cell r="I812">
            <v>2</v>
          </cell>
          <cell r="J812">
            <v>87</v>
          </cell>
          <cell r="K812">
            <v>92</v>
          </cell>
          <cell r="L812">
            <v>2.8</v>
          </cell>
          <cell r="M812">
            <v>965</v>
          </cell>
          <cell r="N812">
            <v>14868</v>
          </cell>
        </row>
        <row r="813">
          <cell r="A813" t="str">
            <v>Y315L1-6/110</v>
          </cell>
          <cell r="B813">
            <v>91</v>
          </cell>
          <cell r="C813">
            <v>206</v>
          </cell>
          <cell r="D813">
            <v>980</v>
          </cell>
          <cell r="E813">
            <v>93.5</v>
          </cell>
          <cell r="F813">
            <v>0.9</v>
          </cell>
          <cell r="G813">
            <v>1.6</v>
          </cell>
          <cell r="H813">
            <v>6.5</v>
          </cell>
          <cell r="I813">
            <v>2</v>
          </cell>
          <cell r="J813">
            <v>87</v>
          </cell>
          <cell r="K813">
            <v>92</v>
          </cell>
          <cell r="L813">
            <v>2.8</v>
          </cell>
          <cell r="M813">
            <v>1028</v>
          </cell>
          <cell r="N813">
            <v>17318</v>
          </cell>
        </row>
        <row r="814">
          <cell r="A814" t="str">
            <v>Y315L1-6/110</v>
          </cell>
          <cell r="B814">
            <v>92</v>
          </cell>
          <cell r="C814">
            <v>206</v>
          </cell>
          <cell r="D814">
            <v>980</v>
          </cell>
          <cell r="E814">
            <v>93.5</v>
          </cell>
          <cell r="F814">
            <v>0.9</v>
          </cell>
          <cell r="G814">
            <v>1.6</v>
          </cell>
          <cell r="H814">
            <v>6.5</v>
          </cell>
          <cell r="I814">
            <v>2</v>
          </cell>
          <cell r="J814">
            <v>87</v>
          </cell>
          <cell r="K814">
            <v>92</v>
          </cell>
          <cell r="L814">
            <v>2.8</v>
          </cell>
          <cell r="M814">
            <v>1028</v>
          </cell>
          <cell r="N814">
            <v>17318</v>
          </cell>
        </row>
        <row r="815">
          <cell r="A815" t="str">
            <v>Y315L1-6/110</v>
          </cell>
          <cell r="B815">
            <v>93</v>
          </cell>
          <cell r="C815">
            <v>206</v>
          </cell>
          <cell r="D815">
            <v>980</v>
          </cell>
          <cell r="E815">
            <v>93.5</v>
          </cell>
          <cell r="F815">
            <v>0.9</v>
          </cell>
          <cell r="G815">
            <v>1.6</v>
          </cell>
          <cell r="H815">
            <v>6.5</v>
          </cell>
          <cell r="I815">
            <v>2</v>
          </cell>
          <cell r="J815">
            <v>87</v>
          </cell>
          <cell r="K815">
            <v>92</v>
          </cell>
          <cell r="L815">
            <v>2.8</v>
          </cell>
          <cell r="M815">
            <v>1028</v>
          </cell>
          <cell r="N815">
            <v>17318</v>
          </cell>
        </row>
        <row r="816">
          <cell r="A816" t="str">
            <v>Y315L1-6/110</v>
          </cell>
          <cell r="B816">
            <v>94</v>
          </cell>
          <cell r="C816">
            <v>206</v>
          </cell>
          <cell r="D816">
            <v>980</v>
          </cell>
          <cell r="E816">
            <v>93.5</v>
          </cell>
          <cell r="F816">
            <v>0.9</v>
          </cell>
          <cell r="G816">
            <v>1.6</v>
          </cell>
          <cell r="H816">
            <v>6.5</v>
          </cell>
          <cell r="I816">
            <v>2</v>
          </cell>
          <cell r="J816">
            <v>87</v>
          </cell>
          <cell r="K816">
            <v>92</v>
          </cell>
          <cell r="L816">
            <v>2.8</v>
          </cell>
          <cell r="M816">
            <v>1028</v>
          </cell>
          <cell r="N816">
            <v>17318</v>
          </cell>
        </row>
        <row r="817">
          <cell r="A817" t="str">
            <v>Y315L1-6/110</v>
          </cell>
          <cell r="B817">
            <v>95</v>
          </cell>
          <cell r="C817">
            <v>206</v>
          </cell>
          <cell r="D817">
            <v>980</v>
          </cell>
          <cell r="E817">
            <v>93.5</v>
          </cell>
          <cell r="F817">
            <v>0.9</v>
          </cell>
          <cell r="G817">
            <v>1.6</v>
          </cell>
          <cell r="H817">
            <v>6.5</v>
          </cell>
          <cell r="I817">
            <v>2</v>
          </cell>
          <cell r="J817">
            <v>87</v>
          </cell>
          <cell r="K817">
            <v>92</v>
          </cell>
          <cell r="L817">
            <v>2.8</v>
          </cell>
          <cell r="M817">
            <v>1028</v>
          </cell>
          <cell r="N817">
            <v>17318</v>
          </cell>
        </row>
        <row r="818">
          <cell r="A818" t="str">
            <v>Y315L1-6/110</v>
          </cell>
          <cell r="B818">
            <v>96</v>
          </cell>
          <cell r="C818">
            <v>206</v>
          </cell>
          <cell r="D818">
            <v>980</v>
          </cell>
          <cell r="E818">
            <v>93.5</v>
          </cell>
          <cell r="F818">
            <v>0.9</v>
          </cell>
          <cell r="G818">
            <v>1.6</v>
          </cell>
          <cell r="H818">
            <v>6.5</v>
          </cell>
          <cell r="I818">
            <v>2</v>
          </cell>
          <cell r="J818">
            <v>87</v>
          </cell>
          <cell r="K818">
            <v>92</v>
          </cell>
          <cell r="L818">
            <v>2.8</v>
          </cell>
          <cell r="M818">
            <v>1028</v>
          </cell>
          <cell r="N818">
            <v>17318</v>
          </cell>
        </row>
        <row r="819">
          <cell r="A819" t="str">
            <v>Y315L1-6/110</v>
          </cell>
          <cell r="B819">
            <v>97</v>
          </cell>
          <cell r="C819">
            <v>206</v>
          </cell>
          <cell r="D819">
            <v>980</v>
          </cell>
          <cell r="E819">
            <v>93.5</v>
          </cell>
          <cell r="F819">
            <v>0.9</v>
          </cell>
          <cell r="G819">
            <v>1.6</v>
          </cell>
          <cell r="H819">
            <v>6.5</v>
          </cell>
          <cell r="I819">
            <v>2</v>
          </cell>
          <cell r="J819">
            <v>87</v>
          </cell>
          <cell r="K819">
            <v>92</v>
          </cell>
          <cell r="L819">
            <v>2.8</v>
          </cell>
          <cell r="M819">
            <v>1028</v>
          </cell>
          <cell r="N819">
            <v>17318</v>
          </cell>
        </row>
        <row r="820">
          <cell r="A820" t="str">
            <v>Y315L1-6/110</v>
          </cell>
          <cell r="B820">
            <v>98</v>
          </cell>
          <cell r="C820">
            <v>206</v>
          </cell>
          <cell r="D820">
            <v>980</v>
          </cell>
          <cell r="E820">
            <v>93.5</v>
          </cell>
          <cell r="F820">
            <v>0.9</v>
          </cell>
          <cell r="G820">
            <v>1.6</v>
          </cell>
          <cell r="H820">
            <v>6.5</v>
          </cell>
          <cell r="I820">
            <v>2</v>
          </cell>
          <cell r="J820">
            <v>87</v>
          </cell>
          <cell r="K820">
            <v>92</v>
          </cell>
          <cell r="L820">
            <v>2.8</v>
          </cell>
          <cell r="M820">
            <v>1028</v>
          </cell>
          <cell r="N820">
            <v>17318</v>
          </cell>
        </row>
        <row r="821">
          <cell r="A821" t="str">
            <v>Y315L1-6/110</v>
          </cell>
          <cell r="B821">
            <v>99</v>
          </cell>
          <cell r="C821">
            <v>206</v>
          </cell>
          <cell r="D821">
            <v>980</v>
          </cell>
          <cell r="E821">
            <v>93.5</v>
          </cell>
          <cell r="F821">
            <v>0.9</v>
          </cell>
          <cell r="G821">
            <v>1.6</v>
          </cell>
          <cell r="H821">
            <v>6.5</v>
          </cell>
          <cell r="I821">
            <v>2</v>
          </cell>
          <cell r="J821">
            <v>87</v>
          </cell>
          <cell r="K821">
            <v>92</v>
          </cell>
          <cell r="L821">
            <v>2.8</v>
          </cell>
          <cell r="M821">
            <v>1028</v>
          </cell>
          <cell r="N821">
            <v>17318</v>
          </cell>
        </row>
        <row r="822">
          <cell r="A822" t="str">
            <v>Y315L1-6/110</v>
          </cell>
          <cell r="B822">
            <v>100</v>
          </cell>
          <cell r="C822">
            <v>206</v>
          </cell>
          <cell r="D822">
            <v>980</v>
          </cell>
          <cell r="E822">
            <v>93.5</v>
          </cell>
          <cell r="F822">
            <v>0.9</v>
          </cell>
          <cell r="G822">
            <v>1.6</v>
          </cell>
          <cell r="H822">
            <v>6.5</v>
          </cell>
          <cell r="I822">
            <v>2</v>
          </cell>
          <cell r="J822">
            <v>87</v>
          </cell>
          <cell r="K822">
            <v>92</v>
          </cell>
          <cell r="L822">
            <v>2.8</v>
          </cell>
          <cell r="M822">
            <v>1028</v>
          </cell>
          <cell r="N822">
            <v>17318</v>
          </cell>
        </row>
        <row r="823">
          <cell r="A823" t="str">
            <v>Y315L1-6/110</v>
          </cell>
          <cell r="B823">
            <v>101</v>
          </cell>
          <cell r="C823">
            <v>206</v>
          </cell>
          <cell r="D823">
            <v>980</v>
          </cell>
          <cell r="E823">
            <v>93.5</v>
          </cell>
          <cell r="F823">
            <v>0.9</v>
          </cell>
          <cell r="G823">
            <v>1.6</v>
          </cell>
          <cell r="H823">
            <v>6.5</v>
          </cell>
          <cell r="I823">
            <v>2</v>
          </cell>
          <cell r="J823">
            <v>87</v>
          </cell>
          <cell r="K823">
            <v>92</v>
          </cell>
          <cell r="L823">
            <v>2.8</v>
          </cell>
          <cell r="M823">
            <v>1028</v>
          </cell>
          <cell r="N823">
            <v>17318</v>
          </cell>
        </row>
        <row r="824">
          <cell r="A824" t="str">
            <v>Y315L1-6/110</v>
          </cell>
          <cell r="B824">
            <v>102</v>
          </cell>
          <cell r="C824">
            <v>206</v>
          </cell>
          <cell r="D824">
            <v>980</v>
          </cell>
          <cell r="E824">
            <v>93.5</v>
          </cell>
          <cell r="F824">
            <v>0.9</v>
          </cell>
          <cell r="G824">
            <v>1.6</v>
          </cell>
          <cell r="H824">
            <v>6.5</v>
          </cell>
          <cell r="I824">
            <v>2</v>
          </cell>
          <cell r="J824">
            <v>87</v>
          </cell>
          <cell r="K824">
            <v>92</v>
          </cell>
          <cell r="L824">
            <v>2.8</v>
          </cell>
          <cell r="M824">
            <v>1028</v>
          </cell>
          <cell r="N824">
            <v>17318</v>
          </cell>
        </row>
        <row r="825">
          <cell r="A825" t="str">
            <v>Y315L1-6/110</v>
          </cell>
          <cell r="B825">
            <v>103</v>
          </cell>
          <cell r="C825">
            <v>206</v>
          </cell>
          <cell r="D825">
            <v>980</v>
          </cell>
          <cell r="E825">
            <v>93.5</v>
          </cell>
          <cell r="F825">
            <v>0.9</v>
          </cell>
          <cell r="G825">
            <v>1.6</v>
          </cell>
          <cell r="H825">
            <v>6.5</v>
          </cell>
          <cell r="I825">
            <v>2</v>
          </cell>
          <cell r="J825">
            <v>87</v>
          </cell>
          <cell r="K825">
            <v>92</v>
          </cell>
          <cell r="L825">
            <v>2.8</v>
          </cell>
          <cell r="M825">
            <v>1028</v>
          </cell>
          <cell r="N825">
            <v>17318</v>
          </cell>
        </row>
        <row r="826">
          <cell r="A826" t="str">
            <v>Y315L1-6/110</v>
          </cell>
          <cell r="B826">
            <v>104</v>
          </cell>
          <cell r="C826">
            <v>206</v>
          </cell>
          <cell r="D826">
            <v>980</v>
          </cell>
          <cell r="E826">
            <v>93.5</v>
          </cell>
          <cell r="F826">
            <v>0.9</v>
          </cell>
          <cell r="G826">
            <v>1.6</v>
          </cell>
          <cell r="H826">
            <v>6.5</v>
          </cell>
          <cell r="I826">
            <v>2</v>
          </cell>
          <cell r="J826">
            <v>87</v>
          </cell>
          <cell r="K826">
            <v>92</v>
          </cell>
          <cell r="L826">
            <v>2.8</v>
          </cell>
          <cell r="M826">
            <v>1028</v>
          </cell>
          <cell r="N826">
            <v>17318</v>
          </cell>
        </row>
        <row r="827">
          <cell r="A827" t="str">
            <v>Y315L1-6/110</v>
          </cell>
          <cell r="B827">
            <v>105</v>
          </cell>
          <cell r="C827">
            <v>206</v>
          </cell>
          <cell r="D827">
            <v>980</v>
          </cell>
          <cell r="E827">
            <v>93.5</v>
          </cell>
          <cell r="F827">
            <v>0.9</v>
          </cell>
          <cell r="G827">
            <v>1.6</v>
          </cell>
          <cell r="H827">
            <v>6.5</v>
          </cell>
          <cell r="I827">
            <v>2</v>
          </cell>
          <cell r="J827">
            <v>87</v>
          </cell>
          <cell r="K827">
            <v>92</v>
          </cell>
          <cell r="L827">
            <v>2.8</v>
          </cell>
          <cell r="M827">
            <v>1028</v>
          </cell>
          <cell r="N827">
            <v>17318</v>
          </cell>
        </row>
        <row r="828">
          <cell r="A828" t="str">
            <v>Y315L1-6/110</v>
          </cell>
          <cell r="B828">
            <v>106</v>
          </cell>
          <cell r="C828">
            <v>206</v>
          </cell>
          <cell r="D828">
            <v>980</v>
          </cell>
          <cell r="E828">
            <v>93.5</v>
          </cell>
          <cell r="F828">
            <v>0.9</v>
          </cell>
          <cell r="G828">
            <v>1.6</v>
          </cell>
          <cell r="H828">
            <v>6.5</v>
          </cell>
          <cell r="I828">
            <v>2</v>
          </cell>
          <cell r="J828">
            <v>87</v>
          </cell>
          <cell r="K828">
            <v>92</v>
          </cell>
          <cell r="L828">
            <v>2.8</v>
          </cell>
          <cell r="M828">
            <v>1028</v>
          </cell>
          <cell r="N828">
            <v>17318</v>
          </cell>
        </row>
        <row r="829">
          <cell r="A829" t="str">
            <v>Y315L1-6/110</v>
          </cell>
          <cell r="B829">
            <v>107</v>
          </cell>
          <cell r="C829">
            <v>206</v>
          </cell>
          <cell r="D829">
            <v>980</v>
          </cell>
          <cell r="E829">
            <v>93.5</v>
          </cell>
          <cell r="F829">
            <v>0.9</v>
          </cell>
          <cell r="G829">
            <v>1.6</v>
          </cell>
          <cell r="H829">
            <v>6.5</v>
          </cell>
          <cell r="I829">
            <v>2</v>
          </cell>
          <cell r="J829">
            <v>87</v>
          </cell>
          <cell r="K829">
            <v>92</v>
          </cell>
          <cell r="L829">
            <v>2.8</v>
          </cell>
          <cell r="M829">
            <v>1028</v>
          </cell>
          <cell r="N829">
            <v>17318</v>
          </cell>
        </row>
        <row r="830">
          <cell r="A830" t="str">
            <v>Y315L1-6/110</v>
          </cell>
          <cell r="B830">
            <v>108</v>
          </cell>
          <cell r="C830">
            <v>206</v>
          </cell>
          <cell r="D830">
            <v>980</v>
          </cell>
          <cell r="E830">
            <v>93.5</v>
          </cell>
          <cell r="F830">
            <v>0.9</v>
          </cell>
          <cell r="G830">
            <v>1.6</v>
          </cell>
          <cell r="H830">
            <v>6.5</v>
          </cell>
          <cell r="I830">
            <v>2</v>
          </cell>
          <cell r="J830">
            <v>87</v>
          </cell>
          <cell r="K830">
            <v>92</v>
          </cell>
          <cell r="L830">
            <v>2.8</v>
          </cell>
          <cell r="M830">
            <v>1028</v>
          </cell>
          <cell r="N830">
            <v>17318</v>
          </cell>
        </row>
        <row r="831">
          <cell r="A831" t="str">
            <v>Y315L1-6/110</v>
          </cell>
          <cell r="B831">
            <v>109</v>
          </cell>
          <cell r="C831">
            <v>206</v>
          </cell>
          <cell r="D831">
            <v>980</v>
          </cell>
          <cell r="E831">
            <v>93.5</v>
          </cell>
          <cell r="F831">
            <v>0.9</v>
          </cell>
          <cell r="G831">
            <v>1.6</v>
          </cell>
          <cell r="H831">
            <v>6.5</v>
          </cell>
          <cell r="I831">
            <v>2</v>
          </cell>
          <cell r="J831">
            <v>87</v>
          </cell>
          <cell r="K831">
            <v>92</v>
          </cell>
          <cell r="L831">
            <v>2.8</v>
          </cell>
          <cell r="M831">
            <v>1028</v>
          </cell>
          <cell r="N831">
            <v>17318</v>
          </cell>
        </row>
        <row r="832">
          <cell r="A832" t="str">
            <v>Y315L1-6/110</v>
          </cell>
          <cell r="B832">
            <v>110</v>
          </cell>
          <cell r="C832">
            <v>206</v>
          </cell>
          <cell r="D832">
            <v>980</v>
          </cell>
          <cell r="E832">
            <v>93.5</v>
          </cell>
          <cell r="F832">
            <v>0.9</v>
          </cell>
          <cell r="G832">
            <v>1.6</v>
          </cell>
          <cell r="H832">
            <v>6.5</v>
          </cell>
          <cell r="I832">
            <v>2</v>
          </cell>
          <cell r="J832">
            <v>87</v>
          </cell>
          <cell r="K832">
            <v>92</v>
          </cell>
          <cell r="L832">
            <v>2.8</v>
          </cell>
          <cell r="M832">
            <v>1028</v>
          </cell>
          <cell r="N832">
            <v>17318</v>
          </cell>
        </row>
        <row r="833">
          <cell r="A833" t="str">
            <v>Y315L2-6/132</v>
          </cell>
          <cell r="B833">
            <v>111</v>
          </cell>
          <cell r="C833">
            <v>246</v>
          </cell>
          <cell r="D833">
            <v>980</v>
          </cell>
          <cell r="E833">
            <v>93.8</v>
          </cell>
          <cell r="F833">
            <v>0.9</v>
          </cell>
          <cell r="G833">
            <v>1.6</v>
          </cell>
          <cell r="H833">
            <v>6.5</v>
          </cell>
          <cell r="I833">
            <v>2</v>
          </cell>
          <cell r="J833">
            <v>87</v>
          </cell>
          <cell r="K833">
            <v>92</v>
          </cell>
          <cell r="L833">
            <v>2.8</v>
          </cell>
          <cell r="M833">
            <v>1195</v>
          </cell>
          <cell r="N833">
            <v>19166</v>
          </cell>
        </row>
        <row r="834">
          <cell r="A834" t="str">
            <v>Y315L2-6/132</v>
          </cell>
          <cell r="B834">
            <v>112</v>
          </cell>
          <cell r="C834">
            <v>246</v>
          </cell>
          <cell r="D834">
            <v>980</v>
          </cell>
          <cell r="E834">
            <v>93.8</v>
          </cell>
          <cell r="F834">
            <v>0.9</v>
          </cell>
          <cell r="G834">
            <v>1.6</v>
          </cell>
          <cell r="H834">
            <v>6.5</v>
          </cell>
          <cell r="I834">
            <v>2</v>
          </cell>
          <cell r="J834">
            <v>87</v>
          </cell>
          <cell r="K834">
            <v>92</v>
          </cell>
          <cell r="L834">
            <v>2.8</v>
          </cell>
          <cell r="M834">
            <v>1195</v>
          </cell>
          <cell r="N834">
            <v>19166</v>
          </cell>
        </row>
        <row r="835">
          <cell r="A835" t="str">
            <v>Y315L2-6/132</v>
          </cell>
          <cell r="B835">
            <v>113</v>
          </cell>
          <cell r="C835">
            <v>246</v>
          </cell>
          <cell r="D835">
            <v>980</v>
          </cell>
          <cell r="E835">
            <v>93.8</v>
          </cell>
          <cell r="F835">
            <v>0.9</v>
          </cell>
          <cell r="G835">
            <v>1.6</v>
          </cell>
          <cell r="H835">
            <v>6.5</v>
          </cell>
          <cell r="I835">
            <v>2</v>
          </cell>
          <cell r="J835">
            <v>87</v>
          </cell>
          <cell r="K835">
            <v>92</v>
          </cell>
          <cell r="L835">
            <v>2.8</v>
          </cell>
          <cell r="M835">
            <v>1195</v>
          </cell>
          <cell r="N835">
            <v>19166</v>
          </cell>
        </row>
        <row r="836">
          <cell r="A836" t="str">
            <v>Y315L2-6/132</v>
          </cell>
          <cell r="B836">
            <v>114</v>
          </cell>
          <cell r="C836">
            <v>246</v>
          </cell>
          <cell r="D836">
            <v>980</v>
          </cell>
          <cell r="E836">
            <v>93.8</v>
          </cell>
          <cell r="F836">
            <v>0.9</v>
          </cell>
          <cell r="G836">
            <v>1.6</v>
          </cell>
          <cell r="H836">
            <v>6.5</v>
          </cell>
          <cell r="I836">
            <v>2</v>
          </cell>
          <cell r="J836">
            <v>87</v>
          </cell>
          <cell r="K836">
            <v>92</v>
          </cell>
          <cell r="L836">
            <v>2.8</v>
          </cell>
          <cell r="M836">
            <v>1195</v>
          </cell>
          <cell r="N836">
            <v>19166</v>
          </cell>
        </row>
        <row r="837">
          <cell r="A837" t="str">
            <v>Y315L2-6/132</v>
          </cell>
          <cell r="B837">
            <v>115</v>
          </cell>
          <cell r="C837">
            <v>246</v>
          </cell>
          <cell r="D837">
            <v>980</v>
          </cell>
          <cell r="E837">
            <v>93.8</v>
          </cell>
          <cell r="F837">
            <v>0.9</v>
          </cell>
          <cell r="G837">
            <v>1.6</v>
          </cell>
          <cell r="H837">
            <v>6.5</v>
          </cell>
          <cell r="I837">
            <v>2</v>
          </cell>
          <cell r="J837">
            <v>87</v>
          </cell>
          <cell r="K837">
            <v>92</v>
          </cell>
          <cell r="L837">
            <v>2.8</v>
          </cell>
          <cell r="M837">
            <v>1195</v>
          </cell>
          <cell r="N837">
            <v>19166</v>
          </cell>
        </row>
        <row r="838">
          <cell r="A838" t="str">
            <v>Y315L2-6/132</v>
          </cell>
          <cell r="B838">
            <v>116</v>
          </cell>
          <cell r="C838">
            <v>246</v>
          </cell>
          <cell r="D838">
            <v>980</v>
          </cell>
          <cell r="E838">
            <v>93.8</v>
          </cell>
          <cell r="F838">
            <v>0.9</v>
          </cell>
          <cell r="G838">
            <v>1.6</v>
          </cell>
          <cell r="H838">
            <v>6.5</v>
          </cell>
          <cell r="I838">
            <v>2</v>
          </cell>
          <cell r="J838">
            <v>87</v>
          </cell>
          <cell r="K838">
            <v>92</v>
          </cell>
          <cell r="L838">
            <v>2.8</v>
          </cell>
          <cell r="M838">
            <v>1195</v>
          </cell>
          <cell r="N838">
            <v>19166</v>
          </cell>
        </row>
        <row r="839">
          <cell r="A839" t="str">
            <v>Y315L2-6/132</v>
          </cell>
          <cell r="B839">
            <v>117</v>
          </cell>
          <cell r="C839">
            <v>246</v>
          </cell>
          <cell r="D839">
            <v>980</v>
          </cell>
          <cell r="E839">
            <v>93.8</v>
          </cell>
          <cell r="F839">
            <v>0.9</v>
          </cell>
          <cell r="G839">
            <v>1.6</v>
          </cell>
          <cell r="H839">
            <v>6.5</v>
          </cell>
          <cell r="I839">
            <v>2</v>
          </cell>
          <cell r="J839">
            <v>87</v>
          </cell>
          <cell r="K839">
            <v>92</v>
          </cell>
          <cell r="L839">
            <v>2.8</v>
          </cell>
          <cell r="M839">
            <v>1195</v>
          </cell>
          <cell r="N839">
            <v>19166</v>
          </cell>
        </row>
        <row r="840">
          <cell r="A840" t="str">
            <v>Y315L2-6/132</v>
          </cell>
          <cell r="B840">
            <v>118</v>
          </cell>
          <cell r="C840">
            <v>246</v>
          </cell>
          <cell r="D840">
            <v>980</v>
          </cell>
          <cell r="E840">
            <v>93.8</v>
          </cell>
          <cell r="F840">
            <v>0.9</v>
          </cell>
          <cell r="G840">
            <v>1.6</v>
          </cell>
          <cell r="H840">
            <v>6.5</v>
          </cell>
          <cell r="I840">
            <v>2</v>
          </cell>
          <cell r="J840">
            <v>87</v>
          </cell>
          <cell r="K840">
            <v>92</v>
          </cell>
          <cell r="L840">
            <v>2.8</v>
          </cell>
          <cell r="M840">
            <v>1195</v>
          </cell>
          <cell r="N840">
            <v>19166</v>
          </cell>
        </row>
        <row r="841">
          <cell r="A841" t="str">
            <v>Y315L2-6/132</v>
          </cell>
          <cell r="B841">
            <v>119</v>
          </cell>
          <cell r="C841">
            <v>246</v>
          </cell>
          <cell r="D841">
            <v>980</v>
          </cell>
          <cell r="E841">
            <v>93.8</v>
          </cell>
          <cell r="F841">
            <v>0.9</v>
          </cell>
          <cell r="G841">
            <v>1.6</v>
          </cell>
          <cell r="H841">
            <v>6.5</v>
          </cell>
          <cell r="I841">
            <v>2</v>
          </cell>
          <cell r="J841">
            <v>87</v>
          </cell>
          <cell r="K841">
            <v>92</v>
          </cell>
          <cell r="L841">
            <v>2.8</v>
          </cell>
          <cell r="M841">
            <v>1195</v>
          </cell>
          <cell r="N841">
            <v>19166</v>
          </cell>
        </row>
        <row r="842">
          <cell r="A842" t="str">
            <v>Y315L2-6/132</v>
          </cell>
          <cell r="B842">
            <v>120</v>
          </cell>
          <cell r="C842">
            <v>246</v>
          </cell>
          <cell r="D842">
            <v>980</v>
          </cell>
          <cell r="E842">
            <v>93.8</v>
          </cell>
          <cell r="F842">
            <v>0.9</v>
          </cell>
          <cell r="G842">
            <v>1.6</v>
          </cell>
          <cell r="H842">
            <v>6.5</v>
          </cell>
          <cell r="I842">
            <v>2</v>
          </cell>
          <cell r="J842">
            <v>87</v>
          </cell>
          <cell r="K842">
            <v>92</v>
          </cell>
          <cell r="L842">
            <v>2.8</v>
          </cell>
          <cell r="M842">
            <v>1195</v>
          </cell>
          <cell r="N842">
            <v>19166</v>
          </cell>
        </row>
        <row r="843">
          <cell r="A843" t="str">
            <v>Y315L2-6/132</v>
          </cell>
          <cell r="B843">
            <v>121</v>
          </cell>
          <cell r="C843">
            <v>246</v>
          </cell>
          <cell r="D843">
            <v>980</v>
          </cell>
          <cell r="E843">
            <v>93.8</v>
          </cell>
          <cell r="F843">
            <v>0.9</v>
          </cell>
          <cell r="G843">
            <v>1.6</v>
          </cell>
          <cell r="H843">
            <v>6.5</v>
          </cell>
          <cell r="I843">
            <v>2</v>
          </cell>
          <cell r="J843">
            <v>87</v>
          </cell>
          <cell r="K843">
            <v>92</v>
          </cell>
          <cell r="L843">
            <v>2.8</v>
          </cell>
          <cell r="M843">
            <v>1195</v>
          </cell>
          <cell r="N843">
            <v>19166</v>
          </cell>
        </row>
        <row r="844">
          <cell r="A844" t="str">
            <v>Y315L2-6/132</v>
          </cell>
          <cell r="B844">
            <v>122</v>
          </cell>
          <cell r="C844">
            <v>246</v>
          </cell>
          <cell r="D844">
            <v>980</v>
          </cell>
          <cell r="E844">
            <v>93.8</v>
          </cell>
          <cell r="F844">
            <v>0.9</v>
          </cell>
          <cell r="G844">
            <v>1.6</v>
          </cell>
          <cell r="H844">
            <v>6.5</v>
          </cell>
          <cell r="I844">
            <v>2</v>
          </cell>
          <cell r="J844">
            <v>87</v>
          </cell>
          <cell r="K844">
            <v>92</v>
          </cell>
          <cell r="L844">
            <v>2.8</v>
          </cell>
          <cell r="M844">
            <v>1195</v>
          </cell>
          <cell r="N844">
            <v>19166</v>
          </cell>
        </row>
        <row r="845">
          <cell r="A845" t="str">
            <v>Y315L2-6/132</v>
          </cell>
          <cell r="B845">
            <v>123</v>
          </cell>
          <cell r="C845">
            <v>246</v>
          </cell>
          <cell r="D845">
            <v>980</v>
          </cell>
          <cell r="E845">
            <v>93.8</v>
          </cell>
          <cell r="F845">
            <v>0.9</v>
          </cell>
          <cell r="G845">
            <v>1.6</v>
          </cell>
          <cell r="H845">
            <v>6.5</v>
          </cell>
          <cell r="I845">
            <v>2</v>
          </cell>
          <cell r="J845">
            <v>87</v>
          </cell>
          <cell r="K845">
            <v>92</v>
          </cell>
          <cell r="L845">
            <v>2.8</v>
          </cell>
          <cell r="M845">
            <v>1195</v>
          </cell>
          <cell r="N845">
            <v>19166</v>
          </cell>
        </row>
        <row r="846">
          <cell r="A846" t="str">
            <v>Y315L2-6/132</v>
          </cell>
          <cell r="B846">
            <v>124</v>
          </cell>
          <cell r="C846">
            <v>246</v>
          </cell>
          <cell r="D846">
            <v>980</v>
          </cell>
          <cell r="E846">
            <v>93.8</v>
          </cell>
          <cell r="F846">
            <v>0.9</v>
          </cell>
          <cell r="G846">
            <v>1.6</v>
          </cell>
          <cell r="H846">
            <v>6.5</v>
          </cell>
          <cell r="I846">
            <v>2</v>
          </cell>
          <cell r="J846">
            <v>87</v>
          </cell>
          <cell r="K846">
            <v>92</v>
          </cell>
          <cell r="L846">
            <v>2.8</v>
          </cell>
          <cell r="M846">
            <v>1195</v>
          </cell>
          <cell r="N846">
            <v>19166</v>
          </cell>
        </row>
        <row r="847">
          <cell r="A847" t="str">
            <v>Y315L2-6/132</v>
          </cell>
          <cell r="B847">
            <v>125</v>
          </cell>
          <cell r="C847">
            <v>246</v>
          </cell>
          <cell r="D847">
            <v>980</v>
          </cell>
          <cell r="E847">
            <v>93.8</v>
          </cell>
          <cell r="F847">
            <v>0.9</v>
          </cell>
          <cell r="G847">
            <v>1.6</v>
          </cell>
          <cell r="H847">
            <v>6.5</v>
          </cell>
          <cell r="I847">
            <v>2</v>
          </cell>
          <cell r="J847">
            <v>87</v>
          </cell>
          <cell r="K847">
            <v>92</v>
          </cell>
          <cell r="L847">
            <v>2.8</v>
          </cell>
          <cell r="M847">
            <v>1195</v>
          </cell>
          <cell r="N847">
            <v>19166</v>
          </cell>
        </row>
        <row r="848">
          <cell r="A848" t="str">
            <v>Y315L2-6/132</v>
          </cell>
          <cell r="B848">
            <v>126</v>
          </cell>
          <cell r="C848">
            <v>246</v>
          </cell>
          <cell r="D848">
            <v>980</v>
          </cell>
          <cell r="E848">
            <v>93.8</v>
          </cell>
          <cell r="F848">
            <v>0.9</v>
          </cell>
          <cell r="G848">
            <v>1.6</v>
          </cell>
          <cell r="H848">
            <v>6.5</v>
          </cell>
          <cell r="I848">
            <v>2</v>
          </cell>
          <cell r="J848">
            <v>87</v>
          </cell>
          <cell r="K848">
            <v>92</v>
          </cell>
          <cell r="L848">
            <v>2.8</v>
          </cell>
          <cell r="M848">
            <v>1195</v>
          </cell>
          <cell r="N848">
            <v>19166</v>
          </cell>
        </row>
        <row r="849">
          <cell r="A849" t="str">
            <v>Y315L2-6/132</v>
          </cell>
          <cell r="B849">
            <v>127</v>
          </cell>
          <cell r="C849">
            <v>246</v>
          </cell>
          <cell r="D849">
            <v>980</v>
          </cell>
          <cell r="E849">
            <v>93.8</v>
          </cell>
          <cell r="F849">
            <v>0.9</v>
          </cell>
          <cell r="G849">
            <v>1.6</v>
          </cell>
          <cell r="H849">
            <v>6.5</v>
          </cell>
          <cell r="I849">
            <v>2</v>
          </cell>
          <cell r="J849">
            <v>87</v>
          </cell>
          <cell r="K849">
            <v>92</v>
          </cell>
          <cell r="L849">
            <v>2.8</v>
          </cell>
          <cell r="M849">
            <v>1195</v>
          </cell>
          <cell r="N849">
            <v>19166</v>
          </cell>
        </row>
        <row r="850">
          <cell r="A850" t="str">
            <v>Y315L2-6/132</v>
          </cell>
          <cell r="B850">
            <v>128</v>
          </cell>
          <cell r="C850">
            <v>246</v>
          </cell>
          <cell r="D850">
            <v>980</v>
          </cell>
          <cell r="E850">
            <v>93.8</v>
          </cell>
          <cell r="F850">
            <v>0.9</v>
          </cell>
          <cell r="G850">
            <v>1.6</v>
          </cell>
          <cell r="H850">
            <v>6.5</v>
          </cell>
          <cell r="I850">
            <v>2</v>
          </cell>
          <cell r="J850">
            <v>87</v>
          </cell>
          <cell r="K850">
            <v>92</v>
          </cell>
          <cell r="L850">
            <v>2.8</v>
          </cell>
          <cell r="M850">
            <v>1195</v>
          </cell>
          <cell r="N850">
            <v>19166</v>
          </cell>
        </row>
        <row r="851">
          <cell r="A851" t="str">
            <v>Y315L2-6/132</v>
          </cell>
          <cell r="B851">
            <v>129</v>
          </cell>
          <cell r="C851">
            <v>246</v>
          </cell>
          <cell r="D851">
            <v>980</v>
          </cell>
          <cell r="E851">
            <v>93.8</v>
          </cell>
          <cell r="F851">
            <v>0.9</v>
          </cell>
          <cell r="G851">
            <v>1.6</v>
          </cell>
          <cell r="H851">
            <v>6.5</v>
          </cell>
          <cell r="I851">
            <v>2</v>
          </cell>
          <cell r="J851">
            <v>87</v>
          </cell>
          <cell r="K851">
            <v>92</v>
          </cell>
          <cell r="L851">
            <v>2.8</v>
          </cell>
          <cell r="M851">
            <v>1195</v>
          </cell>
          <cell r="N851">
            <v>19166</v>
          </cell>
        </row>
        <row r="852">
          <cell r="A852" t="str">
            <v>Y315L2-6/132</v>
          </cell>
          <cell r="B852">
            <v>130</v>
          </cell>
          <cell r="C852">
            <v>246</v>
          </cell>
          <cell r="D852">
            <v>980</v>
          </cell>
          <cell r="E852">
            <v>93.8</v>
          </cell>
          <cell r="F852">
            <v>0.9</v>
          </cell>
          <cell r="G852">
            <v>1.6</v>
          </cell>
          <cell r="H852">
            <v>6.5</v>
          </cell>
          <cell r="I852">
            <v>2</v>
          </cell>
          <cell r="J852">
            <v>87</v>
          </cell>
          <cell r="K852">
            <v>92</v>
          </cell>
          <cell r="L852">
            <v>2.8</v>
          </cell>
          <cell r="M852">
            <v>1195</v>
          </cell>
          <cell r="N852">
            <v>19166</v>
          </cell>
        </row>
        <row r="853">
          <cell r="A853" t="str">
            <v>Y315L2-6/132</v>
          </cell>
          <cell r="B853">
            <v>131</v>
          </cell>
          <cell r="C853">
            <v>246</v>
          </cell>
          <cell r="D853">
            <v>980</v>
          </cell>
          <cell r="E853">
            <v>93.8</v>
          </cell>
          <cell r="F853">
            <v>0.9</v>
          </cell>
          <cell r="G853">
            <v>1.6</v>
          </cell>
          <cell r="H853">
            <v>6.5</v>
          </cell>
          <cell r="I853">
            <v>2</v>
          </cell>
          <cell r="J853">
            <v>87</v>
          </cell>
          <cell r="K853">
            <v>92</v>
          </cell>
          <cell r="L853">
            <v>2.8</v>
          </cell>
          <cell r="M853">
            <v>1195</v>
          </cell>
          <cell r="N853">
            <v>19166</v>
          </cell>
        </row>
        <row r="854">
          <cell r="A854" t="str">
            <v>Y315L2-6/132</v>
          </cell>
          <cell r="B854">
            <v>132</v>
          </cell>
          <cell r="C854">
            <v>246</v>
          </cell>
          <cell r="D854">
            <v>980</v>
          </cell>
          <cell r="E854">
            <v>93.8</v>
          </cell>
          <cell r="F854">
            <v>0.9</v>
          </cell>
          <cell r="G854">
            <v>1.6</v>
          </cell>
          <cell r="H854">
            <v>6.5</v>
          </cell>
          <cell r="I854">
            <v>2</v>
          </cell>
          <cell r="J854">
            <v>87</v>
          </cell>
          <cell r="K854">
            <v>92</v>
          </cell>
          <cell r="L854">
            <v>2.8</v>
          </cell>
          <cell r="M854">
            <v>1195</v>
          </cell>
          <cell r="N854">
            <v>19166</v>
          </cell>
        </row>
        <row r="855">
          <cell r="A855" t="str">
            <v>Y355M1-6/160</v>
          </cell>
          <cell r="B855">
            <v>133</v>
          </cell>
          <cell r="C855">
            <v>300</v>
          </cell>
          <cell r="D855">
            <v>990</v>
          </cell>
          <cell r="E855">
            <v>94.1</v>
          </cell>
          <cell r="F855">
            <v>0.9</v>
          </cell>
          <cell r="G855">
            <v>1.3</v>
          </cell>
          <cell r="H855">
            <v>6.7</v>
          </cell>
          <cell r="I855">
            <v>2</v>
          </cell>
          <cell r="J855">
            <v>102</v>
          </cell>
        </row>
        <row r="855">
          <cell r="L855">
            <v>4.5</v>
          </cell>
          <cell r="M855">
            <v>1590</v>
          </cell>
        </row>
        <row r="856">
          <cell r="A856" t="str">
            <v>Y355M1-6/160</v>
          </cell>
          <cell r="B856">
            <v>134</v>
          </cell>
          <cell r="C856">
            <v>300</v>
          </cell>
          <cell r="D856">
            <v>990</v>
          </cell>
          <cell r="E856">
            <v>94.1</v>
          </cell>
          <cell r="F856">
            <v>0.9</v>
          </cell>
          <cell r="G856">
            <v>1.3</v>
          </cell>
          <cell r="H856">
            <v>6.7</v>
          </cell>
          <cell r="I856">
            <v>2</v>
          </cell>
          <cell r="J856">
            <v>102</v>
          </cell>
        </row>
        <row r="856">
          <cell r="L856">
            <v>4.5</v>
          </cell>
          <cell r="M856">
            <v>1590</v>
          </cell>
        </row>
        <row r="857">
          <cell r="A857" t="str">
            <v>Y355M1-6/160</v>
          </cell>
          <cell r="B857">
            <v>135</v>
          </cell>
          <cell r="C857">
            <v>300</v>
          </cell>
          <cell r="D857">
            <v>990</v>
          </cell>
          <cell r="E857">
            <v>94.1</v>
          </cell>
          <cell r="F857">
            <v>0.9</v>
          </cell>
          <cell r="G857">
            <v>1.3</v>
          </cell>
          <cell r="H857">
            <v>6.7</v>
          </cell>
          <cell r="I857">
            <v>2</v>
          </cell>
          <cell r="J857">
            <v>102</v>
          </cell>
        </row>
        <row r="857">
          <cell r="L857">
            <v>4.5</v>
          </cell>
          <cell r="M857">
            <v>1590</v>
          </cell>
        </row>
        <row r="858">
          <cell r="A858" t="str">
            <v>Y355M1-6/160</v>
          </cell>
          <cell r="B858">
            <v>136</v>
          </cell>
          <cell r="C858">
            <v>300</v>
          </cell>
          <cell r="D858">
            <v>990</v>
          </cell>
          <cell r="E858">
            <v>94.1</v>
          </cell>
          <cell r="F858">
            <v>0.9</v>
          </cell>
          <cell r="G858">
            <v>1.3</v>
          </cell>
          <cell r="H858">
            <v>6.7</v>
          </cell>
          <cell r="I858">
            <v>2</v>
          </cell>
          <cell r="J858">
            <v>102</v>
          </cell>
        </row>
        <row r="858">
          <cell r="L858">
            <v>4.5</v>
          </cell>
          <cell r="M858">
            <v>1590</v>
          </cell>
        </row>
        <row r="859">
          <cell r="A859" t="str">
            <v>Y355M1-6/160</v>
          </cell>
          <cell r="B859">
            <v>137</v>
          </cell>
          <cell r="C859">
            <v>300</v>
          </cell>
          <cell r="D859">
            <v>990</v>
          </cell>
          <cell r="E859">
            <v>94.1</v>
          </cell>
          <cell r="F859">
            <v>0.9</v>
          </cell>
          <cell r="G859">
            <v>1.3</v>
          </cell>
          <cell r="H859">
            <v>6.7</v>
          </cell>
          <cell r="I859">
            <v>2</v>
          </cell>
          <cell r="J859">
            <v>102</v>
          </cell>
        </row>
        <row r="859">
          <cell r="L859">
            <v>4.5</v>
          </cell>
          <cell r="M859">
            <v>1590</v>
          </cell>
        </row>
        <row r="860">
          <cell r="A860" t="str">
            <v>Y355M1-6/160</v>
          </cell>
          <cell r="B860">
            <v>138</v>
          </cell>
          <cell r="C860">
            <v>300</v>
          </cell>
          <cell r="D860">
            <v>990</v>
          </cell>
          <cell r="E860">
            <v>94.1</v>
          </cell>
          <cell r="F860">
            <v>0.9</v>
          </cell>
          <cell r="G860">
            <v>1.3</v>
          </cell>
          <cell r="H860">
            <v>6.7</v>
          </cell>
          <cell r="I860">
            <v>2</v>
          </cell>
          <cell r="J860">
            <v>102</v>
          </cell>
        </row>
        <row r="860">
          <cell r="L860">
            <v>4.5</v>
          </cell>
          <cell r="M860">
            <v>1590</v>
          </cell>
        </row>
        <row r="861">
          <cell r="A861" t="str">
            <v>Y355M1-6/160</v>
          </cell>
          <cell r="B861">
            <v>139</v>
          </cell>
          <cell r="C861">
            <v>300</v>
          </cell>
          <cell r="D861">
            <v>990</v>
          </cell>
          <cell r="E861">
            <v>94.1</v>
          </cell>
          <cell r="F861">
            <v>0.9</v>
          </cell>
          <cell r="G861">
            <v>1.3</v>
          </cell>
          <cell r="H861">
            <v>6.7</v>
          </cell>
          <cell r="I861">
            <v>2</v>
          </cell>
          <cell r="J861">
            <v>102</v>
          </cell>
        </row>
        <row r="861">
          <cell r="L861">
            <v>4.5</v>
          </cell>
          <cell r="M861">
            <v>1590</v>
          </cell>
        </row>
        <row r="862">
          <cell r="A862" t="str">
            <v>Y355M1-6/160</v>
          </cell>
          <cell r="B862">
            <v>140</v>
          </cell>
          <cell r="C862">
            <v>300</v>
          </cell>
          <cell r="D862">
            <v>990</v>
          </cell>
          <cell r="E862">
            <v>94.1</v>
          </cell>
          <cell r="F862">
            <v>0.9</v>
          </cell>
          <cell r="G862">
            <v>1.3</v>
          </cell>
          <cell r="H862">
            <v>6.7</v>
          </cell>
          <cell r="I862">
            <v>2</v>
          </cell>
          <cell r="J862">
            <v>102</v>
          </cell>
        </row>
        <row r="862">
          <cell r="L862">
            <v>4.5</v>
          </cell>
          <cell r="M862">
            <v>1590</v>
          </cell>
        </row>
        <row r="863">
          <cell r="A863" t="str">
            <v>Y355M1-6/160</v>
          </cell>
          <cell r="B863">
            <v>141</v>
          </cell>
          <cell r="C863">
            <v>300</v>
          </cell>
          <cell r="D863">
            <v>990</v>
          </cell>
          <cell r="E863">
            <v>94.1</v>
          </cell>
          <cell r="F863">
            <v>0.9</v>
          </cell>
          <cell r="G863">
            <v>1.3</v>
          </cell>
          <cell r="H863">
            <v>6.7</v>
          </cell>
          <cell r="I863">
            <v>2</v>
          </cell>
          <cell r="J863">
            <v>102</v>
          </cell>
        </row>
        <row r="863">
          <cell r="L863">
            <v>4.5</v>
          </cell>
          <cell r="M863">
            <v>1590</v>
          </cell>
        </row>
        <row r="864">
          <cell r="A864" t="str">
            <v>Y355M1-6/160</v>
          </cell>
          <cell r="B864">
            <v>142</v>
          </cell>
          <cell r="C864">
            <v>300</v>
          </cell>
          <cell r="D864">
            <v>990</v>
          </cell>
          <cell r="E864">
            <v>94.1</v>
          </cell>
          <cell r="F864">
            <v>0.9</v>
          </cell>
          <cell r="G864">
            <v>1.3</v>
          </cell>
          <cell r="H864">
            <v>6.7</v>
          </cell>
          <cell r="I864">
            <v>2</v>
          </cell>
          <cell r="J864">
            <v>102</v>
          </cell>
        </row>
        <row r="864">
          <cell r="L864">
            <v>4.5</v>
          </cell>
          <cell r="M864">
            <v>1590</v>
          </cell>
        </row>
        <row r="865">
          <cell r="A865" t="str">
            <v>Y355M1-6/160</v>
          </cell>
          <cell r="B865">
            <v>143</v>
          </cell>
          <cell r="C865">
            <v>300</v>
          </cell>
          <cell r="D865">
            <v>990</v>
          </cell>
          <cell r="E865">
            <v>94.1</v>
          </cell>
          <cell r="F865">
            <v>0.9</v>
          </cell>
          <cell r="G865">
            <v>1.3</v>
          </cell>
          <cell r="H865">
            <v>6.7</v>
          </cell>
          <cell r="I865">
            <v>2</v>
          </cell>
          <cell r="J865">
            <v>102</v>
          </cell>
        </row>
        <row r="865">
          <cell r="L865">
            <v>4.5</v>
          </cell>
          <cell r="M865">
            <v>1590</v>
          </cell>
        </row>
        <row r="866">
          <cell r="A866" t="str">
            <v>Y355M1-6/160</v>
          </cell>
          <cell r="B866">
            <v>144</v>
          </cell>
          <cell r="C866">
            <v>300</v>
          </cell>
          <cell r="D866">
            <v>990</v>
          </cell>
          <cell r="E866">
            <v>94.1</v>
          </cell>
          <cell r="F866">
            <v>0.9</v>
          </cell>
          <cell r="G866">
            <v>1.3</v>
          </cell>
          <cell r="H866">
            <v>6.7</v>
          </cell>
          <cell r="I866">
            <v>2</v>
          </cell>
          <cell r="J866">
            <v>102</v>
          </cell>
        </row>
        <row r="866">
          <cell r="L866">
            <v>4.5</v>
          </cell>
          <cell r="M866">
            <v>1590</v>
          </cell>
        </row>
        <row r="867">
          <cell r="A867" t="str">
            <v>Y355M1-6/160</v>
          </cell>
          <cell r="B867">
            <v>145</v>
          </cell>
          <cell r="C867">
            <v>300</v>
          </cell>
          <cell r="D867">
            <v>990</v>
          </cell>
          <cell r="E867">
            <v>94.1</v>
          </cell>
          <cell r="F867">
            <v>0.9</v>
          </cell>
          <cell r="G867">
            <v>1.3</v>
          </cell>
          <cell r="H867">
            <v>6.7</v>
          </cell>
          <cell r="I867">
            <v>2</v>
          </cell>
          <cell r="J867">
            <v>102</v>
          </cell>
        </row>
        <row r="867">
          <cell r="L867">
            <v>4.5</v>
          </cell>
          <cell r="M867">
            <v>1590</v>
          </cell>
        </row>
        <row r="868">
          <cell r="A868" t="str">
            <v>Y355M1-6/160</v>
          </cell>
          <cell r="B868">
            <v>146</v>
          </cell>
          <cell r="C868">
            <v>300</v>
          </cell>
          <cell r="D868">
            <v>990</v>
          </cell>
          <cell r="E868">
            <v>94.1</v>
          </cell>
          <cell r="F868">
            <v>0.9</v>
          </cell>
          <cell r="G868">
            <v>1.3</v>
          </cell>
          <cell r="H868">
            <v>6.7</v>
          </cell>
          <cell r="I868">
            <v>2</v>
          </cell>
          <cell r="J868">
            <v>102</v>
          </cell>
        </row>
        <row r="868">
          <cell r="L868">
            <v>4.5</v>
          </cell>
          <cell r="M868">
            <v>1590</v>
          </cell>
        </row>
        <row r="869">
          <cell r="A869" t="str">
            <v>Y355M1-6/160</v>
          </cell>
          <cell r="B869">
            <v>147</v>
          </cell>
          <cell r="C869">
            <v>300</v>
          </cell>
          <cell r="D869">
            <v>990</v>
          </cell>
          <cell r="E869">
            <v>94.1</v>
          </cell>
          <cell r="F869">
            <v>0.9</v>
          </cell>
          <cell r="G869">
            <v>1.3</v>
          </cell>
          <cell r="H869">
            <v>6.7</v>
          </cell>
          <cell r="I869">
            <v>2</v>
          </cell>
          <cell r="J869">
            <v>102</v>
          </cell>
        </row>
        <row r="869">
          <cell r="L869">
            <v>4.5</v>
          </cell>
          <cell r="M869">
            <v>1590</v>
          </cell>
        </row>
        <row r="870">
          <cell r="A870" t="str">
            <v>Y355M1-6/160</v>
          </cell>
          <cell r="B870">
            <v>148</v>
          </cell>
          <cell r="C870">
            <v>300</v>
          </cell>
          <cell r="D870">
            <v>990</v>
          </cell>
          <cell r="E870">
            <v>94.1</v>
          </cell>
          <cell r="F870">
            <v>0.9</v>
          </cell>
          <cell r="G870">
            <v>1.3</v>
          </cell>
          <cell r="H870">
            <v>6.7</v>
          </cell>
          <cell r="I870">
            <v>2</v>
          </cell>
          <cell r="J870">
            <v>102</v>
          </cell>
        </row>
        <row r="870">
          <cell r="L870">
            <v>4.5</v>
          </cell>
          <cell r="M870">
            <v>1590</v>
          </cell>
        </row>
        <row r="871">
          <cell r="A871" t="str">
            <v>Y355M1-6/160</v>
          </cell>
          <cell r="B871">
            <v>149</v>
          </cell>
          <cell r="C871">
            <v>300</v>
          </cell>
          <cell r="D871">
            <v>990</v>
          </cell>
          <cell r="E871">
            <v>94.1</v>
          </cell>
          <cell r="F871">
            <v>0.9</v>
          </cell>
          <cell r="G871">
            <v>1.3</v>
          </cell>
          <cell r="H871">
            <v>6.7</v>
          </cell>
          <cell r="I871">
            <v>2</v>
          </cell>
          <cell r="J871">
            <v>102</v>
          </cell>
        </row>
        <row r="871">
          <cell r="L871">
            <v>4.5</v>
          </cell>
          <cell r="M871">
            <v>1590</v>
          </cell>
        </row>
        <row r="872">
          <cell r="A872" t="str">
            <v>Y355M1-6/160</v>
          </cell>
          <cell r="B872">
            <v>150</v>
          </cell>
          <cell r="C872">
            <v>300</v>
          </cell>
          <cell r="D872">
            <v>990</v>
          </cell>
          <cell r="E872">
            <v>94.1</v>
          </cell>
          <cell r="F872">
            <v>0.9</v>
          </cell>
          <cell r="G872">
            <v>1.3</v>
          </cell>
          <cell r="H872">
            <v>6.7</v>
          </cell>
          <cell r="I872">
            <v>2</v>
          </cell>
          <cell r="J872">
            <v>102</v>
          </cell>
        </row>
        <row r="872">
          <cell r="L872">
            <v>4.5</v>
          </cell>
          <cell r="M872">
            <v>1590</v>
          </cell>
        </row>
        <row r="873">
          <cell r="A873" t="str">
            <v>Y355M1-6/160</v>
          </cell>
          <cell r="B873">
            <v>151</v>
          </cell>
          <cell r="C873">
            <v>300</v>
          </cell>
          <cell r="D873">
            <v>990</v>
          </cell>
          <cell r="E873">
            <v>94.1</v>
          </cell>
          <cell r="F873">
            <v>0.9</v>
          </cell>
          <cell r="G873">
            <v>1.3</v>
          </cell>
          <cell r="H873">
            <v>6.7</v>
          </cell>
          <cell r="I873">
            <v>2</v>
          </cell>
          <cell r="J873">
            <v>102</v>
          </cell>
        </row>
        <row r="873">
          <cell r="L873">
            <v>4.5</v>
          </cell>
          <cell r="M873">
            <v>1590</v>
          </cell>
        </row>
        <row r="874">
          <cell r="A874" t="str">
            <v>Y355M1-6/160</v>
          </cell>
          <cell r="B874">
            <v>152</v>
          </cell>
          <cell r="C874">
            <v>300</v>
          </cell>
          <cell r="D874">
            <v>990</v>
          </cell>
          <cell r="E874">
            <v>94.1</v>
          </cell>
          <cell r="F874">
            <v>0.9</v>
          </cell>
          <cell r="G874">
            <v>1.3</v>
          </cell>
          <cell r="H874">
            <v>6.7</v>
          </cell>
          <cell r="I874">
            <v>2</v>
          </cell>
          <cell r="J874">
            <v>102</v>
          </cell>
        </row>
        <row r="874">
          <cell r="L874">
            <v>4.5</v>
          </cell>
          <cell r="M874">
            <v>1590</v>
          </cell>
        </row>
        <row r="875">
          <cell r="A875" t="str">
            <v>Y355M1-6/160</v>
          </cell>
          <cell r="B875">
            <v>153</v>
          </cell>
          <cell r="C875">
            <v>300</v>
          </cell>
          <cell r="D875">
            <v>990</v>
          </cell>
          <cell r="E875">
            <v>94.1</v>
          </cell>
          <cell r="F875">
            <v>0.9</v>
          </cell>
          <cell r="G875">
            <v>1.3</v>
          </cell>
          <cell r="H875">
            <v>6.7</v>
          </cell>
          <cell r="I875">
            <v>2</v>
          </cell>
          <cell r="J875">
            <v>102</v>
          </cell>
        </row>
        <row r="875">
          <cell r="L875">
            <v>4.5</v>
          </cell>
          <cell r="M875">
            <v>1590</v>
          </cell>
        </row>
        <row r="876">
          <cell r="A876" t="str">
            <v>Y355M1-6/160</v>
          </cell>
          <cell r="B876">
            <v>154</v>
          </cell>
          <cell r="C876">
            <v>300</v>
          </cell>
          <cell r="D876">
            <v>990</v>
          </cell>
          <cell r="E876">
            <v>94.1</v>
          </cell>
          <cell r="F876">
            <v>0.9</v>
          </cell>
          <cell r="G876">
            <v>1.3</v>
          </cell>
          <cell r="H876">
            <v>6.7</v>
          </cell>
          <cell r="I876">
            <v>2</v>
          </cell>
          <cell r="J876">
            <v>102</v>
          </cell>
        </row>
        <row r="876">
          <cell r="L876">
            <v>4.5</v>
          </cell>
          <cell r="M876">
            <v>1590</v>
          </cell>
        </row>
        <row r="877">
          <cell r="A877" t="str">
            <v>Y355M1-6/160</v>
          </cell>
          <cell r="B877">
            <v>155</v>
          </cell>
          <cell r="C877">
            <v>300</v>
          </cell>
          <cell r="D877">
            <v>990</v>
          </cell>
          <cell r="E877">
            <v>94.1</v>
          </cell>
          <cell r="F877">
            <v>0.9</v>
          </cell>
          <cell r="G877">
            <v>1.3</v>
          </cell>
          <cell r="H877">
            <v>6.7</v>
          </cell>
          <cell r="I877">
            <v>2</v>
          </cell>
          <cell r="J877">
            <v>102</v>
          </cell>
        </row>
        <row r="877">
          <cell r="L877">
            <v>4.5</v>
          </cell>
          <cell r="M877">
            <v>1590</v>
          </cell>
        </row>
        <row r="878">
          <cell r="A878" t="str">
            <v>Y355M1-6/160</v>
          </cell>
          <cell r="B878">
            <v>156</v>
          </cell>
          <cell r="C878">
            <v>300</v>
          </cell>
          <cell r="D878">
            <v>990</v>
          </cell>
          <cell r="E878">
            <v>94.1</v>
          </cell>
          <cell r="F878">
            <v>0.9</v>
          </cell>
          <cell r="G878">
            <v>1.3</v>
          </cell>
          <cell r="H878">
            <v>6.7</v>
          </cell>
          <cell r="I878">
            <v>2</v>
          </cell>
          <cell r="J878">
            <v>102</v>
          </cell>
        </row>
        <row r="878">
          <cell r="L878">
            <v>4.5</v>
          </cell>
          <cell r="M878">
            <v>1590</v>
          </cell>
        </row>
        <row r="879">
          <cell r="A879" t="str">
            <v>Y355M1-6/160</v>
          </cell>
          <cell r="B879">
            <v>157</v>
          </cell>
          <cell r="C879">
            <v>300</v>
          </cell>
          <cell r="D879">
            <v>990</v>
          </cell>
          <cell r="E879">
            <v>94.1</v>
          </cell>
          <cell r="F879">
            <v>0.9</v>
          </cell>
          <cell r="G879">
            <v>1.3</v>
          </cell>
          <cell r="H879">
            <v>6.7</v>
          </cell>
          <cell r="I879">
            <v>2</v>
          </cell>
          <cell r="J879">
            <v>102</v>
          </cell>
        </row>
        <row r="879">
          <cell r="L879">
            <v>4.5</v>
          </cell>
          <cell r="M879">
            <v>1590</v>
          </cell>
        </row>
        <row r="880">
          <cell r="A880" t="str">
            <v>Y355M1-6/160</v>
          </cell>
          <cell r="B880">
            <v>158</v>
          </cell>
          <cell r="C880">
            <v>300</v>
          </cell>
          <cell r="D880">
            <v>990</v>
          </cell>
          <cell r="E880">
            <v>94.1</v>
          </cell>
          <cell r="F880">
            <v>0.9</v>
          </cell>
          <cell r="G880">
            <v>1.3</v>
          </cell>
          <cell r="H880">
            <v>6.7</v>
          </cell>
          <cell r="I880">
            <v>2</v>
          </cell>
          <cell r="J880">
            <v>102</v>
          </cell>
        </row>
        <row r="880">
          <cell r="L880">
            <v>4.5</v>
          </cell>
          <cell r="M880">
            <v>1590</v>
          </cell>
        </row>
        <row r="881">
          <cell r="A881" t="str">
            <v>Y355M1-6/160</v>
          </cell>
          <cell r="B881">
            <v>159</v>
          </cell>
          <cell r="C881">
            <v>300</v>
          </cell>
          <cell r="D881">
            <v>990</v>
          </cell>
          <cell r="E881">
            <v>94.1</v>
          </cell>
          <cell r="F881">
            <v>0.9</v>
          </cell>
          <cell r="G881">
            <v>1.3</v>
          </cell>
          <cell r="H881">
            <v>6.7</v>
          </cell>
          <cell r="I881">
            <v>2</v>
          </cell>
          <cell r="J881">
            <v>102</v>
          </cell>
        </row>
        <row r="881">
          <cell r="L881">
            <v>4.5</v>
          </cell>
          <cell r="M881">
            <v>1590</v>
          </cell>
        </row>
        <row r="882">
          <cell r="A882" t="str">
            <v>Y355M1-6/160</v>
          </cell>
          <cell r="B882">
            <v>160</v>
          </cell>
          <cell r="C882">
            <v>300</v>
          </cell>
          <cell r="D882">
            <v>990</v>
          </cell>
          <cell r="E882">
            <v>94.1</v>
          </cell>
          <cell r="F882">
            <v>0.9</v>
          </cell>
          <cell r="G882">
            <v>1.3</v>
          </cell>
          <cell r="H882">
            <v>6.7</v>
          </cell>
          <cell r="I882">
            <v>2</v>
          </cell>
          <cell r="J882">
            <v>102</v>
          </cell>
        </row>
        <row r="882">
          <cell r="L882">
            <v>4.5</v>
          </cell>
          <cell r="M882">
            <v>1590</v>
          </cell>
        </row>
        <row r="883">
          <cell r="A883" t="str">
            <v>Y355M2-6/185</v>
          </cell>
          <cell r="B883">
            <v>161</v>
          </cell>
          <cell r="C883">
            <v>347</v>
          </cell>
          <cell r="D883">
            <v>990</v>
          </cell>
          <cell r="E883">
            <v>94.3</v>
          </cell>
          <cell r="F883">
            <v>0.9</v>
          </cell>
          <cell r="G883">
            <v>1.3</v>
          </cell>
          <cell r="H883">
            <v>6.7</v>
          </cell>
          <cell r="I883">
            <v>2</v>
          </cell>
          <cell r="J883">
            <v>102</v>
          </cell>
        </row>
        <row r="883">
          <cell r="L883">
            <v>4.5</v>
          </cell>
          <cell r="M883">
            <v>1665</v>
          </cell>
        </row>
        <row r="884">
          <cell r="A884" t="str">
            <v>Y355M2-6/185</v>
          </cell>
          <cell r="B884">
            <v>162</v>
          </cell>
          <cell r="C884">
            <v>347</v>
          </cell>
          <cell r="D884">
            <v>990</v>
          </cell>
          <cell r="E884">
            <v>94.3</v>
          </cell>
          <cell r="F884">
            <v>0.9</v>
          </cell>
          <cell r="G884">
            <v>1.3</v>
          </cell>
          <cell r="H884">
            <v>6.7</v>
          </cell>
          <cell r="I884">
            <v>2</v>
          </cell>
          <cell r="J884">
            <v>102</v>
          </cell>
        </row>
        <row r="884">
          <cell r="L884">
            <v>4.5</v>
          </cell>
          <cell r="M884">
            <v>1665</v>
          </cell>
        </row>
        <row r="885">
          <cell r="A885" t="str">
            <v>Y355M2-6/185</v>
          </cell>
          <cell r="B885">
            <v>163</v>
          </cell>
          <cell r="C885">
            <v>347</v>
          </cell>
          <cell r="D885">
            <v>990</v>
          </cell>
          <cell r="E885">
            <v>94.3</v>
          </cell>
          <cell r="F885">
            <v>0.9</v>
          </cell>
          <cell r="G885">
            <v>1.3</v>
          </cell>
          <cell r="H885">
            <v>6.7</v>
          </cell>
          <cell r="I885">
            <v>2</v>
          </cell>
          <cell r="J885">
            <v>102</v>
          </cell>
        </row>
        <row r="885">
          <cell r="L885">
            <v>4.5</v>
          </cell>
          <cell r="M885">
            <v>1665</v>
          </cell>
        </row>
        <row r="886">
          <cell r="A886" t="str">
            <v>Y355M2-6/185</v>
          </cell>
          <cell r="B886">
            <v>164</v>
          </cell>
          <cell r="C886">
            <v>347</v>
          </cell>
          <cell r="D886">
            <v>990</v>
          </cell>
          <cell r="E886">
            <v>94.3</v>
          </cell>
          <cell r="F886">
            <v>0.9</v>
          </cell>
          <cell r="G886">
            <v>1.3</v>
          </cell>
          <cell r="H886">
            <v>6.7</v>
          </cell>
          <cell r="I886">
            <v>2</v>
          </cell>
          <cell r="J886">
            <v>102</v>
          </cell>
        </row>
        <row r="886">
          <cell r="L886">
            <v>4.5</v>
          </cell>
          <cell r="M886">
            <v>1665</v>
          </cell>
        </row>
        <row r="887">
          <cell r="A887" t="str">
            <v>Y355M2-6/185</v>
          </cell>
          <cell r="B887">
            <v>165</v>
          </cell>
          <cell r="C887">
            <v>347</v>
          </cell>
          <cell r="D887">
            <v>990</v>
          </cell>
          <cell r="E887">
            <v>94.3</v>
          </cell>
          <cell r="F887">
            <v>0.9</v>
          </cell>
          <cell r="G887">
            <v>1.3</v>
          </cell>
          <cell r="H887">
            <v>6.7</v>
          </cell>
          <cell r="I887">
            <v>2</v>
          </cell>
          <cell r="J887">
            <v>102</v>
          </cell>
        </row>
        <row r="887">
          <cell r="L887">
            <v>4.5</v>
          </cell>
          <cell r="M887">
            <v>1665</v>
          </cell>
        </row>
        <row r="888">
          <cell r="A888" t="str">
            <v>Y355M2-6/185</v>
          </cell>
          <cell r="B888">
            <v>166</v>
          </cell>
          <cell r="C888">
            <v>347</v>
          </cell>
          <cell r="D888">
            <v>990</v>
          </cell>
          <cell r="E888">
            <v>94.3</v>
          </cell>
          <cell r="F888">
            <v>0.9</v>
          </cell>
          <cell r="G888">
            <v>1.3</v>
          </cell>
          <cell r="H888">
            <v>6.7</v>
          </cell>
          <cell r="I888">
            <v>2</v>
          </cell>
          <cell r="J888">
            <v>102</v>
          </cell>
        </row>
        <row r="888">
          <cell r="L888">
            <v>4.5</v>
          </cell>
          <cell r="M888">
            <v>1665</v>
          </cell>
        </row>
        <row r="889">
          <cell r="A889" t="str">
            <v>Y355M2-6/185</v>
          </cell>
          <cell r="B889">
            <v>167</v>
          </cell>
          <cell r="C889">
            <v>347</v>
          </cell>
          <cell r="D889">
            <v>990</v>
          </cell>
          <cell r="E889">
            <v>94.3</v>
          </cell>
          <cell r="F889">
            <v>0.9</v>
          </cell>
          <cell r="G889">
            <v>1.3</v>
          </cell>
          <cell r="H889">
            <v>6.7</v>
          </cell>
          <cell r="I889">
            <v>2</v>
          </cell>
          <cell r="J889">
            <v>102</v>
          </cell>
        </row>
        <row r="889">
          <cell r="L889">
            <v>4.5</v>
          </cell>
          <cell r="M889">
            <v>1665</v>
          </cell>
        </row>
        <row r="890">
          <cell r="A890" t="str">
            <v>Y355M2-6/185</v>
          </cell>
          <cell r="B890">
            <v>168</v>
          </cell>
          <cell r="C890">
            <v>347</v>
          </cell>
          <cell r="D890">
            <v>990</v>
          </cell>
          <cell r="E890">
            <v>94.3</v>
          </cell>
          <cell r="F890">
            <v>0.9</v>
          </cell>
          <cell r="G890">
            <v>1.3</v>
          </cell>
          <cell r="H890">
            <v>6.7</v>
          </cell>
          <cell r="I890">
            <v>2</v>
          </cell>
          <cell r="J890">
            <v>102</v>
          </cell>
        </row>
        <row r="890">
          <cell r="L890">
            <v>4.5</v>
          </cell>
          <cell r="M890">
            <v>1665</v>
          </cell>
        </row>
        <row r="891">
          <cell r="A891" t="str">
            <v>Y355M2-6/185</v>
          </cell>
          <cell r="B891">
            <v>169</v>
          </cell>
          <cell r="C891">
            <v>347</v>
          </cell>
          <cell r="D891">
            <v>990</v>
          </cell>
          <cell r="E891">
            <v>94.3</v>
          </cell>
          <cell r="F891">
            <v>0.9</v>
          </cell>
          <cell r="G891">
            <v>1.3</v>
          </cell>
          <cell r="H891">
            <v>6.7</v>
          </cell>
          <cell r="I891">
            <v>2</v>
          </cell>
          <cell r="J891">
            <v>102</v>
          </cell>
        </row>
        <row r="891">
          <cell r="L891">
            <v>4.5</v>
          </cell>
          <cell r="M891">
            <v>1665</v>
          </cell>
        </row>
        <row r="892">
          <cell r="A892" t="str">
            <v>Y355M2-6/185</v>
          </cell>
          <cell r="B892">
            <v>170</v>
          </cell>
          <cell r="C892">
            <v>347</v>
          </cell>
          <cell r="D892">
            <v>990</v>
          </cell>
          <cell r="E892">
            <v>94.3</v>
          </cell>
          <cell r="F892">
            <v>0.9</v>
          </cell>
          <cell r="G892">
            <v>1.3</v>
          </cell>
          <cell r="H892">
            <v>6.7</v>
          </cell>
          <cell r="I892">
            <v>2</v>
          </cell>
          <cell r="J892">
            <v>102</v>
          </cell>
        </row>
        <row r="892">
          <cell r="L892">
            <v>4.5</v>
          </cell>
          <cell r="M892">
            <v>1665</v>
          </cell>
        </row>
        <row r="893">
          <cell r="A893" t="str">
            <v>Y355M2-6/185</v>
          </cell>
          <cell r="B893">
            <v>171</v>
          </cell>
          <cell r="C893">
            <v>347</v>
          </cell>
          <cell r="D893">
            <v>990</v>
          </cell>
          <cell r="E893">
            <v>94.3</v>
          </cell>
          <cell r="F893">
            <v>0.9</v>
          </cell>
          <cell r="G893">
            <v>1.3</v>
          </cell>
          <cell r="H893">
            <v>6.7</v>
          </cell>
          <cell r="I893">
            <v>2</v>
          </cell>
          <cell r="J893">
            <v>102</v>
          </cell>
        </row>
        <row r="893">
          <cell r="L893">
            <v>4.5</v>
          </cell>
          <cell r="M893">
            <v>1665</v>
          </cell>
        </row>
        <row r="894">
          <cell r="A894" t="str">
            <v>Y355M2-6/185</v>
          </cell>
          <cell r="B894">
            <v>172</v>
          </cell>
          <cell r="C894">
            <v>347</v>
          </cell>
          <cell r="D894">
            <v>990</v>
          </cell>
          <cell r="E894">
            <v>94.3</v>
          </cell>
          <cell r="F894">
            <v>0.9</v>
          </cell>
          <cell r="G894">
            <v>1.3</v>
          </cell>
          <cell r="H894">
            <v>6.7</v>
          </cell>
          <cell r="I894">
            <v>2</v>
          </cell>
          <cell r="J894">
            <v>102</v>
          </cell>
        </row>
        <row r="894">
          <cell r="L894">
            <v>4.5</v>
          </cell>
          <cell r="M894">
            <v>1665</v>
          </cell>
        </row>
        <row r="895">
          <cell r="A895" t="str">
            <v>Y355M2-6/185</v>
          </cell>
          <cell r="B895">
            <v>173</v>
          </cell>
          <cell r="C895">
            <v>347</v>
          </cell>
          <cell r="D895">
            <v>990</v>
          </cell>
          <cell r="E895">
            <v>94.3</v>
          </cell>
          <cell r="F895">
            <v>0.9</v>
          </cell>
          <cell r="G895">
            <v>1.3</v>
          </cell>
          <cell r="H895">
            <v>6.7</v>
          </cell>
          <cell r="I895">
            <v>2</v>
          </cell>
          <cell r="J895">
            <v>102</v>
          </cell>
        </row>
        <row r="895">
          <cell r="L895">
            <v>4.5</v>
          </cell>
          <cell r="M895">
            <v>1665</v>
          </cell>
        </row>
        <row r="896">
          <cell r="A896" t="str">
            <v>Y355M2-6/185</v>
          </cell>
          <cell r="B896">
            <v>174</v>
          </cell>
          <cell r="C896">
            <v>347</v>
          </cell>
          <cell r="D896">
            <v>990</v>
          </cell>
          <cell r="E896">
            <v>94.3</v>
          </cell>
          <cell r="F896">
            <v>0.9</v>
          </cell>
          <cell r="G896">
            <v>1.3</v>
          </cell>
          <cell r="H896">
            <v>6.7</v>
          </cell>
          <cell r="I896">
            <v>2</v>
          </cell>
          <cell r="J896">
            <v>102</v>
          </cell>
        </row>
        <row r="896">
          <cell r="L896">
            <v>4.5</v>
          </cell>
          <cell r="M896">
            <v>1665</v>
          </cell>
        </row>
        <row r="897">
          <cell r="A897" t="str">
            <v>Y355M2-6/185</v>
          </cell>
          <cell r="B897">
            <v>175</v>
          </cell>
          <cell r="C897">
            <v>347</v>
          </cell>
          <cell r="D897">
            <v>990</v>
          </cell>
          <cell r="E897">
            <v>94.3</v>
          </cell>
          <cell r="F897">
            <v>0.9</v>
          </cell>
          <cell r="G897">
            <v>1.3</v>
          </cell>
          <cell r="H897">
            <v>6.7</v>
          </cell>
          <cell r="I897">
            <v>2</v>
          </cell>
          <cell r="J897">
            <v>102</v>
          </cell>
        </row>
        <row r="897">
          <cell r="L897">
            <v>4.5</v>
          </cell>
          <cell r="M897">
            <v>1665</v>
          </cell>
        </row>
        <row r="898">
          <cell r="A898" t="str">
            <v>Y355M2-6/185</v>
          </cell>
          <cell r="B898">
            <v>176</v>
          </cell>
          <cell r="C898">
            <v>347</v>
          </cell>
          <cell r="D898">
            <v>990</v>
          </cell>
          <cell r="E898">
            <v>94.3</v>
          </cell>
          <cell r="F898">
            <v>0.9</v>
          </cell>
          <cell r="G898">
            <v>1.3</v>
          </cell>
          <cell r="H898">
            <v>6.7</v>
          </cell>
          <cell r="I898">
            <v>2</v>
          </cell>
          <cell r="J898">
            <v>102</v>
          </cell>
        </row>
        <row r="898">
          <cell r="L898">
            <v>4.5</v>
          </cell>
          <cell r="M898">
            <v>1665</v>
          </cell>
        </row>
        <row r="899">
          <cell r="A899" t="str">
            <v>Y355M2-6/185</v>
          </cell>
          <cell r="B899">
            <v>177</v>
          </cell>
          <cell r="C899">
            <v>347</v>
          </cell>
          <cell r="D899">
            <v>990</v>
          </cell>
          <cell r="E899">
            <v>94.3</v>
          </cell>
          <cell r="F899">
            <v>0.9</v>
          </cell>
          <cell r="G899">
            <v>1.3</v>
          </cell>
          <cell r="H899">
            <v>6.7</v>
          </cell>
          <cell r="I899">
            <v>2</v>
          </cell>
          <cell r="J899">
            <v>102</v>
          </cell>
        </row>
        <row r="899">
          <cell r="L899">
            <v>4.5</v>
          </cell>
          <cell r="M899">
            <v>1665</v>
          </cell>
        </row>
        <row r="900">
          <cell r="A900" t="str">
            <v>Y355M2-6/185</v>
          </cell>
          <cell r="B900">
            <v>178</v>
          </cell>
          <cell r="C900">
            <v>347</v>
          </cell>
          <cell r="D900">
            <v>990</v>
          </cell>
          <cell r="E900">
            <v>94.3</v>
          </cell>
          <cell r="F900">
            <v>0.9</v>
          </cell>
          <cell r="G900">
            <v>1.3</v>
          </cell>
          <cell r="H900">
            <v>6.7</v>
          </cell>
          <cell r="I900">
            <v>2</v>
          </cell>
          <cell r="J900">
            <v>102</v>
          </cell>
        </row>
        <row r="900">
          <cell r="L900">
            <v>4.5</v>
          </cell>
          <cell r="M900">
            <v>1665</v>
          </cell>
        </row>
        <row r="901">
          <cell r="A901" t="str">
            <v>Y355M2-6/185</v>
          </cell>
          <cell r="B901">
            <v>179</v>
          </cell>
          <cell r="C901">
            <v>347</v>
          </cell>
          <cell r="D901">
            <v>990</v>
          </cell>
          <cell r="E901">
            <v>94.3</v>
          </cell>
          <cell r="F901">
            <v>0.9</v>
          </cell>
          <cell r="G901">
            <v>1.3</v>
          </cell>
          <cell r="H901">
            <v>6.7</v>
          </cell>
          <cell r="I901">
            <v>2</v>
          </cell>
          <cell r="J901">
            <v>102</v>
          </cell>
        </row>
        <row r="901">
          <cell r="L901">
            <v>4.5</v>
          </cell>
          <cell r="M901">
            <v>1665</v>
          </cell>
        </row>
        <row r="902">
          <cell r="A902" t="str">
            <v>Y355M2-6/185</v>
          </cell>
          <cell r="B902">
            <v>180</v>
          </cell>
          <cell r="C902">
            <v>347</v>
          </cell>
          <cell r="D902">
            <v>990</v>
          </cell>
          <cell r="E902">
            <v>94.3</v>
          </cell>
          <cell r="F902">
            <v>0.9</v>
          </cell>
          <cell r="G902">
            <v>1.3</v>
          </cell>
          <cell r="H902">
            <v>6.7</v>
          </cell>
          <cell r="I902">
            <v>2</v>
          </cell>
          <cell r="J902">
            <v>102</v>
          </cell>
        </row>
        <row r="902">
          <cell r="L902">
            <v>4.5</v>
          </cell>
          <cell r="M902">
            <v>1665</v>
          </cell>
        </row>
        <row r="903">
          <cell r="A903" t="str">
            <v>Y355M2-6/185</v>
          </cell>
          <cell r="B903">
            <v>181</v>
          </cell>
          <cell r="C903">
            <v>347</v>
          </cell>
          <cell r="D903">
            <v>990</v>
          </cell>
          <cell r="E903">
            <v>94.3</v>
          </cell>
          <cell r="F903">
            <v>0.9</v>
          </cell>
          <cell r="G903">
            <v>1.3</v>
          </cell>
          <cell r="H903">
            <v>6.7</v>
          </cell>
          <cell r="I903">
            <v>2</v>
          </cell>
          <cell r="J903">
            <v>102</v>
          </cell>
        </row>
        <row r="903">
          <cell r="L903">
            <v>4.5</v>
          </cell>
          <cell r="M903">
            <v>1665</v>
          </cell>
        </row>
        <row r="904">
          <cell r="A904" t="str">
            <v>Y355M2-6/185</v>
          </cell>
          <cell r="B904">
            <v>182</v>
          </cell>
          <cell r="C904">
            <v>347</v>
          </cell>
          <cell r="D904">
            <v>990</v>
          </cell>
          <cell r="E904">
            <v>94.3</v>
          </cell>
          <cell r="F904">
            <v>0.9</v>
          </cell>
          <cell r="G904">
            <v>1.3</v>
          </cell>
          <cell r="H904">
            <v>6.7</v>
          </cell>
          <cell r="I904">
            <v>2</v>
          </cell>
          <cell r="J904">
            <v>102</v>
          </cell>
        </row>
        <row r="904">
          <cell r="L904">
            <v>4.5</v>
          </cell>
          <cell r="M904">
            <v>1665</v>
          </cell>
        </row>
        <row r="905">
          <cell r="A905" t="str">
            <v>Y355M2-6/185</v>
          </cell>
          <cell r="B905">
            <v>183</v>
          </cell>
          <cell r="C905">
            <v>347</v>
          </cell>
          <cell r="D905">
            <v>990</v>
          </cell>
          <cell r="E905">
            <v>94.3</v>
          </cell>
          <cell r="F905">
            <v>0.9</v>
          </cell>
          <cell r="G905">
            <v>1.3</v>
          </cell>
          <cell r="H905">
            <v>6.7</v>
          </cell>
          <cell r="I905">
            <v>2</v>
          </cell>
          <cell r="J905">
            <v>102</v>
          </cell>
        </row>
        <row r="905">
          <cell r="L905">
            <v>4.5</v>
          </cell>
          <cell r="M905">
            <v>1665</v>
          </cell>
        </row>
        <row r="906">
          <cell r="A906" t="str">
            <v>Y355M2-6/185</v>
          </cell>
          <cell r="B906">
            <v>184</v>
          </cell>
          <cell r="C906">
            <v>347</v>
          </cell>
          <cell r="D906">
            <v>990</v>
          </cell>
          <cell r="E906">
            <v>94.3</v>
          </cell>
          <cell r="F906">
            <v>0.9</v>
          </cell>
          <cell r="G906">
            <v>1.3</v>
          </cell>
          <cell r="H906">
            <v>6.7</v>
          </cell>
          <cell r="I906">
            <v>2</v>
          </cell>
          <cell r="J906">
            <v>102</v>
          </cell>
        </row>
        <row r="906">
          <cell r="L906">
            <v>4.5</v>
          </cell>
          <cell r="M906">
            <v>1665</v>
          </cell>
        </row>
        <row r="907">
          <cell r="A907" t="str">
            <v>Y355M2-6/185</v>
          </cell>
          <cell r="B907">
            <v>185</v>
          </cell>
          <cell r="C907">
            <v>347</v>
          </cell>
          <cell r="D907">
            <v>990</v>
          </cell>
          <cell r="E907">
            <v>94.3</v>
          </cell>
          <cell r="F907">
            <v>0.9</v>
          </cell>
          <cell r="G907">
            <v>1.3</v>
          </cell>
          <cell r="H907">
            <v>6.7</v>
          </cell>
          <cell r="I907">
            <v>2</v>
          </cell>
          <cell r="J907">
            <v>102</v>
          </cell>
        </row>
        <row r="907">
          <cell r="L907">
            <v>4.5</v>
          </cell>
          <cell r="M907">
            <v>1665</v>
          </cell>
        </row>
        <row r="908">
          <cell r="A908" t="str">
            <v>Y355M4-6/200</v>
          </cell>
          <cell r="B908">
            <v>186</v>
          </cell>
          <cell r="C908">
            <v>375</v>
          </cell>
          <cell r="D908">
            <v>990</v>
          </cell>
          <cell r="E908">
            <v>94.3</v>
          </cell>
          <cell r="F908">
            <v>0.9</v>
          </cell>
          <cell r="G908">
            <v>1.3</v>
          </cell>
          <cell r="H908">
            <v>6.7</v>
          </cell>
          <cell r="I908">
            <v>2</v>
          </cell>
          <cell r="J908">
            <v>102</v>
          </cell>
        </row>
        <row r="908">
          <cell r="L908">
            <v>4.5</v>
          </cell>
          <cell r="M908">
            <v>1725</v>
          </cell>
        </row>
        <row r="909">
          <cell r="A909" t="str">
            <v>Y355M4-6/200</v>
          </cell>
          <cell r="B909">
            <v>187</v>
          </cell>
          <cell r="C909">
            <v>375</v>
          </cell>
          <cell r="D909">
            <v>990</v>
          </cell>
          <cell r="E909">
            <v>94.3</v>
          </cell>
          <cell r="F909">
            <v>0.9</v>
          </cell>
          <cell r="G909">
            <v>1.3</v>
          </cell>
          <cell r="H909">
            <v>6.7</v>
          </cell>
          <cell r="I909">
            <v>2</v>
          </cell>
          <cell r="J909">
            <v>102</v>
          </cell>
        </row>
        <row r="909">
          <cell r="L909">
            <v>4.5</v>
          </cell>
          <cell r="M909">
            <v>1725</v>
          </cell>
        </row>
        <row r="910">
          <cell r="A910" t="str">
            <v>Y355M4-6/200</v>
          </cell>
          <cell r="B910">
            <v>188</v>
          </cell>
          <cell r="C910">
            <v>375</v>
          </cell>
          <cell r="D910">
            <v>990</v>
          </cell>
          <cell r="E910">
            <v>94.3</v>
          </cell>
          <cell r="F910">
            <v>0.9</v>
          </cell>
          <cell r="G910">
            <v>1.3</v>
          </cell>
          <cell r="H910">
            <v>6.7</v>
          </cell>
          <cell r="I910">
            <v>2</v>
          </cell>
          <cell r="J910">
            <v>102</v>
          </cell>
        </row>
        <row r="910">
          <cell r="L910">
            <v>4.5</v>
          </cell>
          <cell r="M910">
            <v>1725</v>
          </cell>
        </row>
        <row r="911">
          <cell r="A911" t="str">
            <v>Y355M4-6/200</v>
          </cell>
          <cell r="B911">
            <v>189</v>
          </cell>
          <cell r="C911">
            <v>375</v>
          </cell>
          <cell r="D911">
            <v>990</v>
          </cell>
          <cell r="E911">
            <v>94.3</v>
          </cell>
          <cell r="F911">
            <v>0.9</v>
          </cell>
          <cell r="G911">
            <v>1.3</v>
          </cell>
          <cell r="H911">
            <v>6.7</v>
          </cell>
          <cell r="I911">
            <v>2</v>
          </cell>
          <cell r="J911">
            <v>102</v>
          </cell>
        </row>
        <row r="911">
          <cell r="L911">
            <v>4.5</v>
          </cell>
          <cell r="M911">
            <v>1725</v>
          </cell>
        </row>
        <row r="912">
          <cell r="A912" t="str">
            <v>Y355M4-6/200</v>
          </cell>
          <cell r="B912">
            <v>190</v>
          </cell>
          <cell r="C912">
            <v>375</v>
          </cell>
          <cell r="D912">
            <v>990</v>
          </cell>
          <cell r="E912">
            <v>94.3</v>
          </cell>
          <cell r="F912">
            <v>0.9</v>
          </cell>
          <cell r="G912">
            <v>1.3</v>
          </cell>
          <cell r="H912">
            <v>6.7</v>
          </cell>
          <cell r="I912">
            <v>2</v>
          </cell>
          <cell r="J912">
            <v>102</v>
          </cell>
        </row>
        <row r="912">
          <cell r="L912">
            <v>4.5</v>
          </cell>
          <cell r="M912">
            <v>1725</v>
          </cell>
        </row>
        <row r="913">
          <cell r="A913" t="str">
            <v>Y355M4-6/200</v>
          </cell>
          <cell r="B913">
            <v>191</v>
          </cell>
          <cell r="C913">
            <v>375</v>
          </cell>
          <cell r="D913">
            <v>990</v>
          </cell>
          <cell r="E913">
            <v>94.3</v>
          </cell>
          <cell r="F913">
            <v>0.9</v>
          </cell>
          <cell r="G913">
            <v>1.3</v>
          </cell>
          <cell r="H913">
            <v>6.7</v>
          </cell>
          <cell r="I913">
            <v>2</v>
          </cell>
          <cell r="J913">
            <v>102</v>
          </cell>
        </row>
        <row r="913">
          <cell r="L913">
            <v>4.5</v>
          </cell>
          <cell r="M913">
            <v>1725</v>
          </cell>
        </row>
        <row r="914">
          <cell r="A914" t="str">
            <v>Y355M4-6/200</v>
          </cell>
          <cell r="B914">
            <v>192</v>
          </cell>
          <cell r="C914">
            <v>375</v>
          </cell>
          <cell r="D914">
            <v>990</v>
          </cell>
          <cell r="E914">
            <v>94.3</v>
          </cell>
          <cell r="F914">
            <v>0.9</v>
          </cell>
          <cell r="G914">
            <v>1.3</v>
          </cell>
          <cell r="H914">
            <v>6.7</v>
          </cell>
          <cell r="I914">
            <v>2</v>
          </cell>
          <cell r="J914">
            <v>102</v>
          </cell>
        </row>
        <row r="914">
          <cell r="L914">
            <v>4.5</v>
          </cell>
          <cell r="M914">
            <v>1725</v>
          </cell>
        </row>
        <row r="915">
          <cell r="A915" t="str">
            <v>Y355M4-6/200</v>
          </cell>
          <cell r="B915">
            <v>193</v>
          </cell>
          <cell r="C915">
            <v>375</v>
          </cell>
          <cell r="D915">
            <v>990</v>
          </cell>
          <cell r="E915">
            <v>94.3</v>
          </cell>
          <cell r="F915">
            <v>0.9</v>
          </cell>
          <cell r="G915">
            <v>1.3</v>
          </cell>
          <cell r="H915">
            <v>6.7</v>
          </cell>
          <cell r="I915">
            <v>2</v>
          </cell>
          <cell r="J915">
            <v>102</v>
          </cell>
        </row>
        <row r="915">
          <cell r="L915">
            <v>4.5</v>
          </cell>
          <cell r="M915">
            <v>1725</v>
          </cell>
        </row>
        <row r="916">
          <cell r="A916" t="str">
            <v>Y355M4-6/200</v>
          </cell>
          <cell r="B916">
            <v>194</v>
          </cell>
          <cell r="C916">
            <v>375</v>
          </cell>
          <cell r="D916">
            <v>990</v>
          </cell>
          <cell r="E916">
            <v>94.3</v>
          </cell>
          <cell r="F916">
            <v>0.9</v>
          </cell>
          <cell r="G916">
            <v>1.3</v>
          </cell>
          <cell r="H916">
            <v>6.7</v>
          </cell>
          <cell r="I916">
            <v>2</v>
          </cell>
          <cell r="J916">
            <v>102</v>
          </cell>
        </row>
        <row r="916">
          <cell r="L916">
            <v>4.5</v>
          </cell>
          <cell r="M916">
            <v>1725</v>
          </cell>
        </row>
        <row r="917">
          <cell r="A917" t="str">
            <v>Y355M4-6/200</v>
          </cell>
          <cell r="B917">
            <v>195</v>
          </cell>
          <cell r="C917">
            <v>375</v>
          </cell>
          <cell r="D917">
            <v>990</v>
          </cell>
          <cell r="E917">
            <v>94.3</v>
          </cell>
          <cell r="F917">
            <v>0.9</v>
          </cell>
          <cell r="G917">
            <v>1.3</v>
          </cell>
          <cell r="H917">
            <v>6.7</v>
          </cell>
          <cell r="I917">
            <v>2</v>
          </cell>
          <cell r="J917">
            <v>102</v>
          </cell>
        </row>
        <row r="917">
          <cell r="L917">
            <v>4.5</v>
          </cell>
          <cell r="M917">
            <v>1725</v>
          </cell>
        </row>
        <row r="918">
          <cell r="A918" t="str">
            <v>Y355M4-6/200</v>
          </cell>
          <cell r="B918">
            <v>196</v>
          </cell>
          <cell r="C918">
            <v>375</v>
          </cell>
          <cell r="D918">
            <v>990</v>
          </cell>
          <cell r="E918">
            <v>94.3</v>
          </cell>
          <cell r="F918">
            <v>0.9</v>
          </cell>
          <cell r="G918">
            <v>1.3</v>
          </cell>
          <cell r="H918">
            <v>6.7</v>
          </cell>
          <cell r="I918">
            <v>2</v>
          </cell>
          <cell r="J918">
            <v>102</v>
          </cell>
        </row>
        <row r="918">
          <cell r="L918">
            <v>4.5</v>
          </cell>
          <cell r="M918">
            <v>1725</v>
          </cell>
        </row>
        <row r="919">
          <cell r="A919" t="str">
            <v>Y355M4-6/200</v>
          </cell>
          <cell r="B919">
            <v>197</v>
          </cell>
          <cell r="C919">
            <v>375</v>
          </cell>
          <cell r="D919">
            <v>990</v>
          </cell>
          <cell r="E919">
            <v>94.3</v>
          </cell>
          <cell r="F919">
            <v>0.9</v>
          </cell>
          <cell r="G919">
            <v>1.3</v>
          </cell>
          <cell r="H919">
            <v>6.7</v>
          </cell>
          <cell r="I919">
            <v>2</v>
          </cell>
          <cell r="J919">
            <v>102</v>
          </cell>
        </row>
        <row r="919">
          <cell r="L919">
            <v>4.5</v>
          </cell>
          <cell r="M919">
            <v>1725</v>
          </cell>
        </row>
        <row r="920">
          <cell r="A920" t="str">
            <v>Y355M4-6/200</v>
          </cell>
          <cell r="B920">
            <v>198</v>
          </cell>
          <cell r="C920">
            <v>375</v>
          </cell>
          <cell r="D920">
            <v>990</v>
          </cell>
          <cell r="E920">
            <v>94.3</v>
          </cell>
          <cell r="F920">
            <v>0.9</v>
          </cell>
          <cell r="G920">
            <v>1.3</v>
          </cell>
          <cell r="H920">
            <v>6.7</v>
          </cell>
          <cell r="I920">
            <v>2</v>
          </cell>
          <cell r="J920">
            <v>102</v>
          </cell>
        </row>
        <row r="920">
          <cell r="L920">
            <v>4.5</v>
          </cell>
          <cell r="M920">
            <v>1725</v>
          </cell>
        </row>
        <row r="921">
          <cell r="A921" t="str">
            <v>Y355M4-6/200</v>
          </cell>
          <cell r="B921">
            <v>199</v>
          </cell>
          <cell r="C921">
            <v>375</v>
          </cell>
          <cell r="D921">
            <v>990</v>
          </cell>
          <cell r="E921">
            <v>94.3</v>
          </cell>
          <cell r="F921">
            <v>0.9</v>
          </cell>
          <cell r="G921">
            <v>1.3</v>
          </cell>
          <cell r="H921">
            <v>6.7</v>
          </cell>
          <cell r="I921">
            <v>2</v>
          </cell>
          <cell r="J921">
            <v>102</v>
          </cell>
        </row>
        <row r="921">
          <cell r="L921">
            <v>4.5</v>
          </cell>
          <cell r="M921">
            <v>1725</v>
          </cell>
        </row>
        <row r="922">
          <cell r="A922" t="str">
            <v>Y355M4-6/200</v>
          </cell>
          <cell r="B922">
            <v>200</v>
          </cell>
          <cell r="C922">
            <v>375</v>
          </cell>
          <cell r="D922">
            <v>990</v>
          </cell>
          <cell r="E922">
            <v>94.3</v>
          </cell>
          <cell r="F922">
            <v>0.9</v>
          </cell>
          <cell r="G922">
            <v>1.3</v>
          </cell>
          <cell r="H922">
            <v>6.7</v>
          </cell>
          <cell r="I922">
            <v>2</v>
          </cell>
          <cell r="J922">
            <v>102</v>
          </cell>
        </row>
        <row r="922">
          <cell r="L922">
            <v>4.5</v>
          </cell>
          <cell r="M922">
            <v>1725</v>
          </cell>
        </row>
        <row r="923">
          <cell r="A923" t="str">
            <v>Y355L1-6/220</v>
          </cell>
          <cell r="B923">
            <v>201</v>
          </cell>
          <cell r="C923">
            <v>411</v>
          </cell>
          <cell r="D923">
            <v>991</v>
          </cell>
          <cell r="E923">
            <v>94.5</v>
          </cell>
          <cell r="F923">
            <v>0.9</v>
          </cell>
          <cell r="G923">
            <v>1.3</v>
          </cell>
          <cell r="H923">
            <v>6.7</v>
          </cell>
          <cell r="I923">
            <v>2</v>
          </cell>
          <cell r="J923">
            <v>102</v>
          </cell>
        </row>
        <row r="923">
          <cell r="L923">
            <v>4.5</v>
          </cell>
          <cell r="M923">
            <v>1780</v>
          </cell>
        </row>
        <row r="924">
          <cell r="A924" t="str">
            <v>Y355L1-6/220</v>
          </cell>
          <cell r="B924">
            <v>202</v>
          </cell>
          <cell r="C924">
            <v>411</v>
          </cell>
          <cell r="D924">
            <v>991</v>
          </cell>
          <cell r="E924">
            <v>94.5</v>
          </cell>
          <cell r="F924">
            <v>0.9</v>
          </cell>
          <cell r="G924">
            <v>1.3</v>
          </cell>
          <cell r="H924">
            <v>6.7</v>
          </cell>
          <cell r="I924">
            <v>2</v>
          </cell>
          <cell r="J924">
            <v>102</v>
          </cell>
        </row>
        <row r="924">
          <cell r="L924">
            <v>4.5</v>
          </cell>
          <cell r="M924">
            <v>1780</v>
          </cell>
        </row>
        <row r="925">
          <cell r="A925" t="str">
            <v>Y355L1-6/220</v>
          </cell>
          <cell r="B925">
            <v>203</v>
          </cell>
          <cell r="C925">
            <v>411</v>
          </cell>
          <cell r="D925">
            <v>991</v>
          </cell>
          <cell r="E925">
            <v>94.5</v>
          </cell>
          <cell r="F925">
            <v>0.9</v>
          </cell>
          <cell r="G925">
            <v>1.3</v>
          </cell>
          <cell r="H925">
            <v>6.7</v>
          </cell>
          <cell r="I925">
            <v>2</v>
          </cell>
          <cell r="J925">
            <v>102</v>
          </cell>
        </row>
        <row r="925">
          <cell r="L925">
            <v>4.5</v>
          </cell>
          <cell r="M925">
            <v>1780</v>
          </cell>
        </row>
        <row r="926">
          <cell r="A926" t="str">
            <v>Y355L1-6/220</v>
          </cell>
          <cell r="B926">
            <v>204</v>
          </cell>
          <cell r="C926">
            <v>411</v>
          </cell>
          <cell r="D926">
            <v>991</v>
          </cell>
          <cell r="E926">
            <v>94.5</v>
          </cell>
          <cell r="F926">
            <v>0.9</v>
          </cell>
          <cell r="G926">
            <v>1.3</v>
          </cell>
          <cell r="H926">
            <v>6.7</v>
          </cell>
          <cell r="I926">
            <v>2</v>
          </cell>
          <cell r="J926">
            <v>102</v>
          </cell>
        </row>
        <row r="926">
          <cell r="L926">
            <v>4.5</v>
          </cell>
          <cell r="M926">
            <v>1780</v>
          </cell>
        </row>
        <row r="927">
          <cell r="A927" t="str">
            <v>Y355L1-6/220</v>
          </cell>
          <cell r="B927">
            <v>205</v>
          </cell>
          <cell r="C927">
            <v>411</v>
          </cell>
          <cell r="D927">
            <v>991</v>
          </cell>
          <cell r="E927">
            <v>94.5</v>
          </cell>
          <cell r="F927">
            <v>0.9</v>
          </cell>
          <cell r="G927">
            <v>1.3</v>
          </cell>
          <cell r="H927">
            <v>6.7</v>
          </cell>
          <cell r="I927">
            <v>2</v>
          </cell>
          <cell r="J927">
            <v>102</v>
          </cell>
        </row>
        <row r="927">
          <cell r="L927">
            <v>4.5</v>
          </cell>
          <cell r="M927">
            <v>1780</v>
          </cell>
        </row>
        <row r="928">
          <cell r="A928" t="str">
            <v>Y355L1-6/220</v>
          </cell>
          <cell r="B928">
            <v>206</v>
          </cell>
          <cell r="C928">
            <v>411</v>
          </cell>
          <cell r="D928">
            <v>991</v>
          </cell>
          <cell r="E928">
            <v>94.5</v>
          </cell>
          <cell r="F928">
            <v>0.9</v>
          </cell>
          <cell r="G928">
            <v>1.3</v>
          </cell>
          <cell r="H928">
            <v>6.7</v>
          </cell>
          <cell r="I928">
            <v>2</v>
          </cell>
          <cell r="J928">
            <v>102</v>
          </cell>
        </row>
        <row r="928">
          <cell r="L928">
            <v>4.5</v>
          </cell>
          <cell r="M928">
            <v>1780</v>
          </cell>
        </row>
        <row r="929">
          <cell r="A929" t="str">
            <v>Y355L1-6/220</v>
          </cell>
          <cell r="B929">
            <v>207</v>
          </cell>
          <cell r="C929">
            <v>411</v>
          </cell>
          <cell r="D929">
            <v>991</v>
          </cell>
          <cell r="E929">
            <v>94.5</v>
          </cell>
          <cell r="F929">
            <v>0.9</v>
          </cell>
          <cell r="G929">
            <v>1.3</v>
          </cell>
          <cell r="H929">
            <v>6.7</v>
          </cell>
          <cell r="I929">
            <v>2</v>
          </cell>
          <cell r="J929">
            <v>102</v>
          </cell>
        </row>
        <row r="929">
          <cell r="L929">
            <v>4.5</v>
          </cell>
          <cell r="M929">
            <v>1780</v>
          </cell>
        </row>
        <row r="930">
          <cell r="A930" t="str">
            <v>Y355L1-6/220</v>
          </cell>
          <cell r="B930">
            <v>208</v>
          </cell>
          <cell r="C930">
            <v>411</v>
          </cell>
          <cell r="D930">
            <v>991</v>
          </cell>
          <cell r="E930">
            <v>94.5</v>
          </cell>
          <cell r="F930">
            <v>0.9</v>
          </cell>
          <cell r="G930">
            <v>1.3</v>
          </cell>
          <cell r="H930">
            <v>6.7</v>
          </cell>
          <cell r="I930">
            <v>2</v>
          </cell>
          <cell r="J930">
            <v>102</v>
          </cell>
        </row>
        <row r="930">
          <cell r="L930">
            <v>4.5</v>
          </cell>
          <cell r="M930">
            <v>1780</v>
          </cell>
        </row>
        <row r="931">
          <cell r="A931" t="str">
            <v>Y355L1-6/220</v>
          </cell>
          <cell r="B931">
            <v>209</v>
          </cell>
          <cell r="C931">
            <v>411</v>
          </cell>
          <cell r="D931">
            <v>991</v>
          </cell>
          <cell r="E931">
            <v>94.5</v>
          </cell>
          <cell r="F931">
            <v>0.9</v>
          </cell>
          <cell r="G931">
            <v>1.3</v>
          </cell>
          <cell r="H931">
            <v>6.7</v>
          </cell>
          <cell r="I931">
            <v>2</v>
          </cell>
          <cell r="J931">
            <v>102</v>
          </cell>
        </row>
        <row r="931">
          <cell r="L931">
            <v>4.5</v>
          </cell>
          <cell r="M931">
            <v>1780</v>
          </cell>
        </row>
        <row r="932">
          <cell r="A932" t="str">
            <v>Y355L1-6/220</v>
          </cell>
          <cell r="B932">
            <v>210</v>
          </cell>
          <cell r="C932">
            <v>411</v>
          </cell>
          <cell r="D932">
            <v>991</v>
          </cell>
          <cell r="E932">
            <v>94.5</v>
          </cell>
          <cell r="F932">
            <v>0.9</v>
          </cell>
          <cell r="G932">
            <v>1.3</v>
          </cell>
          <cell r="H932">
            <v>6.7</v>
          </cell>
          <cell r="I932">
            <v>2</v>
          </cell>
          <cell r="J932">
            <v>102</v>
          </cell>
        </row>
        <row r="932">
          <cell r="L932">
            <v>4.5</v>
          </cell>
          <cell r="M932">
            <v>1780</v>
          </cell>
        </row>
        <row r="933">
          <cell r="A933" t="str">
            <v>Y355L1-6/220</v>
          </cell>
          <cell r="B933">
            <v>211</v>
          </cell>
          <cell r="C933">
            <v>411</v>
          </cell>
          <cell r="D933">
            <v>991</v>
          </cell>
          <cell r="E933">
            <v>94.5</v>
          </cell>
          <cell r="F933">
            <v>0.9</v>
          </cell>
          <cell r="G933">
            <v>1.3</v>
          </cell>
          <cell r="H933">
            <v>6.7</v>
          </cell>
          <cell r="I933">
            <v>2</v>
          </cell>
          <cell r="J933">
            <v>102</v>
          </cell>
        </row>
        <row r="933">
          <cell r="L933">
            <v>4.5</v>
          </cell>
          <cell r="M933">
            <v>1780</v>
          </cell>
        </row>
        <row r="934">
          <cell r="A934" t="str">
            <v>Y355L1-6/220</v>
          </cell>
          <cell r="B934">
            <v>212</v>
          </cell>
          <cell r="C934">
            <v>411</v>
          </cell>
          <cell r="D934">
            <v>991</v>
          </cell>
          <cell r="E934">
            <v>94.5</v>
          </cell>
          <cell r="F934">
            <v>0.9</v>
          </cell>
          <cell r="G934">
            <v>1.3</v>
          </cell>
          <cell r="H934">
            <v>6.7</v>
          </cell>
          <cell r="I934">
            <v>2</v>
          </cell>
          <cell r="J934">
            <v>102</v>
          </cell>
        </row>
        <row r="934">
          <cell r="L934">
            <v>4.5</v>
          </cell>
          <cell r="M934">
            <v>1780</v>
          </cell>
        </row>
        <row r="935">
          <cell r="A935" t="str">
            <v>Y355L1-6/220</v>
          </cell>
          <cell r="B935">
            <v>213</v>
          </cell>
          <cell r="C935">
            <v>411</v>
          </cell>
          <cell r="D935">
            <v>991</v>
          </cell>
          <cell r="E935">
            <v>94.5</v>
          </cell>
          <cell r="F935">
            <v>0.9</v>
          </cell>
          <cell r="G935">
            <v>1.3</v>
          </cell>
          <cell r="H935">
            <v>6.7</v>
          </cell>
          <cell r="I935">
            <v>2</v>
          </cell>
          <cell r="J935">
            <v>102</v>
          </cell>
        </row>
        <row r="935">
          <cell r="L935">
            <v>4.5</v>
          </cell>
          <cell r="M935">
            <v>1780</v>
          </cell>
        </row>
        <row r="936">
          <cell r="A936" t="str">
            <v>Y355L1-6/220</v>
          </cell>
          <cell r="B936">
            <v>214</v>
          </cell>
          <cell r="C936">
            <v>411</v>
          </cell>
          <cell r="D936">
            <v>991</v>
          </cell>
          <cell r="E936">
            <v>94.5</v>
          </cell>
          <cell r="F936">
            <v>0.9</v>
          </cell>
          <cell r="G936">
            <v>1.3</v>
          </cell>
          <cell r="H936">
            <v>6.7</v>
          </cell>
          <cell r="I936">
            <v>2</v>
          </cell>
          <cell r="J936">
            <v>102</v>
          </cell>
        </row>
        <row r="936">
          <cell r="L936">
            <v>4.5</v>
          </cell>
          <cell r="M936">
            <v>1780</v>
          </cell>
        </row>
        <row r="937">
          <cell r="A937" t="str">
            <v>Y355L1-6/220</v>
          </cell>
          <cell r="B937">
            <v>215</v>
          </cell>
          <cell r="C937">
            <v>411</v>
          </cell>
          <cell r="D937">
            <v>991</v>
          </cell>
          <cell r="E937">
            <v>94.5</v>
          </cell>
          <cell r="F937">
            <v>0.9</v>
          </cell>
          <cell r="G937">
            <v>1.3</v>
          </cell>
          <cell r="H937">
            <v>6.7</v>
          </cell>
          <cell r="I937">
            <v>2</v>
          </cell>
          <cell r="J937">
            <v>102</v>
          </cell>
        </row>
        <row r="937">
          <cell r="L937">
            <v>4.5</v>
          </cell>
          <cell r="M937">
            <v>1780</v>
          </cell>
        </row>
        <row r="938">
          <cell r="A938" t="str">
            <v>Y355L1-6/220</v>
          </cell>
          <cell r="B938">
            <v>216</v>
          </cell>
          <cell r="C938">
            <v>411</v>
          </cell>
          <cell r="D938">
            <v>991</v>
          </cell>
          <cell r="E938">
            <v>94.5</v>
          </cell>
          <cell r="F938">
            <v>0.9</v>
          </cell>
          <cell r="G938">
            <v>1.3</v>
          </cell>
          <cell r="H938">
            <v>6.7</v>
          </cell>
          <cell r="I938">
            <v>2</v>
          </cell>
          <cell r="J938">
            <v>102</v>
          </cell>
        </row>
        <row r="938">
          <cell r="L938">
            <v>4.5</v>
          </cell>
          <cell r="M938">
            <v>1780</v>
          </cell>
        </row>
        <row r="939">
          <cell r="A939" t="str">
            <v>Y355L1-6/220</v>
          </cell>
          <cell r="B939">
            <v>217</v>
          </cell>
          <cell r="C939">
            <v>411</v>
          </cell>
          <cell r="D939">
            <v>991</v>
          </cell>
          <cell r="E939">
            <v>94.5</v>
          </cell>
          <cell r="F939">
            <v>0.9</v>
          </cell>
          <cell r="G939">
            <v>1.3</v>
          </cell>
          <cell r="H939">
            <v>6.7</v>
          </cell>
          <cell r="I939">
            <v>2</v>
          </cell>
          <cell r="J939">
            <v>102</v>
          </cell>
        </row>
        <row r="939">
          <cell r="L939">
            <v>4.5</v>
          </cell>
          <cell r="M939">
            <v>1780</v>
          </cell>
        </row>
        <row r="940">
          <cell r="A940" t="str">
            <v>Y355L1-6/220</v>
          </cell>
          <cell r="B940">
            <v>218</v>
          </cell>
          <cell r="C940">
            <v>411</v>
          </cell>
          <cell r="D940">
            <v>991</v>
          </cell>
          <cell r="E940">
            <v>94.5</v>
          </cell>
          <cell r="F940">
            <v>0.9</v>
          </cell>
          <cell r="G940">
            <v>1.3</v>
          </cell>
          <cell r="H940">
            <v>6.7</v>
          </cell>
          <cell r="I940">
            <v>2</v>
          </cell>
          <cell r="J940">
            <v>102</v>
          </cell>
        </row>
        <row r="940">
          <cell r="L940">
            <v>4.5</v>
          </cell>
          <cell r="M940">
            <v>1780</v>
          </cell>
        </row>
        <row r="941">
          <cell r="A941" t="str">
            <v>Y355L1-6/220</v>
          </cell>
          <cell r="B941">
            <v>219</v>
          </cell>
          <cell r="C941">
            <v>411</v>
          </cell>
          <cell r="D941">
            <v>991</v>
          </cell>
          <cell r="E941">
            <v>94.5</v>
          </cell>
          <cell r="F941">
            <v>0.9</v>
          </cell>
          <cell r="G941">
            <v>1.3</v>
          </cell>
          <cell r="H941">
            <v>6.7</v>
          </cell>
          <cell r="I941">
            <v>2</v>
          </cell>
          <cell r="J941">
            <v>102</v>
          </cell>
        </row>
        <row r="941">
          <cell r="L941">
            <v>4.5</v>
          </cell>
          <cell r="M941">
            <v>1780</v>
          </cell>
        </row>
        <row r="942">
          <cell r="A942" t="str">
            <v>Y355L1-6/220</v>
          </cell>
          <cell r="B942">
            <v>220</v>
          </cell>
          <cell r="C942">
            <v>411</v>
          </cell>
          <cell r="D942">
            <v>991</v>
          </cell>
          <cell r="E942">
            <v>94.5</v>
          </cell>
          <cell r="F942">
            <v>0.9</v>
          </cell>
          <cell r="G942">
            <v>1.3</v>
          </cell>
          <cell r="H942">
            <v>6.7</v>
          </cell>
          <cell r="I942">
            <v>2</v>
          </cell>
          <cell r="J942">
            <v>102</v>
          </cell>
        </row>
        <row r="942">
          <cell r="L942">
            <v>4.5</v>
          </cell>
          <cell r="M942">
            <v>1780</v>
          </cell>
        </row>
        <row r="943">
          <cell r="A943" t="str">
            <v>Y355L3-6/250</v>
          </cell>
          <cell r="B943">
            <v>221</v>
          </cell>
          <cell r="C943">
            <v>466</v>
          </cell>
          <cell r="D943">
            <v>991</v>
          </cell>
          <cell r="E943">
            <v>94.7</v>
          </cell>
          <cell r="F943">
            <v>0.9</v>
          </cell>
          <cell r="G943">
            <v>1.3</v>
          </cell>
          <cell r="H943">
            <v>6.7</v>
          </cell>
          <cell r="I943">
            <v>2</v>
          </cell>
          <cell r="J943">
            <v>105</v>
          </cell>
        </row>
        <row r="943">
          <cell r="L943">
            <v>4.5</v>
          </cell>
          <cell r="M943">
            <v>1865</v>
          </cell>
        </row>
        <row r="944">
          <cell r="A944" t="str">
            <v>Y355L3-6/250</v>
          </cell>
          <cell r="B944">
            <v>222</v>
          </cell>
          <cell r="C944">
            <v>466</v>
          </cell>
          <cell r="D944">
            <v>991</v>
          </cell>
          <cell r="E944">
            <v>94.7</v>
          </cell>
          <cell r="F944">
            <v>0.9</v>
          </cell>
          <cell r="G944">
            <v>1.3</v>
          </cell>
          <cell r="H944">
            <v>6.7</v>
          </cell>
          <cell r="I944">
            <v>2</v>
          </cell>
          <cell r="J944">
            <v>105</v>
          </cell>
        </row>
        <row r="944">
          <cell r="L944">
            <v>4.5</v>
          </cell>
          <cell r="M944">
            <v>1865</v>
          </cell>
        </row>
        <row r="945">
          <cell r="A945" t="str">
            <v>Y355L3-6/250</v>
          </cell>
          <cell r="B945">
            <v>223</v>
          </cell>
          <cell r="C945">
            <v>466</v>
          </cell>
          <cell r="D945">
            <v>991</v>
          </cell>
          <cell r="E945">
            <v>94.7</v>
          </cell>
          <cell r="F945">
            <v>0.9</v>
          </cell>
          <cell r="G945">
            <v>1.3</v>
          </cell>
          <cell r="H945">
            <v>6.7</v>
          </cell>
          <cell r="I945">
            <v>2</v>
          </cell>
          <cell r="J945">
            <v>105</v>
          </cell>
        </row>
        <row r="945">
          <cell r="L945">
            <v>4.5</v>
          </cell>
          <cell r="M945">
            <v>1865</v>
          </cell>
        </row>
        <row r="946">
          <cell r="A946" t="str">
            <v>Y355L3-6/250</v>
          </cell>
          <cell r="B946">
            <v>224</v>
          </cell>
          <cell r="C946">
            <v>466</v>
          </cell>
          <cell r="D946">
            <v>991</v>
          </cell>
          <cell r="E946">
            <v>94.7</v>
          </cell>
          <cell r="F946">
            <v>0.9</v>
          </cell>
          <cell r="G946">
            <v>1.3</v>
          </cell>
          <cell r="H946">
            <v>6.7</v>
          </cell>
          <cell r="I946">
            <v>2</v>
          </cell>
          <cell r="J946">
            <v>105</v>
          </cell>
        </row>
        <row r="946">
          <cell r="L946">
            <v>4.5</v>
          </cell>
          <cell r="M946">
            <v>1865</v>
          </cell>
        </row>
        <row r="947">
          <cell r="A947" t="str">
            <v>Y355L3-6/250</v>
          </cell>
          <cell r="B947">
            <v>225</v>
          </cell>
          <cell r="C947">
            <v>466</v>
          </cell>
          <cell r="D947">
            <v>991</v>
          </cell>
          <cell r="E947">
            <v>94.7</v>
          </cell>
          <cell r="F947">
            <v>0.9</v>
          </cell>
          <cell r="G947">
            <v>1.3</v>
          </cell>
          <cell r="H947">
            <v>6.7</v>
          </cell>
          <cell r="I947">
            <v>2</v>
          </cell>
          <cell r="J947">
            <v>105</v>
          </cell>
        </row>
        <row r="947">
          <cell r="L947">
            <v>4.5</v>
          </cell>
          <cell r="M947">
            <v>1865</v>
          </cell>
        </row>
        <row r="948">
          <cell r="A948" t="str">
            <v>Y355L3-6/250</v>
          </cell>
          <cell r="B948">
            <v>226</v>
          </cell>
          <cell r="C948">
            <v>466</v>
          </cell>
          <cell r="D948">
            <v>991</v>
          </cell>
          <cell r="E948">
            <v>94.7</v>
          </cell>
          <cell r="F948">
            <v>0.9</v>
          </cell>
          <cell r="G948">
            <v>1.3</v>
          </cell>
          <cell r="H948">
            <v>6.7</v>
          </cell>
          <cell r="I948">
            <v>2</v>
          </cell>
          <cell r="J948">
            <v>105</v>
          </cell>
        </row>
        <row r="948">
          <cell r="L948">
            <v>4.5</v>
          </cell>
          <cell r="M948">
            <v>1865</v>
          </cell>
        </row>
        <row r="949">
          <cell r="A949" t="str">
            <v>Y355L3-6/250</v>
          </cell>
          <cell r="B949">
            <v>227</v>
          </cell>
          <cell r="C949">
            <v>466</v>
          </cell>
          <cell r="D949">
            <v>991</v>
          </cell>
          <cell r="E949">
            <v>94.7</v>
          </cell>
          <cell r="F949">
            <v>0.9</v>
          </cell>
          <cell r="G949">
            <v>1.3</v>
          </cell>
          <cell r="H949">
            <v>6.7</v>
          </cell>
          <cell r="I949">
            <v>2</v>
          </cell>
          <cell r="J949">
            <v>105</v>
          </cell>
        </row>
        <row r="949">
          <cell r="L949">
            <v>4.5</v>
          </cell>
          <cell r="M949">
            <v>1865</v>
          </cell>
        </row>
        <row r="950">
          <cell r="A950" t="str">
            <v>Y355L3-6/250</v>
          </cell>
          <cell r="B950">
            <v>228</v>
          </cell>
          <cell r="C950">
            <v>466</v>
          </cell>
          <cell r="D950">
            <v>991</v>
          </cell>
          <cell r="E950">
            <v>94.7</v>
          </cell>
          <cell r="F950">
            <v>0.9</v>
          </cell>
          <cell r="G950">
            <v>1.3</v>
          </cell>
          <cell r="H950">
            <v>6.7</v>
          </cell>
          <cell r="I950">
            <v>2</v>
          </cell>
          <cell r="J950">
            <v>105</v>
          </cell>
        </row>
        <row r="950">
          <cell r="L950">
            <v>4.5</v>
          </cell>
          <cell r="M950">
            <v>1865</v>
          </cell>
        </row>
        <row r="951">
          <cell r="A951" t="str">
            <v>Y355L3-6/250</v>
          </cell>
          <cell r="B951">
            <v>229</v>
          </cell>
          <cell r="C951">
            <v>466</v>
          </cell>
          <cell r="D951">
            <v>991</v>
          </cell>
          <cell r="E951">
            <v>94.7</v>
          </cell>
          <cell r="F951">
            <v>0.9</v>
          </cell>
          <cell r="G951">
            <v>1.3</v>
          </cell>
          <cell r="H951">
            <v>6.7</v>
          </cell>
          <cell r="I951">
            <v>2</v>
          </cell>
          <cell r="J951">
            <v>105</v>
          </cell>
        </row>
        <row r="951">
          <cell r="L951">
            <v>4.5</v>
          </cell>
          <cell r="M951">
            <v>1865</v>
          </cell>
        </row>
        <row r="952">
          <cell r="A952" t="str">
            <v>Y355L3-6/250</v>
          </cell>
          <cell r="B952">
            <v>230</v>
          </cell>
          <cell r="C952">
            <v>466</v>
          </cell>
          <cell r="D952">
            <v>991</v>
          </cell>
          <cell r="E952">
            <v>94.7</v>
          </cell>
          <cell r="F952">
            <v>0.9</v>
          </cell>
          <cell r="G952">
            <v>1.3</v>
          </cell>
          <cell r="H952">
            <v>6.7</v>
          </cell>
          <cell r="I952">
            <v>2</v>
          </cell>
          <cell r="J952">
            <v>105</v>
          </cell>
        </row>
        <row r="952">
          <cell r="L952">
            <v>4.5</v>
          </cell>
          <cell r="M952">
            <v>1865</v>
          </cell>
        </row>
        <row r="953">
          <cell r="A953" t="str">
            <v>Y355L3-6/250</v>
          </cell>
          <cell r="B953">
            <v>231</v>
          </cell>
          <cell r="C953">
            <v>466</v>
          </cell>
          <cell r="D953">
            <v>991</v>
          </cell>
          <cell r="E953">
            <v>94.7</v>
          </cell>
          <cell r="F953">
            <v>0.9</v>
          </cell>
          <cell r="G953">
            <v>1.3</v>
          </cell>
          <cell r="H953">
            <v>6.7</v>
          </cell>
          <cell r="I953">
            <v>2</v>
          </cell>
          <cell r="J953">
            <v>105</v>
          </cell>
        </row>
        <row r="953">
          <cell r="L953">
            <v>4.5</v>
          </cell>
          <cell r="M953">
            <v>1865</v>
          </cell>
        </row>
        <row r="954">
          <cell r="A954" t="str">
            <v>Y355L3-6/250</v>
          </cell>
          <cell r="B954">
            <v>232</v>
          </cell>
          <cell r="C954">
            <v>466</v>
          </cell>
          <cell r="D954">
            <v>991</v>
          </cell>
          <cell r="E954">
            <v>94.7</v>
          </cell>
          <cell r="F954">
            <v>0.9</v>
          </cell>
          <cell r="G954">
            <v>1.3</v>
          </cell>
          <cell r="H954">
            <v>6.7</v>
          </cell>
          <cell r="I954">
            <v>2</v>
          </cell>
          <cell r="J954">
            <v>105</v>
          </cell>
        </row>
        <row r="954">
          <cell r="L954">
            <v>4.5</v>
          </cell>
          <cell r="M954">
            <v>1865</v>
          </cell>
        </row>
        <row r="955">
          <cell r="A955" t="str">
            <v>Y355L3-6/250</v>
          </cell>
          <cell r="B955">
            <v>233</v>
          </cell>
          <cell r="C955">
            <v>466</v>
          </cell>
          <cell r="D955">
            <v>991</v>
          </cell>
          <cell r="E955">
            <v>94.7</v>
          </cell>
          <cell r="F955">
            <v>0.9</v>
          </cell>
          <cell r="G955">
            <v>1.3</v>
          </cell>
          <cell r="H955">
            <v>6.7</v>
          </cell>
          <cell r="I955">
            <v>2</v>
          </cell>
          <cell r="J955">
            <v>105</v>
          </cell>
        </row>
        <row r="955">
          <cell r="L955">
            <v>4.5</v>
          </cell>
          <cell r="M955">
            <v>1865</v>
          </cell>
        </row>
        <row r="956">
          <cell r="A956" t="str">
            <v>Y355L3-6/250</v>
          </cell>
          <cell r="B956">
            <v>234</v>
          </cell>
          <cell r="C956">
            <v>466</v>
          </cell>
          <cell r="D956">
            <v>991</v>
          </cell>
          <cell r="E956">
            <v>94.7</v>
          </cell>
          <cell r="F956">
            <v>0.9</v>
          </cell>
          <cell r="G956">
            <v>1.3</v>
          </cell>
          <cell r="H956">
            <v>6.7</v>
          </cell>
          <cell r="I956">
            <v>2</v>
          </cell>
          <cell r="J956">
            <v>105</v>
          </cell>
        </row>
        <row r="956">
          <cell r="L956">
            <v>4.5</v>
          </cell>
          <cell r="M956">
            <v>1865</v>
          </cell>
        </row>
        <row r="957">
          <cell r="A957" t="str">
            <v>Y355L3-6/250</v>
          </cell>
          <cell r="B957">
            <v>235</v>
          </cell>
          <cell r="C957">
            <v>466</v>
          </cell>
          <cell r="D957">
            <v>991</v>
          </cell>
          <cell r="E957">
            <v>94.7</v>
          </cell>
          <cell r="F957">
            <v>0.9</v>
          </cell>
          <cell r="G957">
            <v>1.3</v>
          </cell>
          <cell r="H957">
            <v>6.7</v>
          </cell>
          <cell r="I957">
            <v>2</v>
          </cell>
          <cell r="J957">
            <v>105</v>
          </cell>
        </row>
        <row r="957">
          <cell r="L957">
            <v>4.5</v>
          </cell>
          <cell r="M957">
            <v>1865</v>
          </cell>
        </row>
        <row r="958">
          <cell r="A958" t="str">
            <v>Y355L3-6/250</v>
          </cell>
          <cell r="B958">
            <v>236</v>
          </cell>
          <cell r="C958">
            <v>466</v>
          </cell>
          <cell r="D958">
            <v>991</v>
          </cell>
          <cell r="E958">
            <v>94.7</v>
          </cell>
          <cell r="F958">
            <v>0.9</v>
          </cell>
          <cell r="G958">
            <v>1.3</v>
          </cell>
          <cell r="H958">
            <v>6.7</v>
          </cell>
          <cell r="I958">
            <v>2</v>
          </cell>
          <cell r="J958">
            <v>105</v>
          </cell>
        </row>
        <row r="958">
          <cell r="L958">
            <v>4.5</v>
          </cell>
          <cell r="M958">
            <v>1865</v>
          </cell>
        </row>
        <row r="959">
          <cell r="A959" t="str">
            <v>Y355L3-6/250</v>
          </cell>
          <cell r="B959">
            <v>237</v>
          </cell>
          <cell r="C959">
            <v>466</v>
          </cell>
          <cell r="D959">
            <v>991</v>
          </cell>
          <cell r="E959">
            <v>94.7</v>
          </cell>
          <cell r="F959">
            <v>0.9</v>
          </cell>
          <cell r="G959">
            <v>1.3</v>
          </cell>
          <cell r="H959">
            <v>6.7</v>
          </cell>
          <cell r="I959">
            <v>2</v>
          </cell>
          <cell r="J959">
            <v>105</v>
          </cell>
        </row>
        <row r="959">
          <cell r="L959">
            <v>4.5</v>
          </cell>
          <cell r="M959">
            <v>1865</v>
          </cell>
        </row>
        <row r="960">
          <cell r="A960" t="str">
            <v>Y355L3-6/250</v>
          </cell>
          <cell r="B960">
            <v>238</v>
          </cell>
          <cell r="C960">
            <v>466</v>
          </cell>
          <cell r="D960">
            <v>991</v>
          </cell>
          <cell r="E960">
            <v>94.7</v>
          </cell>
          <cell r="F960">
            <v>0.9</v>
          </cell>
          <cell r="G960">
            <v>1.3</v>
          </cell>
          <cell r="H960">
            <v>6.7</v>
          </cell>
          <cell r="I960">
            <v>2</v>
          </cell>
          <cell r="J960">
            <v>105</v>
          </cell>
        </row>
        <row r="960">
          <cell r="L960">
            <v>4.5</v>
          </cell>
          <cell r="M960">
            <v>1865</v>
          </cell>
        </row>
        <row r="961">
          <cell r="A961" t="str">
            <v>Y355L3-6/250</v>
          </cell>
          <cell r="B961">
            <v>239</v>
          </cell>
          <cell r="C961">
            <v>466</v>
          </cell>
          <cell r="D961">
            <v>991</v>
          </cell>
          <cell r="E961">
            <v>94.7</v>
          </cell>
          <cell r="F961">
            <v>0.9</v>
          </cell>
          <cell r="G961">
            <v>1.3</v>
          </cell>
          <cell r="H961">
            <v>6.7</v>
          </cell>
          <cell r="I961">
            <v>2</v>
          </cell>
          <cell r="J961">
            <v>105</v>
          </cell>
        </row>
        <row r="961">
          <cell r="L961">
            <v>4.5</v>
          </cell>
          <cell r="M961">
            <v>1865</v>
          </cell>
        </row>
        <row r="962">
          <cell r="A962" t="str">
            <v>Y355L3-6/250</v>
          </cell>
          <cell r="B962">
            <v>240</v>
          </cell>
          <cell r="C962">
            <v>466</v>
          </cell>
          <cell r="D962">
            <v>991</v>
          </cell>
          <cell r="E962">
            <v>94.7</v>
          </cell>
          <cell r="F962">
            <v>0.9</v>
          </cell>
          <cell r="G962">
            <v>1.3</v>
          </cell>
          <cell r="H962">
            <v>6.7</v>
          </cell>
          <cell r="I962">
            <v>2</v>
          </cell>
          <cell r="J962">
            <v>105</v>
          </cell>
        </row>
        <row r="962">
          <cell r="L962">
            <v>4.5</v>
          </cell>
          <cell r="M962">
            <v>1865</v>
          </cell>
        </row>
        <row r="963">
          <cell r="A963" t="str">
            <v>Y355L3-6/250</v>
          </cell>
          <cell r="B963">
            <v>241</v>
          </cell>
          <cell r="C963">
            <v>466</v>
          </cell>
          <cell r="D963">
            <v>991</v>
          </cell>
          <cell r="E963">
            <v>94.7</v>
          </cell>
          <cell r="F963">
            <v>0.9</v>
          </cell>
          <cell r="G963">
            <v>1.3</v>
          </cell>
          <cell r="H963">
            <v>6.7</v>
          </cell>
          <cell r="I963">
            <v>2</v>
          </cell>
          <cell r="J963">
            <v>105</v>
          </cell>
        </row>
        <row r="963">
          <cell r="L963">
            <v>4.5</v>
          </cell>
          <cell r="M963">
            <v>1865</v>
          </cell>
        </row>
        <row r="964">
          <cell r="A964" t="str">
            <v>Y355L3-6/250</v>
          </cell>
          <cell r="B964">
            <v>242</v>
          </cell>
          <cell r="C964">
            <v>466</v>
          </cell>
          <cell r="D964">
            <v>991</v>
          </cell>
          <cell r="E964">
            <v>94.7</v>
          </cell>
          <cell r="F964">
            <v>0.9</v>
          </cell>
          <cell r="G964">
            <v>1.3</v>
          </cell>
          <cell r="H964">
            <v>6.7</v>
          </cell>
          <cell r="I964">
            <v>2</v>
          </cell>
          <cell r="J964">
            <v>105</v>
          </cell>
        </row>
        <row r="964">
          <cell r="L964">
            <v>4.5</v>
          </cell>
          <cell r="M964">
            <v>1865</v>
          </cell>
        </row>
        <row r="965">
          <cell r="A965" t="str">
            <v>Y355L3-6/250</v>
          </cell>
          <cell r="B965">
            <v>243</v>
          </cell>
          <cell r="C965">
            <v>466</v>
          </cell>
          <cell r="D965">
            <v>991</v>
          </cell>
          <cell r="E965">
            <v>94.7</v>
          </cell>
          <cell r="F965">
            <v>0.9</v>
          </cell>
          <cell r="G965">
            <v>1.3</v>
          </cell>
          <cell r="H965">
            <v>6.7</v>
          </cell>
          <cell r="I965">
            <v>2</v>
          </cell>
          <cell r="J965">
            <v>105</v>
          </cell>
        </row>
        <row r="965">
          <cell r="L965">
            <v>4.5</v>
          </cell>
          <cell r="M965">
            <v>1865</v>
          </cell>
        </row>
        <row r="966">
          <cell r="A966" t="str">
            <v>Y355L3-6/250</v>
          </cell>
          <cell r="B966">
            <v>244</v>
          </cell>
          <cell r="C966">
            <v>466</v>
          </cell>
          <cell r="D966">
            <v>991</v>
          </cell>
          <cell r="E966">
            <v>94.7</v>
          </cell>
          <cell r="F966">
            <v>0.9</v>
          </cell>
          <cell r="G966">
            <v>1.3</v>
          </cell>
          <cell r="H966">
            <v>6.7</v>
          </cell>
          <cell r="I966">
            <v>2</v>
          </cell>
          <cell r="J966">
            <v>105</v>
          </cell>
        </row>
        <row r="966">
          <cell r="L966">
            <v>4.5</v>
          </cell>
          <cell r="M966">
            <v>1865</v>
          </cell>
        </row>
        <row r="967">
          <cell r="A967" t="str">
            <v>Y355L3-6/250</v>
          </cell>
          <cell r="B967">
            <v>245</v>
          </cell>
          <cell r="C967">
            <v>466</v>
          </cell>
          <cell r="D967">
            <v>991</v>
          </cell>
          <cell r="E967">
            <v>94.7</v>
          </cell>
          <cell r="F967">
            <v>0.9</v>
          </cell>
          <cell r="G967">
            <v>1.3</v>
          </cell>
          <cell r="H967">
            <v>6.7</v>
          </cell>
          <cell r="I967">
            <v>2</v>
          </cell>
          <cell r="J967">
            <v>105</v>
          </cell>
        </row>
        <row r="967">
          <cell r="L967">
            <v>4.5</v>
          </cell>
          <cell r="M967">
            <v>1865</v>
          </cell>
        </row>
        <row r="968">
          <cell r="A968" t="str">
            <v>Y355L3-6/250</v>
          </cell>
          <cell r="B968">
            <v>246</v>
          </cell>
          <cell r="C968">
            <v>466</v>
          </cell>
          <cell r="D968">
            <v>991</v>
          </cell>
          <cell r="E968">
            <v>94.7</v>
          </cell>
          <cell r="F968">
            <v>0.9</v>
          </cell>
          <cell r="G968">
            <v>1.3</v>
          </cell>
          <cell r="H968">
            <v>6.7</v>
          </cell>
          <cell r="I968">
            <v>2</v>
          </cell>
          <cell r="J968">
            <v>105</v>
          </cell>
        </row>
        <row r="968">
          <cell r="L968">
            <v>4.5</v>
          </cell>
          <cell r="M968">
            <v>1865</v>
          </cell>
        </row>
        <row r="969">
          <cell r="A969" t="str">
            <v>Y355L3-6/250</v>
          </cell>
          <cell r="B969">
            <v>247</v>
          </cell>
          <cell r="C969">
            <v>466</v>
          </cell>
          <cell r="D969">
            <v>991</v>
          </cell>
          <cell r="E969">
            <v>94.7</v>
          </cell>
          <cell r="F969">
            <v>0.9</v>
          </cell>
          <cell r="G969">
            <v>1.3</v>
          </cell>
          <cell r="H969">
            <v>6.7</v>
          </cell>
          <cell r="I969">
            <v>2</v>
          </cell>
          <cell r="J969">
            <v>105</v>
          </cell>
        </row>
        <row r="969">
          <cell r="L969">
            <v>4.5</v>
          </cell>
          <cell r="M969">
            <v>1865</v>
          </cell>
        </row>
        <row r="970">
          <cell r="A970" t="str">
            <v>Y355L3-6/250</v>
          </cell>
          <cell r="B970">
            <v>248</v>
          </cell>
          <cell r="C970">
            <v>466</v>
          </cell>
          <cell r="D970">
            <v>991</v>
          </cell>
          <cell r="E970">
            <v>94.7</v>
          </cell>
          <cell r="F970">
            <v>0.9</v>
          </cell>
          <cell r="G970">
            <v>1.3</v>
          </cell>
          <cell r="H970">
            <v>6.7</v>
          </cell>
          <cell r="I970">
            <v>2</v>
          </cell>
          <cell r="J970">
            <v>105</v>
          </cell>
        </row>
        <row r="970">
          <cell r="L970">
            <v>4.5</v>
          </cell>
          <cell r="M970">
            <v>1865</v>
          </cell>
        </row>
        <row r="971">
          <cell r="A971" t="str">
            <v>Y355L3-6/250</v>
          </cell>
          <cell r="B971">
            <v>249</v>
          </cell>
          <cell r="C971">
            <v>466</v>
          </cell>
          <cell r="D971">
            <v>991</v>
          </cell>
          <cell r="E971">
            <v>94.7</v>
          </cell>
          <cell r="F971">
            <v>0.9</v>
          </cell>
          <cell r="G971">
            <v>1.3</v>
          </cell>
          <cell r="H971">
            <v>6.7</v>
          </cell>
          <cell r="I971">
            <v>2</v>
          </cell>
          <cell r="J971">
            <v>105</v>
          </cell>
        </row>
        <row r="971">
          <cell r="L971">
            <v>4.5</v>
          </cell>
          <cell r="M971">
            <v>1865</v>
          </cell>
        </row>
        <row r="972">
          <cell r="A972" t="str">
            <v>Y355L3-6/250</v>
          </cell>
          <cell r="B972">
            <v>250</v>
          </cell>
          <cell r="C972">
            <v>466</v>
          </cell>
          <cell r="D972">
            <v>991</v>
          </cell>
          <cell r="E972">
            <v>94.7</v>
          </cell>
          <cell r="F972">
            <v>0.9</v>
          </cell>
          <cell r="G972">
            <v>1.3</v>
          </cell>
          <cell r="H972">
            <v>6.7</v>
          </cell>
          <cell r="I972">
            <v>2</v>
          </cell>
          <cell r="J972">
            <v>105</v>
          </cell>
        </row>
        <row r="972">
          <cell r="L972">
            <v>4.5</v>
          </cell>
          <cell r="M972">
            <v>1865</v>
          </cell>
        </row>
        <row r="973">
          <cell r="A973" t="str">
            <v> 同步转速    750r/min   8 级</v>
          </cell>
        </row>
        <row r="974">
          <cell r="A974" t="str">
            <v>Y132S-8</v>
          </cell>
          <cell r="B974">
            <v>2.2</v>
          </cell>
          <cell r="C974">
            <v>5.8</v>
          </cell>
          <cell r="D974">
            <v>710</v>
          </cell>
          <cell r="E974">
            <v>80.5</v>
          </cell>
          <cell r="F974">
            <v>0.7</v>
          </cell>
          <cell r="G974">
            <v>2</v>
          </cell>
          <cell r="H974">
            <v>5.5</v>
          </cell>
          <cell r="I974">
            <v>2</v>
          </cell>
          <cell r="J974">
            <v>61</v>
          </cell>
          <cell r="K974">
            <v>66</v>
          </cell>
          <cell r="L974">
            <v>1.8</v>
          </cell>
          <cell r="M974">
            <v>66</v>
          </cell>
          <cell r="N974">
            <v>987</v>
          </cell>
        </row>
        <row r="975">
          <cell r="A975" t="str">
            <v>Y132M-8</v>
          </cell>
          <cell r="B975">
            <v>3</v>
          </cell>
          <cell r="C975">
            <v>7.7</v>
          </cell>
          <cell r="D975">
            <v>710</v>
          </cell>
          <cell r="E975">
            <v>82</v>
          </cell>
          <cell r="F975">
            <v>0.7</v>
          </cell>
          <cell r="G975">
            <v>2</v>
          </cell>
          <cell r="H975">
            <v>5.5</v>
          </cell>
          <cell r="I975">
            <v>2</v>
          </cell>
          <cell r="J975">
            <v>61</v>
          </cell>
          <cell r="K975">
            <v>66</v>
          </cell>
          <cell r="L975">
            <v>1.8</v>
          </cell>
          <cell r="M975">
            <v>76</v>
          </cell>
          <cell r="N975">
            <v>1120</v>
          </cell>
        </row>
        <row r="976">
          <cell r="A976" t="str">
            <v>Y160M1-8</v>
          </cell>
          <cell r="B976">
            <v>4</v>
          </cell>
          <cell r="C976">
            <v>9.9</v>
          </cell>
          <cell r="D976">
            <v>720</v>
          </cell>
          <cell r="E976">
            <v>84</v>
          </cell>
          <cell r="F976">
            <v>0.7</v>
          </cell>
          <cell r="G976">
            <v>2</v>
          </cell>
          <cell r="H976">
            <v>6</v>
          </cell>
          <cell r="I976">
            <v>2</v>
          </cell>
          <cell r="J976">
            <v>64</v>
          </cell>
          <cell r="K976">
            <v>69</v>
          </cell>
          <cell r="L976">
            <v>1.8</v>
          </cell>
          <cell r="M976">
            <v>105</v>
          </cell>
          <cell r="N976">
            <v>1596</v>
          </cell>
        </row>
        <row r="977">
          <cell r="A977" t="str">
            <v>Y160M2-8</v>
          </cell>
          <cell r="B977">
            <v>5.5</v>
          </cell>
          <cell r="C977">
            <v>13.3</v>
          </cell>
          <cell r="D977">
            <v>720</v>
          </cell>
          <cell r="E977">
            <v>85</v>
          </cell>
          <cell r="F977">
            <v>0.7</v>
          </cell>
          <cell r="G977">
            <v>2</v>
          </cell>
          <cell r="H977">
            <v>6</v>
          </cell>
          <cell r="I977">
            <v>2</v>
          </cell>
          <cell r="J977">
            <v>64</v>
          </cell>
          <cell r="K977">
            <v>69</v>
          </cell>
          <cell r="L977">
            <v>1.8</v>
          </cell>
          <cell r="M977">
            <v>115</v>
          </cell>
          <cell r="N977">
            <v>1757</v>
          </cell>
        </row>
        <row r="978">
          <cell r="A978" t="str">
            <v>Y160L-8</v>
          </cell>
          <cell r="B978">
            <v>7.5</v>
          </cell>
          <cell r="C978">
            <v>17.7</v>
          </cell>
          <cell r="D978">
            <v>720</v>
          </cell>
          <cell r="E978">
            <v>86</v>
          </cell>
          <cell r="F978">
            <v>0.8</v>
          </cell>
          <cell r="G978">
            <v>2</v>
          </cell>
          <cell r="H978">
            <v>5.5</v>
          </cell>
          <cell r="I978">
            <v>2</v>
          </cell>
          <cell r="J978">
            <v>67</v>
          </cell>
          <cell r="K978">
            <v>69</v>
          </cell>
          <cell r="L978">
            <v>1.8</v>
          </cell>
          <cell r="M978">
            <v>140</v>
          </cell>
          <cell r="N978">
            <v>1918</v>
          </cell>
        </row>
        <row r="979">
          <cell r="A979" t="str">
            <v>Y180L-8</v>
          </cell>
          <cell r="B979">
            <v>11</v>
          </cell>
          <cell r="C979">
            <v>24.8</v>
          </cell>
          <cell r="D979">
            <v>730</v>
          </cell>
          <cell r="E979">
            <v>87.5</v>
          </cell>
          <cell r="F979">
            <v>0.8</v>
          </cell>
          <cell r="G979">
            <v>1.7</v>
          </cell>
          <cell r="H979">
            <v>6</v>
          </cell>
          <cell r="I979">
            <v>2</v>
          </cell>
          <cell r="J979">
            <v>67</v>
          </cell>
          <cell r="K979">
            <v>72</v>
          </cell>
          <cell r="L979">
            <v>1.8</v>
          </cell>
          <cell r="M979">
            <v>180</v>
          </cell>
          <cell r="N979">
            <v>2541</v>
          </cell>
        </row>
        <row r="980">
          <cell r="A980" t="str">
            <v>Y200L-8</v>
          </cell>
          <cell r="B980">
            <v>15</v>
          </cell>
          <cell r="C980">
            <v>34.1</v>
          </cell>
          <cell r="D980">
            <v>730</v>
          </cell>
          <cell r="E980">
            <v>88</v>
          </cell>
          <cell r="F980">
            <v>0.8</v>
          </cell>
          <cell r="G980">
            <v>1.8</v>
          </cell>
          <cell r="H980">
            <v>6</v>
          </cell>
          <cell r="I980">
            <v>2</v>
          </cell>
          <cell r="J980">
            <v>70</v>
          </cell>
          <cell r="K980">
            <v>72</v>
          </cell>
          <cell r="L980">
            <v>1.8</v>
          </cell>
          <cell r="M980">
            <v>228</v>
          </cell>
          <cell r="N980">
            <v>3304</v>
          </cell>
        </row>
        <row r="981">
          <cell r="A981" t="str">
            <v>Y225S-8</v>
          </cell>
          <cell r="B981">
            <v>18.5</v>
          </cell>
          <cell r="C981">
            <v>41.3</v>
          </cell>
          <cell r="D981">
            <v>730</v>
          </cell>
          <cell r="E981">
            <v>89.5</v>
          </cell>
          <cell r="F981">
            <v>0.8</v>
          </cell>
          <cell r="G981">
            <v>1.7</v>
          </cell>
          <cell r="H981">
            <v>6</v>
          </cell>
          <cell r="I981">
            <v>2</v>
          </cell>
          <cell r="J981">
            <v>70</v>
          </cell>
          <cell r="K981">
            <v>75</v>
          </cell>
          <cell r="L981">
            <v>1.8</v>
          </cell>
          <cell r="M981">
            <v>265</v>
          </cell>
          <cell r="N981">
            <v>4074</v>
          </cell>
        </row>
        <row r="982">
          <cell r="A982" t="str">
            <v>Y225M-8</v>
          </cell>
          <cell r="B982">
            <v>22</v>
          </cell>
          <cell r="C982">
            <v>47.6</v>
          </cell>
          <cell r="D982">
            <v>730</v>
          </cell>
          <cell r="E982">
            <v>90</v>
          </cell>
          <cell r="F982">
            <v>0.8</v>
          </cell>
          <cell r="G982">
            <v>1.8</v>
          </cell>
          <cell r="H982">
            <v>6</v>
          </cell>
          <cell r="I982">
            <v>2</v>
          </cell>
          <cell r="J982">
            <v>70</v>
          </cell>
          <cell r="K982">
            <v>75</v>
          </cell>
          <cell r="L982">
            <v>1.8</v>
          </cell>
          <cell r="M982">
            <v>296</v>
          </cell>
          <cell r="N982">
            <v>4564</v>
          </cell>
        </row>
        <row r="983">
          <cell r="A983" t="str">
            <v>Y250M-8</v>
          </cell>
          <cell r="B983">
            <v>30</v>
          </cell>
          <cell r="C983">
            <v>63</v>
          </cell>
          <cell r="D983">
            <v>730</v>
          </cell>
          <cell r="E983">
            <v>90.5</v>
          </cell>
          <cell r="F983">
            <v>0.8</v>
          </cell>
          <cell r="G983">
            <v>1.8</v>
          </cell>
          <cell r="H983">
            <v>6</v>
          </cell>
          <cell r="I983">
            <v>2</v>
          </cell>
          <cell r="J983">
            <v>73</v>
          </cell>
          <cell r="K983">
            <v>75</v>
          </cell>
          <cell r="L983">
            <v>1.8</v>
          </cell>
          <cell r="M983">
            <v>391</v>
          </cell>
          <cell r="N983">
            <v>5670</v>
          </cell>
        </row>
        <row r="984">
          <cell r="A984" t="str">
            <v>Y280S-8</v>
          </cell>
          <cell r="B984">
            <v>37</v>
          </cell>
          <cell r="C984">
            <v>78.2</v>
          </cell>
          <cell r="D984">
            <v>740</v>
          </cell>
          <cell r="E984">
            <v>91</v>
          </cell>
          <cell r="F984">
            <v>0.8</v>
          </cell>
          <cell r="G984">
            <v>1.8</v>
          </cell>
          <cell r="H984">
            <v>6</v>
          </cell>
          <cell r="I984">
            <v>2</v>
          </cell>
          <cell r="J984">
            <v>73</v>
          </cell>
          <cell r="K984">
            <v>78</v>
          </cell>
          <cell r="L984">
            <v>2.8</v>
          </cell>
          <cell r="M984">
            <v>500</v>
          </cell>
          <cell r="N984">
            <v>7056</v>
          </cell>
        </row>
        <row r="985">
          <cell r="A985" t="str">
            <v>Y280M-8</v>
          </cell>
          <cell r="B985">
            <v>45</v>
          </cell>
          <cell r="C985">
            <v>93.2</v>
          </cell>
          <cell r="D985">
            <v>740</v>
          </cell>
          <cell r="E985">
            <v>91.7</v>
          </cell>
          <cell r="F985">
            <v>0.8</v>
          </cell>
          <cell r="G985">
            <v>1.8</v>
          </cell>
          <cell r="H985">
            <v>6</v>
          </cell>
          <cell r="I985">
            <v>2</v>
          </cell>
          <cell r="J985">
            <v>73</v>
          </cell>
          <cell r="K985">
            <v>78</v>
          </cell>
          <cell r="L985">
            <v>2.8</v>
          </cell>
          <cell r="M985">
            <v>562</v>
          </cell>
          <cell r="N985">
            <v>8022</v>
          </cell>
        </row>
        <row r="986">
          <cell r="A986" t="str">
            <v>Y315S-8</v>
          </cell>
          <cell r="B986">
            <v>55</v>
          </cell>
          <cell r="C986">
            <v>114</v>
          </cell>
          <cell r="D986">
            <v>740</v>
          </cell>
          <cell r="E986">
            <v>92</v>
          </cell>
          <cell r="F986">
            <v>0.8</v>
          </cell>
          <cell r="G986">
            <v>1.6</v>
          </cell>
          <cell r="H986">
            <v>6.5</v>
          </cell>
          <cell r="I986">
            <v>2</v>
          </cell>
          <cell r="J986">
            <v>82</v>
          </cell>
          <cell r="K986">
            <v>87</v>
          </cell>
          <cell r="L986">
            <v>2.8</v>
          </cell>
          <cell r="M986">
            <v>875</v>
          </cell>
        </row>
        <row r="987">
          <cell r="A987" t="str">
            <v>Y315M-8</v>
          </cell>
          <cell r="B987">
            <v>75</v>
          </cell>
          <cell r="C987">
            <v>152</v>
          </cell>
          <cell r="D987">
            <v>740</v>
          </cell>
          <cell r="E987">
            <v>92.5</v>
          </cell>
          <cell r="F987">
            <v>0.8</v>
          </cell>
          <cell r="G987">
            <v>1.6</v>
          </cell>
          <cell r="H987">
            <v>6.5</v>
          </cell>
          <cell r="I987">
            <v>2</v>
          </cell>
          <cell r="J987">
            <v>82</v>
          </cell>
          <cell r="K987">
            <v>87</v>
          </cell>
          <cell r="L987">
            <v>2.8</v>
          </cell>
          <cell r="M987">
            <v>1008</v>
          </cell>
        </row>
        <row r="988">
          <cell r="A988" t="str">
            <v>Y315L1-8</v>
          </cell>
          <cell r="B988">
            <v>90</v>
          </cell>
          <cell r="C988">
            <v>179</v>
          </cell>
          <cell r="D988">
            <v>740</v>
          </cell>
          <cell r="E988">
            <v>93</v>
          </cell>
          <cell r="F988">
            <v>0.8</v>
          </cell>
          <cell r="G988">
            <v>1.6</v>
          </cell>
          <cell r="H988">
            <v>6.5</v>
          </cell>
          <cell r="I988">
            <v>2</v>
          </cell>
          <cell r="J988">
            <v>82</v>
          </cell>
          <cell r="K988">
            <v>87</v>
          </cell>
          <cell r="L988">
            <v>2.8</v>
          </cell>
          <cell r="M988">
            <v>1065</v>
          </cell>
        </row>
        <row r="989">
          <cell r="A989" t="str">
            <v>Y315L2-8</v>
          </cell>
          <cell r="B989">
            <v>110</v>
          </cell>
          <cell r="C989">
            <v>218</v>
          </cell>
          <cell r="D989">
            <v>740</v>
          </cell>
          <cell r="E989">
            <v>93.3</v>
          </cell>
          <cell r="F989">
            <v>0.8</v>
          </cell>
          <cell r="G989">
            <v>1.6</v>
          </cell>
          <cell r="H989">
            <v>6.3</v>
          </cell>
          <cell r="I989">
            <v>2</v>
          </cell>
          <cell r="J989">
            <v>82</v>
          </cell>
          <cell r="K989">
            <v>87</v>
          </cell>
          <cell r="L989">
            <v>2.8</v>
          </cell>
          <cell r="M989">
            <v>1195</v>
          </cell>
        </row>
        <row r="990">
          <cell r="A990" t="str">
            <v>Y355M2-8</v>
          </cell>
          <cell r="B990">
            <v>132</v>
          </cell>
          <cell r="C990">
            <v>264</v>
          </cell>
          <cell r="D990">
            <v>740</v>
          </cell>
          <cell r="E990">
            <v>93.8</v>
          </cell>
          <cell r="F990">
            <v>0.8</v>
          </cell>
          <cell r="G990">
            <v>1.3</v>
          </cell>
          <cell r="H990">
            <v>6.3</v>
          </cell>
          <cell r="I990">
            <v>2</v>
          </cell>
          <cell r="J990">
            <v>99</v>
          </cell>
        </row>
        <row r="990">
          <cell r="L990">
            <v>4.5</v>
          </cell>
          <cell r="M990">
            <v>1675</v>
          </cell>
        </row>
        <row r="991">
          <cell r="A991" t="str">
            <v>Y355M4-8</v>
          </cell>
          <cell r="B991">
            <v>160</v>
          </cell>
          <cell r="C991">
            <v>319</v>
          </cell>
          <cell r="D991">
            <v>740</v>
          </cell>
          <cell r="E991">
            <v>94</v>
          </cell>
          <cell r="F991">
            <v>0.8</v>
          </cell>
          <cell r="G991">
            <v>1.3</v>
          </cell>
          <cell r="H991">
            <v>6.3</v>
          </cell>
          <cell r="I991">
            <v>2</v>
          </cell>
          <cell r="J991">
            <v>99</v>
          </cell>
        </row>
        <row r="991">
          <cell r="L991">
            <v>4.5</v>
          </cell>
          <cell r="M991">
            <v>1730</v>
          </cell>
        </row>
        <row r="992">
          <cell r="A992" t="str">
            <v>Y355L3-8</v>
          </cell>
          <cell r="B992">
            <v>185</v>
          </cell>
          <cell r="C992">
            <v>368</v>
          </cell>
          <cell r="D992">
            <v>742</v>
          </cell>
          <cell r="E992">
            <v>94.2</v>
          </cell>
          <cell r="F992">
            <v>0.8</v>
          </cell>
          <cell r="G992">
            <v>1.3</v>
          </cell>
          <cell r="H992">
            <v>6.3</v>
          </cell>
          <cell r="I992">
            <v>2</v>
          </cell>
          <cell r="J992">
            <v>99</v>
          </cell>
        </row>
        <row r="992">
          <cell r="L992">
            <v>4.5</v>
          </cell>
          <cell r="M992">
            <v>1840</v>
          </cell>
        </row>
        <row r="993">
          <cell r="A993" t="str">
            <v>Y355L4-8</v>
          </cell>
          <cell r="B993">
            <v>200</v>
          </cell>
          <cell r="C993">
            <v>398</v>
          </cell>
          <cell r="D993">
            <v>743</v>
          </cell>
          <cell r="E993">
            <v>94.3</v>
          </cell>
          <cell r="F993">
            <v>0.8</v>
          </cell>
          <cell r="G993">
            <v>1.3</v>
          </cell>
          <cell r="H993">
            <v>6.3</v>
          </cell>
          <cell r="I993">
            <v>2</v>
          </cell>
          <cell r="J993">
            <v>99</v>
          </cell>
        </row>
        <row r="993">
          <cell r="L993">
            <v>4.5</v>
          </cell>
          <cell r="M993">
            <v>1905</v>
          </cell>
        </row>
        <row r="994">
          <cell r="A994" t="str">
            <v>同步转速  600r/min   10级</v>
          </cell>
        </row>
        <row r="995">
          <cell r="A995" t="str">
            <v>Y315S-10</v>
          </cell>
          <cell r="B995">
            <v>45</v>
          </cell>
          <cell r="C995">
            <v>101</v>
          </cell>
          <cell r="D995">
            <v>590</v>
          </cell>
          <cell r="E995">
            <v>91.5</v>
          </cell>
          <cell r="F995">
            <v>0.7</v>
          </cell>
          <cell r="G995">
            <v>1.4</v>
          </cell>
          <cell r="H995">
            <v>6</v>
          </cell>
          <cell r="I995">
            <v>2</v>
          </cell>
          <cell r="J995">
            <v>82</v>
          </cell>
          <cell r="K995">
            <v>87</v>
          </cell>
          <cell r="L995">
            <v>2.8</v>
          </cell>
          <cell r="M995">
            <v>838</v>
          </cell>
        </row>
        <row r="996">
          <cell r="A996" t="str">
            <v>Y315M-10</v>
          </cell>
          <cell r="B996">
            <v>55</v>
          </cell>
          <cell r="C996">
            <v>123</v>
          </cell>
          <cell r="D996">
            <v>590</v>
          </cell>
          <cell r="E996">
            <v>92</v>
          </cell>
          <cell r="F996">
            <v>0.7</v>
          </cell>
          <cell r="G996">
            <v>1.4</v>
          </cell>
          <cell r="H996">
            <v>6</v>
          </cell>
          <cell r="I996">
            <v>2</v>
          </cell>
          <cell r="J996">
            <v>82</v>
          </cell>
          <cell r="K996">
            <v>87</v>
          </cell>
          <cell r="L996">
            <v>2.8</v>
          </cell>
          <cell r="M996">
            <v>960</v>
          </cell>
        </row>
        <row r="997">
          <cell r="A997" t="str">
            <v>Y315L2-10</v>
          </cell>
          <cell r="B997">
            <v>75</v>
          </cell>
          <cell r="C997">
            <v>164</v>
          </cell>
          <cell r="D997">
            <v>590</v>
          </cell>
          <cell r="E997">
            <v>92.5</v>
          </cell>
          <cell r="F997">
            <v>0.8</v>
          </cell>
          <cell r="G997">
            <v>1.4</v>
          </cell>
          <cell r="H997">
            <v>6</v>
          </cell>
          <cell r="I997">
            <v>2</v>
          </cell>
          <cell r="J997">
            <v>82</v>
          </cell>
          <cell r="K997">
            <v>87</v>
          </cell>
          <cell r="L997">
            <v>2.8</v>
          </cell>
          <cell r="M997">
            <v>1180</v>
          </cell>
        </row>
        <row r="998">
          <cell r="A998" t="str">
            <v>Y355M1-10</v>
          </cell>
          <cell r="B998">
            <v>90</v>
          </cell>
          <cell r="C998">
            <v>191</v>
          </cell>
          <cell r="D998">
            <v>595</v>
          </cell>
          <cell r="E998">
            <v>93</v>
          </cell>
          <cell r="F998">
            <v>0.8</v>
          </cell>
          <cell r="G998">
            <v>1.2</v>
          </cell>
          <cell r="H998">
            <v>6</v>
          </cell>
          <cell r="I998">
            <v>2</v>
          </cell>
          <cell r="J998">
            <v>96</v>
          </cell>
        </row>
        <row r="998">
          <cell r="L998">
            <v>4.5</v>
          </cell>
          <cell r="M998">
            <v>1620</v>
          </cell>
        </row>
        <row r="999">
          <cell r="A999" t="str">
            <v>Y355M2-10</v>
          </cell>
          <cell r="B999">
            <v>110</v>
          </cell>
          <cell r="C999">
            <v>230</v>
          </cell>
          <cell r="D999">
            <v>595</v>
          </cell>
          <cell r="E999">
            <v>93.2</v>
          </cell>
          <cell r="F999">
            <v>0.8</v>
          </cell>
          <cell r="G999">
            <v>1.2</v>
          </cell>
          <cell r="H999">
            <v>6</v>
          </cell>
          <cell r="I999">
            <v>2</v>
          </cell>
          <cell r="J999">
            <v>96</v>
          </cell>
        </row>
        <row r="999">
          <cell r="L999">
            <v>4.5</v>
          </cell>
          <cell r="M999">
            <v>1775</v>
          </cell>
        </row>
        <row r="1000">
          <cell r="A1000" t="str">
            <v>Y355L1-10</v>
          </cell>
          <cell r="B1000">
            <v>132</v>
          </cell>
          <cell r="C1000">
            <v>275</v>
          </cell>
          <cell r="D1000">
            <v>595</v>
          </cell>
          <cell r="E1000">
            <v>93.5</v>
          </cell>
          <cell r="F1000">
            <v>0.8</v>
          </cell>
          <cell r="G1000">
            <v>1.2</v>
          </cell>
          <cell r="H1000">
            <v>6</v>
          </cell>
          <cell r="I1000">
            <v>2</v>
          </cell>
          <cell r="J1000">
            <v>96</v>
          </cell>
        </row>
        <row r="1000">
          <cell r="L1000">
            <v>4.5</v>
          </cell>
          <cell r="M1000">
            <v>1880</v>
          </cell>
        </row>
        <row r="1001">
          <cell r="A1001" t="str">
            <v>6KV</v>
          </cell>
        </row>
        <row r="1002">
          <cell r="A1002" t="str">
            <v>型    号</v>
          </cell>
          <cell r="B1002" t="str">
            <v>额定  功率</v>
          </cell>
          <cell r="C1002" t="str">
            <v>额定   电流</v>
          </cell>
          <cell r="D1002" t="str">
            <v>转速</v>
          </cell>
          <cell r="E1002" t="str">
            <v>效率</v>
          </cell>
          <cell r="F1002" t="str">
            <v>功率 因数</v>
          </cell>
          <cell r="G1002" t="str">
            <v>最大转矩</v>
          </cell>
          <cell r="H1002" t="str">
            <v>起动转矩</v>
          </cell>
          <cell r="I1002" t="str">
            <v>起动电流</v>
          </cell>
          <cell r="J1002" t="str">
            <v>GD2</v>
          </cell>
          <cell r="K1002" t="str">
            <v>重量</v>
          </cell>
          <cell r="L1002" t="str">
            <v>加油周期</v>
          </cell>
        </row>
        <row r="1003">
          <cell r="G1003" t="str">
            <v>额定转矩</v>
          </cell>
          <cell r="H1003" t="str">
            <v>额定转矩</v>
          </cell>
          <cell r="I1003" t="str">
            <v>额定电流</v>
          </cell>
        </row>
        <row r="1004">
          <cell r="B1004" t="str">
            <v>kW</v>
          </cell>
          <cell r="C1004" t="str">
            <v>A</v>
          </cell>
          <cell r="D1004" t="str">
            <v>r/min</v>
          </cell>
          <cell r="E1004" t="str">
            <v>%</v>
          </cell>
          <cell r="F1004" t="str">
            <v>COSФ</v>
          </cell>
          <cell r="G1004" t="str">
            <v>倍</v>
          </cell>
          <cell r="H1004" t="str">
            <v>倍</v>
          </cell>
          <cell r="I1004" t="str">
            <v>倍</v>
          </cell>
          <cell r="J1004" t="str">
            <v>kg·m2</v>
          </cell>
          <cell r="K1004" t="str">
            <v>kg</v>
          </cell>
          <cell r="L1004" t="str">
            <v>h</v>
          </cell>
        </row>
        <row r="1005">
          <cell r="A1005" t="str">
            <v>YKK3551-2</v>
          </cell>
          <cell r="B1005">
            <v>220</v>
          </cell>
          <cell r="C1005">
            <v>26.9</v>
          </cell>
          <cell r="D1005">
            <v>2975</v>
          </cell>
          <cell r="E1005">
            <v>92.5</v>
          </cell>
          <cell r="F1005">
            <v>0.85</v>
          </cell>
          <cell r="G1005">
            <v>1.8</v>
          </cell>
          <cell r="H1005">
            <v>0.6</v>
          </cell>
          <cell r="I1005">
            <v>7</v>
          </cell>
        </row>
        <row r="1005">
          <cell r="L1005">
            <v>5000</v>
          </cell>
        </row>
        <row r="1006">
          <cell r="A1006" t="str">
            <v>YKK3552-2</v>
          </cell>
          <cell r="B1006">
            <v>250</v>
          </cell>
          <cell r="C1006">
            <v>30.6</v>
          </cell>
        </row>
        <row r="1006">
          <cell r="E1006">
            <v>92.6</v>
          </cell>
        </row>
        <row r="1007">
          <cell r="A1007" t="str">
            <v>YKK3553-2</v>
          </cell>
          <cell r="B1007">
            <v>280</v>
          </cell>
          <cell r="C1007">
            <v>34.2</v>
          </cell>
        </row>
        <row r="1007">
          <cell r="E1007">
            <v>92.8</v>
          </cell>
        </row>
        <row r="1008">
          <cell r="A1008" t="str">
            <v>YKK3554-2</v>
          </cell>
          <cell r="B1008">
            <v>315</v>
          </cell>
          <cell r="C1008">
            <v>38.3</v>
          </cell>
        </row>
        <row r="1008">
          <cell r="E1008">
            <v>93.1</v>
          </cell>
        </row>
        <row r="1009">
          <cell r="A1009" t="str">
            <v>YKK4003-2</v>
          </cell>
          <cell r="B1009">
            <v>355</v>
          </cell>
          <cell r="C1009">
            <v>42.5</v>
          </cell>
        </row>
        <row r="1009">
          <cell r="E1009">
            <v>93.4</v>
          </cell>
          <cell r="F1009">
            <v>0.86</v>
          </cell>
        </row>
        <row r="1010">
          <cell r="A1010" t="str">
            <v>YKK4004-2</v>
          </cell>
          <cell r="B1010">
            <v>400</v>
          </cell>
          <cell r="C1010">
            <v>47.8</v>
          </cell>
        </row>
        <row r="1010">
          <cell r="E1010">
            <v>93.7</v>
          </cell>
        </row>
        <row r="1011">
          <cell r="A1011" t="str">
            <v>YKK4005-2</v>
          </cell>
          <cell r="B1011">
            <v>450</v>
          </cell>
          <cell r="C1011">
            <v>53.6</v>
          </cell>
        </row>
        <row r="1011">
          <cell r="E1011">
            <v>94</v>
          </cell>
        </row>
        <row r="1012">
          <cell r="A1012" t="str">
            <v>YKK4006-2</v>
          </cell>
          <cell r="B1012">
            <v>500</v>
          </cell>
          <cell r="C1012">
            <v>59.4</v>
          </cell>
        </row>
        <row r="1012">
          <cell r="E1012">
            <v>94.2</v>
          </cell>
        </row>
        <row r="1013">
          <cell r="A1013" t="str">
            <v>YKK4502-2</v>
          </cell>
          <cell r="B1013">
            <v>560</v>
          </cell>
          <cell r="C1013">
            <v>66.4</v>
          </cell>
        </row>
        <row r="1013">
          <cell r="E1013">
            <v>94.4</v>
          </cell>
        </row>
        <row r="1014">
          <cell r="A1014" t="str">
            <v>YKK4503-2</v>
          </cell>
          <cell r="B1014">
            <v>630</v>
          </cell>
          <cell r="C1014">
            <v>73.7</v>
          </cell>
        </row>
        <row r="1014">
          <cell r="E1014">
            <v>94.6</v>
          </cell>
          <cell r="F1014">
            <v>0.87</v>
          </cell>
        </row>
        <row r="1015">
          <cell r="A1015" t="str">
            <v>YKK4504-2</v>
          </cell>
          <cell r="B1015">
            <v>710</v>
          </cell>
          <cell r="C1015">
            <v>82.9</v>
          </cell>
        </row>
        <row r="1015">
          <cell r="E1015">
            <v>94.7</v>
          </cell>
        </row>
        <row r="1016">
          <cell r="A1016" t="str">
            <v>YKK4505-2</v>
          </cell>
          <cell r="B1016">
            <v>800</v>
          </cell>
          <cell r="C1016">
            <v>93.3</v>
          </cell>
        </row>
        <row r="1016">
          <cell r="E1016">
            <v>94.8</v>
          </cell>
        </row>
        <row r="1017">
          <cell r="A1017" t="str">
            <v>YKK5001-2</v>
          </cell>
          <cell r="B1017">
            <v>900</v>
          </cell>
          <cell r="C1017">
            <v>104.8</v>
          </cell>
        </row>
        <row r="1017">
          <cell r="E1017">
            <v>95</v>
          </cell>
        </row>
        <row r="1018">
          <cell r="A1018" t="str">
            <v>YKK5002-2</v>
          </cell>
          <cell r="B1018">
            <v>1000</v>
          </cell>
          <cell r="C1018">
            <v>116.3</v>
          </cell>
        </row>
        <row r="1018">
          <cell r="E1018">
            <v>95.1</v>
          </cell>
        </row>
        <row r="1019">
          <cell r="A1019" t="str">
            <v>YKK5003-2</v>
          </cell>
          <cell r="B1019">
            <v>1120</v>
          </cell>
          <cell r="C1019">
            <v>130.1</v>
          </cell>
        </row>
        <row r="1019">
          <cell r="E1019">
            <v>95.2</v>
          </cell>
        </row>
        <row r="1020">
          <cell r="A1020" t="str">
            <v>YKK5004-2</v>
          </cell>
          <cell r="B1020">
            <v>1250</v>
          </cell>
          <cell r="C1020">
            <v>145.1</v>
          </cell>
        </row>
        <row r="1020">
          <cell r="E1020">
            <v>95.3</v>
          </cell>
        </row>
        <row r="1021">
          <cell r="A1021" t="str">
            <v>YKK5601-2</v>
          </cell>
          <cell r="B1021">
            <v>1400</v>
          </cell>
          <cell r="C1021">
            <v>160.5</v>
          </cell>
        </row>
        <row r="1021">
          <cell r="E1021">
            <v>95.4</v>
          </cell>
          <cell r="F1021">
            <v>0.88</v>
          </cell>
        </row>
        <row r="1022">
          <cell r="A1022" t="str">
            <v>YKK5602-2</v>
          </cell>
          <cell r="B1022">
            <v>1600</v>
          </cell>
          <cell r="C1022">
            <v>183.2</v>
          </cell>
        </row>
        <row r="1022">
          <cell r="E1022">
            <v>95.5</v>
          </cell>
        </row>
        <row r="1023">
          <cell r="A1023" t="str">
            <v>YKK5603-2</v>
          </cell>
          <cell r="B1023">
            <v>1800</v>
          </cell>
          <cell r="C1023">
            <v>205.9</v>
          </cell>
        </row>
        <row r="1023">
          <cell r="E1023">
            <v>95.6</v>
          </cell>
        </row>
        <row r="1024">
          <cell r="A1024" t="str">
            <v>YKK6301-2</v>
          </cell>
          <cell r="B1024">
            <v>2000</v>
          </cell>
          <cell r="C1024">
            <v>228.5</v>
          </cell>
        </row>
        <row r="1024">
          <cell r="E1024">
            <v>95.7</v>
          </cell>
        </row>
        <row r="1025">
          <cell r="A1025" t="str">
            <v>YKK6302-2</v>
          </cell>
          <cell r="B1025">
            <v>2240</v>
          </cell>
          <cell r="C1025">
            <v>255.7</v>
          </cell>
        </row>
        <row r="1025">
          <cell r="E1025">
            <v>95.8</v>
          </cell>
        </row>
        <row r="1026">
          <cell r="A1026" t="str">
            <v>YKK6303-2</v>
          </cell>
          <cell r="B1026">
            <v>2500</v>
          </cell>
          <cell r="C1026">
            <v>285.1</v>
          </cell>
        </row>
        <row r="1026">
          <cell r="E1026">
            <v>95.9</v>
          </cell>
        </row>
        <row r="1027">
          <cell r="A1027" t="str">
            <v>YKK3551-4</v>
          </cell>
          <cell r="B1027">
            <v>185</v>
          </cell>
          <cell r="C1027">
            <v>22.6</v>
          </cell>
          <cell r="D1027">
            <v>1485</v>
          </cell>
          <cell r="E1027">
            <v>92.8</v>
          </cell>
          <cell r="F1027">
            <v>0.85</v>
          </cell>
          <cell r="G1027">
            <v>1.8</v>
          </cell>
          <cell r="H1027">
            <v>0.7</v>
          </cell>
          <cell r="I1027">
            <v>6.5</v>
          </cell>
          <cell r="J1027">
            <v>14</v>
          </cell>
          <cell r="K1027">
            <v>1910</v>
          </cell>
          <cell r="L1027">
            <v>8000</v>
          </cell>
        </row>
        <row r="1028">
          <cell r="A1028" t="str">
            <v>YKK3552-4</v>
          </cell>
          <cell r="B1028">
            <v>200</v>
          </cell>
          <cell r="C1028">
            <v>24.4</v>
          </cell>
        </row>
        <row r="1028">
          <cell r="E1028">
            <v>92.9</v>
          </cell>
        </row>
        <row r="1028">
          <cell r="J1028">
            <v>15</v>
          </cell>
          <cell r="K1028">
            <v>1950</v>
          </cell>
        </row>
        <row r="1029">
          <cell r="A1029" t="str">
            <v>YKK3553-4</v>
          </cell>
          <cell r="B1029">
            <v>220</v>
          </cell>
          <cell r="C1029">
            <v>26.8</v>
          </cell>
        </row>
        <row r="1029">
          <cell r="E1029">
            <v>93</v>
          </cell>
        </row>
        <row r="1029">
          <cell r="J1029">
            <v>16</v>
          </cell>
          <cell r="K1029">
            <v>1990</v>
          </cell>
        </row>
        <row r="1030">
          <cell r="A1030" t="str">
            <v>YKK3554-4</v>
          </cell>
          <cell r="B1030">
            <v>250</v>
          </cell>
          <cell r="C1030">
            <v>30.4</v>
          </cell>
        </row>
        <row r="1030">
          <cell r="E1030">
            <v>93.1</v>
          </cell>
        </row>
        <row r="1030">
          <cell r="J1030">
            <v>17</v>
          </cell>
          <cell r="K1030">
            <v>2050</v>
          </cell>
        </row>
        <row r="1031">
          <cell r="A1031" t="str">
            <v>YKK4002-4</v>
          </cell>
          <cell r="B1031">
            <v>280</v>
          </cell>
          <cell r="C1031">
            <v>33.6</v>
          </cell>
        </row>
        <row r="1031">
          <cell r="E1031">
            <v>93.2</v>
          </cell>
          <cell r="F1031">
            <v>0.86</v>
          </cell>
        </row>
        <row r="1031">
          <cell r="J1031">
            <v>26</v>
          </cell>
          <cell r="K1031">
            <v>2500</v>
          </cell>
        </row>
        <row r="1032">
          <cell r="A1032" t="str">
            <v>YKK4003-4</v>
          </cell>
          <cell r="B1032">
            <v>315</v>
          </cell>
          <cell r="C1032">
            <v>37.8</v>
          </cell>
        </row>
        <row r="1032">
          <cell r="E1032">
            <v>93.3</v>
          </cell>
        </row>
        <row r="1032">
          <cell r="J1032">
            <v>26</v>
          </cell>
          <cell r="K1032">
            <v>2540</v>
          </cell>
        </row>
        <row r="1033">
          <cell r="A1033" t="str">
            <v>YKK4004-4</v>
          </cell>
          <cell r="B1033">
            <v>355</v>
          </cell>
          <cell r="C1033">
            <v>42.5</v>
          </cell>
        </row>
        <row r="1033">
          <cell r="E1033">
            <v>93.5</v>
          </cell>
        </row>
        <row r="1033">
          <cell r="J1033">
            <v>28.4</v>
          </cell>
          <cell r="K1033">
            <v>2620</v>
          </cell>
        </row>
        <row r="1034">
          <cell r="A1034" t="str">
            <v>YKK4005-4</v>
          </cell>
          <cell r="B1034">
            <v>400</v>
          </cell>
          <cell r="C1034">
            <v>47.8</v>
          </cell>
        </row>
        <row r="1034">
          <cell r="E1034">
            <v>93.7</v>
          </cell>
        </row>
        <row r="1034">
          <cell r="J1034">
            <v>30</v>
          </cell>
          <cell r="K1034">
            <v>2690</v>
          </cell>
        </row>
        <row r="1035">
          <cell r="A1035" t="str">
            <v>YKK4006-4</v>
          </cell>
          <cell r="B1035">
            <v>450</v>
          </cell>
          <cell r="C1035">
            <v>53.6</v>
          </cell>
        </row>
        <row r="1035">
          <cell r="E1035">
            <v>93.9</v>
          </cell>
        </row>
        <row r="1035">
          <cell r="J1035">
            <v>33</v>
          </cell>
          <cell r="K1035">
            <v>2770</v>
          </cell>
        </row>
        <row r="1036">
          <cell r="A1036" t="str">
            <v>YKK4502-4</v>
          </cell>
          <cell r="B1036">
            <v>500</v>
          </cell>
          <cell r="C1036">
            <v>60</v>
          </cell>
          <cell r="D1036">
            <v>1490</v>
          </cell>
          <cell r="E1036">
            <v>94</v>
          </cell>
        </row>
        <row r="1036">
          <cell r="J1036">
            <v>50</v>
          </cell>
          <cell r="K1036">
            <v>3430</v>
          </cell>
          <cell r="L1036">
            <v>6000</v>
          </cell>
        </row>
        <row r="1037">
          <cell r="A1037" t="str">
            <v>YKK4503-4</v>
          </cell>
          <cell r="B1037">
            <v>560</v>
          </cell>
          <cell r="C1037">
            <v>67</v>
          </cell>
        </row>
        <row r="1037">
          <cell r="E1037">
            <v>94.2</v>
          </cell>
        </row>
        <row r="1037">
          <cell r="J1037">
            <v>53</v>
          </cell>
          <cell r="K1037">
            <v>3520</v>
          </cell>
        </row>
        <row r="1038">
          <cell r="A1038" t="str">
            <v>YKK4504-4</v>
          </cell>
          <cell r="B1038">
            <v>630</v>
          </cell>
          <cell r="C1038">
            <v>75</v>
          </cell>
        </row>
        <row r="1038">
          <cell r="E1038">
            <v>94.4</v>
          </cell>
        </row>
        <row r="1038">
          <cell r="J1038">
            <v>58</v>
          </cell>
          <cell r="K1038">
            <v>3640</v>
          </cell>
          <cell r="L1038">
            <v>4000</v>
          </cell>
        </row>
        <row r="1039">
          <cell r="A1039" t="str">
            <v>YKK4505-4</v>
          </cell>
          <cell r="B1039">
            <v>710</v>
          </cell>
          <cell r="C1039">
            <v>84</v>
          </cell>
        </row>
        <row r="1039">
          <cell r="E1039">
            <v>94.6</v>
          </cell>
        </row>
        <row r="1039">
          <cell r="J1039">
            <v>68</v>
          </cell>
          <cell r="K1039">
            <v>3860</v>
          </cell>
        </row>
        <row r="1040">
          <cell r="A1040" t="str">
            <v>YKK5001-4</v>
          </cell>
          <cell r="B1040">
            <v>800</v>
          </cell>
          <cell r="C1040">
            <v>93.3</v>
          </cell>
        </row>
        <row r="1040">
          <cell r="E1040">
            <v>94.8</v>
          </cell>
          <cell r="F1040">
            <v>0.87</v>
          </cell>
        </row>
        <row r="1040">
          <cell r="J1040">
            <v>120</v>
          </cell>
          <cell r="K1040">
            <v>4610</v>
          </cell>
        </row>
        <row r="1041">
          <cell r="A1041" t="str">
            <v>YKK5002-4</v>
          </cell>
          <cell r="B1041">
            <v>900</v>
          </cell>
          <cell r="C1041">
            <v>104.9</v>
          </cell>
        </row>
        <row r="1041">
          <cell r="E1041">
            <v>94.9</v>
          </cell>
        </row>
        <row r="1041">
          <cell r="J1041">
            <v>120</v>
          </cell>
          <cell r="K1041">
            <v>4610</v>
          </cell>
        </row>
        <row r="1042">
          <cell r="A1042" t="str">
            <v>YKK5003-4</v>
          </cell>
          <cell r="B1042">
            <v>1000</v>
          </cell>
          <cell r="C1042">
            <v>116.4</v>
          </cell>
        </row>
        <row r="1042">
          <cell r="E1042">
            <v>95</v>
          </cell>
        </row>
        <row r="1042">
          <cell r="J1042">
            <v>140</v>
          </cell>
          <cell r="K1042">
            <v>4920</v>
          </cell>
          <cell r="L1042">
            <v>2000</v>
          </cell>
        </row>
        <row r="1043">
          <cell r="A1043" t="str">
            <v>YKK5004-4</v>
          </cell>
          <cell r="B1043">
            <v>1120</v>
          </cell>
          <cell r="C1043">
            <v>130.3</v>
          </cell>
        </row>
        <row r="1043">
          <cell r="E1043">
            <v>95.1</v>
          </cell>
        </row>
        <row r="1043">
          <cell r="J1043">
            <v>150</v>
          </cell>
          <cell r="K1043">
            <v>5070</v>
          </cell>
        </row>
        <row r="1044">
          <cell r="A1044" t="str">
            <v>YKK5601-4</v>
          </cell>
          <cell r="B1044">
            <v>1250</v>
          </cell>
          <cell r="C1044">
            <v>143.6</v>
          </cell>
        </row>
        <row r="1044">
          <cell r="E1044">
            <v>95.2</v>
          </cell>
          <cell r="F1044">
            <v>0.88</v>
          </cell>
        </row>
        <row r="1044">
          <cell r="H1044">
            <v>0.6</v>
          </cell>
        </row>
        <row r="1045">
          <cell r="A1045" t="str">
            <v>YKK5602-4</v>
          </cell>
          <cell r="B1045">
            <v>1400</v>
          </cell>
          <cell r="C1045">
            <v>160.6</v>
          </cell>
        </row>
        <row r="1045">
          <cell r="E1045">
            <v>95.3</v>
          </cell>
        </row>
        <row r="1046">
          <cell r="A1046" t="str">
            <v>YKK5603-4</v>
          </cell>
          <cell r="B1046">
            <v>1600</v>
          </cell>
          <cell r="C1046">
            <v>183.4</v>
          </cell>
        </row>
        <row r="1046">
          <cell r="E1046">
            <v>95.4</v>
          </cell>
        </row>
        <row r="1047">
          <cell r="A1047" t="str">
            <v>YKK6301-4</v>
          </cell>
          <cell r="B1047">
            <v>1800</v>
          </cell>
          <cell r="C1047">
            <v>206.1</v>
          </cell>
        </row>
        <row r="1047">
          <cell r="E1047">
            <v>95.5</v>
          </cell>
        </row>
        <row r="1048">
          <cell r="A1048" t="str">
            <v>YKK6302-4</v>
          </cell>
          <cell r="B1048">
            <v>2000</v>
          </cell>
          <cell r="C1048">
            <v>228.8</v>
          </cell>
        </row>
        <row r="1048">
          <cell r="E1048">
            <v>95.6</v>
          </cell>
        </row>
        <row r="1049">
          <cell r="A1049" t="str">
            <v>YKK6303-4</v>
          </cell>
          <cell r="B1049">
            <v>2240</v>
          </cell>
          <cell r="C1049">
            <v>255.9</v>
          </cell>
        </row>
        <row r="1049">
          <cell r="E1049">
            <v>95.7</v>
          </cell>
        </row>
        <row r="1050">
          <cell r="A1050" t="str">
            <v>YKK4001-6</v>
          </cell>
          <cell r="B1050">
            <v>185</v>
          </cell>
          <cell r="C1050">
            <v>23.5</v>
          </cell>
        </row>
        <row r="1050">
          <cell r="E1050">
            <v>92.4</v>
          </cell>
          <cell r="F1050">
            <v>0.82</v>
          </cell>
          <cell r="G1050">
            <v>1.8</v>
          </cell>
          <cell r="H1050">
            <v>0.7</v>
          </cell>
          <cell r="I1050">
            <v>6</v>
          </cell>
          <cell r="J1050">
            <v>40</v>
          </cell>
          <cell r="K1050">
            <v>2450</v>
          </cell>
          <cell r="L1050">
            <v>8000</v>
          </cell>
        </row>
        <row r="1051">
          <cell r="A1051" t="str">
            <v>YKK4002-6</v>
          </cell>
          <cell r="B1051">
            <v>200</v>
          </cell>
          <cell r="C1051">
            <v>25.3</v>
          </cell>
        </row>
        <row r="1051">
          <cell r="E1051">
            <v>92.6</v>
          </cell>
        </row>
        <row r="1051">
          <cell r="J1051">
            <v>40</v>
          </cell>
          <cell r="K1051">
            <v>2500</v>
          </cell>
        </row>
        <row r="1052">
          <cell r="A1052" t="str">
            <v>YKK4003-6</v>
          </cell>
          <cell r="B1052">
            <v>220</v>
          </cell>
          <cell r="C1052">
            <v>27.8</v>
          </cell>
        </row>
        <row r="1052">
          <cell r="E1052">
            <v>92.8</v>
          </cell>
        </row>
        <row r="1052">
          <cell r="J1052">
            <v>42</v>
          </cell>
          <cell r="K1052">
            <v>2560</v>
          </cell>
        </row>
        <row r="1053">
          <cell r="A1053" t="str">
            <v>YKK4004-6</v>
          </cell>
          <cell r="B1053">
            <v>250</v>
          </cell>
          <cell r="C1053">
            <v>31.5</v>
          </cell>
        </row>
        <row r="1053">
          <cell r="E1053">
            <v>93</v>
          </cell>
        </row>
        <row r="1053">
          <cell r="J1053">
            <v>46</v>
          </cell>
          <cell r="K1053">
            <v>2580</v>
          </cell>
        </row>
        <row r="1054">
          <cell r="A1054" t="str">
            <v>YKK4005-6</v>
          </cell>
          <cell r="B1054">
            <v>280</v>
          </cell>
          <cell r="C1054">
            <v>35.2</v>
          </cell>
        </row>
        <row r="1054">
          <cell r="E1054">
            <v>93.3</v>
          </cell>
        </row>
        <row r="1054">
          <cell r="J1054">
            <v>50</v>
          </cell>
          <cell r="K1054">
            <v>2730</v>
          </cell>
        </row>
        <row r="1055">
          <cell r="A1055" t="str">
            <v>YKK4006-6</v>
          </cell>
          <cell r="B1055">
            <v>315</v>
          </cell>
          <cell r="C1055">
            <v>39.5</v>
          </cell>
        </row>
        <row r="1055">
          <cell r="E1055">
            <v>93.5</v>
          </cell>
        </row>
        <row r="1055">
          <cell r="J1055">
            <v>53</v>
          </cell>
          <cell r="K1055">
            <v>2820</v>
          </cell>
        </row>
        <row r="1056">
          <cell r="A1056" t="str">
            <v>YKK4502-6</v>
          </cell>
          <cell r="B1056">
            <v>355</v>
          </cell>
          <cell r="C1056">
            <v>44</v>
          </cell>
          <cell r="D1056">
            <v>990</v>
          </cell>
          <cell r="E1056">
            <v>93.7</v>
          </cell>
          <cell r="F1056">
            <v>0.83</v>
          </cell>
        </row>
        <row r="1056">
          <cell r="J1056">
            <v>71</v>
          </cell>
          <cell r="K1056">
            <v>3390</v>
          </cell>
        </row>
        <row r="1057">
          <cell r="A1057" t="str">
            <v>YKK4503-6</v>
          </cell>
          <cell r="B1057">
            <v>400</v>
          </cell>
          <cell r="C1057">
            <v>49</v>
          </cell>
        </row>
        <row r="1057">
          <cell r="E1057">
            <v>93.8</v>
          </cell>
        </row>
        <row r="1057">
          <cell r="J1057">
            <v>77</v>
          </cell>
          <cell r="K1057">
            <v>3480</v>
          </cell>
        </row>
        <row r="1058">
          <cell r="A1058" t="str">
            <v>YKK4504-6</v>
          </cell>
          <cell r="B1058">
            <v>450</v>
          </cell>
          <cell r="C1058">
            <v>55</v>
          </cell>
        </row>
        <row r="1058">
          <cell r="E1058">
            <v>94.1</v>
          </cell>
        </row>
        <row r="1058">
          <cell r="J1058">
            <v>77</v>
          </cell>
          <cell r="K1058">
            <v>3480</v>
          </cell>
          <cell r="L1058">
            <v>6000</v>
          </cell>
        </row>
        <row r="1059">
          <cell r="A1059" t="str">
            <v>YKK4505-6</v>
          </cell>
          <cell r="B1059">
            <v>500</v>
          </cell>
          <cell r="C1059">
            <v>62</v>
          </cell>
        </row>
        <row r="1059">
          <cell r="E1059">
            <v>94.3</v>
          </cell>
        </row>
        <row r="1059">
          <cell r="J1059">
            <v>84</v>
          </cell>
          <cell r="K1059">
            <v>2580</v>
          </cell>
        </row>
        <row r="1060">
          <cell r="A1060" t="str">
            <v>YKK5001-6</v>
          </cell>
          <cell r="B1060">
            <v>560</v>
          </cell>
          <cell r="C1060">
            <v>68</v>
          </cell>
        </row>
        <row r="1060">
          <cell r="E1060">
            <v>94.4</v>
          </cell>
          <cell r="F1060">
            <v>0.84</v>
          </cell>
        </row>
        <row r="1060">
          <cell r="J1060">
            <v>157</v>
          </cell>
          <cell r="K1060">
            <v>4350</v>
          </cell>
        </row>
        <row r="1061">
          <cell r="A1061" t="str">
            <v>YKK5002-6</v>
          </cell>
          <cell r="B1061">
            <v>630</v>
          </cell>
          <cell r="C1061">
            <v>76.4</v>
          </cell>
        </row>
        <row r="1061">
          <cell r="E1061">
            <v>94.5</v>
          </cell>
        </row>
        <row r="1061">
          <cell r="J1061">
            <v>157</v>
          </cell>
          <cell r="K1061">
            <v>4360</v>
          </cell>
        </row>
        <row r="1062">
          <cell r="A1062" t="str">
            <v>YKK5003-6</v>
          </cell>
          <cell r="B1062">
            <v>710</v>
          </cell>
          <cell r="C1062">
            <v>85.8</v>
          </cell>
        </row>
        <row r="1062">
          <cell r="E1062">
            <v>94.8</v>
          </cell>
        </row>
        <row r="1062">
          <cell r="J1062">
            <v>171</v>
          </cell>
          <cell r="K1062">
            <v>4500</v>
          </cell>
        </row>
        <row r="1063">
          <cell r="A1063" t="str">
            <v>YKK5004-6</v>
          </cell>
          <cell r="B1063">
            <v>800</v>
          </cell>
          <cell r="C1063">
            <v>96.6</v>
          </cell>
        </row>
        <row r="1063">
          <cell r="E1063">
            <v>94.9</v>
          </cell>
        </row>
        <row r="1063">
          <cell r="J1063">
            <v>200</v>
          </cell>
          <cell r="K1063">
            <v>4780</v>
          </cell>
          <cell r="L1063">
            <v>4000</v>
          </cell>
        </row>
        <row r="1064">
          <cell r="A1064" t="str">
            <v>YKK5601-6</v>
          </cell>
          <cell r="B1064">
            <v>900</v>
          </cell>
          <cell r="C1064">
            <v>107.3</v>
          </cell>
        </row>
        <row r="1064">
          <cell r="E1064">
            <v>95</v>
          </cell>
          <cell r="F1064">
            <v>0.85</v>
          </cell>
        </row>
        <row r="1064">
          <cell r="I1064">
            <v>6.5</v>
          </cell>
        </row>
        <row r="1065">
          <cell r="A1065" t="str">
            <v>YKK5602-6</v>
          </cell>
          <cell r="B1065">
            <v>1000</v>
          </cell>
          <cell r="C1065">
            <v>119</v>
          </cell>
        </row>
        <row r="1065">
          <cell r="E1065">
            <v>95.1</v>
          </cell>
        </row>
        <row r="1066">
          <cell r="A1066" t="str">
            <v>YKK5603-6</v>
          </cell>
          <cell r="B1066">
            <v>1120</v>
          </cell>
          <cell r="C1066">
            <v>133.2</v>
          </cell>
        </row>
        <row r="1066">
          <cell r="E1066">
            <v>95.2</v>
          </cell>
        </row>
        <row r="1067">
          <cell r="A1067" t="str">
            <v>YKK6301-6</v>
          </cell>
          <cell r="B1067">
            <v>1250</v>
          </cell>
          <cell r="C1067">
            <v>146.8</v>
          </cell>
        </row>
        <row r="1067">
          <cell r="E1067">
            <v>95.3</v>
          </cell>
          <cell r="F1067">
            <v>0.86</v>
          </cell>
        </row>
        <row r="1068">
          <cell r="A1068" t="str">
            <v>YKK6302-6</v>
          </cell>
          <cell r="B1068">
            <v>1400</v>
          </cell>
          <cell r="C1068">
            <v>164.2</v>
          </cell>
        </row>
        <row r="1068">
          <cell r="E1068">
            <v>95.4</v>
          </cell>
        </row>
        <row r="1069">
          <cell r="A1069" t="str">
            <v>YKK6303-6</v>
          </cell>
          <cell r="B1069">
            <v>1600</v>
          </cell>
          <cell r="C1069">
            <v>187.5</v>
          </cell>
        </row>
        <row r="1069">
          <cell r="E1069">
            <v>95.5</v>
          </cell>
        </row>
        <row r="1070">
          <cell r="A1070" t="str">
            <v>YKK4004-8</v>
          </cell>
          <cell r="B1070">
            <v>185</v>
          </cell>
          <cell r="C1070">
            <v>24.7</v>
          </cell>
          <cell r="D1070">
            <v>740</v>
          </cell>
          <cell r="E1070">
            <v>92.5</v>
          </cell>
          <cell r="F1070">
            <v>0.78</v>
          </cell>
          <cell r="G1070">
            <v>1.8</v>
          </cell>
          <cell r="H1070">
            <v>0.8</v>
          </cell>
          <cell r="I1070">
            <v>5.5</v>
          </cell>
          <cell r="J1070">
            <v>50</v>
          </cell>
          <cell r="K1070">
            <v>2620</v>
          </cell>
          <cell r="L1070">
            <v>8000</v>
          </cell>
        </row>
        <row r="1071">
          <cell r="A1071" t="str">
            <v>YKK4005-8</v>
          </cell>
          <cell r="B1071">
            <v>200</v>
          </cell>
          <cell r="C1071">
            <v>26.6</v>
          </cell>
        </row>
        <row r="1071">
          <cell r="E1071">
            <v>92.7</v>
          </cell>
        </row>
        <row r="1071">
          <cell r="J1071">
            <v>53</v>
          </cell>
          <cell r="K1071">
            <v>2700</v>
          </cell>
        </row>
        <row r="1072">
          <cell r="A1072" t="str">
            <v>YKK4006-8</v>
          </cell>
          <cell r="B1072">
            <v>220</v>
          </cell>
          <cell r="C1072">
            <v>29.2</v>
          </cell>
        </row>
        <row r="1072">
          <cell r="E1072">
            <v>92.9</v>
          </cell>
        </row>
        <row r="1072">
          <cell r="J1072">
            <v>58</v>
          </cell>
          <cell r="K1072">
            <v>2790</v>
          </cell>
        </row>
        <row r="1073">
          <cell r="A1073" t="str">
            <v>YKK4502-8</v>
          </cell>
          <cell r="B1073">
            <v>250</v>
          </cell>
          <cell r="C1073">
            <v>33</v>
          </cell>
        </row>
        <row r="1073">
          <cell r="E1073">
            <v>93</v>
          </cell>
          <cell r="F1073">
            <v>0.79</v>
          </cell>
        </row>
        <row r="1073">
          <cell r="J1073">
            <v>77</v>
          </cell>
          <cell r="K1073">
            <v>3460</v>
          </cell>
        </row>
        <row r="1074">
          <cell r="A1074" t="str">
            <v>YKK4503-8</v>
          </cell>
          <cell r="B1074">
            <v>280</v>
          </cell>
          <cell r="C1074">
            <v>37</v>
          </cell>
        </row>
        <row r="1074">
          <cell r="E1074">
            <v>93.2</v>
          </cell>
        </row>
        <row r="1074">
          <cell r="J1074">
            <v>84</v>
          </cell>
          <cell r="K1074">
            <v>3570</v>
          </cell>
        </row>
        <row r="1075">
          <cell r="A1075" t="str">
            <v>YKK4504-8</v>
          </cell>
          <cell r="B1075">
            <v>315</v>
          </cell>
          <cell r="C1075">
            <v>41</v>
          </cell>
        </row>
        <row r="1075">
          <cell r="E1075">
            <v>93.4</v>
          </cell>
        </row>
        <row r="1075">
          <cell r="J1075">
            <v>91</v>
          </cell>
          <cell r="K1075">
            <v>3690</v>
          </cell>
        </row>
        <row r="1076">
          <cell r="A1076" t="str">
            <v>YKK4505-8</v>
          </cell>
          <cell r="B1076">
            <v>355</v>
          </cell>
          <cell r="C1076">
            <v>46</v>
          </cell>
        </row>
        <row r="1076">
          <cell r="E1076">
            <v>93.5</v>
          </cell>
        </row>
        <row r="1076">
          <cell r="J1076">
            <v>98</v>
          </cell>
          <cell r="K1076">
            <v>3800</v>
          </cell>
        </row>
        <row r="1077">
          <cell r="A1077" t="str">
            <v>YKK5001-8</v>
          </cell>
          <cell r="B1077">
            <v>400</v>
          </cell>
          <cell r="C1077">
            <v>51.3</v>
          </cell>
          <cell r="D1077">
            <v>745</v>
          </cell>
          <cell r="E1077">
            <v>93.7</v>
          </cell>
          <cell r="F1077">
            <v>0.8</v>
          </cell>
        </row>
        <row r="1077">
          <cell r="J1077">
            <v>146</v>
          </cell>
          <cell r="K1077">
            <v>4240</v>
          </cell>
        </row>
        <row r="1078">
          <cell r="A1078" t="str">
            <v>YKK5002-8</v>
          </cell>
          <cell r="B1078">
            <v>450</v>
          </cell>
          <cell r="C1078">
            <v>57.7</v>
          </cell>
        </row>
        <row r="1078">
          <cell r="E1078">
            <v>93.8</v>
          </cell>
        </row>
        <row r="1078">
          <cell r="J1078">
            <v>146</v>
          </cell>
          <cell r="K1078">
            <v>4240</v>
          </cell>
        </row>
        <row r="1079">
          <cell r="A1079" t="str">
            <v>YKK5003-8</v>
          </cell>
          <cell r="B1079">
            <v>500</v>
          </cell>
          <cell r="C1079">
            <v>63.8</v>
          </cell>
          <cell r="D1079">
            <v>740</v>
          </cell>
          <cell r="E1079">
            <v>94.2</v>
          </cell>
        </row>
        <row r="1079">
          <cell r="J1079">
            <v>171</v>
          </cell>
          <cell r="K1079">
            <v>4490</v>
          </cell>
        </row>
        <row r="1080">
          <cell r="A1080" t="str">
            <v>YKK5004-8</v>
          </cell>
          <cell r="B1080">
            <v>560</v>
          </cell>
          <cell r="C1080">
            <v>71.4</v>
          </cell>
        </row>
        <row r="1080">
          <cell r="E1080">
            <v>94.4</v>
          </cell>
        </row>
        <row r="1080">
          <cell r="J1080">
            <v>186</v>
          </cell>
          <cell r="K1080">
            <v>4630</v>
          </cell>
        </row>
        <row r="1081">
          <cell r="A1081" t="str">
            <v>YKK5601-8</v>
          </cell>
          <cell r="B1081">
            <v>630</v>
          </cell>
          <cell r="C1081">
            <v>78.2</v>
          </cell>
        </row>
        <row r="1081">
          <cell r="E1081">
            <v>94.5</v>
          </cell>
          <cell r="F1081">
            <v>0.82</v>
          </cell>
        </row>
        <row r="1081">
          <cell r="H1081">
            <v>0.7</v>
          </cell>
          <cell r="I1081">
            <v>6</v>
          </cell>
        </row>
        <row r="1082">
          <cell r="A1082" t="str">
            <v>YKK5602-8</v>
          </cell>
          <cell r="B1082">
            <v>710</v>
          </cell>
          <cell r="C1082">
            <v>88.1</v>
          </cell>
        </row>
        <row r="1082">
          <cell r="E1082">
            <v>94.6</v>
          </cell>
        </row>
        <row r="1083">
          <cell r="A1083" t="str">
            <v>YKK5603-8</v>
          </cell>
          <cell r="B1083">
            <v>800</v>
          </cell>
          <cell r="C1083">
            <v>99.1</v>
          </cell>
        </row>
        <row r="1083">
          <cell r="E1083">
            <v>94.7</v>
          </cell>
        </row>
        <row r="1084">
          <cell r="A1084" t="str">
            <v>YKK6301-8</v>
          </cell>
          <cell r="B1084">
            <v>900</v>
          </cell>
          <cell r="C1084">
            <v>108.8</v>
          </cell>
        </row>
        <row r="1084">
          <cell r="E1084">
            <v>94.8</v>
          </cell>
          <cell r="F1084">
            <v>0.84</v>
          </cell>
        </row>
        <row r="1085">
          <cell r="A1085" t="str">
            <v>YKK6302-8</v>
          </cell>
          <cell r="B1085">
            <v>1000</v>
          </cell>
          <cell r="C1085">
            <v>120.7</v>
          </cell>
        </row>
        <row r="1085">
          <cell r="E1085">
            <v>94.9</v>
          </cell>
        </row>
        <row r="1086">
          <cell r="A1086" t="str">
            <v>YKK6303-8</v>
          </cell>
          <cell r="B1086">
            <v>1120</v>
          </cell>
          <cell r="C1086">
            <v>135.1</v>
          </cell>
        </row>
        <row r="1086">
          <cell r="E1086">
            <v>95</v>
          </cell>
        </row>
        <row r="1087">
          <cell r="A1087" t="str">
            <v>YKK6304-8</v>
          </cell>
          <cell r="B1087">
            <v>1250</v>
          </cell>
          <cell r="C1087">
            <v>150.6</v>
          </cell>
        </row>
        <row r="1087">
          <cell r="E1087">
            <v>95.1</v>
          </cell>
        </row>
        <row r="1088">
          <cell r="A1088" t="str">
            <v>YKK4501-10</v>
          </cell>
          <cell r="B1088">
            <v>1850</v>
          </cell>
          <cell r="C1088">
            <v>26</v>
          </cell>
          <cell r="D1088">
            <v>595</v>
          </cell>
          <cell r="E1088">
            <v>91.7</v>
          </cell>
          <cell r="F1088">
            <v>0.75</v>
          </cell>
          <cell r="G1088">
            <v>1.8</v>
          </cell>
          <cell r="H1088">
            <v>0.8</v>
          </cell>
          <cell r="I1088">
            <v>5.5</v>
          </cell>
          <cell r="J1088">
            <v>103</v>
          </cell>
          <cell r="K1088">
            <v>3280</v>
          </cell>
          <cell r="L1088">
            <v>8000</v>
          </cell>
        </row>
        <row r="1089">
          <cell r="A1089" t="str">
            <v>YKK4502-10</v>
          </cell>
          <cell r="B1089">
            <v>200</v>
          </cell>
          <cell r="C1089">
            <v>28</v>
          </cell>
        </row>
        <row r="1089">
          <cell r="E1089">
            <v>91.9</v>
          </cell>
        </row>
        <row r="1089">
          <cell r="J1089">
            <v>110</v>
          </cell>
          <cell r="K1089">
            <v>3370</v>
          </cell>
        </row>
        <row r="1090">
          <cell r="A1090" t="str">
            <v>YKK4503-10</v>
          </cell>
          <cell r="B1090">
            <v>220</v>
          </cell>
          <cell r="C1090">
            <v>31</v>
          </cell>
        </row>
        <row r="1090">
          <cell r="E1090">
            <v>92.1</v>
          </cell>
        </row>
        <row r="1090">
          <cell r="J1090">
            <v>120</v>
          </cell>
          <cell r="K1090">
            <v>3460</v>
          </cell>
        </row>
        <row r="1091">
          <cell r="A1091" t="str">
            <v>YKK4504-10</v>
          </cell>
          <cell r="B1091">
            <v>250</v>
          </cell>
          <cell r="C1091">
            <v>35</v>
          </cell>
        </row>
        <row r="1091">
          <cell r="E1091">
            <v>92.3</v>
          </cell>
        </row>
        <row r="1091">
          <cell r="J1091">
            <v>130</v>
          </cell>
          <cell r="K1091">
            <v>3570</v>
          </cell>
        </row>
        <row r="1092">
          <cell r="A1092" t="str">
            <v>YKK4505-10</v>
          </cell>
          <cell r="B1092">
            <v>280</v>
          </cell>
          <cell r="C1092">
            <v>39</v>
          </cell>
        </row>
        <row r="1092">
          <cell r="E1092">
            <v>92.5</v>
          </cell>
        </row>
        <row r="1092">
          <cell r="J1092">
            <v>140</v>
          </cell>
          <cell r="K1092">
            <v>3690</v>
          </cell>
        </row>
        <row r="1093">
          <cell r="A1093" t="str">
            <v>YKK5001-10</v>
          </cell>
          <cell r="B1093">
            <v>315</v>
          </cell>
          <cell r="C1093">
            <v>43</v>
          </cell>
        </row>
        <row r="1093">
          <cell r="E1093">
            <v>92.8</v>
          </cell>
          <cell r="F1093">
            <v>0.76</v>
          </cell>
        </row>
        <row r="1093">
          <cell r="J1093">
            <v>190</v>
          </cell>
          <cell r="K1093">
            <v>4170</v>
          </cell>
        </row>
        <row r="1094">
          <cell r="A1094" t="str">
            <v>YKK5002-10</v>
          </cell>
          <cell r="B1094">
            <v>355</v>
          </cell>
          <cell r="C1094">
            <v>48.3</v>
          </cell>
        </row>
        <row r="1094">
          <cell r="E1094">
            <v>93</v>
          </cell>
        </row>
        <row r="1094">
          <cell r="J1094">
            <v>204</v>
          </cell>
          <cell r="K1094">
            <v>4280</v>
          </cell>
        </row>
        <row r="1095">
          <cell r="A1095" t="str">
            <v>YKK5003-10</v>
          </cell>
          <cell r="B1095">
            <v>400</v>
          </cell>
          <cell r="C1095">
            <v>54.3</v>
          </cell>
        </row>
        <row r="1095">
          <cell r="E1095">
            <v>93.3</v>
          </cell>
        </row>
        <row r="1095">
          <cell r="J1095">
            <v>223</v>
          </cell>
          <cell r="K1095">
            <v>4410</v>
          </cell>
        </row>
        <row r="1096">
          <cell r="A1096" t="str">
            <v>YKK5004-10</v>
          </cell>
          <cell r="B1096">
            <v>450</v>
          </cell>
          <cell r="C1096">
            <v>61</v>
          </cell>
        </row>
        <row r="1096">
          <cell r="E1096">
            <v>93.4</v>
          </cell>
        </row>
        <row r="1096">
          <cell r="J1096">
            <v>242</v>
          </cell>
          <cell r="K1096">
            <v>4540</v>
          </cell>
        </row>
        <row r="1097">
          <cell r="A1097" t="str">
            <v>YKK5601-10</v>
          </cell>
          <cell r="B1097">
            <v>500</v>
          </cell>
          <cell r="C1097">
            <v>65.9</v>
          </cell>
        </row>
        <row r="1097">
          <cell r="E1097">
            <v>93.6</v>
          </cell>
          <cell r="F1097">
            <v>0.78</v>
          </cell>
        </row>
        <row r="1097">
          <cell r="H1097">
            <v>0.7</v>
          </cell>
          <cell r="I1097">
            <v>6</v>
          </cell>
        </row>
        <row r="1098">
          <cell r="A1098" t="str">
            <v>YKK5602-10</v>
          </cell>
          <cell r="B1098">
            <v>560</v>
          </cell>
          <cell r="C1098">
            <v>73.7</v>
          </cell>
        </row>
        <row r="1098">
          <cell r="E1098">
            <v>93.7</v>
          </cell>
        </row>
        <row r="1099">
          <cell r="A1099" t="str">
            <v>YKK5603-10</v>
          </cell>
          <cell r="B1099">
            <v>630</v>
          </cell>
          <cell r="C1099">
            <v>82.9</v>
          </cell>
        </row>
        <row r="1099">
          <cell r="E1099">
            <v>93.8</v>
          </cell>
        </row>
        <row r="1100">
          <cell r="A1100" t="str">
            <v>YKK5604-10</v>
          </cell>
          <cell r="B1100">
            <v>710</v>
          </cell>
          <cell r="C1100">
            <v>93.2</v>
          </cell>
        </row>
        <row r="1100">
          <cell r="E1100">
            <v>94</v>
          </cell>
        </row>
        <row r="1101">
          <cell r="A1101" t="str">
            <v>YKK6301-10</v>
          </cell>
          <cell r="B1101">
            <v>800</v>
          </cell>
          <cell r="C1101">
            <v>102.1</v>
          </cell>
        </row>
        <row r="1101">
          <cell r="E1101">
            <v>94.2</v>
          </cell>
          <cell r="F1101">
            <v>0.8</v>
          </cell>
        </row>
        <row r="1102">
          <cell r="A1102" t="str">
            <v>YKK6302-10</v>
          </cell>
          <cell r="B1102">
            <v>900</v>
          </cell>
          <cell r="C1102">
            <v>114.8</v>
          </cell>
        </row>
        <row r="1102">
          <cell r="E1102">
            <v>94.3</v>
          </cell>
        </row>
        <row r="1103">
          <cell r="A1103" t="str">
            <v>YKK6303-10</v>
          </cell>
          <cell r="B1103">
            <v>1000</v>
          </cell>
          <cell r="C1103">
            <v>127.4</v>
          </cell>
        </row>
        <row r="1103">
          <cell r="E1103">
            <v>94.4</v>
          </cell>
        </row>
        <row r="1104">
          <cell r="A1104" t="str">
            <v>YKK6304-10</v>
          </cell>
          <cell r="B1104">
            <v>1120</v>
          </cell>
          <cell r="C1104">
            <v>142.4</v>
          </cell>
        </row>
        <row r="1104">
          <cell r="E1104">
            <v>94.6</v>
          </cell>
        </row>
        <row r="1105">
          <cell r="A1105" t="str">
            <v>YKK4504-12</v>
          </cell>
          <cell r="B1105">
            <v>185</v>
          </cell>
          <cell r="C1105">
            <v>28</v>
          </cell>
          <cell r="D1105">
            <v>495</v>
          </cell>
          <cell r="E1105">
            <v>91.8</v>
          </cell>
          <cell r="F1105">
            <v>0.7</v>
          </cell>
          <cell r="G1105">
            <v>1.8</v>
          </cell>
          <cell r="H1105">
            <v>0.8</v>
          </cell>
          <cell r="I1105">
            <v>5.5</v>
          </cell>
          <cell r="J1105">
            <v>130</v>
          </cell>
          <cell r="K1105">
            <v>3530</v>
          </cell>
          <cell r="L1105">
            <v>8000</v>
          </cell>
        </row>
        <row r="1106">
          <cell r="A1106" t="str">
            <v>YKK4505-12</v>
          </cell>
          <cell r="B1106">
            <v>200</v>
          </cell>
          <cell r="C1106">
            <v>30</v>
          </cell>
        </row>
        <row r="1106">
          <cell r="E1106">
            <v>92</v>
          </cell>
        </row>
        <row r="1106">
          <cell r="J1106">
            <v>140</v>
          </cell>
          <cell r="K1106">
            <v>3620</v>
          </cell>
        </row>
        <row r="1107">
          <cell r="A1107" t="str">
            <v>YKK5001-12</v>
          </cell>
          <cell r="B1107">
            <v>220</v>
          </cell>
          <cell r="C1107">
            <v>31.9</v>
          </cell>
        </row>
        <row r="1107">
          <cell r="E1107">
            <v>92.2</v>
          </cell>
          <cell r="F1107">
            <v>0.72</v>
          </cell>
        </row>
        <row r="1107">
          <cell r="J1107">
            <v>204</v>
          </cell>
          <cell r="K1107">
            <v>4210</v>
          </cell>
        </row>
        <row r="1108">
          <cell r="A1108" t="str">
            <v>YKK5002-12</v>
          </cell>
          <cell r="B1108">
            <v>250</v>
          </cell>
          <cell r="C1108">
            <v>36.1</v>
          </cell>
        </row>
        <row r="1108">
          <cell r="E1108">
            <v>92.5</v>
          </cell>
        </row>
        <row r="1108">
          <cell r="J1108">
            <v>223</v>
          </cell>
          <cell r="K1108">
            <v>4350</v>
          </cell>
        </row>
        <row r="1109">
          <cell r="A1109" t="str">
            <v>YKK5003-12</v>
          </cell>
          <cell r="B1109">
            <v>280</v>
          </cell>
          <cell r="C1109">
            <v>40.4</v>
          </cell>
        </row>
        <row r="1109">
          <cell r="E1109">
            <v>92.7</v>
          </cell>
        </row>
        <row r="1109">
          <cell r="J1109">
            <v>242</v>
          </cell>
          <cell r="K1109">
            <v>4490</v>
          </cell>
        </row>
        <row r="1110">
          <cell r="A1110" t="str">
            <v>YKK5004-12</v>
          </cell>
          <cell r="B1110">
            <v>315</v>
          </cell>
          <cell r="C1110">
            <v>45.4</v>
          </cell>
        </row>
        <row r="1110">
          <cell r="E1110">
            <v>92.8</v>
          </cell>
        </row>
        <row r="1110">
          <cell r="J1110">
            <v>260</v>
          </cell>
          <cell r="K1110">
            <v>4630</v>
          </cell>
        </row>
        <row r="1111">
          <cell r="A1111" t="str">
            <v>YKK5601-12</v>
          </cell>
          <cell r="B1111">
            <v>355</v>
          </cell>
          <cell r="C1111">
            <v>49.6</v>
          </cell>
        </row>
        <row r="1111">
          <cell r="E1111">
            <v>93</v>
          </cell>
          <cell r="F1111">
            <v>0.74</v>
          </cell>
        </row>
        <row r="1111">
          <cell r="H1111">
            <v>0.7</v>
          </cell>
          <cell r="I1111">
            <v>6</v>
          </cell>
        </row>
        <row r="1112">
          <cell r="A1112" t="str">
            <v>YKK5602-12</v>
          </cell>
          <cell r="B1112">
            <v>400</v>
          </cell>
          <cell r="C1112">
            <v>55.7</v>
          </cell>
        </row>
        <row r="1112">
          <cell r="E1112">
            <v>93.3</v>
          </cell>
        </row>
        <row r="1113">
          <cell r="A1113" t="str">
            <v>YKK5603-12</v>
          </cell>
          <cell r="B1113">
            <v>450</v>
          </cell>
          <cell r="C1113">
            <v>62.7</v>
          </cell>
        </row>
        <row r="1113">
          <cell r="E1113">
            <v>93.4</v>
          </cell>
        </row>
        <row r="1114">
          <cell r="A1114" t="str">
            <v>YKK5604-12</v>
          </cell>
          <cell r="B1114">
            <v>500</v>
          </cell>
          <cell r="C1114">
            <v>69.4</v>
          </cell>
        </row>
        <row r="1114">
          <cell r="E1114">
            <v>93.7</v>
          </cell>
        </row>
        <row r="1115">
          <cell r="A1115" t="str">
            <v>YKK6301-12</v>
          </cell>
          <cell r="B1115">
            <v>560</v>
          </cell>
          <cell r="C1115">
            <v>75.6</v>
          </cell>
        </row>
        <row r="1115">
          <cell r="E1115">
            <v>93.8</v>
          </cell>
          <cell r="F1115">
            <v>0.76</v>
          </cell>
        </row>
        <row r="1116">
          <cell r="A1116" t="str">
            <v>YKK6302-12</v>
          </cell>
          <cell r="B1116">
            <v>630</v>
          </cell>
          <cell r="C1116">
            <v>84.9</v>
          </cell>
        </row>
        <row r="1116">
          <cell r="E1116">
            <v>93.9</v>
          </cell>
        </row>
        <row r="1117">
          <cell r="A1117" t="str">
            <v>YKK6303-12</v>
          </cell>
          <cell r="B1117">
            <v>710</v>
          </cell>
          <cell r="C1117">
            <v>95.6</v>
          </cell>
        </row>
        <row r="1117">
          <cell r="E1117">
            <v>94</v>
          </cell>
        </row>
        <row r="1118">
          <cell r="A1118" t="str">
            <v>YKK6304-12</v>
          </cell>
          <cell r="B1118">
            <v>800</v>
          </cell>
          <cell r="C1118">
            <v>107.5</v>
          </cell>
        </row>
        <row r="1118">
          <cell r="E1118">
            <v>94.2</v>
          </cell>
        </row>
        <row r="1119">
          <cell r="A1119" t="str">
            <v>10KV</v>
          </cell>
        </row>
        <row r="1120">
          <cell r="A1120" t="str">
            <v>型    号</v>
          </cell>
          <cell r="B1120" t="str">
            <v>额定  功率</v>
          </cell>
          <cell r="C1120" t="str">
            <v>额定   电流</v>
          </cell>
          <cell r="D1120" t="str">
            <v>转速</v>
          </cell>
          <cell r="E1120" t="str">
            <v>效率</v>
          </cell>
          <cell r="F1120" t="str">
            <v>功率 因数</v>
          </cell>
          <cell r="G1120" t="str">
            <v>最大转矩</v>
          </cell>
          <cell r="H1120" t="str">
            <v>起动转矩</v>
          </cell>
          <cell r="I1120" t="str">
            <v>起动电流</v>
          </cell>
          <cell r="J1120" t="str">
            <v>GD2</v>
          </cell>
          <cell r="K1120" t="str">
            <v>重量</v>
          </cell>
          <cell r="L1120" t="str">
            <v>加油周期</v>
          </cell>
        </row>
        <row r="1121">
          <cell r="G1121" t="str">
            <v>额定转矩</v>
          </cell>
          <cell r="H1121" t="str">
            <v>额定转矩</v>
          </cell>
          <cell r="I1121" t="str">
            <v>额定电流</v>
          </cell>
        </row>
        <row r="1122">
          <cell r="B1122" t="str">
            <v>kW</v>
          </cell>
          <cell r="C1122" t="str">
            <v>A</v>
          </cell>
          <cell r="D1122" t="str">
            <v>r/min</v>
          </cell>
          <cell r="E1122" t="str">
            <v>%</v>
          </cell>
          <cell r="F1122" t="str">
            <v>COSФ</v>
          </cell>
          <cell r="G1122" t="str">
            <v>倍</v>
          </cell>
          <cell r="H1122" t="str">
            <v>倍</v>
          </cell>
          <cell r="I1122" t="str">
            <v>倍</v>
          </cell>
          <cell r="J1122" t="str">
            <v>kg·m2</v>
          </cell>
          <cell r="K1122" t="str">
            <v>kg</v>
          </cell>
          <cell r="L1122" t="str">
            <v>h</v>
          </cell>
        </row>
        <row r="1123">
          <cell r="A1123" t="str">
            <v>YKK450-2C</v>
          </cell>
          <cell r="B1123">
            <v>220</v>
          </cell>
          <cell r="C1123">
            <v>16.3</v>
          </cell>
          <cell r="D1123">
            <v>2975</v>
          </cell>
          <cell r="E1123">
            <v>91.6</v>
          </cell>
          <cell r="F1123">
            <v>0.85</v>
          </cell>
          <cell r="G1123">
            <v>1.8</v>
          </cell>
          <cell r="H1123">
            <v>0.55</v>
          </cell>
          <cell r="I1123">
            <v>7</v>
          </cell>
        </row>
        <row r="1123">
          <cell r="L1123">
            <v>5000</v>
          </cell>
        </row>
        <row r="1124">
          <cell r="A1124" t="str">
            <v>YKK450-2B</v>
          </cell>
          <cell r="B1124">
            <v>250</v>
          </cell>
          <cell r="C1124">
            <v>18.5</v>
          </cell>
        </row>
        <row r="1124">
          <cell r="E1124">
            <v>91.9</v>
          </cell>
        </row>
        <row r="1125">
          <cell r="A1125" t="str">
            <v>YKK450-2A</v>
          </cell>
          <cell r="B1125">
            <v>280</v>
          </cell>
          <cell r="C1125">
            <v>20.6</v>
          </cell>
        </row>
        <row r="1125">
          <cell r="E1125">
            <v>92.2</v>
          </cell>
        </row>
        <row r="1126">
          <cell r="A1126" t="str">
            <v>YKK4501-2</v>
          </cell>
          <cell r="B1126">
            <v>315</v>
          </cell>
          <cell r="C1126">
            <v>22.9</v>
          </cell>
        </row>
        <row r="1126">
          <cell r="E1126">
            <v>92.4</v>
          </cell>
          <cell r="F1126">
            <v>0.86</v>
          </cell>
        </row>
        <row r="1127">
          <cell r="A1127" t="str">
            <v>YKK4502-2</v>
          </cell>
          <cell r="B1127">
            <v>355</v>
          </cell>
          <cell r="C1127">
            <v>25.7</v>
          </cell>
        </row>
        <row r="1127">
          <cell r="E1127">
            <v>92.6</v>
          </cell>
        </row>
        <row r="1128">
          <cell r="A1128" t="str">
            <v>YKK4503-2</v>
          </cell>
          <cell r="B1128">
            <v>400</v>
          </cell>
          <cell r="C1128">
            <v>28.9</v>
          </cell>
        </row>
        <row r="1128">
          <cell r="E1128">
            <v>92.8</v>
          </cell>
        </row>
        <row r="1129">
          <cell r="A1129" t="str">
            <v>YKK4504-2</v>
          </cell>
          <cell r="B1129">
            <v>450</v>
          </cell>
          <cell r="C1129">
            <v>32.1</v>
          </cell>
        </row>
        <row r="1129">
          <cell r="E1129">
            <v>93</v>
          </cell>
          <cell r="F1129">
            <v>0.87</v>
          </cell>
        </row>
        <row r="1130">
          <cell r="A1130" t="str">
            <v>YKK4505-2</v>
          </cell>
          <cell r="B1130">
            <v>500</v>
          </cell>
          <cell r="C1130">
            <v>35.6</v>
          </cell>
        </row>
        <row r="1130">
          <cell r="E1130">
            <v>93.3</v>
          </cell>
        </row>
        <row r="1131">
          <cell r="A1131" t="str">
            <v>YKK4506-2</v>
          </cell>
          <cell r="B1131">
            <v>560</v>
          </cell>
          <cell r="C1131">
            <v>39.7</v>
          </cell>
        </row>
        <row r="1131">
          <cell r="E1131">
            <v>93.5</v>
          </cell>
        </row>
        <row r="1132">
          <cell r="A1132" t="str">
            <v>YKK5001-2</v>
          </cell>
          <cell r="B1132">
            <v>630</v>
          </cell>
          <cell r="C1132">
            <v>44.2</v>
          </cell>
        </row>
        <row r="1132">
          <cell r="E1132">
            <v>93.6</v>
          </cell>
          <cell r="F1132">
            <v>0.88</v>
          </cell>
        </row>
        <row r="1133">
          <cell r="A1133" t="str">
            <v>YKK5002-2</v>
          </cell>
          <cell r="B1133">
            <v>710</v>
          </cell>
          <cell r="C1133">
            <v>49.7</v>
          </cell>
        </row>
        <row r="1133">
          <cell r="E1133">
            <v>93.7</v>
          </cell>
        </row>
        <row r="1134">
          <cell r="A1134" t="str">
            <v>YKK5003-2</v>
          </cell>
          <cell r="B1134">
            <v>800</v>
          </cell>
          <cell r="C1134">
            <v>56</v>
          </cell>
        </row>
        <row r="1134">
          <cell r="E1134">
            <v>93.8</v>
          </cell>
        </row>
        <row r="1135">
          <cell r="A1135" t="str">
            <v>YKK5004-2</v>
          </cell>
          <cell r="B1135">
            <v>900</v>
          </cell>
          <cell r="C1135">
            <v>62.9</v>
          </cell>
        </row>
        <row r="1135">
          <cell r="E1135">
            <v>93.9</v>
          </cell>
        </row>
        <row r="1136">
          <cell r="A1136" t="str">
            <v>YKK5005-2</v>
          </cell>
          <cell r="B1136">
            <v>1000</v>
          </cell>
          <cell r="C1136">
            <v>69.8</v>
          </cell>
        </row>
        <row r="1136">
          <cell r="E1136">
            <v>94</v>
          </cell>
        </row>
        <row r="1137">
          <cell r="A1137" t="str">
            <v>YKK5601-2</v>
          </cell>
          <cell r="B1137">
            <v>1120</v>
          </cell>
          <cell r="C1137">
            <v>77.1</v>
          </cell>
        </row>
        <row r="1137">
          <cell r="E1137">
            <v>94.2</v>
          </cell>
          <cell r="F1137">
            <v>0.89</v>
          </cell>
        </row>
        <row r="1138">
          <cell r="A1138" t="str">
            <v>YKK5602-2</v>
          </cell>
          <cell r="B1138">
            <v>1250</v>
          </cell>
          <cell r="C1138">
            <v>86</v>
          </cell>
        </row>
        <row r="1138">
          <cell r="E1138">
            <v>94.3</v>
          </cell>
        </row>
        <row r="1139">
          <cell r="A1139" t="str">
            <v>YKK5603-2</v>
          </cell>
          <cell r="B1139">
            <v>1400</v>
          </cell>
          <cell r="C1139">
            <v>96.2</v>
          </cell>
        </row>
        <row r="1139">
          <cell r="E1139">
            <v>94.4</v>
          </cell>
        </row>
        <row r="1140">
          <cell r="A1140" t="str">
            <v>YKK6301-2</v>
          </cell>
          <cell r="B1140">
            <v>1600</v>
          </cell>
          <cell r="C1140">
            <v>108.5</v>
          </cell>
        </row>
        <row r="1140">
          <cell r="E1140">
            <v>94.6</v>
          </cell>
          <cell r="F1140">
            <v>0.9</v>
          </cell>
        </row>
        <row r="1141">
          <cell r="A1141" t="str">
            <v>YKK6302-2</v>
          </cell>
          <cell r="B1141">
            <v>1800</v>
          </cell>
          <cell r="C1141">
            <v>121.9</v>
          </cell>
        </row>
        <row r="1141">
          <cell r="E1141">
            <v>94.7</v>
          </cell>
        </row>
        <row r="1142">
          <cell r="A1142" t="str">
            <v>YKK6303-2</v>
          </cell>
          <cell r="B1142">
            <v>2000</v>
          </cell>
          <cell r="C1142">
            <v>135.3</v>
          </cell>
        </row>
        <row r="1142">
          <cell r="E1142">
            <v>94.8</v>
          </cell>
        </row>
        <row r="1143">
          <cell r="A1143" t="str">
            <v>YKK450-4D</v>
          </cell>
          <cell r="B1143">
            <v>200</v>
          </cell>
          <cell r="C1143">
            <v>15.1</v>
          </cell>
          <cell r="D1143">
            <v>1490</v>
          </cell>
          <cell r="E1143">
            <v>91.3</v>
          </cell>
          <cell r="F1143">
            <v>0.84</v>
          </cell>
          <cell r="G1143">
            <v>1.8</v>
          </cell>
          <cell r="H1143">
            <v>0.7</v>
          </cell>
          <cell r="I1143">
            <v>7</v>
          </cell>
        </row>
        <row r="1143">
          <cell r="L1143">
            <v>6000</v>
          </cell>
        </row>
        <row r="1144">
          <cell r="A1144" t="str">
            <v>YKK450-4C</v>
          </cell>
          <cell r="B1144">
            <v>220</v>
          </cell>
          <cell r="C1144">
            <v>16.3</v>
          </cell>
        </row>
        <row r="1144">
          <cell r="E1144">
            <v>91.5</v>
          </cell>
          <cell r="F1144">
            <v>0.85</v>
          </cell>
        </row>
        <row r="1145">
          <cell r="A1145" t="str">
            <v>YKK450-4B</v>
          </cell>
          <cell r="B1145">
            <v>250</v>
          </cell>
          <cell r="C1145">
            <v>18.5</v>
          </cell>
        </row>
        <row r="1145">
          <cell r="E1145">
            <v>91.7</v>
          </cell>
        </row>
        <row r="1146">
          <cell r="A1146" t="str">
            <v>YKK450-4A</v>
          </cell>
          <cell r="B1146">
            <v>280</v>
          </cell>
          <cell r="C1146">
            <v>20.7</v>
          </cell>
        </row>
        <row r="1146">
          <cell r="E1146">
            <v>91.9</v>
          </cell>
        </row>
        <row r="1147">
          <cell r="A1147" t="str">
            <v>YKK4501-4</v>
          </cell>
          <cell r="B1147">
            <v>315</v>
          </cell>
          <cell r="C1147">
            <v>23</v>
          </cell>
        </row>
        <row r="1147">
          <cell r="E1147">
            <v>92.1</v>
          </cell>
          <cell r="F1147">
            <v>0.86</v>
          </cell>
        </row>
        <row r="1148">
          <cell r="A1148" t="str">
            <v>YKK4502-4</v>
          </cell>
          <cell r="B1148">
            <v>355</v>
          </cell>
          <cell r="C1148">
            <v>25.8</v>
          </cell>
        </row>
        <row r="1148">
          <cell r="E1148">
            <v>92.3</v>
          </cell>
        </row>
        <row r="1149">
          <cell r="A1149" t="str">
            <v>YKK4503-4</v>
          </cell>
          <cell r="B1149">
            <v>400</v>
          </cell>
          <cell r="C1149">
            <v>29</v>
          </cell>
        </row>
        <row r="1149">
          <cell r="E1149">
            <v>92.5</v>
          </cell>
        </row>
        <row r="1150">
          <cell r="A1150" t="str">
            <v>YKK4504-4</v>
          </cell>
          <cell r="B1150">
            <v>450</v>
          </cell>
          <cell r="C1150">
            <v>32.6</v>
          </cell>
        </row>
        <row r="1150">
          <cell r="E1150">
            <v>92.7</v>
          </cell>
        </row>
        <row r="1151">
          <cell r="A1151" t="str">
            <v>YKK4505-4</v>
          </cell>
          <cell r="B1151">
            <v>500</v>
          </cell>
          <cell r="C1151">
            <v>36.1</v>
          </cell>
        </row>
        <row r="1151">
          <cell r="E1151">
            <v>92.9</v>
          </cell>
        </row>
        <row r="1152">
          <cell r="A1152" t="str">
            <v>YKK4506-4</v>
          </cell>
          <cell r="B1152">
            <v>560</v>
          </cell>
          <cell r="C1152">
            <v>39.9</v>
          </cell>
        </row>
        <row r="1152">
          <cell r="E1152">
            <v>93.1</v>
          </cell>
          <cell r="F1152">
            <v>0.87</v>
          </cell>
        </row>
        <row r="1152">
          <cell r="L1152">
            <v>4000</v>
          </cell>
        </row>
        <row r="1153">
          <cell r="A1153" t="str">
            <v>YKK5001-4</v>
          </cell>
          <cell r="B1153">
            <v>630</v>
          </cell>
          <cell r="C1153">
            <v>44.8</v>
          </cell>
        </row>
        <row r="1153">
          <cell r="E1153">
            <v>93.3</v>
          </cell>
        </row>
        <row r="1154">
          <cell r="A1154" t="str">
            <v>YKK5002-4</v>
          </cell>
          <cell r="B1154">
            <v>710</v>
          </cell>
          <cell r="C1154">
            <v>50.3</v>
          </cell>
          <cell r="D1154">
            <v>1490</v>
          </cell>
          <cell r="E1154">
            <v>93.6</v>
          </cell>
          <cell r="F1154">
            <v>0.87</v>
          </cell>
        </row>
        <row r="1154">
          <cell r="H1154">
            <v>0.7</v>
          </cell>
          <cell r="I1154">
            <v>7</v>
          </cell>
        </row>
        <row r="1155">
          <cell r="A1155" t="str">
            <v>YKK5003-4</v>
          </cell>
          <cell r="B1155">
            <v>800</v>
          </cell>
          <cell r="C1155">
            <v>55.9</v>
          </cell>
        </row>
        <row r="1155">
          <cell r="E1155">
            <v>93.9</v>
          </cell>
          <cell r="F1155">
            <v>0.88</v>
          </cell>
        </row>
        <row r="1155">
          <cell r="L1155">
            <v>2000</v>
          </cell>
        </row>
        <row r="1156">
          <cell r="A1156" t="str">
            <v>YKK5004-4</v>
          </cell>
          <cell r="B1156">
            <v>900</v>
          </cell>
          <cell r="C1156">
            <v>62.7</v>
          </cell>
        </row>
        <row r="1156">
          <cell r="E1156">
            <v>94.1</v>
          </cell>
        </row>
        <row r="1157">
          <cell r="A1157" t="str">
            <v>YKK5005-4</v>
          </cell>
          <cell r="B1157">
            <v>1000</v>
          </cell>
          <cell r="C1157">
            <v>69.6</v>
          </cell>
        </row>
        <row r="1157">
          <cell r="E1157">
            <v>94.3</v>
          </cell>
        </row>
        <row r="1158">
          <cell r="A1158" t="str">
            <v>YKK5601-4</v>
          </cell>
          <cell r="B1158">
            <v>1120</v>
          </cell>
          <cell r="C1158">
            <v>76.9</v>
          </cell>
        </row>
        <row r="1158">
          <cell r="E1158">
            <v>94.5</v>
          </cell>
          <cell r="F1158">
            <v>0.89</v>
          </cell>
        </row>
        <row r="1159">
          <cell r="A1159" t="str">
            <v>YKK5602-4</v>
          </cell>
          <cell r="B1159">
            <v>1250</v>
          </cell>
          <cell r="C1159">
            <v>85.7</v>
          </cell>
        </row>
        <row r="1159">
          <cell r="E1159">
            <v>94.6</v>
          </cell>
        </row>
        <row r="1160">
          <cell r="A1160" t="str">
            <v>YKK5603-4</v>
          </cell>
          <cell r="B1160">
            <v>1400</v>
          </cell>
          <cell r="C1160">
            <v>95.9</v>
          </cell>
        </row>
        <row r="1160">
          <cell r="E1160">
            <v>94.7</v>
          </cell>
        </row>
        <row r="1161">
          <cell r="A1161" t="str">
            <v>YKK6301-4</v>
          </cell>
          <cell r="B1161">
            <v>1600</v>
          </cell>
          <cell r="C1161">
            <v>109.4</v>
          </cell>
        </row>
        <row r="1161">
          <cell r="E1161">
            <v>94.9</v>
          </cell>
        </row>
        <row r="1161">
          <cell r="H1161">
            <v>0.6</v>
          </cell>
        </row>
        <row r="1162">
          <cell r="A1162" t="str">
            <v>YKK6302-4</v>
          </cell>
          <cell r="B1162">
            <v>1800</v>
          </cell>
          <cell r="C1162">
            <v>122.9</v>
          </cell>
        </row>
        <row r="1162">
          <cell r="E1162">
            <v>95</v>
          </cell>
        </row>
        <row r="1163">
          <cell r="A1163" t="str">
            <v>YKK6303-4</v>
          </cell>
          <cell r="B1163">
            <v>2000</v>
          </cell>
          <cell r="C1163">
            <v>136.4</v>
          </cell>
        </row>
        <row r="1163">
          <cell r="E1163">
            <v>95.1</v>
          </cell>
        </row>
        <row r="1164">
          <cell r="A1164" t="str">
            <v>YKK450-6A</v>
          </cell>
          <cell r="B1164">
            <v>200</v>
          </cell>
          <cell r="C1164">
            <v>15.6</v>
          </cell>
          <cell r="D1164">
            <v>995</v>
          </cell>
          <cell r="E1164">
            <v>91.5</v>
          </cell>
          <cell r="F1164">
            <v>0.81</v>
          </cell>
          <cell r="G1164">
            <v>1.8</v>
          </cell>
          <cell r="H1164">
            <v>0.7</v>
          </cell>
          <cell r="I1164">
            <v>6</v>
          </cell>
        </row>
        <row r="1164">
          <cell r="L1164">
            <v>8000</v>
          </cell>
        </row>
        <row r="1165">
          <cell r="A1165" t="str">
            <v>YKK4501-6</v>
          </cell>
          <cell r="B1165">
            <v>220</v>
          </cell>
          <cell r="C1165">
            <v>17.1</v>
          </cell>
        </row>
        <row r="1165">
          <cell r="E1165">
            <v>91.7</v>
          </cell>
        </row>
        <row r="1166">
          <cell r="A1166" t="str">
            <v>YKK4502-6</v>
          </cell>
          <cell r="B1166">
            <v>250</v>
          </cell>
          <cell r="C1166">
            <v>19.2</v>
          </cell>
        </row>
        <row r="1166">
          <cell r="E1166">
            <v>91.9</v>
          </cell>
          <cell r="F1166">
            <v>0.82</v>
          </cell>
        </row>
        <row r="1167">
          <cell r="A1167" t="str">
            <v>YKK4503-6</v>
          </cell>
          <cell r="B1167">
            <v>280</v>
          </cell>
          <cell r="C1167">
            <v>21.4</v>
          </cell>
        </row>
        <row r="1167">
          <cell r="E1167">
            <v>92</v>
          </cell>
        </row>
        <row r="1168">
          <cell r="A1168" t="str">
            <v>YKK4504-6</v>
          </cell>
          <cell r="B1168">
            <v>315</v>
          </cell>
          <cell r="C1168">
            <v>24.1</v>
          </cell>
        </row>
        <row r="1168">
          <cell r="E1168">
            <v>92.2</v>
          </cell>
        </row>
        <row r="1168">
          <cell r="L1168">
            <v>6000</v>
          </cell>
        </row>
        <row r="1169">
          <cell r="A1169" t="str">
            <v>YKK4505-6</v>
          </cell>
          <cell r="B1169">
            <v>355</v>
          </cell>
          <cell r="C1169">
            <v>27</v>
          </cell>
        </row>
        <row r="1169">
          <cell r="E1169">
            <v>92.5</v>
          </cell>
        </row>
        <row r="1170">
          <cell r="A1170" t="str">
            <v>YKK4506-6</v>
          </cell>
          <cell r="B1170">
            <v>400</v>
          </cell>
          <cell r="C1170">
            <v>30</v>
          </cell>
        </row>
        <row r="1170">
          <cell r="E1170">
            <v>92.7</v>
          </cell>
          <cell r="F1170">
            <v>0.83</v>
          </cell>
        </row>
        <row r="1171">
          <cell r="A1171" t="str">
            <v>YKK5001-6</v>
          </cell>
          <cell r="B1171">
            <v>450</v>
          </cell>
          <cell r="C1171">
            <v>33.3</v>
          </cell>
        </row>
        <row r="1171">
          <cell r="E1171">
            <v>93</v>
          </cell>
          <cell r="F1171">
            <v>0.84</v>
          </cell>
        </row>
        <row r="1172">
          <cell r="A1172" t="str">
            <v>YKK5002-6</v>
          </cell>
          <cell r="B1172">
            <v>500</v>
          </cell>
          <cell r="C1172">
            <v>36.9</v>
          </cell>
        </row>
        <row r="1172">
          <cell r="E1172">
            <v>93.2</v>
          </cell>
        </row>
        <row r="1173">
          <cell r="A1173" t="str">
            <v>YKK5003-6</v>
          </cell>
          <cell r="B1173">
            <v>560</v>
          </cell>
          <cell r="C1173">
            <v>41.2</v>
          </cell>
        </row>
        <row r="1173">
          <cell r="E1173">
            <v>93.5</v>
          </cell>
        </row>
        <row r="1173">
          <cell r="L1173">
            <v>4000</v>
          </cell>
        </row>
        <row r="1174">
          <cell r="A1174" t="str">
            <v>YKK5004-6</v>
          </cell>
          <cell r="B1174">
            <v>630</v>
          </cell>
          <cell r="C1174">
            <v>46.1</v>
          </cell>
        </row>
        <row r="1174">
          <cell r="E1174">
            <v>93.9</v>
          </cell>
        </row>
        <row r="1175">
          <cell r="A1175" t="str">
            <v>YKK5005-6</v>
          </cell>
          <cell r="B1175">
            <v>710</v>
          </cell>
          <cell r="C1175">
            <v>51.9</v>
          </cell>
        </row>
        <row r="1175">
          <cell r="E1175">
            <v>94</v>
          </cell>
        </row>
        <row r="1176">
          <cell r="A1176" t="str">
            <v>YKK5601-6</v>
          </cell>
          <cell r="B1176">
            <v>800</v>
          </cell>
          <cell r="C1176">
            <v>57.7</v>
          </cell>
        </row>
        <row r="1176">
          <cell r="E1176">
            <v>94.2</v>
          </cell>
          <cell r="F1176">
            <v>0.85</v>
          </cell>
        </row>
        <row r="1177">
          <cell r="A1177" t="str">
            <v>YKK5602-6</v>
          </cell>
          <cell r="B1177">
            <v>900</v>
          </cell>
          <cell r="C1177">
            <v>64.8</v>
          </cell>
        </row>
        <row r="1177">
          <cell r="E1177">
            <v>94.3</v>
          </cell>
        </row>
        <row r="1178">
          <cell r="A1178" t="str">
            <v>YKK5603-6</v>
          </cell>
          <cell r="B1178">
            <v>1000</v>
          </cell>
          <cell r="C1178">
            <v>72</v>
          </cell>
        </row>
        <row r="1178">
          <cell r="E1178">
            <v>94.4</v>
          </cell>
        </row>
        <row r="1179">
          <cell r="A1179" t="str">
            <v>YKK5604-6</v>
          </cell>
          <cell r="B1179">
            <v>1120</v>
          </cell>
          <cell r="C1179">
            <v>80.5</v>
          </cell>
        </row>
        <row r="1179">
          <cell r="E1179">
            <v>94.5</v>
          </cell>
        </row>
        <row r="1180">
          <cell r="A1180" t="str">
            <v>YKK6301-6</v>
          </cell>
          <cell r="B1180">
            <v>1250</v>
          </cell>
          <cell r="C1180">
            <v>88.6</v>
          </cell>
        </row>
        <row r="1180">
          <cell r="E1180">
            <v>94.7</v>
          </cell>
          <cell r="F1180">
            <v>0.86</v>
          </cell>
        </row>
        <row r="1180">
          <cell r="H1180">
            <v>0.6</v>
          </cell>
        </row>
        <row r="1181">
          <cell r="A1181" t="str">
            <v>YKK6302-6</v>
          </cell>
          <cell r="B1181">
            <v>1400</v>
          </cell>
          <cell r="C1181">
            <v>99.1</v>
          </cell>
        </row>
        <row r="1181">
          <cell r="E1181">
            <v>94.8</v>
          </cell>
        </row>
        <row r="1182">
          <cell r="A1182" t="str">
            <v>YKK6303-6</v>
          </cell>
          <cell r="B1182">
            <v>1600</v>
          </cell>
          <cell r="C1182">
            <v>113.2</v>
          </cell>
        </row>
        <row r="1182">
          <cell r="E1182">
            <v>94.9</v>
          </cell>
        </row>
        <row r="1183">
          <cell r="A1183" t="str">
            <v>YKK500-8C</v>
          </cell>
          <cell r="B1183">
            <v>200</v>
          </cell>
          <cell r="C1183">
            <v>17.1</v>
          </cell>
          <cell r="D1183">
            <v>740</v>
          </cell>
          <cell r="E1183">
            <v>91</v>
          </cell>
          <cell r="F1183">
            <v>0.74</v>
          </cell>
          <cell r="G1183">
            <v>1.8</v>
          </cell>
          <cell r="H1183">
            <v>0.7</v>
          </cell>
          <cell r="I1183">
            <v>7</v>
          </cell>
        </row>
        <row r="1183">
          <cell r="L1183">
            <v>8000</v>
          </cell>
        </row>
        <row r="1184">
          <cell r="A1184" t="str">
            <v>YKK500-8B</v>
          </cell>
          <cell r="B1184">
            <v>220</v>
          </cell>
          <cell r="C1184">
            <v>18.5</v>
          </cell>
        </row>
        <row r="1184">
          <cell r="E1184">
            <v>91.4</v>
          </cell>
        </row>
        <row r="1185">
          <cell r="A1185" t="str">
            <v>YKK500-8A</v>
          </cell>
          <cell r="B1185">
            <v>250</v>
          </cell>
          <cell r="C1185">
            <v>21</v>
          </cell>
        </row>
        <row r="1185">
          <cell r="E1185">
            <v>91.8</v>
          </cell>
          <cell r="F1185">
            <v>0.75</v>
          </cell>
        </row>
        <row r="1185">
          <cell r="I1185">
            <v>6</v>
          </cell>
        </row>
        <row r="1186">
          <cell r="A1186" t="str">
            <v>YKK5001-8</v>
          </cell>
          <cell r="B1186">
            <v>280</v>
          </cell>
          <cell r="C1186">
            <v>22.8</v>
          </cell>
        </row>
        <row r="1186">
          <cell r="E1186">
            <v>92.2</v>
          </cell>
          <cell r="F1186">
            <v>0.77</v>
          </cell>
        </row>
        <row r="1187">
          <cell r="A1187" t="str">
            <v>YKK5002-8</v>
          </cell>
          <cell r="B1187">
            <v>315</v>
          </cell>
          <cell r="C1187">
            <v>25.6</v>
          </cell>
        </row>
        <row r="1187">
          <cell r="E1187">
            <v>92.3</v>
          </cell>
        </row>
        <row r="1188">
          <cell r="A1188" t="str">
            <v>YKK5003-8</v>
          </cell>
          <cell r="B1188">
            <v>355</v>
          </cell>
          <cell r="C1188">
            <v>28.4</v>
          </cell>
        </row>
        <row r="1188">
          <cell r="E1188">
            <v>92.6</v>
          </cell>
          <cell r="F1188">
            <v>0.78</v>
          </cell>
        </row>
        <row r="1189">
          <cell r="A1189" t="str">
            <v>YKK5004-8</v>
          </cell>
          <cell r="B1189">
            <v>400</v>
          </cell>
          <cell r="C1189">
            <v>31.9</v>
          </cell>
        </row>
        <row r="1189">
          <cell r="E1189">
            <v>92.8</v>
          </cell>
        </row>
        <row r="1190">
          <cell r="A1190" t="str">
            <v>YKK5005-8</v>
          </cell>
          <cell r="B1190">
            <v>450</v>
          </cell>
          <cell r="C1190">
            <v>35.3</v>
          </cell>
        </row>
        <row r="1190">
          <cell r="E1190">
            <v>93.1</v>
          </cell>
          <cell r="F1190">
            <v>0.79</v>
          </cell>
        </row>
        <row r="1191">
          <cell r="A1191" t="str">
            <v>YKK5006-8</v>
          </cell>
          <cell r="B1191">
            <v>500</v>
          </cell>
          <cell r="C1191">
            <v>39.1</v>
          </cell>
        </row>
        <row r="1191">
          <cell r="E1191">
            <v>93.4</v>
          </cell>
        </row>
        <row r="1192">
          <cell r="A1192" t="str">
            <v>YKK5601-8</v>
          </cell>
          <cell r="B1192">
            <v>560</v>
          </cell>
          <cell r="C1192">
            <v>42.6</v>
          </cell>
        </row>
        <row r="1192">
          <cell r="E1192">
            <v>93.6</v>
          </cell>
          <cell r="F1192">
            <v>0.81</v>
          </cell>
        </row>
        <row r="1193">
          <cell r="A1193" t="str">
            <v>YKK5602-8</v>
          </cell>
          <cell r="B1193">
            <v>630</v>
          </cell>
          <cell r="C1193">
            <v>47.9</v>
          </cell>
        </row>
        <row r="1193">
          <cell r="E1193">
            <v>93.7</v>
          </cell>
        </row>
        <row r="1194">
          <cell r="A1194" t="str">
            <v>YKK5603-8</v>
          </cell>
          <cell r="B1194">
            <v>710</v>
          </cell>
          <cell r="C1194">
            <v>54</v>
          </cell>
        </row>
        <row r="1194">
          <cell r="E1194">
            <v>93.8</v>
          </cell>
        </row>
        <row r="1195">
          <cell r="A1195" t="str">
            <v>YKK5604-8</v>
          </cell>
          <cell r="B1195">
            <v>800</v>
          </cell>
          <cell r="C1195">
            <v>60.7</v>
          </cell>
        </row>
        <row r="1195">
          <cell r="E1195">
            <v>93.9</v>
          </cell>
        </row>
        <row r="1196">
          <cell r="A1196" t="str">
            <v>YKK6301-8</v>
          </cell>
          <cell r="B1196">
            <v>900</v>
          </cell>
          <cell r="C1196">
            <v>67.3</v>
          </cell>
        </row>
        <row r="1196">
          <cell r="E1196">
            <v>94.1</v>
          </cell>
          <cell r="F1196">
            <v>0.82</v>
          </cell>
        </row>
        <row r="1197">
          <cell r="A1197" t="str">
            <v>YKK6302-8</v>
          </cell>
          <cell r="B1197">
            <v>1000</v>
          </cell>
          <cell r="C1197">
            <v>74.7</v>
          </cell>
        </row>
        <row r="1197">
          <cell r="E1197">
            <v>94.2</v>
          </cell>
        </row>
        <row r="1198">
          <cell r="A1198" t="str">
            <v>YKK6303-8</v>
          </cell>
          <cell r="B1198">
            <v>1200</v>
          </cell>
          <cell r="C1198">
            <v>83.6</v>
          </cell>
        </row>
        <row r="1198">
          <cell r="E1198">
            <v>94.3</v>
          </cell>
        </row>
        <row r="1199">
          <cell r="A1199" t="str">
            <v>YKK5001-10</v>
          </cell>
          <cell r="B1199">
            <v>200</v>
          </cell>
          <cell r="C1199">
            <v>17.6</v>
          </cell>
          <cell r="D1199">
            <v>595</v>
          </cell>
          <cell r="E1199">
            <v>90.9</v>
          </cell>
          <cell r="F1199">
            <v>0.72</v>
          </cell>
          <cell r="G1199">
            <v>1.8</v>
          </cell>
        </row>
        <row r="1199">
          <cell r="I1199">
            <v>5.5</v>
          </cell>
        </row>
        <row r="1200">
          <cell r="A1200" t="str">
            <v>YKK5002-10</v>
          </cell>
          <cell r="B1200">
            <v>220</v>
          </cell>
          <cell r="C1200">
            <v>19</v>
          </cell>
        </row>
        <row r="1200">
          <cell r="E1200">
            <v>91.4</v>
          </cell>
          <cell r="F1200">
            <v>0.73</v>
          </cell>
        </row>
        <row r="1201">
          <cell r="A1201" t="str">
            <v>YKK5003-10</v>
          </cell>
          <cell r="B1201">
            <v>250</v>
          </cell>
          <cell r="C1201">
            <v>21.3</v>
          </cell>
        </row>
        <row r="1201">
          <cell r="E1201">
            <v>91.7</v>
          </cell>
          <cell r="F1201">
            <v>0.74</v>
          </cell>
        </row>
        <row r="1202">
          <cell r="A1202" t="str">
            <v>YKK5004-10</v>
          </cell>
          <cell r="B1202">
            <v>280</v>
          </cell>
          <cell r="C1202">
            <v>23.8</v>
          </cell>
        </row>
        <row r="1202">
          <cell r="E1202">
            <v>91.9</v>
          </cell>
        </row>
        <row r="1203">
          <cell r="A1203" t="str">
            <v>YKK5005-10</v>
          </cell>
          <cell r="B1203">
            <v>315</v>
          </cell>
          <cell r="C1203">
            <v>26.3</v>
          </cell>
        </row>
        <row r="1203">
          <cell r="E1203">
            <v>92.3</v>
          </cell>
          <cell r="F1203">
            <v>0.75</v>
          </cell>
        </row>
        <row r="1204">
          <cell r="A1204" t="str">
            <v>YKK5006-10</v>
          </cell>
          <cell r="B1204">
            <v>355</v>
          </cell>
          <cell r="C1204">
            <v>29.5</v>
          </cell>
        </row>
        <row r="1204">
          <cell r="E1204">
            <v>92.5</v>
          </cell>
        </row>
        <row r="1205">
          <cell r="A1205" t="str">
            <v>YKK5601-10</v>
          </cell>
          <cell r="B1205">
            <v>400</v>
          </cell>
          <cell r="C1205">
            <v>32.8</v>
          </cell>
        </row>
        <row r="1205">
          <cell r="E1205">
            <v>92.7</v>
          </cell>
          <cell r="F1205">
            <v>0.76</v>
          </cell>
        </row>
        <row r="1205">
          <cell r="I1205">
            <v>6</v>
          </cell>
        </row>
        <row r="1206">
          <cell r="A1206" t="str">
            <v>YKK5602-10</v>
          </cell>
          <cell r="B1206">
            <v>450</v>
          </cell>
          <cell r="C1206">
            <v>36.8</v>
          </cell>
        </row>
        <row r="1206">
          <cell r="E1206">
            <v>92.8</v>
          </cell>
        </row>
        <row r="1207">
          <cell r="A1207" t="str">
            <v>YKK5603-10</v>
          </cell>
          <cell r="B1207">
            <v>500</v>
          </cell>
          <cell r="C1207">
            <v>40.9</v>
          </cell>
        </row>
        <row r="1207">
          <cell r="E1207">
            <v>92.9</v>
          </cell>
        </row>
        <row r="1208">
          <cell r="A1208" t="str">
            <v>YKK5604-10</v>
          </cell>
          <cell r="B1208">
            <v>560</v>
          </cell>
          <cell r="C1208">
            <v>45.7</v>
          </cell>
        </row>
        <row r="1208">
          <cell r="E1208">
            <v>93</v>
          </cell>
        </row>
        <row r="1209">
          <cell r="A1209" t="str">
            <v>YKK5605-10</v>
          </cell>
          <cell r="B1209">
            <v>630</v>
          </cell>
          <cell r="C1209">
            <v>51.4</v>
          </cell>
        </row>
        <row r="1209">
          <cell r="E1209">
            <v>93.1</v>
          </cell>
        </row>
        <row r="1210">
          <cell r="A1210" t="str">
            <v>YKK6301-10</v>
          </cell>
          <cell r="B1210">
            <v>710</v>
          </cell>
          <cell r="C1210">
            <v>57.1</v>
          </cell>
        </row>
        <row r="1210">
          <cell r="E1210">
            <v>93.3</v>
          </cell>
          <cell r="F1210">
            <v>0.77</v>
          </cell>
        </row>
        <row r="1211">
          <cell r="A1211" t="str">
            <v>YKK6302-10</v>
          </cell>
          <cell r="B1211">
            <v>800</v>
          </cell>
          <cell r="C1211">
            <v>64.2</v>
          </cell>
        </row>
        <row r="1211">
          <cell r="E1211">
            <v>93.4</v>
          </cell>
        </row>
        <row r="1212">
          <cell r="A1212" t="str">
            <v>YKK6303-10</v>
          </cell>
          <cell r="B1212">
            <v>900</v>
          </cell>
          <cell r="C1212">
            <v>72.2</v>
          </cell>
        </row>
        <row r="1212">
          <cell r="E1212">
            <v>93.5</v>
          </cell>
        </row>
        <row r="1213">
          <cell r="A1213" t="str">
            <v>YKK6304-10</v>
          </cell>
          <cell r="B1213">
            <v>1000</v>
          </cell>
          <cell r="C1213">
            <v>80.1</v>
          </cell>
        </row>
        <row r="1213">
          <cell r="E1213">
            <v>93.6</v>
          </cell>
        </row>
        <row r="1214">
          <cell r="A1214" t="str">
            <v>YKK5004-12</v>
          </cell>
          <cell r="B1214">
            <v>200</v>
          </cell>
          <cell r="C1214">
            <v>18.4</v>
          </cell>
          <cell r="D1214">
            <v>495</v>
          </cell>
          <cell r="E1214">
            <v>91.1</v>
          </cell>
          <cell r="F1214">
            <v>0.69</v>
          </cell>
          <cell r="G1214">
            <v>1.8</v>
          </cell>
        </row>
        <row r="1215">
          <cell r="A1215" t="str">
            <v>YKK5005-12</v>
          </cell>
          <cell r="B1215">
            <v>220</v>
          </cell>
          <cell r="C1215">
            <v>20.2</v>
          </cell>
        </row>
        <row r="1215">
          <cell r="E1215">
            <v>91.3</v>
          </cell>
        </row>
        <row r="1216">
          <cell r="A1216" t="str">
            <v>YKK5006-12</v>
          </cell>
          <cell r="B1216">
            <v>250</v>
          </cell>
          <cell r="C1216">
            <v>22.9</v>
          </cell>
        </row>
        <row r="1216">
          <cell r="E1216">
            <v>91.5</v>
          </cell>
        </row>
        <row r="1216">
          <cell r="H1216">
            <v>0.7</v>
          </cell>
          <cell r="I1216">
            <v>6</v>
          </cell>
        </row>
        <row r="1216">
          <cell r="L1216">
            <v>8000</v>
          </cell>
        </row>
        <row r="1217">
          <cell r="A1217" t="str">
            <v>YKK5601-12</v>
          </cell>
          <cell r="B1217">
            <v>280</v>
          </cell>
          <cell r="C1217">
            <v>24.8</v>
          </cell>
        </row>
        <row r="1217">
          <cell r="E1217">
            <v>91.7</v>
          </cell>
          <cell r="F1217">
            <v>0.71</v>
          </cell>
        </row>
        <row r="1218">
          <cell r="A1218" t="str">
            <v>YKK5602-12</v>
          </cell>
          <cell r="B1218">
            <v>315</v>
          </cell>
          <cell r="C1218">
            <v>27.9</v>
          </cell>
        </row>
        <row r="1218">
          <cell r="E1218">
            <v>91.8</v>
          </cell>
        </row>
        <row r="1219">
          <cell r="A1219" t="str">
            <v>YKK5603-12</v>
          </cell>
          <cell r="B1219">
            <v>355</v>
          </cell>
          <cell r="C1219">
            <v>31.4</v>
          </cell>
        </row>
        <row r="1219">
          <cell r="E1219">
            <v>91.9</v>
          </cell>
        </row>
        <row r="1220">
          <cell r="A1220" t="str">
            <v>YKK5604-12</v>
          </cell>
          <cell r="B1220">
            <v>400</v>
          </cell>
          <cell r="C1220">
            <v>35.4</v>
          </cell>
        </row>
        <row r="1220">
          <cell r="E1220">
            <v>92</v>
          </cell>
        </row>
        <row r="1221">
          <cell r="A1221" t="str">
            <v>YKK5605-12</v>
          </cell>
          <cell r="B1221">
            <v>450</v>
          </cell>
          <cell r="C1221">
            <v>39.7</v>
          </cell>
        </row>
        <row r="1221">
          <cell r="E1221">
            <v>92.2</v>
          </cell>
        </row>
        <row r="1222">
          <cell r="A1222" t="str">
            <v>YKK6301-12</v>
          </cell>
          <cell r="B1222">
            <v>500</v>
          </cell>
          <cell r="C1222">
            <v>43.4</v>
          </cell>
        </row>
        <row r="1222">
          <cell r="E1222">
            <v>92.4</v>
          </cell>
          <cell r="F1222">
            <v>0.72</v>
          </cell>
        </row>
        <row r="1223">
          <cell r="A1223" t="str">
            <v>YKK6302-12</v>
          </cell>
          <cell r="B1223">
            <v>560</v>
          </cell>
          <cell r="C1223">
            <v>48.5</v>
          </cell>
        </row>
        <row r="1223">
          <cell r="E1223">
            <v>92.5</v>
          </cell>
        </row>
        <row r="1224">
          <cell r="A1224" t="str">
            <v>YKK6303-12</v>
          </cell>
          <cell r="B1224">
            <v>630</v>
          </cell>
          <cell r="C1224">
            <v>54.6</v>
          </cell>
        </row>
        <row r="1224">
          <cell r="E1224">
            <v>92.6</v>
          </cell>
        </row>
        <row r="1225">
          <cell r="A1225" t="str">
            <v>YKK6304-12</v>
          </cell>
          <cell r="B1225">
            <v>710</v>
          </cell>
          <cell r="C1225">
            <v>61.4</v>
          </cell>
        </row>
        <row r="1225">
          <cell r="E1225">
            <v>92.7</v>
          </cell>
        </row>
        <row r="1229">
          <cell r="A1229" t="str">
            <v>序
号</v>
          </cell>
          <cell r="B1229" t="str">
            <v>型号</v>
          </cell>
          <cell r="C1229" t="str">
            <v>叶轮直径
(m)</v>
          </cell>
          <cell r="D1229" t="str">
            <v>传动
方式</v>
          </cell>
          <cell r="E1229" t="str">
            <v>轴承
型号</v>
          </cell>
          <cell r="F1229" t="str">
            <v>叶轮重量(Kg)</v>
          </cell>
          <cell r="G1229" t="str">
            <v>主轴重量
(Kg)</v>
          </cell>
          <cell r="H1229" t="str">
            <v>机壳重量
(Kg)</v>
          </cell>
          <cell r="I1229" t="str">
            <v>总重
(Kg)</v>
          </cell>
          <cell r="J1229" t="str">
            <v>价格
(元)</v>
          </cell>
        </row>
        <row r="1230">
          <cell r="A1230" t="str">
            <v>1</v>
          </cell>
          <cell r="B1230" t="str">
            <v>9-19</v>
          </cell>
          <cell r="C1230">
            <v>0.355</v>
          </cell>
          <cell r="D1230" t="str">
            <v>A</v>
          </cell>
        </row>
        <row r="1230">
          <cell r="F1230">
            <v>8.5</v>
          </cell>
        </row>
        <row r="1230">
          <cell r="H1230">
            <v>13</v>
          </cell>
          <cell r="I1230">
            <v>40</v>
          </cell>
        </row>
        <row r="1231">
          <cell r="A1231" t="str">
            <v>2</v>
          </cell>
          <cell r="B1231" t="str">
            <v>9-19</v>
          </cell>
          <cell r="C1231">
            <v>0.4</v>
          </cell>
          <cell r="D1231" t="str">
            <v>A</v>
          </cell>
        </row>
        <row r="1231">
          <cell r="F1231">
            <v>10</v>
          </cell>
        </row>
        <row r="1231">
          <cell r="H1231">
            <v>16</v>
          </cell>
          <cell r="I1231">
            <v>43</v>
          </cell>
        </row>
        <row r="1232">
          <cell r="A1232" t="str">
            <v>3</v>
          </cell>
          <cell r="B1232" t="str">
            <v>9-19</v>
          </cell>
          <cell r="C1232">
            <v>0.45</v>
          </cell>
          <cell r="D1232" t="str">
            <v>A</v>
          </cell>
        </row>
        <row r="1232">
          <cell r="F1232">
            <v>12</v>
          </cell>
        </row>
        <row r="1232">
          <cell r="H1232">
            <v>20</v>
          </cell>
          <cell r="I1232">
            <v>54</v>
          </cell>
        </row>
        <row r="1233">
          <cell r="A1233" t="str">
            <v>4</v>
          </cell>
          <cell r="B1233" t="str">
            <v>9-19</v>
          </cell>
          <cell r="C1233">
            <v>0.5</v>
          </cell>
          <cell r="D1233" t="str">
            <v>A</v>
          </cell>
        </row>
        <row r="1233">
          <cell r="F1233">
            <v>16</v>
          </cell>
        </row>
        <row r="1233">
          <cell r="H1233">
            <v>24</v>
          </cell>
          <cell r="I1233">
            <v>66</v>
          </cell>
        </row>
        <row r="1234">
          <cell r="A1234" t="str">
            <v>5</v>
          </cell>
          <cell r="B1234" t="str">
            <v>9-19</v>
          </cell>
          <cell r="C1234">
            <v>0.56</v>
          </cell>
          <cell r="D1234" t="str">
            <v>A</v>
          </cell>
        </row>
        <row r="1234">
          <cell r="F1234">
            <v>25</v>
          </cell>
        </row>
        <row r="1234">
          <cell r="H1234">
            <v>30</v>
          </cell>
          <cell r="I1234">
            <v>90</v>
          </cell>
        </row>
        <row r="1235">
          <cell r="A1235" t="str">
            <v>6</v>
          </cell>
          <cell r="B1235" t="str">
            <v>9-19</v>
          </cell>
          <cell r="C1235">
            <v>0.63</v>
          </cell>
          <cell r="D1235" t="str">
            <v>A</v>
          </cell>
        </row>
        <row r="1235">
          <cell r="F1235">
            <v>33</v>
          </cell>
        </row>
        <row r="1235">
          <cell r="H1235">
            <v>51</v>
          </cell>
          <cell r="I1235">
            <v>138</v>
          </cell>
        </row>
        <row r="1236">
          <cell r="A1236" t="str">
            <v>7</v>
          </cell>
          <cell r="B1236" t="str">
            <v>9-19</v>
          </cell>
          <cell r="C1236">
            <v>0.71</v>
          </cell>
          <cell r="D1236" t="str">
            <v>D</v>
          </cell>
          <cell r="E1236">
            <v>1616</v>
          </cell>
          <cell r="F1236">
            <v>49</v>
          </cell>
          <cell r="G1236">
            <v>46</v>
          </cell>
          <cell r="H1236">
            <v>71</v>
          </cell>
          <cell r="I1236">
            <v>450</v>
          </cell>
        </row>
        <row r="1237">
          <cell r="A1237" t="str">
            <v>8</v>
          </cell>
          <cell r="B1237" t="str">
            <v>9-19</v>
          </cell>
          <cell r="C1237">
            <v>0.8</v>
          </cell>
          <cell r="D1237" t="str">
            <v>D</v>
          </cell>
          <cell r="E1237">
            <v>1616</v>
          </cell>
          <cell r="F1237">
            <v>60</v>
          </cell>
          <cell r="G1237">
            <v>53</v>
          </cell>
          <cell r="H1237">
            <v>90</v>
          </cell>
          <cell r="I1237">
            <v>490</v>
          </cell>
        </row>
        <row r="1238">
          <cell r="A1238" t="str">
            <v>9</v>
          </cell>
          <cell r="B1238" t="str">
            <v>9-19</v>
          </cell>
          <cell r="C1238">
            <v>0.9</v>
          </cell>
          <cell r="D1238" t="str">
            <v>D</v>
          </cell>
          <cell r="E1238">
            <v>1616</v>
          </cell>
          <cell r="F1238">
            <v>83</v>
          </cell>
          <cell r="G1238">
            <v>60</v>
          </cell>
          <cell r="H1238">
            <v>108</v>
          </cell>
          <cell r="I1238">
            <v>580</v>
          </cell>
        </row>
        <row r="1239">
          <cell r="A1239" t="str">
            <v>10</v>
          </cell>
          <cell r="B1239" t="str">
            <v>9-19</v>
          </cell>
          <cell r="C1239">
            <v>1</v>
          </cell>
          <cell r="D1239" t="str">
            <v>D</v>
          </cell>
          <cell r="E1239">
            <v>1616</v>
          </cell>
          <cell r="F1239">
            <v>98</v>
          </cell>
          <cell r="G1239">
            <v>60</v>
          </cell>
          <cell r="H1239">
            <v>123</v>
          </cell>
          <cell r="I1239">
            <v>600</v>
          </cell>
        </row>
        <row r="1240">
          <cell r="A1240" t="str">
            <v>11</v>
          </cell>
          <cell r="B1240" t="str">
            <v>9-19</v>
          </cell>
          <cell r="C1240">
            <v>1.12</v>
          </cell>
          <cell r="D1240" t="str">
            <v>D</v>
          </cell>
          <cell r="E1240">
            <v>3620</v>
          </cell>
          <cell r="F1240">
            <v>166</v>
          </cell>
          <cell r="G1240">
            <v>92</v>
          </cell>
          <cell r="H1240">
            <v>205</v>
          </cell>
          <cell r="I1240">
            <v>1500</v>
          </cell>
        </row>
        <row r="1241">
          <cell r="A1241" t="str">
            <v>12</v>
          </cell>
          <cell r="B1241" t="str">
            <v>9-19</v>
          </cell>
          <cell r="C1241">
            <v>1.25</v>
          </cell>
          <cell r="D1241" t="str">
            <v>D</v>
          </cell>
          <cell r="E1241">
            <v>3620</v>
          </cell>
          <cell r="F1241">
            <v>197</v>
          </cell>
          <cell r="G1241">
            <v>92</v>
          </cell>
          <cell r="H1241">
            <v>280</v>
          </cell>
          <cell r="I1241">
            <v>1900</v>
          </cell>
        </row>
        <row r="1242">
          <cell r="A1242" t="str">
            <v>13</v>
          </cell>
          <cell r="B1242" t="str">
            <v>9-19</v>
          </cell>
          <cell r="C1242">
            <v>1.3</v>
          </cell>
          <cell r="D1242" t="str">
            <v>D</v>
          </cell>
          <cell r="E1242">
            <v>3624</v>
          </cell>
          <cell r="F1242">
            <v>255</v>
          </cell>
          <cell r="G1242">
            <v>155</v>
          </cell>
          <cell r="H1242">
            <v>400</v>
          </cell>
          <cell r="I1242">
            <v>2200</v>
          </cell>
        </row>
        <row r="1243">
          <cell r="A1243" t="str">
            <v>14</v>
          </cell>
          <cell r="B1243" t="str">
            <v>9-19</v>
          </cell>
          <cell r="C1243">
            <v>1.4</v>
          </cell>
          <cell r="D1243" t="str">
            <v>D</v>
          </cell>
          <cell r="E1243">
            <v>3624</v>
          </cell>
          <cell r="F1243">
            <v>300</v>
          </cell>
          <cell r="G1243">
            <v>155</v>
          </cell>
          <cell r="H1243">
            <v>450</v>
          </cell>
          <cell r="I1243">
            <v>2400</v>
          </cell>
        </row>
        <row r="1244">
          <cell r="A1244" t="str">
            <v>15</v>
          </cell>
          <cell r="B1244" t="str">
            <v>9-19</v>
          </cell>
          <cell r="C1244">
            <v>1.5</v>
          </cell>
          <cell r="D1244" t="str">
            <v>D</v>
          </cell>
          <cell r="E1244">
            <v>3624</v>
          </cell>
          <cell r="F1244">
            <v>550</v>
          </cell>
          <cell r="G1244">
            <v>194</v>
          </cell>
          <cell r="H1244">
            <v>650</v>
          </cell>
          <cell r="I1244">
            <v>2830</v>
          </cell>
        </row>
        <row r="1245">
          <cell r="A1245" t="str">
            <v>16</v>
          </cell>
          <cell r="B1245" t="str">
            <v>9-19</v>
          </cell>
          <cell r="C1245">
            <v>1.6</v>
          </cell>
          <cell r="D1245" t="str">
            <v>D</v>
          </cell>
          <cell r="E1245">
            <v>22324</v>
          </cell>
          <cell r="F1245">
            <v>615</v>
          </cell>
          <cell r="G1245">
            <v>194</v>
          </cell>
          <cell r="H1245">
            <v>750</v>
          </cell>
          <cell r="I1245">
            <v>3500</v>
          </cell>
        </row>
        <row r="1247">
          <cell r="A1247" t="str">
            <v>序
号</v>
          </cell>
          <cell r="B1247" t="str">
            <v>型号</v>
          </cell>
          <cell r="C1247" t="str">
            <v>叶轮直径
(m)</v>
          </cell>
          <cell r="D1247" t="str">
            <v>传动
方式</v>
          </cell>
          <cell r="E1247" t="str">
            <v>轴承
型号</v>
          </cell>
          <cell r="F1247" t="str">
            <v>叶轮重量(Kg)</v>
          </cell>
          <cell r="G1247" t="str">
            <v>主轴重量
(Kg)</v>
          </cell>
          <cell r="H1247" t="str">
            <v>机壳重量
(Kg)</v>
          </cell>
          <cell r="I1247" t="str">
            <v>总重
(Kg)</v>
          </cell>
          <cell r="J1247" t="str">
            <v>价格
(元)</v>
          </cell>
        </row>
        <row r="1248">
          <cell r="A1248" t="str">
            <v>1</v>
          </cell>
        </row>
        <row r="1249">
          <cell r="A1249" t="str">
            <v>2</v>
          </cell>
        </row>
        <row r="1250">
          <cell r="A1250" t="str">
            <v>3</v>
          </cell>
        </row>
        <row r="1251">
          <cell r="A1251" t="str">
            <v>4</v>
          </cell>
        </row>
        <row r="1252">
          <cell r="A1252" t="str">
            <v>5</v>
          </cell>
        </row>
        <row r="1253">
          <cell r="A1253" t="str">
            <v>6</v>
          </cell>
        </row>
        <row r="1254">
          <cell r="A1254" t="str">
            <v>7</v>
          </cell>
        </row>
        <row r="1255">
          <cell r="A1255" t="str">
            <v>8</v>
          </cell>
        </row>
        <row r="1256">
          <cell r="A1256" t="str">
            <v>9</v>
          </cell>
        </row>
        <row r="1257">
          <cell r="A1257" t="str">
            <v>10</v>
          </cell>
        </row>
        <row r="1258">
          <cell r="A1258" t="str">
            <v>11</v>
          </cell>
        </row>
        <row r="1259">
          <cell r="A1259" t="str">
            <v>12</v>
          </cell>
        </row>
        <row r="1260">
          <cell r="A1260" t="str">
            <v>13</v>
          </cell>
        </row>
        <row r="1261">
          <cell r="A1261" t="str">
            <v>14</v>
          </cell>
        </row>
        <row r="1262">
          <cell r="A1262" t="str">
            <v>15</v>
          </cell>
        </row>
        <row r="1263">
          <cell r="A1263" t="str">
            <v>16</v>
          </cell>
        </row>
        <row r="1264">
          <cell r="A1264" t="str">
            <v>17</v>
          </cell>
        </row>
        <row r="1265">
          <cell r="A1265" t="str">
            <v>18</v>
          </cell>
        </row>
        <row r="1266">
          <cell r="A1266" t="str">
            <v>19</v>
          </cell>
        </row>
        <row r="1267">
          <cell r="A1267" t="str">
            <v>20</v>
          </cell>
        </row>
      </sheetData>
      <sheetData sheetId="2" refreshError="1">
        <row r="2">
          <cell r="E2" t="str">
            <v/>
          </cell>
        </row>
        <row r="3">
          <cell r="E3" t="str">
            <v/>
          </cell>
        </row>
        <row r="3">
          <cell r="I3" t="str">
            <v/>
          </cell>
        </row>
        <row r="3">
          <cell r="K3" t="str">
            <v/>
          </cell>
        </row>
        <row r="4">
          <cell r="E4" t="str">
            <v/>
          </cell>
        </row>
        <row r="4">
          <cell r="I4" t="str">
            <v/>
          </cell>
        </row>
        <row r="4">
          <cell r="K4" t="str">
            <v/>
          </cell>
        </row>
        <row r="5">
          <cell r="E5" t="str">
            <v/>
          </cell>
        </row>
        <row r="5">
          <cell r="I5" t="str">
            <v/>
          </cell>
        </row>
        <row r="5">
          <cell r="K5" t="str">
            <v/>
          </cell>
        </row>
        <row r="6">
          <cell r="E6" t="str">
            <v/>
          </cell>
        </row>
        <row r="6">
          <cell r="I6" t="str">
            <v/>
          </cell>
        </row>
        <row r="6">
          <cell r="K6" t="str">
            <v/>
          </cell>
        </row>
        <row r="7">
          <cell r="E7" t="str">
            <v/>
          </cell>
        </row>
        <row r="7">
          <cell r="I7" t="str">
            <v/>
          </cell>
        </row>
        <row r="7">
          <cell r="K7" t="str">
            <v/>
          </cell>
        </row>
        <row r="8">
          <cell r="E8" t="str">
            <v/>
          </cell>
        </row>
        <row r="8">
          <cell r="I8" t="str">
            <v/>
          </cell>
        </row>
        <row r="8">
          <cell r="K8" t="str">
            <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变压器参数、电压降、启动电压降"/>
      <sheetName val="电缆载流量、电压降、启动电压降"/>
      <sheetName val="线路电压降计算表"/>
      <sheetName val="短路电流计算表"/>
      <sheetName val="开关整定值计算表"/>
      <sheetName val="短路保护分级表"/>
      <sheetName val="开关选择继保整定一览表"/>
      <sheetName val="参数"/>
    </sheetNames>
    <sheetDataSet>
      <sheetData sheetId="0" refreshError="1"/>
      <sheetData sheetId="1" refreshError="1"/>
      <sheetData sheetId="2" refreshError="1"/>
      <sheetData sheetId="3" refreshError="1"/>
      <sheetData sheetId="4">
        <row r="5">
          <cell r="P5">
            <v>723.12</v>
          </cell>
        </row>
        <row r="6">
          <cell r="P6">
            <v>1622.88</v>
          </cell>
        </row>
        <row r="7">
          <cell r="P7">
            <v>2626.14</v>
          </cell>
        </row>
      </sheetData>
      <sheetData sheetId="5" refreshError="1"/>
      <sheetData sheetId="6" refreshError="1"/>
      <sheetData sheetId="7"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计算书"/>
      <sheetName val="数据"/>
    </sheetNames>
    <sheetDataSet>
      <sheetData sheetId="0" refreshError="1"/>
      <sheetData sheetId="1">
        <row r="2">
          <cell r="C2">
            <v>500</v>
          </cell>
        </row>
        <row r="3">
          <cell r="B3">
            <v>8</v>
          </cell>
          <cell r="C3">
            <v>650</v>
          </cell>
        </row>
        <row r="4">
          <cell r="C4">
            <v>800</v>
          </cell>
        </row>
        <row r="5">
          <cell r="C5">
            <v>1000</v>
          </cell>
        </row>
        <row r="6">
          <cell r="C6">
            <v>1200</v>
          </cell>
        </row>
        <row r="7">
          <cell r="C7">
            <v>1400</v>
          </cell>
        </row>
        <row r="8">
          <cell r="C8">
            <v>1600</v>
          </cell>
        </row>
        <row r="9">
          <cell r="C9">
            <v>1800</v>
          </cell>
        </row>
        <row r="10">
          <cell r="C10">
            <v>2000</v>
          </cell>
        </row>
        <row r="11">
          <cell r="C11">
            <v>2200</v>
          </cell>
        </row>
        <row r="12">
          <cell r="C12">
            <v>2400</v>
          </cell>
        </row>
      </sheetData>
    </sheetDataSet>
  </externalBook>
</externalLink>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9" Type="http://schemas.openxmlformats.org/officeDocument/2006/relationships/oleObject" Target="../embeddings/oleObject4.bin"/><Relationship Id="rId8" Type="http://schemas.openxmlformats.org/officeDocument/2006/relationships/image" Target="../media/image14.emf"/><Relationship Id="rId7" Type="http://schemas.openxmlformats.org/officeDocument/2006/relationships/oleObject" Target="../embeddings/oleObject3.bin"/><Relationship Id="rId6" Type="http://schemas.openxmlformats.org/officeDocument/2006/relationships/image" Target="../media/image13.emf"/><Relationship Id="rId5" Type="http://schemas.openxmlformats.org/officeDocument/2006/relationships/oleObject" Target="../embeddings/oleObject2.bin"/><Relationship Id="rId4" Type="http://schemas.openxmlformats.org/officeDocument/2006/relationships/image" Target="../media/image12.emf"/><Relationship Id="rId3" Type="http://schemas.openxmlformats.org/officeDocument/2006/relationships/oleObject" Target="../embeddings/oleObject1.bin"/><Relationship Id="rId2" Type="http://schemas.openxmlformats.org/officeDocument/2006/relationships/vmlDrawing" Target="../drawings/vmlDrawing1.vml"/><Relationship Id="rId16" Type="http://schemas.openxmlformats.org/officeDocument/2006/relationships/image" Target="../media/image18.emf"/><Relationship Id="rId15" Type="http://schemas.openxmlformats.org/officeDocument/2006/relationships/oleObject" Target="../embeddings/oleObject7.bin"/><Relationship Id="rId14" Type="http://schemas.openxmlformats.org/officeDocument/2006/relationships/image" Target="../media/image17.emf"/><Relationship Id="rId13" Type="http://schemas.openxmlformats.org/officeDocument/2006/relationships/oleObject" Target="../embeddings/oleObject6.bin"/><Relationship Id="rId12" Type="http://schemas.openxmlformats.org/officeDocument/2006/relationships/image" Target="../media/image16.emf"/><Relationship Id="rId11" Type="http://schemas.openxmlformats.org/officeDocument/2006/relationships/oleObject" Target="../embeddings/oleObject5.bin"/><Relationship Id="rId10" Type="http://schemas.openxmlformats.org/officeDocument/2006/relationships/image" Target="../media/image15.emf"/><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9" Type="http://schemas.openxmlformats.org/officeDocument/2006/relationships/oleObject" Target="../embeddings/oleObject11.bin"/><Relationship Id="rId8" Type="http://schemas.openxmlformats.org/officeDocument/2006/relationships/image" Target="../media/image25.emf"/><Relationship Id="rId7" Type="http://schemas.openxmlformats.org/officeDocument/2006/relationships/oleObject" Target="../embeddings/oleObject10.bin"/><Relationship Id="rId6" Type="http://schemas.openxmlformats.org/officeDocument/2006/relationships/image" Target="../media/image24.emf"/><Relationship Id="rId5" Type="http://schemas.openxmlformats.org/officeDocument/2006/relationships/oleObject" Target="../embeddings/oleObject9.bin"/><Relationship Id="rId4" Type="http://schemas.openxmlformats.org/officeDocument/2006/relationships/image" Target="../media/image23.emf"/><Relationship Id="rId3" Type="http://schemas.openxmlformats.org/officeDocument/2006/relationships/oleObject" Target="../embeddings/oleObject8.bin"/><Relationship Id="rId2" Type="http://schemas.openxmlformats.org/officeDocument/2006/relationships/vmlDrawing" Target="../drawings/vmlDrawing2.vml"/><Relationship Id="rId14" Type="http://schemas.openxmlformats.org/officeDocument/2006/relationships/image" Target="../media/image28.emf"/><Relationship Id="rId13" Type="http://schemas.openxmlformats.org/officeDocument/2006/relationships/oleObject" Target="../embeddings/oleObject13.bin"/><Relationship Id="rId12" Type="http://schemas.openxmlformats.org/officeDocument/2006/relationships/image" Target="../media/image27.emf"/><Relationship Id="rId11" Type="http://schemas.openxmlformats.org/officeDocument/2006/relationships/oleObject" Target="../embeddings/oleObject12.bin"/><Relationship Id="rId10" Type="http://schemas.openxmlformats.org/officeDocument/2006/relationships/image" Target="../media/image26.emf"/><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9" Type="http://schemas.openxmlformats.org/officeDocument/2006/relationships/oleObject" Target="../embeddings/oleObject17.bin"/><Relationship Id="rId8" Type="http://schemas.openxmlformats.org/officeDocument/2006/relationships/image" Target="../media/image25.emf"/><Relationship Id="rId7" Type="http://schemas.openxmlformats.org/officeDocument/2006/relationships/oleObject" Target="../embeddings/oleObject16.bin"/><Relationship Id="rId6" Type="http://schemas.openxmlformats.org/officeDocument/2006/relationships/image" Target="../media/image24.emf"/><Relationship Id="rId5" Type="http://schemas.openxmlformats.org/officeDocument/2006/relationships/oleObject" Target="../embeddings/oleObject15.bin"/><Relationship Id="rId4" Type="http://schemas.openxmlformats.org/officeDocument/2006/relationships/image" Target="../media/image23.emf"/><Relationship Id="rId3" Type="http://schemas.openxmlformats.org/officeDocument/2006/relationships/oleObject" Target="../embeddings/oleObject14.bin"/><Relationship Id="rId2" Type="http://schemas.openxmlformats.org/officeDocument/2006/relationships/vmlDrawing" Target="../drawings/vmlDrawing3.vml"/><Relationship Id="rId14" Type="http://schemas.openxmlformats.org/officeDocument/2006/relationships/image" Target="../media/image28.emf"/><Relationship Id="rId13" Type="http://schemas.openxmlformats.org/officeDocument/2006/relationships/oleObject" Target="../embeddings/oleObject19.bin"/><Relationship Id="rId12" Type="http://schemas.openxmlformats.org/officeDocument/2006/relationships/image" Target="../media/image27.emf"/><Relationship Id="rId11" Type="http://schemas.openxmlformats.org/officeDocument/2006/relationships/oleObject" Target="../embeddings/oleObject18.bin"/><Relationship Id="rId10" Type="http://schemas.openxmlformats.org/officeDocument/2006/relationships/image" Target="../media/image26.emf"/><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9" Type="http://schemas.openxmlformats.org/officeDocument/2006/relationships/oleObject" Target="../embeddings/oleObject23.bin"/><Relationship Id="rId8" Type="http://schemas.openxmlformats.org/officeDocument/2006/relationships/image" Target="../media/image34.emf"/><Relationship Id="rId7" Type="http://schemas.openxmlformats.org/officeDocument/2006/relationships/oleObject" Target="../embeddings/oleObject22.bin"/><Relationship Id="rId6" Type="http://schemas.openxmlformats.org/officeDocument/2006/relationships/image" Target="../media/image33.emf"/><Relationship Id="rId5" Type="http://schemas.openxmlformats.org/officeDocument/2006/relationships/oleObject" Target="../embeddings/oleObject21.bin"/><Relationship Id="rId4" Type="http://schemas.openxmlformats.org/officeDocument/2006/relationships/image" Target="../media/image23.emf"/><Relationship Id="rId3" Type="http://schemas.openxmlformats.org/officeDocument/2006/relationships/oleObject" Target="../embeddings/oleObject20.bin"/><Relationship Id="rId20" Type="http://schemas.openxmlformats.org/officeDocument/2006/relationships/image" Target="../media/image40.emf"/><Relationship Id="rId2" Type="http://schemas.openxmlformats.org/officeDocument/2006/relationships/vmlDrawing" Target="../drawings/vmlDrawing4.vml"/><Relationship Id="rId19" Type="http://schemas.openxmlformats.org/officeDocument/2006/relationships/oleObject" Target="../embeddings/oleObject28.bin"/><Relationship Id="rId18" Type="http://schemas.openxmlformats.org/officeDocument/2006/relationships/image" Target="../media/image39.emf"/><Relationship Id="rId17" Type="http://schemas.openxmlformats.org/officeDocument/2006/relationships/oleObject" Target="../embeddings/oleObject27.bin"/><Relationship Id="rId16" Type="http://schemas.openxmlformats.org/officeDocument/2006/relationships/image" Target="../media/image38.emf"/><Relationship Id="rId15" Type="http://schemas.openxmlformats.org/officeDocument/2006/relationships/oleObject" Target="../embeddings/oleObject26.bin"/><Relationship Id="rId14" Type="http://schemas.openxmlformats.org/officeDocument/2006/relationships/image" Target="../media/image37.emf"/><Relationship Id="rId13" Type="http://schemas.openxmlformats.org/officeDocument/2006/relationships/oleObject" Target="../embeddings/oleObject25.bin"/><Relationship Id="rId12" Type="http://schemas.openxmlformats.org/officeDocument/2006/relationships/image" Target="../media/image36.emf"/><Relationship Id="rId11" Type="http://schemas.openxmlformats.org/officeDocument/2006/relationships/oleObject" Target="../embeddings/oleObject24.bin"/><Relationship Id="rId10" Type="http://schemas.openxmlformats.org/officeDocument/2006/relationships/image" Target="../media/image35.emf"/><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9" Type="http://schemas.openxmlformats.org/officeDocument/2006/relationships/oleObject" Target="../embeddings/oleObject32.bin"/><Relationship Id="rId8" Type="http://schemas.openxmlformats.org/officeDocument/2006/relationships/image" Target="../media/image34.emf"/><Relationship Id="rId7" Type="http://schemas.openxmlformats.org/officeDocument/2006/relationships/oleObject" Target="../embeddings/oleObject31.bin"/><Relationship Id="rId6" Type="http://schemas.openxmlformats.org/officeDocument/2006/relationships/image" Target="../media/image33.emf"/><Relationship Id="rId5" Type="http://schemas.openxmlformats.org/officeDocument/2006/relationships/oleObject" Target="../embeddings/oleObject30.bin"/><Relationship Id="rId4" Type="http://schemas.openxmlformats.org/officeDocument/2006/relationships/image" Target="../media/image23.emf"/><Relationship Id="rId3" Type="http://schemas.openxmlformats.org/officeDocument/2006/relationships/oleObject" Target="../embeddings/oleObject29.bin"/><Relationship Id="rId2" Type="http://schemas.openxmlformats.org/officeDocument/2006/relationships/vmlDrawing" Target="../drawings/vmlDrawing5.vml"/><Relationship Id="rId14" Type="http://schemas.openxmlformats.org/officeDocument/2006/relationships/image" Target="../media/image38.emf"/><Relationship Id="rId13" Type="http://schemas.openxmlformats.org/officeDocument/2006/relationships/oleObject" Target="../embeddings/oleObject34.bin"/><Relationship Id="rId12" Type="http://schemas.openxmlformats.org/officeDocument/2006/relationships/image" Target="../media/image36.emf"/><Relationship Id="rId11" Type="http://schemas.openxmlformats.org/officeDocument/2006/relationships/oleObject" Target="../embeddings/oleObject33.bin"/><Relationship Id="rId10" Type="http://schemas.openxmlformats.org/officeDocument/2006/relationships/image" Target="../media/image35.emf"/><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9" Type="http://schemas.openxmlformats.org/officeDocument/2006/relationships/oleObject" Target="../embeddings/oleObject38.bin"/><Relationship Id="rId8" Type="http://schemas.openxmlformats.org/officeDocument/2006/relationships/image" Target="../media/image46.emf"/><Relationship Id="rId7" Type="http://schemas.openxmlformats.org/officeDocument/2006/relationships/oleObject" Target="../embeddings/oleObject37.bin"/><Relationship Id="rId6" Type="http://schemas.openxmlformats.org/officeDocument/2006/relationships/image" Target="../media/image45.emf"/><Relationship Id="rId5" Type="http://schemas.openxmlformats.org/officeDocument/2006/relationships/oleObject" Target="../embeddings/oleObject36.bin"/><Relationship Id="rId4" Type="http://schemas.openxmlformats.org/officeDocument/2006/relationships/image" Target="../media/image38.emf"/><Relationship Id="rId3" Type="http://schemas.openxmlformats.org/officeDocument/2006/relationships/oleObject" Target="../embeddings/oleObject35.bin"/><Relationship Id="rId2" Type="http://schemas.openxmlformats.org/officeDocument/2006/relationships/vmlDrawing" Target="../drawings/vmlDrawing6.vml"/><Relationship Id="rId18" Type="http://schemas.openxmlformats.org/officeDocument/2006/relationships/image" Target="../media/image51.emf"/><Relationship Id="rId17" Type="http://schemas.openxmlformats.org/officeDocument/2006/relationships/oleObject" Target="../embeddings/oleObject42.bin"/><Relationship Id="rId16" Type="http://schemas.openxmlformats.org/officeDocument/2006/relationships/image" Target="../media/image50.emf"/><Relationship Id="rId15" Type="http://schemas.openxmlformats.org/officeDocument/2006/relationships/oleObject" Target="../embeddings/oleObject41.bin"/><Relationship Id="rId14" Type="http://schemas.openxmlformats.org/officeDocument/2006/relationships/image" Target="../media/image49.emf"/><Relationship Id="rId13" Type="http://schemas.openxmlformats.org/officeDocument/2006/relationships/oleObject" Target="../embeddings/oleObject40.bin"/><Relationship Id="rId12" Type="http://schemas.openxmlformats.org/officeDocument/2006/relationships/image" Target="../media/image48.emf"/><Relationship Id="rId11" Type="http://schemas.openxmlformats.org/officeDocument/2006/relationships/oleObject" Target="../embeddings/oleObject39.bin"/><Relationship Id="rId10" Type="http://schemas.openxmlformats.org/officeDocument/2006/relationships/image" Target="../media/image47.emf"/><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6" Type="http://schemas.openxmlformats.org/officeDocument/2006/relationships/image" Target="../media/image53.emf"/><Relationship Id="rId5" Type="http://schemas.openxmlformats.org/officeDocument/2006/relationships/oleObject" Target="../embeddings/oleObject44.bin"/><Relationship Id="rId4" Type="http://schemas.openxmlformats.org/officeDocument/2006/relationships/image" Target="../media/image52.emf"/><Relationship Id="rId3" Type="http://schemas.openxmlformats.org/officeDocument/2006/relationships/oleObject" Target="../embeddings/oleObject43.bin"/><Relationship Id="rId2" Type="http://schemas.openxmlformats.org/officeDocument/2006/relationships/vmlDrawing" Target="../drawings/vmlDrawing8.v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9" Type="http://schemas.openxmlformats.org/officeDocument/2006/relationships/oleObject" Target="../embeddings/oleObject48.bin"/><Relationship Id="rId8" Type="http://schemas.openxmlformats.org/officeDocument/2006/relationships/image" Target="../media/image66.emf"/><Relationship Id="rId7" Type="http://schemas.openxmlformats.org/officeDocument/2006/relationships/oleObject" Target="../embeddings/oleObject47.bin"/><Relationship Id="rId6" Type="http://schemas.openxmlformats.org/officeDocument/2006/relationships/image" Target="../media/image65.emf"/><Relationship Id="rId5" Type="http://schemas.openxmlformats.org/officeDocument/2006/relationships/oleObject" Target="../embeddings/oleObject46.bin"/><Relationship Id="rId4" Type="http://schemas.openxmlformats.org/officeDocument/2006/relationships/image" Target="../media/image64.emf"/><Relationship Id="rId3" Type="http://schemas.openxmlformats.org/officeDocument/2006/relationships/oleObject" Target="../embeddings/oleObject45.bin"/><Relationship Id="rId2" Type="http://schemas.openxmlformats.org/officeDocument/2006/relationships/vmlDrawing" Target="../drawings/vmlDrawing9.vml"/><Relationship Id="rId12" Type="http://schemas.openxmlformats.org/officeDocument/2006/relationships/image" Target="../media/image68.emf"/><Relationship Id="rId11" Type="http://schemas.openxmlformats.org/officeDocument/2006/relationships/oleObject" Target="../embeddings/oleObject49.bin"/><Relationship Id="rId10" Type="http://schemas.openxmlformats.org/officeDocument/2006/relationships/image" Target="../media/image67.emf"/><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2" Type="http://schemas.openxmlformats.org/officeDocument/2006/relationships/hyperlink" Target="https://shop469356665.taobao.com/" TargetMode="External"/><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5.xml"/><Relationship Id="rId1" Type="http://schemas.openxmlformats.org/officeDocument/2006/relationships/comments" Target="../comments2.xml"/></Relationships>
</file>

<file path=xl/worksheets/_rels/sheet21.xml.rels><?xml version="1.0" encoding="UTF-8" standalone="yes"?>
<Relationships xmlns="http://schemas.openxmlformats.org/package/2006/relationships"><Relationship Id="rId9" Type="http://schemas.openxmlformats.org/officeDocument/2006/relationships/image" Target="../media/image75.emf"/><Relationship Id="rId8" Type="http://schemas.openxmlformats.org/officeDocument/2006/relationships/oleObject" Target="../embeddings/oleObject52.bin"/><Relationship Id="rId7" Type="http://schemas.openxmlformats.org/officeDocument/2006/relationships/image" Target="../media/image74.emf"/><Relationship Id="rId6" Type="http://schemas.openxmlformats.org/officeDocument/2006/relationships/oleObject" Target="../embeddings/oleObject51.bin"/><Relationship Id="rId54" Type="http://schemas.openxmlformats.org/officeDocument/2006/relationships/image" Target="../media/image97.emf"/><Relationship Id="rId53" Type="http://schemas.openxmlformats.org/officeDocument/2006/relationships/oleObject" Target="../embeddings/oleObject75.bin"/><Relationship Id="rId52" Type="http://schemas.openxmlformats.org/officeDocument/2006/relationships/image" Target="../media/image96.emf"/><Relationship Id="rId51" Type="http://schemas.openxmlformats.org/officeDocument/2006/relationships/oleObject" Target="../embeddings/oleObject74.bin"/><Relationship Id="rId50" Type="http://schemas.openxmlformats.org/officeDocument/2006/relationships/image" Target="../media/image95.emf"/><Relationship Id="rId5" Type="http://schemas.openxmlformats.org/officeDocument/2006/relationships/image" Target="../media/image73.emf"/><Relationship Id="rId49" Type="http://schemas.openxmlformats.org/officeDocument/2006/relationships/oleObject" Target="../embeddings/oleObject73.bin"/><Relationship Id="rId48" Type="http://schemas.openxmlformats.org/officeDocument/2006/relationships/image" Target="../media/image94.emf"/><Relationship Id="rId47" Type="http://schemas.openxmlformats.org/officeDocument/2006/relationships/oleObject" Target="../embeddings/oleObject72.bin"/><Relationship Id="rId46" Type="http://schemas.openxmlformats.org/officeDocument/2006/relationships/image" Target="../media/image93.emf"/><Relationship Id="rId45" Type="http://schemas.openxmlformats.org/officeDocument/2006/relationships/oleObject" Target="../embeddings/oleObject71.bin"/><Relationship Id="rId44" Type="http://schemas.openxmlformats.org/officeDocument/2006/relationships/image" Target="../media/image92.emf"/><Relationship Id="rId43" Type="http://schemas.openxmlformats.org/officeDocument/2006/relationships/oleObject" Target="../embeddings/oleObject70.bin"/><Relationship Id="rId42" Type="http://schemas.openxmlformats.org/officeDocument/2006/relationships/image" Target="../media/image91.emf"/><Relationship Id="rId41" Type="http://schemas.openxmlformats.org/officeDocument/2006/relationships/oleObject" Target="../embeddings/oleObject69.bin"/><Relationship Id="rId40" Type="http://schemas.openxmlformats.org/officeDocument/2006/relationships/image" Target="../media/image90.emf"/><Relationship Id="rId4" Type="http://schemas.openxmlformats.org/officeDocument/2006/relationships/oleObject" Target="../embeddings/oleObject50.bin"/><Relationship Id="rId39" Type="http://schemas.openxmlformats.org/officeDocument/2006/relationships/oleObject" Target="../embeddings/oleObject68.bin"/><Relationship Id="rId38" Type="http://schemas.openxmlformats.org/officeDocument/2006/relationships/image" Target="../media/image89.emf"/><Relationship Id="rId37" Type="http://schemas.openxmlformats.org/officeDocument/2006/relationships/oleObject" Target="../embeddings/oleObject67.bin"/><Relationship Id="rId36" Type="http://schemas.openxmlformats.org/officeDocument/2006/relationships/image" Target="../media/image88.emf"/><Relationship Id="rId35" Type="http://schemas.openxmlformats.org/officeDocument/2006/relationships/oleObject" Target="../embeddings/oleObject66.bin"/><Relationship Id="rId34" Type="http://schemas.openxmlformats.org/officeDocument/2006/relationships/image" Target="../media/image87.emf"/><Relationship Id="rId33" Type="http://schemas.openxmlformats.org/officeDocument/2006/relationships/oleObject" Target="../embeddings/oleObject65.bin"/><Relationship Id="rId32" Type="http://schemas.openxmlformats.org/officeDocument/2006/relationships/image" Target="../media/image86.emf"/><Relationship Id="rId31" Type="http://schemas.openxmlformats.org/officeDocument/2006/relationships/oleObject" Target="../embeddings/oleObject64.bin"/><Relationship Id="rId30" Type="http://schemas.openxmlformats.org/officeDocument/2006/relationships/image" Target="../media/image85.emf"/><Relationship Id="rId3" Type="http://schemas.openxmlformats.org/officeDocument/2006/relationships/vmlDrawing" Target="../drawings/vmlDrawing11.vml"/><Relationship Id="rId29" Type="http://schemas.openxmlformats.org/officeDocument/2006/relationships/oleObject" Target="../embeddings/oleObject63.bin"/><Relationship Id="rId28" Type="http://schemas.openxmlformats.org/officeDocument/2006/relationships/image" Target="../media/image84.emf"/><Relationship Id="rId27" Type="http://schemas.openxmlformats.org/officeDocument/2006/relationships/oleObject" Target="../embeddings/oleObject62.bin"/><Relationship Id="rId26" Type="http://schemas.openxmlformats.org/officeDocument/2006/relationships/image" Target="../media/image83.emf"/><Relationship Id="rId25" Type="http://schemas.openxmlformats.org/officeDocument/2006/relationships/oleObject" Target="../embeddings/oleObject61.bin"/><Relationship Id="rId24" Type="http://schemas.openxmlformats.org/officeDocument/2006/relationships/image" Target="../media/image82.emf"/><Relationship Id="rId23" Type="http://schemas.openxmlformats.org/officeDocument/2006/relationships/oleObject" Target="../embeddings/oleObject60.bin"/><Relationship Id="rId22" Type="http://schemas.openxmlformats.org/officeDocument/2006/relationships/image" Target="../media/image81.emf"/><Relationship Id="rId21" Type="http://schemas.openxmlformats.org/officeDocument/2006/relationships/oleObject" Target="../embeddings/oleObject59.bin"/><Relationship Id="rId20" Type="http://schemas.openxmlformats.org/officeDocument/2006/relationships/oleObject" Target="../embeddings/oleObject58.bin"/><Relationship Id="rId2" Type="http://schemas.openxmlformats.org/officeDocument/2006/relationships/drawing" Target="../drawings/drawing16.xml"/><Relationship Id="rId19" Type="http://schemas.openxmlformats.org/officeDocument/2006/relationships/image" Target="../media/image80.emf"/><Relationship Id="rId18" Type="http://schemas.openxmlformats.org/officeDocument/2006/relationships/oleObject" Target="../embeddings/oleObject57.bin"/><Relationship Id="rId17" Type="http://schemas.openxmlformats.org/officeDocument/2006/relationships/image" Target="../media/image79.emf"/><Relationship Id="rId16" Type="http://schemas.openxmlformats.org/officeDocument/2006/relationships/oleObject" Target="../embeddings/oleObject56.bin"/><Relationship Id="rId15" Type="http://schemas.openxmlformats.org/officeDocument/2006/relationships/image" Target="../media/image78.emf"/><Relationship Id="rId14" Type="http://schemas.openxmlformats.org/officeDocument/2006/relationships/oleObject" Target="../embeddings/oleObject55.bin"/><Relationship Id="rId13" Type="http://schemas.openxmlformats.org/officeDocument/2006/relationships/image" Target="../media/image77.emf"/><Relationship Id="rId12" Type="http://schemas.openxmlformats.org/officeDocument/2006/relationships/oleObject" Target="../embeddings/oleObject54.bin"/><Relationship Id="rId11" Type="http://schemas.openxmlformats.org/officeDocument/2006/relationships/image" Target="../media/image76.emf"/><Relationship Id="rId10" Type="http://schemas.openxmlformats.org/officeDocument/2006/relationships/oleObject" Target="../embeddings/oleObject53.bin"/><Relationship Id="rId1" Type="http://schemas.openxmlformats.org/officeDocument/2006/relationships/comments" Target="../comments3.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comments" Target="../comments5.xml"/></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comments" Target="../comments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9" Type="http://schemas.openxmlformats.org/officeDocument/2006/relationships/oleObject" Target="../embeddings/oleObject79.bin"/><Relationship Id="rId8" Type="http://schemas.openxmlformats.org/officeDocument/2006/relationships/image" Target="../media/image113.emf"/><Relationship Id="rId7" Type="http://schemas.openxmlformats.org/officeDocument/2006/relationships/oleObject" Target="../embeddings/oleObject78.bin"/><Relationship Id="rId6" Type="http://schemas.openxmlformats.org/officeDocument/2006/relationships/image" Target="../media/image112.emf"/><Relationship Id="rId5" Type="http://schemas.openxmlformats.org/officeDocument/2006/relationships/oleObject" Target="../embeddings/oleObject77.bin"/><Relationship Id="rId4" Type="http://schemas.openxmlformats.org/officeDocument/2006/relationships/image" Target="../media/image111.emf"/><Relationship Id="rId3" Type="http://schemas.openxmlformats.org/officeDocument/2006/relationships/oleObject" Target="../embeddings/oleObject76.bin"/><Relationship Id="rId26" Type="http://schemas.openxmlformats.org/officeDocument/2006/relationships/image" Target="../media/image122.emf"/><Relationship Id="rId25" Type="http://schemas.openxmlformats.org/officeDocument/2006/relationships/oleObject" Target="../embeddings/oleObject87.bin"/><Relationship Id="rId24" Type="http://schemas.openxmlformats.org/officeDocument/2006/relationships/image" Target="../media/image121.emf"/><Relationship Id="rId23" Type="http://schemas.openxmlformats.org/officeDocument/2006/relationships/oleObject" Target="../embeddings/oleObject86.bin"/><Relationship Id="rId22" Type="http://schemas.openxmlformats.org/officeDocument/2006/relationships/image" Target="../media/image120.emf"/><Relationship Id="rId21" Type="http://schemas.openxmlformats.org/officeDocument/2006/relationships/oleObject" Target="../embeddings/oleObject85.bin"/><Relationship Id="rId20" Type="http://schemas.openxmlformats.org/officeDocument/2006/relationships/image" Target="../media/image119.emf"/><Relationship Id="rId2" Type="http://schemas.openxmlformats.org/officeDocument/2006/relationships/vmlDrawing" Target="../drawings/vmlDrawing15.vml"/><Relationship Id="rId19" Type="http://schemas.openxmlformats.org/officeDocument/2006/relationships/oleObject" Target="../embeddings/oleObject84.bin"/><Relationship Id="rId18" Type="http://schemas.openxmlformats.org/officeDocument/2006/relationships/image" Target="../media/image118.emf"/><Relationship Id="rId17" Type="http://schemas.openxmlformats.org/officeDocument/2006/relationships/oleObject" Target="../embeddings/oleObject83.bin"/><Relationship Id="rId16" Type="http://schemas.openxmlformats.org/officeDocument/2006/relationships/image" Target="../media/image117.emf"/><Relationship Id="rId15" Type="http://schemas.openxmlformats.org/officeDocument/2006/relationships/oleObject" Target="../embeddings/oleObject82.bin"/><Relationship Id="rId14" Type="http://schemas.openxmlformats.org/officeDocument/2006/relationships/image" Target="../media/image116.emf"/><Relationship Id="rId13" Type="http://schemas.openxmlformats.org/officeDocument/2006/relationships/oleObject" Target="../embeddings/oleObject81.bin"/><Relationship Id="rId12" Type="http://schemas.openxmlformats.org/officeDocument/2006/relationships/image" Target="../media/image115.emf"/><Relationship Id="rId11" Type="http://schemas.openxmlformats.org/officeDocument/2006/relationships/oleObject" Target="../embeddings/oleObject80.bin"/><Relationship Id="rId10" Type="http://schemas.openxmlformats.org/officeDocument/2006/relationships/image" Target="../media/image114.emf"/><Relationship Id="rId1" Type="http://schemas.openxmlformats.org/officeDocument/2006/relationships/drawing" Target="../drawings/drawing19.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comments" Target="../comments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1.xml"/><Relationship Id="rId1" Type="http://schemas.openxmlformats.org/officeDocument/2006/relationships/comments" Target="../comments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comments" Target="../comments9.xml"/></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comments" Target="../comments1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2.xml"/><Relationship Id="rId1" Type="http://schemas.openxmlformats.org/officeDocument/2006/relationships/comments" Target="../comments1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4.xml"/><Relationship Id="rId1" Type="http://schemas.openxmlformats.org/officeDocument/2006/relationships/comments" Target="../comments12.xml"/></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comments" Target="../comments13.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comments" Target="../comments14.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6.xml"/><Relationship Id="rId1" Type="http://schemas.openxmlformats.org/officeDocument/2006/relationships/comments" Target="../comments15.xml"/></Relationships>
</file>

<file path=xl/worksheets/_rels/sheet44.xml.rels><?xml version="1.0" encoding="UTF-8" standalone="yes"?>
<Relationships xmlns="http://schemas.openxmlformats.org/package/2006/relationships"><Relationship Id="rId3" Type="http://schemas.openxmlformats.org/officeDocument/2006/relationships/hyperlink" Target="https://shop469356665.taobao.com/" TargetMode="External"/><Relationship Id="rId2" Type="http://schemas.openxmlformats.org/officeDocument/2006/relationships/vmlDrawing" Target="../drawings/vmlDrawing25.vml"/><Relationship Id="rId1" Type="http://schemas.openxmlformats.org/officeDocument/2006/relationships/comments" Target="../comments16.xml"/></Relationships>
</file>

<file path=xl/worksheets/_rels/sheet48.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comments" Target="../comments1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66.xml.rels><?xml version="1.0" encoding="UTF-8" standalone="yes"?>
<Relationships xmlns="http://schemas.openxmlformats.org/package/2006/relationships"><Relationship Id="rId1" Type="http://schemas.openxmlformats.org/officeDocument/2006/relationships/hyperlink" Target="https://shop469356665.taobao.com/"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item.taobao.com/item.htm?spm=a1z10.1-c.w137644-22246039121.26.7dc12e37ZmLaY2&amp;id=618934354185"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71.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7.vml"/><Relationship Id="rId1" Type="http://schemas.openxmlformats.org/officeDocument/2006/relationships/drawing" Target="../drawings/drawing37.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4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28"/>
  <sheetViews>
    <sheetView tabSelected="1" workbookViewId="0">
      <selection activeCell="C5" sqref="C5"/>
    </sheetView>
  </sheetViews>
  <sheetFormatPr defaultColWidth="9" defaultRowHeight="17.4"/>
  <cols>
    <col min="1" max="1" width="5.625" customWidth="1"/>
    <col min="2" max="2" width="7.125" customWidth="1"/>
    <col min="3" max="3" width="31.625" style="1899" customWidth="1"/>
    <col min="4" max="4" width="6.625" customWidth="1"/>
    <col min="5" max="5" width="7.125" style="289" customWidth="1"/>
    <col min="6" max="6" width="31.625" customWidth="1"/>
    <col min="7" max="7" width="6.625" customWidth="1"/>
    <col min="8" max="8" width="7.125" style="289" customWidth="1"/>
    <col min="9" max="9" width="31.625" customWidth="1"/>
    <col min="10" max="10" width="6.625" customWidth="1"/>
    <col min="11" max="11" width="7.125" customWidth="1"/>
    <col min="12" max="12" width="31.625" style="168" customWidth="1"/>
  </cols>
  <sheetData>
    <row r="1" customFormat="1" ht="19.5" customHeight="1" spans="1:12">
      <c r="A1" s="1819" t="s">
        <v>0</v>
      </c>
      <c r="B1" s="246" t="s">
        <v>1</v>
      </c>
      <c r="C1" s="246"/>
      <c r="D1" s="289"/>
      <c r="E1" s="246" t="s">
        <v>2</v>
      </c>
      <c r="F1" s="246"/>
      <c r="G1" s="1900"/>
      <c r="H1" s="246" t="s">
        <v>3</v>
      </c>
      <c r="I1" s="246"/>
      <c r="J1" s="19"/>
      <c r="K1" s="246" t="s">
        <v>4</v>
      </c>
      <c r="L1" s="246"/>
    </row>
    <row r="2" customFormat="1" ht="20.25" customHeight="1" spans="1:12">
      <c r="A2" s="1819"/>
      <c r="B2" s="1901" t="s">
        <v>5</v>
      </c>
      <c r="C2" s="1901"/>
      <c r="D2" s="289"/>
      <c r="E2" s="1901" t="s">
        <v>6</v>
      </c>
      <c r="F2" s="1901"/>
      <c r="G2" s="1900"/>
      <c r="H2" s="1901" t="s">
        <v>7</v>
      </c>
      <c r="I2" s="1901"/>
      <c r="J2" s="19"/>
      <c r="K2" s="1925"/>
      <c r="L2" s="1901"/>
    </row>
    <row r="3" ht="18.15" spans="1:12">
      <c r="A3" s="1902"/>
      <c r="B3" s="1903" t="s">
        <v>8</v>
      </c>
      <c r="C3" s="1904" t="s">
        <v>9</v>
      </c>
      <c r="D3" s="289"/>
      <c r="E3" s="1905" t="s">
        <v>8</v>
      </c>
      <c r="F3" s="1904" t="s">
        <v>9</v>
      </c>
      <c r="G3" s="1900"/>
      <c r="H3" s="1905" t="s">
        <v>8</v>
      </c>
      <c r="I3" s="1904" t="s">
        <v>9</v>
      </c>
      <c r="J3" s="19"/>
      <c r="K3" s="1905" t="s">
        <v>8</v>
      </c>
      <c r="L3" s="1904" t="s">
        <v>9</v>
      </c>
    </row>
    <row r="4" ht="21.75" customHeight="1" spans="1:12">
      <c r="A4" s="1902"/>
      <c r="B4" s="1906">
        <v>1</v>
      </c>
      <c r="C4" s="1907" t="s">
        <v>10</v>
      </c>
      <c r="D4" s="289"/>
      <c r="E4" s="1906">
        <v>26</v>
      </c>
      <c r="F4" s="1908" t="s">
        <v>11</v>
      </c>
      <c r="G4" s="1900"/>
      <c r="H4" s="1906">
        <v>1</v>
      </c>
      <c r="I4" s="1926" t="s">
        <v>12</v>
      </c>
      <c r="J4" s="19"/>
      <c r="K4" s="1906">
        <v>26</v>
      </c>
      <c r="L4" s="1911" t="s">
        <v>13</v>
      </c>
    </row>
    <row r="5" ht="21.75" customHeight="1" spans="1:12">
      <c r="A5" s="1902"/>
      <c r="B5" s="1909">
        <v>2</v>
      </c>
      <c r="C5" s="1910" t="s">
        <v>14</v>
      </c>
      <c r="D5" s="289"/>
      <c r="E5" s="1909">
        <v>27</v>
      </c>
      <c r="F5" s="1911" t="s">
        <v>15</v>
      </c>
      <c r="G5" s="1900"/>
      <c r="H5" s="1909">
        <v>2</v>
      </c>
      <c r="I5" s="1911" t="s">
        <v>16</v>
      </c>
      <c r="J5" s="19"/>
      <c r="K5" s="1909">
        <v>27</v>
      </c>
      <c r="L5" s="1913" t="s">
        <v>17</v>
      </c>
    </row>
    <row r="6" ht="21.75" customHeight="1" spans="1:12">
      <c r="A6" s="1902"/>
      <c r="B6" s="1909">
        <v>3</v>
      </c>
      <c r="C6" s="1912" t="s">
        <v>18</v>
      </c>
      <c r="D6" s="289"/>
      <c r="E6" s="1909">
        <v>28</v>
      </c>
      <c r="F6" s="1913" t="s">
        <v>19</v>
      </c>
      <c r="G6" s="1900"/>
      <c r="H6" s="1909">
        <v>3</v>
      </c>
      <c r="I6" s="1911" t="s">
        <v>20</v>
      </c>
      <c r="J6" s="19"/>
      <c r="K6" s="1909">
        <v>28</v>
      </c>
      <c r="L6" s="1911" t="s">
        <v>21</v>
      </c>
    </row>
    <row r="7" ht="21.75" customHeight="1" spans="1:12">
      <c r="A7" s="1902"/>
      <c r="B7" s="1909">
        <v>4</v>
      </c>
      <c r="C7" s="1914" t="s">
        <v>22</v>
      </c>
      <c r="D7" s="289"/>
      <c r="E7" s="1909">
        <v>29</v>
      </c>
      <c r="F7" s="1911" t="s">
        <v>23</v>
      </c>
      <c r="G7" s="1900"/>
      <c r="H7" s="1909">
        <v>4</v>
      </c>
      <c r="I7" s="1913" t="s">
        <v>24</v>
      </c>
      <c r="J7" s="19"/>
      <c r="K7" s="1909">
        <v>29</v>
      </c>
      <c r="L7" s="1913" t="s">
        <v>25</v>
      </c>
    </row>
    <row r="8" ht="21.75" customHeight="1" spans="1:12">
      <c r="A8" s="1902"/>
      <c r="B8" s="1909">
        <v>5</v>
      </c>
      <c r="C8" s="1912" t="s">
        <v>26</v>
      </c>
      <c r="D8" s="289"/>
      <c r="E8" s="1909">
        <v>30</v>
      </c>
      <c r="F8" s="1913" t="s">
        <v>27</v>
      </c>
      <c r="G8" s="1900"/>
      <c r="H8" s="1909">
        <v>5</v>
      </c>
      <c r="I8" s="1911" t="s">
        <v>28</v>
      </c>
      <c r="J8" s="19"/>
      <c r="K8" s="1909">
        <v>30</v>
      </c>
      <c r="L8" s="1911" t="s">
        <v>29</v>
      </c>
    </row>
    <row r="9" ht="21.75" customHeight="1" spans="1:12">
      <c r="A9" s="1902"/>
      <c r="B9" s="1909">
        <v>6</v>
      </c>
      <c r="C9" s="1914" t="s">
        <v>30</v>
      </c>
      <c r="D9" s="289"/>
      <c r="E9" s="1909">
        <v>31</v>
      </c>
      <c r="F9" s="1911" t="s">
        <v>31</v>
      </c>
      <c r="G9" s="1900"/>
      <c r="H9" s="1909">
        <v>6</v>
      </c>
      <c r="I9" s="1917" t="s">
        <v>32</v>
      </c>
      <c r="J9" s="19"/>
      <c r="K9" s="1909">
        <v>31</v>
      </c>
      <c r="L9" s="1911" t="s">
        <v>33</v>
      </c>
    </row>
    <row r="10" ht="21.75" customHeight="1" spans="1:25">
      <c r="A10" s="1902"/>
      <c r="B10" s="1909">
        <v>7</v>
      </c>
      <c r="C10" s="1914" t="s">
        <v>34</v>
      </c>
      <c r="D10" s="289"/>
      <c r="E10" s="1909">
        <v>32</v>
      </c>
      <c r="F10" s="1911" t="s">
        <v>35</v>
      </c>
      <c r="G10" s="1900"/>
      <c r="H10" s="1909">
        <v>7</v>
      </c>
      <c r="I10" s="1911" t="s">
        <v>36</v>
      </c>
      <c r="J10" s="19"/>
      <c r="K10" s="1909">
        <v>32</v>
      </c>
      <c r="L10" s="1913" t="s">
        <v>37</v>
      </c>
      <c r="P10" s="1927" t="s">
        <v>38</v>
      </c>
      <c r="Q10" s="1927"/>
      <c r="R10" s="1927"/>
      <c r="S10" s="1927"/>
      <c r="T10" s="1927"/>
      <c r="U10" s="1927"/>
      <c r="V10" s="1927"/>
      <c r="W10" s="1927"/>
      <c r="X10" s="1927"/>
      <c r="Y10" s="1927"/>
    </row>
    <row r="11" ht="21.75" customHeight="1" spans="1:25">
      <c r="A11" s="1902"/>
      <c r="B11" s="1909">
        <v>8</v>
      </c>
      <c r="C11" s="1912" t="s">
        <v>39</v>
      </c>
      <c r="D11" s="289"/>
      <c r="E11" s="1909">
        <v>33</v>
      </c>
      <c r="F11" s="1913" t="s">
        <v>40</v>
      </c>
      <c r="G11" s="1900"/>
      <c r="H11" s="1909">
        <v>8</v>
      </c>
      <c r="I11" s="1928" t="s">
        <v>41</v>
      </c>
      <c r="J11" s="19"/>
      <c r="K11" s="1909">
        <v>33</v>
      </c>
      <c r="L11" s="1911" t="s">
        <v>42</v>
      </c>
      <c r="P11" s="1927"/>
      <c r="Q11" s="1927"/>
      <c r="R11" s="1927"/>
      <c r="S11" s="1927"/>
      <c r="T11" s="1927"/>
      <c r="U11" s="1927"/>
      <c r="V11" s="1927"/>
      <c r="W11" s="1927"/>
      <c r="X11" s="1927"/>
      <c r="Y11" s="1927"/>
    </row>
    <row r="12" ht="21.75" customHeight="1" spans="1:12">
      <c r="A12" s="1902"/>
      <c r="B12" s="1909">
        <v>9</v>
      </c>
      <c r="C12" s="1914" t="s">
        <v>43</v>
      </c>
      <c r="D12" s="289"/>
      <c r="E12" s="1909">
        <v>34</v>
      </c>
      <c r="F12" s="1911" t="s">
        <v>44</v>
      </c>
      <c r="G12" s="1900"/>
      <c r="H12" s="1909">
        <v>9</v>
      </c>
      <c r="I12" s="1921" t="s">
        <v>45</v>
      </c>
      <c r="J12" s="19"/>
      <c r="K12" s="1909">
        <v>34</v>
      </c>
      <c r="L12" s="1913" t="s">
        <v>46</v>
      </c>
    </row>
    <row r="13" ht="21.75" customHeight="1" spans="1:12">
      <c r="A13" s="1902"/>
      <c r="B13" s="1909">
        <v>10</v>
      </c>
      <c r="C13" s="1912" t="s">
        <v>47</v>
      </c>
      <c r="D13" s="289"/>
      <c r="E13" s="1909">
        <v>35</v>
      </c>
      <c r="F13" s="1913" t="s">
        <v>48</v>
      </c>
      <c r="G13" s="1900"/>
      <c r="H13" s="1909">
        <v>10</v>
      </c>
      <c r="I13" s="1922" t="s">
        <v>49</v>
      </c>
      <c r="J13" s="19"/>
      <c r="K13" s="1909">
        <v>35</v>
      </c>
      <c r="L13" s="1911" t="s">
        <v>50</v>
      </c>
    </row>
    <row r="14" ht="21.75" customHeight="1" spans="1:17">
      <c r="A14" s="1902"/>
      <c r="B14" s="1909">
        <v>11</v>
      </c>
      <c r="C14" s="1914" t="s">
        <v>51</v>
      </c>
      <c r="D14" s="289"/>
      <c r="E14" s="1909">
        <v>36</v>
      </c>
      <c r="F14" s="1911" t="s">
        <v>52</v>
      </c>
      <c r="G14" s="1900"/>
      <c r="H14" s="1909">
        <v>11</v>
      </c>
      <c r="I14" s="1911" t="s">
        <v>53</v>
      </c>
      <c r="J14" s="19"/>
      <c r="K14" s="1909">
        <v>36</v>
      </c>
      <c r="L14" s="1916" t="s">
        <v>54</v>
      </c>
      <c r="Q14" s="1697"/>
    </row>
    <row r="15" customFormat="1" ht="21.75" customHeight="1" spans="1:12">
      <c r="A15" s="1902"/>
      <c r="B15" s="1909">
        <v>12</v>
      </c>
      <c r="C15" s="1915" t="s">
        <v>55</v>
      </c>
      <c r="D15" s="289"/>
      <c r="E15" s="1909">
        <v>37</v>
      </c>
      <c r="F15" s="1916" t="s">
        <v>56</v>
      </c>
      <c r="G15" s="1900"/>
      <c r="H15" s="1909">
        <v>12</v>
      </c>
      <c r="I15" s="1929" t="s">
        <v>57</v>
      </c>
      <c r="J15" s="19"/>
      <c r="K15" s="1909">
        <v>37</v>
      </c>
      <c r="L15" s="1917" t="s">
        <v>58</v>
      </c>
    </row>
    <row r="16" ht="21.75" customHeight="1" spans="1:12">
      <c r="A16" s="1902"/>
      <c r="B16" s="1909">
        <v>13</v>
      </c>
      <c r="C16" s="1912" t="s">
        <v>59</v>
      </c>
      <c r="D16" s="289"/>
      <c r="E16" s="1909">
        <v>38</v>
      </c>
      <c r="F16" s="1917" t="s">
        <v>60</v>
      </c>
      <c r="G16" s="1900"/>
      <c r="H16" s="1909">
        <v>13</v>
      </c>
      <c r="I16" s="1913" t="s">
        <v>61</v>
      </c>
      <c r="J16" s="19"/>
      <c r="K16" s="1909">
        <v>38</v>
      </c>
      <c r="L16" s="1916" t="s">
        <v>62</v>
      </c>
    </row>
    <row r="17" ht="21.75" customHeight="1" spans="1:12">
      <c r="A17" s="1902"/>
      <c r="B17" s="1909">
        <v>14</v>
      </c>
      <c r="C17" s="1914" t="s">
        <v>63</v>
      </c>
      <c r="D17" s="289"/>
      <c r="E17" s="1909">
        <v>39</v>
      </c>
      <c r="F17" s="1918"/>
      <c r="G17" s="1900"/>
      <c r="H17" s="1909">
        <v>14</v>
      </c>
      <c r="I17" s="1911" t="s">
        <v>64</v>
      </c>
      <c r="J17" s="19"/>
      <c r="K17" s="1909">
        <v>39</v>
      </c>
      <c r="L17" s="1917" t="s">
        <v>65</v>
      </c>
    </row>
    <row r="18" ht="21.75" customHeight="1" spans="1:12">
      <c r="A18" s="1902"/>
      <c r="B18" s="1909">
        <v>15</v>
      </c>
      <c r="C18" s="1912" t="s">
        <v>66</v>
      </c>
      <c r="D18" s="289"/>
      <c r="E18" s="1909">
        <v>40</v>
      </c>
      <c r="F18" s="1919"/>
      <c r="G18" s="1900"/>
      <c r="H18" s="1909">
        <v>15</v>
      </c>
      <c r="I18" s="1913" t="s">
        <v>67</v>
      </c>
      <c r="J18" s="19"/>
      <c r="K18" s="1909">
        <v>40</v>
      </c>
      <c r="L18" s="1930"/>
    </row>
    <row r="19" ht="21.75" customHeight="1" spans="1:12">
      <c r="A19" s="1902"/>
      <c r="B19" s="1909">
        <v>16</v>
      </c>
      <c r="C19" s="1914" t="s">
        <v>68</v>
      </c>
      <c r="D19" s="289"/>
      <c r="E19" s="1909">
        <v>41</v>
      </c>
      <c r="F19" s="1920"/>
      <c r="G19" s="1900"/>
      <c r="H19" s="1909">
        <v>16</v>
      </c>
      <c r="I19" s="1911" t="s">
        <v>69</v>
      </c>
      <c r="J19" s="19"/>
      <c r="K19" s="1909">
        <v>41</v>
      </c>
      <c r="L19" s="1931"/>
    </row>
    <row r="20" ht="21.75" customHeight="1" spans="1:12">
      <c r="A20" s="1902"/>
      <c r="B20" s="1909">
        <v>17</v>
      </c>
      <c r="C20" s="1912" t="s">
        <v>70</v>
      </c>
      <c r="D20" s="289"/>
      <c r="E20" s="1909">
        <v>42</v>
      </c>
      <c r="F20" s="1921"/>
      <c r="G20" s="1900"/>
      <c r="H20" s="1909">
        <v>17</v>
      </c>
      <c r="I20" s="1913" t="s">
        <v>71</v>
      </c>
      <c r="J20" s="19"/>
      <c r="K20" s="1909">
        <v>42</v>
      </c>
      <c r="L20" s="1932"/>
    </row>
    <row r="21" ht="21.75" customHeight="1" spans="1:12">
      <c r="A21" s="1902"/>
      <c r="B21" s="1909">
        <v>18</v>
      </c>
      <c r="C21" s="1914" t="s">
        <v>72</v>
      </c>
      <c r="D21" s="289"/>
      <c r="E21" s="1909">
        <v>43</v>
      </c>
      <c r="F21" s="1922"/>
      <c r="G21" s="1900"/>
      <c r="H21" s="1909">
        <v>18</v>
      </c>
      <c r="I21" s="1911" t="s">
        <v>73</v>
      </c>
      <c r="J21" s="19"/>
      <c r="K21" s="1909">
        <v>43</v>
      </c>
      <c r="L21" s="1933"/>
    </row>
    <row r="22" ht="21.75" customHeight="1" spans="1:12">
      <c r="A22" s="1902"/>
      <c r="B22" s="1909">
        <v>19</v>
      </c>
      <c r="C22" s="1912" t="s">
        <v>74</v>
      </c>
      <c r="D22" s="289"/>
      <c r="E22" s="1909">
        <v>44</v>
      </c>
      <c r="F22" s="1923"/>
      <c r="G22" s="1900"/>
      <c r="H22" s="1909">
        <v>19</v>
      </c>
      <c r="I22" s="1934" t="s">
        <v>75</v>
      </c>
      <c r="J22" s="19"/>
      <c r="K22" s="1909">
        <v>44</v>
      </c>
      <c r="L22" s="1935"/>
    </row>
    <row r="23" ht="21.75" customHeight="1" spans="1:12">
      <c r="A23" s="1902"/>
      <c r="B23" s="1909">
        <v>20</v>
      </c>
      <c r="C23" s="1914" t="s">
        <v>76</v>
      </c>
      <c r="D23" s="289"/>
      <c r="E23" s="1909">
        <v>45</v>
      </c>
      <c r="F23" s="1922"/>
      <c r="G23" s="1900"/>
      <c r="H23" s="1909">
        <v>20</v>
      </c>
      <c r="I23" s="1913" t="s">
        <v>77</v>
      </c>
      <c r="J23" s="19"/>
      <c r="K23" s="1909">
        <v>45</v>
      </c>
      <c r="L23" s="1933"/>
    </row>
    <row r="24" ht="21.75" customHeight="1" spans="1:12">
      <c r="A24" s="1902"/>
      <c r="B24" s="1909">
        <v>21</v>
      </c>
      <c r="C24" s="1912" t="s">
        <v>78</v>
      </c>
      <c r="D24" s="289"/>
      <c r="E24" s="1909">
        <v>46</v>
      </c>
      <c r="F24" s="1923"/>
      <c r="G24" s="1900"/>
      <c r="H24" s="1909">
        <v>21</v>
      </c>
      <c r="I24" s="1911" t="s">
        <v>79</v>
      </c>
      <c r="J24" s="19"/>
      <c r="K24" s="1909">
        <v>46</v>
      </c>
      <c r="L24" s="1935"/>
    </row>
    <row r="25" ht="21.75" customHeight="1" spans="1:12">
      <c r="A25" s="1902"/>
      <c r="B25" s="1909">
        <v>22</v>
      </c>
      <c r="C25" s="1914" t="s">
        <v>80</v>
      </c>
      <c r="D25" s="289"/>
      <c r="E25" s="1909">
        <v>47</v>
      </c>
      <c r="F25" s="1922"/>
      <c r="G25" s="1900"/>
      <c r="H25" s="1909">
        <v>22</v>
      </c>
      <c r="I25" s="1913" t="s">
        <v>81</v>
      </c>
      <c r="J25" s="19"/>
      <c r="K25" s="1909">
        <v>47</v>
      </c>
      <c r="L25" s="1933"/>
    </row>
    <row r="26" ht="21.75" customHeight="1" spans="1:12">
      <c r="A26" s="1902"/>
      <c r="B26" s="1909">
        <v>23</v>
      </c>
      <c r="C26" s="1912" t="s">
        <v>82</v>
      </c>
      <c r="D26" s="289"/>
      <c r="E26" s="1909">
        <v>48</v>
      </c>
      <c r="F26" s="1923"/>
      <c r="G26" s="1900"/>
      <c r="H26" s="1909">
        <v>23</v>
      </c>
      <c r="I26" s="1911" t="s">
        <v>83</v>
      </c>
      <c r="J26" s="19"/>
      <c r="K26" s="1909">
        <v>48</v>
      </c>
      <c r="L26" s="1935"/>
    </row>
    <row r="27" ht="21.75" customHeight="1" spans="1:12">
      <c r="A27" s="1902"/>
      <c r="B27" s="1909">
        <v>24</v>
      </c>
      <c r="C27" s="1914" t="s">
        <v>84</v>
      </c>
      <c r="D27" s="289"/>
      <c r="E27" s="1909">
        <v>49</v>
      </c>
      <c r="F27" s="1922"/>
      <c r="G27" s="1900"/>
      <c r="H27" s="1909">
        <v>24</v>
      </c>
      <c r="I27" s="1911" t="s">
        <v>85</v>
      </c>
      <c r="J27" s="19"/>
      <c r="K27" s="1909">
        <v>49</v>
      </c>
      <c r="L27" s="1933"/>
    </row>
    <row r="28" ht="21.75" customHeight="1" spans="1:12">
      <c r="A28" s="1902"/>
      <c r="B28" s="1924">
        <v>25</v>
      </c>
      <c r="C28" s="1914" t="s">
        <v>86</v>
      </c>
      <c r="D28" s="289"/>
      <c r="E28" s="1924">
        <v>50</v>
      </c>
      <c r="F28" s="1922"/>
      <c r="G28" s="1900"/>
      <c r="H28" s="1924">
        <v>25</v>
      </c>
      <c r="I28" s="1917" t="s">
        <v>87</v>
      </c>
      <c r="J28" s="19"/>
      <c r="K28" s="1924">
        <v>50</v>
      </c>
      <c r="L28" s="1933"/>
    </row>
  </sheetData>
  <mergeCells count="13">
    <mergeCell ref="B1:C1"/>
    <mergeCell ref="E1:F1"/>
    <mergeCell ref="H1:I1"/>
    <mergeCell ref="K1:L1"/>
    <mergeCell ref="B2:C2"/>
    <mergeCell ref="E2:F2"/>
    <mergeCell ref="H2:I2"/>
    <mergeCell ref="K2:L2"/>
    <mergeCell ref="A1:A2"/>
    <mergeCell ref="A3:A28"/>
    <mergeCell ref="D1:D28"/>
    <mergeCell ref="G1:G28"/>
    <mergeCell ref="J1:J28"/>
  </mergeCells>
  <hyperlinks>
    <hyperlink ref="C4" location="电机常识与公式推导!A1" display="电机常识与相关公式推导"/>
    <hyperlink ref="C5" location="不同形状物体惯量计算!A1" display="不同物体形状惯量计算"/>
    <hyperlink ref="C6" location="'丝杠水平运动 '!A1" display="丝杠水平运动选型计算"/>
    <hyperlink ref="C7" location="丝杠垂直运动!A1" display="丝杠垂直运动选型计算"/>
    <hyperlink ref="C8" location="皮带轮间歇运动!A1" display="皮带轮间歇运动选型计算"/>
    <hyperlink ref="C9" location="皮带轮连续运动!A1" display="皮带轮连续运动选型计算"/>
    <hyperlink ref="C10" location="输送出力!A1" display="皮带运煤机的设计出力"/>
    <hyperlink ref="C11" location="皮带机输送机计算!A1" display="皮带输送机选型计算"/>
    <hyperlink ref="C12" location="'皮带线-动力辊筒线-中小型电机选型计算'!A1" display="皮带动力辊筒线电机选型计算"/>
    <hyperlink ref="C13" location="传动滚筒轴功率!A1" display="传动滚筒轴电机功率计算"/>
    <hyperlink ref="C14" location="倍速链线马达功率计算!A1" display="倍速链线马达功率计算"/>
    <hyperlink ref="C16" location="电机功率确定程序!A1" display="电机功率确定与功率计算公式"/>
    <hyperlink ref="C17" location="小车驱动功率!A1" display="小车驱动电机功率计算"/>
    <hyperlink ref="C18" location="机器人驱动力计算!A1" display="履带机器人驱动力计算"/>
    <hyperlink ref="C19" location="输送线电机功率计算!A1" display="水平及垂直输送电机功率计算"/>
    <hyperlink ref="C15" location="倍速链张力、电机功率计算!A1" display="倍速链张力与电机功率计算"/>
    <hyperlink ref="C20" location="减速机公称功率!A1" display="减速机公称功率计算"/>
    <hyperlink ref="C21" location="减速机选型计算!A1" display="减速机选型计算"/>
    <hyperlink ref="C22" location="齿轮齿条电机选型!A1" display="齿轮齿条电机选型计算"/>
    <hyperlink ref="C23" location="分度盘!A1" display="分度盘机构选型计算"/>
    <hyperlink ref="C24" location="鼓风机选型计算!A1" display="鼓风机选型计算 "/>
    <hyperlink ref="C25" location="风机相关标准!A1" display="风机相关标准"/>
    <hyperlink ref="C26" location="风机相关标准!A1" display="风机型号与风量对照表"/>
    <hyperlink ref="C27" location="风机性能表!A1" display="风机性能参数表"/>
    <hyperlink ref="C28" location="'风机选型计算 '!A1" display="风机选型计算"/>
    <hyperlink ref="F4" location="风机选型计算举例!A1" display="风机选型计算举例"/>
    <hyperlink ref="F5" location="角加速度!A1" display="角加速度计算 "/>
    <hyperlink ref="F6" location="'负载转矩计算 '!A1" display="不同驱动机构下负载转矩计算"/>
    <hyperlink ref="F7" location="异步电机转矩换算!A1" display="异步电机转矩换算"/>
    <hyperlink ref="F8" location="步进电机惯量计算!A1" display="步进电机惯量计算"/>
    <hyperlink ref="F9" location="伺服电机惯量计算!A1" display="伺服电机惯量计算"/>
    <hyperlink ref="F10" location="伺服电机参数计算!A1" display="伺服电机参数计算"/>
    <hyperlink ref="F11" location="伺服电机电子齿轮比计算!A1" display="伺服电机电子齿轮比计算"/>
    <hyperlink ref="F12" location="伺服电机容量选择!A1" display="伺服电机容量选择"/>
    <hyperlink ref="F13" location="伺服电机选型计算!A1" display="伺服电机选型计算"/>
    <hyperlink ref="F14" location="伺服电机选型举例!A1" display="伺服电机选型举例"/>
    <hyperlink ref="F15" location="电机规格!A1" display="各系列电机规格表"/>
    <hyperlink ref="F16" location="Y系列电机型号参数!A1" display="Y系列电机型号参数表"/>
    <hyperlink ref="I11" location="电动机保护装置整定计算!A1" display="微机电动机保护装置整定计算"/>
    <hyperlink ref="I12" location="电力电容器保护装置整定计算!A1" display="电力电容器保护装置整定计算"/>
    <hyperlink ref="I13" location="'电动机启动端压计算 '!A1" display="电动机启动端压计算 "/>
    <hyperlink ref="I4" location="变压器差动保护试验公式详解!A1" display="变压器差动保护试验公式计算"/>
    <hyperlink ref="I5" location="变压器容量计算表!A1" display="变压器容量计算表"/>
    <hyperlink ref="I6" location="变压器电流值计算表格!A1" display="变压器电流值计算"/>
    <hyperlink ref="I7" location="变压器损耗计算!A1" display="变压器损耗计算"/>
    <hyperlink ref="I8" location="变压器型号、参数、电压降、启动电压降综合计算表!A1" display="变压器参数电压综合计算表"/>
    <hyperlink ref="I9" location="电力变压器过流、速断保护整定值计算!A1" display="变压器过流速断保护整定值计算"/>
    <hyperlink ref="I10" location="电动机起动压降!A1" display="电动机起动压降"/>
    <hyperlink ref="I14" location="电容器装置继电保护整定计算!A1" display="电容器继电保护整定计算"/>
    <hyperlink ref="I15" location="电容器选型运行数据分析公式!A1" display="电容器选型运行数据分析公式"/>
    <hyperlink ref="I16" location="电缆载流量、电压降、启动电压降!A1" display="电缆载流量、启动电压降计算"/>
    <hyperlink ref="I17" location="电缆选型计算!A1" display="电缆选型计算"/>
    <hyperlink ref="I18" location="电缆与桥架负荷计算!A1" display="电缆与桥架负荷计算"/>
    <hyperlink ref="I19" location="电线电缆载流表!A1" display="电线电缆载流表"/>
    <hyperlink ref="I20" location="短路保护分级表!A1" display="短路保护分级表"/>
    <hyperlink ref="I21" location="短路电流计算表!A1" display="短路点短路电流计算表"/>
    <hyperlink ref="I22" location="短路电流估算!A1" display="短路电流估算"/>
    <hyperlink ref="I23" location="电力负荷级别分类!A1" display="电力负荷级别分类"/>
    <hyperlink ref="I24" location="电力负荷计算表!A1" display="电力负荷计算"/>
    <hyperlink ref="I25" location="电力系统负荷计算!A1" display="电力系统负荷计算"/>
    <hyperlink ref="I26" location="电流计算器!A1" display="电流计算"/>
    <hyperlink ref="I27" location="'电流 功率耗电量数据表'!A1" display="电流功率耗电量数据表"/>
    <hyperlink ref="I28" location="常用电流计算公式!A1" display="常用电流计算公式"/>
    <hyperlink ref="L4" location="照明用电设备Kx表!A1" display="照明用电设备Kx表"/>
    <hyperlink ref="L5" location="照度计算表!A1" display="照度计算表"/>
    <hyperlink ref="L6" location="用电设备的Kx、cosφ!A1" display="用电设备的Kx、cosφ"/>
    <hyperlink ref="L7" location="弱电线槽计算!A1" display="弱电线槽计算"/>
    <hyperlink ref="L8" location="综合布线计算书!A1" display="综合布线计算书"/>
    <hyperlink ref="L9" location="开关整定值计算表!A1" display="开关整定值计算表"/>
    <hyperlink ref="L10" location="开关选择继保整定一览表!A1" display="开关选择继保整定一览表"/>
    <hyperlink ref="L11" location="线路电压降计算表!A1" display="线路电压降计算表"/>
    <hyperlink ref="L12" location="无功功率补偿率!A1" display="无功功率补偿率qc表"/>
    <hyperlink ref="L13" location="'无功补偿容量选择  '!A1" display="无功补偿容量选择  "/>
    <hyperlink ref="L14" location="'桥架 计算'!A1" display="桥架 计算"/>
    <hyperlink ref="L15" location="电工计算器!A1" display="电工计算器"/>
    <hyperlink ref="L16" location="避雷针!A1" display="避雷针防雷计算"/>
    <hyperlink ref="L17" location="电气安装定额!A1" display="电气安装定额"/>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L1"/>
  <sheetViews>
    <sheetView zoomScale="80" zoomScaleNormal="80" topLeftCell="A7" workbookViewId="0">
      <selection activeCell="O2" sqref="O2"/>
    </sheetView>
  </sheetViews>
  <sheetFormatPr defaultColWidth="9" defaultRowHeight="15.6"/>
  <cols>
    <col min="1" max="1" width="3.625" customWidth="1"/>
    <col min="12" max="12" width="9.375" customWidth="1"/>
    <col min="13" max="13" width="4" customWidth="1"/>
  </cols>
  <sheetData>
    <row r="1" spans="12:12">
      <c r="L1" s="158" t="s">
        <v>88</v>
      </c>
    </row>
  </sheetData>
  <sheetProtection formatCells="0" formatColumns="0" formatRows="0" insertRows="0" insertColumns="0" insertHyperlinks="0" deleteColumns="0" deleteRows="0" sort="0" autoFilter="0" pivotTables="0"/>
  <customSheetViews>
    <customSheetView guid="{B9330FFD-B5EF-4680-A375-DB92D4738404}" topLeftCell="A4">
      <selection activeCell="M31" sqref="M31"/>
      <pageMargins left="0.75" right="0.75" top="1" bottom="1" header="0.5" footer="0.5"/>
      <pageSetup paperSize="9" orientation="portrait"/>
      <headerFooter alignWithMargins="0"/>
    </customSheetView>
  </customSheetViews>
  <hyperlinks>
    <hyperlink ref="L1" location="目录!A1" display="目录!A1"/>
  </hyperlinks>
  <pageMargins left="0.75" right="0.75" top="1" bottom="1" header="0.5" footer="0.5"/>
  <pageSetup paperSize="9" orientation="portrait"/>
  <headerFooter alignWithMargin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74"/>
  <sheetViews>
    <sheetView topLeftCell="A160" workbookViewId="0">
      <selection activeCell="M171" sqref="M171"/>
    </sheetView>
  </sheetViews>
  <sheetFormatPr defaultColWidth="9" defaultRowHeight="15.6"/>
  <cols>
    <col min="1" max="1" width="9" style="168"/>
    <col min="2" max="2" width="9.625" style="168" customWidth="1"/>
    <col min="3" max="3" width="10" style="168" customWidth="1"/>
    <col min="4" max="4" width="7" style="168" customWidth="1"/>
    <col min="5" max="5" width="8" style="168" customWidth="1"/>
    <col min="6" max="6" width="10.875" style="168" customWidth="1"/>
    <col min="7" max="7" width="8" style="168" customWidth="1"/>
    <col min="8" max="8" width="11.25" style="168" customWidth="1"/>
    <col min="9" max="9" width="8.75" style="168" customWidth="1"/>
    <col min="10" max="10" width="9.125" style="168" customWidth="1"/>
    <col min="11" max="257" width="9" style="168"/>
    <col min="258" max="258" width="9.625" style="168" customWidth="1"/>
    <col min="259" max="259" width="10" style="168" customWidth="1"/>
    <col min="260" max="260" width="7" style="168" customWidth="1"/>
    <col min="261" max="261" width="8" style="168" customWidth="1"/>
    <col min="262" max="262" width="10.875" style="168" customWidth="1"/>
    <col min="263" max="263" width="8" style="168" customWidth="1"/>
    <col min="264" max="264" width="11.25" style="168" customWidth="1"/>
    <col min="265" max="265" width="8.75" style="168" customWidth="1"/>
    <col min="266" max="266" width="9.125" style="168" customWidth="1"/>
    <col min="267" max="513" width="9" style="168"/>
    <col min="514" max="514" width="9.625" style="168" customWidth="1"/>
    <col min="515" max="515" width="10" style="168" customWidth="1"/>
    <col min="516" max="516" width="7" style="168" customWidth="1"/>
    <col min="517" max="517" width="8" style="168" customWidth="1"/>
    <col min="518" max="518" width="10.875" style="168" customWidth="1"/>
    <col min="519" max="519" width="8" style="168" customWidth="1"/>
    <col min="520" max="520" width="11.25" style="168" customWidth="1"/>
    <col min="521" max="521" width="8.75" style="168" customWidth="1"/>
    <col min="522" max="522" width="9.125" style="168" customWidth="1"/>
    <col min="523" max="769" width="9" style="168"/>
    <col min="770" max="770" width="9.625" style="168" customWidth="1"/>
    <col min="771" max="771" width="10" style="168" customWidth="1"/>
    <col min="772" max="772" width="7" style="168" customWidth="1"/>
    <col min="773" max="773" width="8" style="168" customWidth="1"/>
    <col min="774" max="774" width="10.875" style="168" customWidth="1"/>
    <col min="775" max="775" width="8" style="168" customWidth="1"/>
    <col min="776" max="776" width="11.25" style="168" customWidth="1"/>
    <col min="777" max="777" width="8.75" style="168" customWidth="1"/>
    <col min="778" max="778" width="9.125" style="168" customWidth="1"/>
    <col min="779" max="1025" width="9" style="168"/>
    <col min="1026" max="1026" width="9.625" style="168" customWidth="1"/>
    <col min="1027" max="1027" width="10" style="168" customWidth="1"/>
    <col min="1028" max="1028" width="7" style="168" customWidth="1"/>
    <col min="1029" max="1029" width="8" style="168" customWidth="1"/>
    <col min="1030" max="1030" width="10.875" style="168" customWidth="1"/>
    <col min="1031" max="1031" width="8" style="168" customWidth="1"/>
    <col min="1032" max="1032" width="11.25" style="168" customWidth="1"/>
    <col min="1033" max="1033" width="8.75" style="168" customWidth="1"/>
    <col min="1034" max="1034" width="9.125" style="168" customWidth="1"/>
    <col min="1035" max="1281" width="9" style="168"/>
    <col min="1282" max="1282" width="9.625" style="168" customWidth="1"/>
    <col min="1283" max="1283" width="10" style="168" customWidth="1"/>
    <col min="1284" max="1284" width="7" style="168" customWidth="1"/>
    <col min="1285" max="1285" width="8" style="168" customWidth="1"/>
    <col min="1286" max="1286" width="10.875" style="168" customWidth="1"/>
    <col min="1287" max="1287" width="8" style="168" customWidth="1"/>
    <col min="1288" max="1288" width="11.25" style="168" customWidth="1"/>
    <col min="1289" max="1289" width="8.75" style="168" customWidth="1"/>
    <col min="1290" max="1290" width="9.125" style="168" customWidth="1"/>
    <col min="1291" max="1537" width="9" style="168"/>
    <col min="1538" max="1538" width="9.625" style="168" customWidth="1"/>
    <col min="1539" max="1539" width="10" style="168" customWidth="1"/>
    <col min="1540" max="1540" width="7" style="168" customWidth="1"/>
    <col min="1541" max="1541" width="8" style="168" customWidth="1"/>
    <col min="1542" max="1542" width="10.875" style="168" customWidth="1"/>
    <col min="1543" max="1543" width="8" style="168" customWidth="1"/>
    <col min="1544" max="1544" width="11.25" style="168" customWidth="1"/>
    <col min="1545" max="1545" width="8.75" style="168" customWidth="1"/>
    <col min="1546" max="1546" width="9.125" style="168" customWidth="1"/>
    <col min="1547" max="1793" width="9" style="168"/>
    <col min="1794" max="1794" width="9.625" style="168" customWidth="1"/>
    <col min="1795" max="1795" width="10" style="168" customWidth="1"/>
    <col min="1796" max="1796" width="7" style="168" customWidth="1"/>
    <col min="1797" max="1797" width="8" style="168" customWidth="1"/>
    <col min="1798" max="1798" width="10.875" style="168" customWidth="1"/>
    <col min="1799" max="1799" width="8" style="168" customWidth="1"/>
    <col min="1800" max="1800" width="11.25" style="168" customWidth="1"/>
    <col min="1801" max="1801" width="8.75" style="168" customWidth="1"/>
    <col min="1802" max="1802" width="9.125" style="168" customWidth="1"/>
    <col min="1803" max="2049" width="9" style="168"/>
    <col min="2050" max="2050" width="9.625" style="168" customWidth="1"/>
    <col min="2051" max="2051" width="10" style="168" customWidth="1"/>
    <col min="2052" max="2052" width="7" style="168" customWidth="1"/>
    <col min="2053" max="2053" width="8" style="168" customWidth="1"/>
    <col min="2054" max="2054" width="10.875" style="168" customWidth="1"/>
    <col min="2055" max="2055" width="8" style="168" customWidth="1"/>
    <col min="2056" max="2056" width="11.25" style="168" customWidth="1"/>
    <col min="2057" max="2057" width="8.75" style="168" customWidth="1"/>
    <col min="2058" max="2058" width="9.125" style="168" customWidth="1"/>
    <col min="2059" max="2305" width="9" style="168"/>
    <col min="2306" max="2306" width="9.625" style="168" customWidth="1"/>
    <col min="2307" max="2307" width="10" style="168" customWidth="1"/>
    <col min="2308" max="2308" width="7" style="168" customWidth="1"/>
    <col min="2309" max="2309" width="8" style="168" customWidth="1"/>
    <col min="2310" max="2310" width="10.875" style="168" customWidth="1"/>
    <col min="2311" max="2311" width="8" style="168" customWidth="1"/>
    <col min="2312" max="2312" width="11.25" style="168" customWidth="1"/>
    <col min="2313" max="2313" width="8.75" style="168" customWidth="1"/>
    <col min="2314" max="2314" width="9.125" style="168" customWidth="1"/>
    <col min="2315" max="2561" width="9" style="168"/>
    <col min="2562" max="2562" width="9.625" style="168" customWidth="1"/>
    <col min="2563" max="2563" width="10" style="168" customWidth="1"/>
    <col min="2564" max="2564" width="7" style="168" customWidth="1"/>
    <col min="2565" max="2565" width="8" style="168" customWidth="1"/>
    <col min="2566" max="2566" width="10.875" style="168" customWidth="1"/>
    <col min="2567" max="2567" width="8" style="168" customWidth="1"/>
    <col min="2568" max="2568" width="11.25" style="168" customWidth="1"/>
    <col min="2569" max="2569" width="8.75" style="168" customWidth="1"/>
    <col min="2570" max="2570" width="9.125" style="168" customWidth="1"/>
    <col min="2571" max="2817" width="9" style="168"/>
    <col min="2818" max="2818" width="9.625" style="168" customWidth="1"/>
    <col min="2819" max="2819" width="10" style="168" customWidth="1"/>
    <col min="2820" max="2820" width="7" style="168" customWidth="1"/>
    <col min="2821" max="2821" width="8" style="168" customWidth="1"/>
    <col min="2822" max="2822" width="10.875" style="168" customWidth="1"/>
    <col min="2823" max="2823" width="8" style="168" customWidth="1"/>
    <col min="2824" max="2824" width="11.25" style="168" customWidth="1"/>
    <col min="2825" max="2825" width="8.75" style="168" customWidth="1"/>
    <col min="2826" max="2826" width="9.125" style="168" customWidth="1"/>
    <col min="2827" max="3073" width="9" style="168"/>
    <col min="3074" max="3074" width="9.625" style="168" customWidth="1"/>
    <col min="3075" max="3075" width="10" style="168" customWidth="1"/>
    <col min="3076" max="3076" width="7" style="168" customWidth="1"/>
    <col min="3077" max="3077" width="8" style="168" customWidth="1"/>
    <col min="3078" max="3078" width="10.875" style="168" customWidth="1"/>
    <col min="3079" max="3079" width="8" style="168" customWidth="1"/>
    <col min="3080" max="3080" width="11.25" style="168" customWidth="1"/>
    <col min="3081" max="3081" width="8.75" style="168" customWidth="1"/>
    <col min="3082" max="3082" width="9.125" style="168" customWidth="1"/>
    <col min="3083" max="3329" width="9" style="168"/>
    <col min="3330" max="3330" width="9.625" style="168" customWidth="1"/>
    <col min="3331" max="3331" width="10" style="168" customWidth="1"/>
    <col min="3332" max="3332" width="7" style="168" customWidth="1"/>
    <col min="3333" max="3333" width="8" style="168" customWidth="1"/>
    <col min="3334" max="3334" width="10.875" style="168" customWidth="1"/>
    <col min="3335" max="3335" width="8" style="168" customWidth="1"/>
    <col min="3336" max="3336" width="11.25" style="168" customWidth="1"/>
    <col min="3337" max="3337" width="8.75" style="168" customWidth="1"/>
    <col min="3338" max="3338" width="9.125" style="168" customWidth="1"/>
    <col min="3339" max="3585" width="9" style="168"/>
    <col min="3586" max="3586" width="9.625" style="168" customWidth="1"/>
    <col min="3587" max="3587" width="10" style="168" customWidth="1"/>
    <col min="3588" max="3588" width="7" style="168" customWidth="1"/>
    <col min="3589" max="3589" width="8" style="168" customWidth="1"/>
    <col min="3590" max="3590" width="10.875" style="168" customWidth="1"/>
    <col min="3591" max="3591" width="8" style="168" customWidth="1"/>
    <col min="3592" max="3592" width="11.25" style="168" customWidth="1"/>
    <col min="3593" max="3593" width="8.75" style="168" customWidth="1"/>
    <col min="3594" max="3594" width="9.125" style="168" customWidth="1"/>
    <col min="3595" max="3841" width="9" style="168"/>
    <col min="3842" max="3842" width="9.625" style="168" customWidth="1"/>
    <col min="3843" max="3843" width="10" style="168" customWidth="1"/>
    <col min="3844" max="3844" width="7" style="168" customWidth="1"/>
    <col min="3845" max="3845" width="8" style="168" customWidth="1"/>
    <col min="3846" max="3846" width="10.875" style="168" customWidth="1"/>
    <col min="3847" max="3847" width="8" style="168" customWidth="1"/>
    <col min="3848" max="3848" width="11.25" style="168" customWidth="1"/>
    <col min="3849" max="3849" width="8.75" style="168" customWidth="1"/>
    <col min="3850" max="3850" width="9.125" style="168" customWidth="1"/>
    <col min="3851" max="4097" width="9" style="168"/>
    <col min="4098" max="4098" width="9.625" style="168" customWidth="1"/>
    <col min="4099" max="4099" width="10" style="168" customWidth="1"/>
    <col min="4100" max="4100" width="7" style="168" customWidth="1"/>
    <col min="4101" max="4101" width="8" style="168" customWidth="1"/>
    <col min="4102" max="4102" width="10.875" style="168" customWidth="1"/>
    <col min="4103" max="4103" width="8" style="168" customWidth="1"/>
    <col min="4104" max="4104" width="11.25" style="168" customWidth="1"/>
    <col min="4105" max="4105" width="8.75" style="168" customWidth="1"/>
    <col min="4106" max="4106" width="9.125" style="168" customWidth="1"/>
    <col min="4107" max="4353" width="9" style="168"/>
    <col min="4354" max="4354" width="9.625" style="168" customWidth="1"/>
    <col min="4355" max="4355" width="10" style="168" customWidth="1"/>
    <col min="4356" max="4356" width="7" style="168" customWidth="1"/>
    <col min="4357" max="4357" width="8" style="168" customWidth="1"/>
    <col min="4358" max="4358" width="10.875" style="168" customWidth="1"/>
    <col min="4359" max="4359" width="8" style="168" customWidth="1"/>
    <col min="4360" max="4360" width="11.25" style="168" customWidth="1"/>
    <col min="4361" max="4361" width="8.75" style="168" customWidth="1"/>
    <col min="4362" max="4362" width="9.125" style="168" customWidth="1"/>
    <col min="4363" max="4609" width="9" style="168"/>
    <col min="4610" max="4610" width="9.625" style="168" customWidth="1"/>
    <col min="4611" max="4611" width="10" style="168" customWidth="1"/>
    <col min="4612" max="4612" width="7" style="168" customWidth="1"/>
    <col min="4613" max="4613" width="8" style="168" customWidth="1"/>
    <col min="4614" max="4614" width="10.875" style="168" customWidth="1"/>
    <col min="4615" max="4615" width="8" style="168" customWidth="1"/>
    <col min="4616" max="4616" width="11.25" style="168" customWidth="1"/>
    <col min="4617" max="4617" width="8.75" style="168" customWidth="1"/>
    <col min="4618" max="4618" width="9.125" style="168" customWidth="1"/>
    <col min="4619" max="4865" width="9" style="168"/>
    <col min="4866" max="4866" width="9.625" style="168" customWidth="1"/>
    <col min="4867" max="4867" width="10" style="168" customWidth="1"/>
    <col min="4868" max="4868" width="7" style="168" customWidth="1"/>
    <col min="4869" max="4869" width="8" style="168" customWidth="1"/>
    <col min="4870" max="4870" width="10.875" style="168" customWidth="1"/>
    <col min="4871" max="4871" width="8" style="168" customWidth="1"/>
    <col min="4872" max="4872" width="11.25" style="168" customWidth="1"/>
    <col min="4873" max="4873" width="8.75" style="168" customWidth="1"/>
    <col min="4874" max="4874" width="9.125" style="168" customWidth="1"/>
    <col min="4875" max="5121" width="9" style="168"/>
    <col min="5122" max="5122" width="9.625" style="168" customWidth="1"/>
    <col min="5123" max="5123" width="10" style="168" customWidth="1"/>
    <col min="5124" max="5124" width="7" style="168" customWidth="1"/>
    <col min="5125" max="5125" width="8" style="168" customWidth="1"/>
    <col min="5126" max="5126" width="10.875" style="168" customWidth="1"/>
    <col min="5127" max="5127" width="8" style="168" customWidth="1"/>
    <col min="5128" max="5128" width="11.25" style="168" customWidth="1"/>
    <col min="5129" max="5129" width="8.75" style="168" customWidth="1"/>
    <col min="5130" max="5130" width="9.125" style="168" customWidth="1"/>
    <col min="5131" max="5377" width="9" style="168"/>
    <col min="5378" max="5378" width="9.625" style="168" customWidth="1"/>
    <col min="5379" max="5379" width="10" style="168" customWidth="1"/>
    <col min="5380" max="5380" width="7" style="168" customWidth="1"/>
    <col min="5381" max="5381" width="8" style="168" customWidth="1"/>
    <col min="5382" max="5382" width="10.875" style="168" customWidth="1"/>
    <col min="5383" max="5383" width="8" style="168" customWidth="1"/>
    <col min="5384" max="5384" width="11.25" style="168" customWidth="1"/>
    <col min="5385" max="5385" width="8.75" style="168" customWidth="1"/>
    <col min="5386" max="5386" width="9.125" style="168" customWidth="1"/>
    <col min="5387" max="5633" width="9" style="168"/>
    <col min="5634" max="5634" width="9.625" style="168" customWidth="1"/>
    <col min="5635" max="5635" width="10" style="168" customWidth="1"/>
    <col min="5636" max="5636" width="7" style="168" customWidth="1"/>
    <col min="5637" max="5637" width="8" style="168" customWidth="1"/>
    <col min="5638" max="5638" width="10.875" style="168" customWidth="1"/>
    <col min="5639" max="5639" width="8" style="168" customWidth="1"/>
    <col min="5640" max="5640" width="11.25" style="168" customWidth="1"/>
    <col min="5641" max="5641" width="8.75" style="168" customWidth="1"/>
    <col min="5642" max="5642" width="9.125" style="168" customWidth="1"/>
    <col min="5643" max="5889" width="9" style="168"/>
    <col min="5890" max="5890" width="9.625" style="168" customWidth="1"/>
    <col min="5891" max="5891" width="10" style="168" customWidth="1"/>
    <col min="5892" max="5892" width="7" style="168" customWidth="1"/>
    <col min="5893" max="5893" width="8" style="168" customWidth="1"/>
    <col min="5894" max="5894" width="10.875" style="168" customWidth="1"/>
    <col min="5895" max="5895" width="8" style="168" customWidth="1"/>
    <col min="5896" max="5896" width="11.25" style="168" customWidth="1"/>
    <col min="5897" max="5897" width="8.75" style="168" customWidth="1"/>
    <col min="5898" max="5898" width="9.125" style="168" customWidth="1"/>
    <col min="5899" max="6145" width="9" style="168"/>
    <col min="6146" max="6146" width="9.625" style="168" customWidth="1"/>
    <col min="6147" max="6147" width="10" style="168" customWidth="1"/>
    <col min="6148" max="6148" width="7" style="168" customWidth="1"/>
    <col min="6149" max="6149" width="8" style="168" customWidth="1"/>
    <col min="6150" max="6150" width="10.875" style="168" customWidth="1"/>
    <col min="6151" max="6151" width="8" style="168" customWidth="1"/>
    <col min="6152" max="6152" width="11.25" style="168" customWidth="1"/>
    <col min="6153" max="6153" width="8.75" style="168" customWidth="1"/>
    <col min="6154" max="6154" width="9.125" style="168" customWidth="1"/>
    <col min="6155" max="6401" width="9" style="168"/>
    <col min="6402" max="6402" width="9.625" style="168" customWidth="1"/>
    <col min="6403" max="6403" width="10" style="168" customWidth="1"/>
    <col min="6404" max="6404" width="7" style="168" customWidth="1"/>
    <col min="6405" max="6405" width="8" style="168" customWidth="1"/>
    <col min="6406" max="6406" width="10.875" style="168" customWidth="1"/>
    <col min="6407" max="6407" width="8" style="168" customWidth="1"/>
    <col min="6408" max="6408" width="11.25" style="168" customWidth="1"/>
    <col min="6409" max="6409" width="8.75" style="168" customWidth="1"/>
    <col min="6410" max="6410" width="9.125" style="168" customWidth="1"/>
    <col min="6411" max="6657" width="9" style="168"/>
    <col min="6658" max="6658" width="9.625" style="168" customWidth="1"/>
    <col min="6659" max="6659" width="10" style="168" customWidth="1"/>
    <col min="6660" max="6660" width="7" style="168" customWidth="1"/>
    <col min="6661" max="6661" width="8" style="168" customWidth="1"/>
    <col min="6662" max="6662" width="10.875" style="168" customWidth="1"/>
    <col min="6663" max="6663" width="8" style="168" customWidth="1"/>
    <col min="6664" max="6664" width="11.25" style="168" customWidth="1"/>
    <col min="6665" max="6665" width="8.75" style="168" customWidth="1"/>
    <col min="6666" max="6666" width="9.125" style="168" customWidth="1"/>
    <col min="6667" max="6913" width="9" style="168"/>
    <col min="6914" max="6914" width="9.625" style="168" customWidth="1"/>
    <col min="6915" max="6915" width="10" style="168" customWidth="1"/>
    <col min="6916" max="6916" width="7" style="168" customWidth="1"/>
    <col min="6917" max="6917" width="8" style="168" customWidth="1"/>
    <col min="6918" max="6918" width="10.875" style="168" customWidth="1"/>
    <col min="6919" max="6919" width="8" style="168" customWidth="1"/>
    <col min="6920" max="6920" width="11.25" style="168" customWidth="1"/>
    <col min="6921" max="6921" width="8.75" style="168" customWidth="1"/>
    <col min="6922" max="6922" width="9.125" style="168" customWidth="1"/>
    <col min="6923" max="7169" width="9" style="168"/>
    <col min="7170" max="7170" width="9.625" style="168" customWidth="1"/>
    <col min="7171" max="7171" width="10" style="168" customWidth="1"/>
    <col min="7172" max="7172" width="7" style="168" customWidth="1"/>
    <col min="7173" max="7173" width="8" style="168" customWidth="1"/>
    <col min="7174" max="7174" width="10.875" style="168" customWidth="1"/>
    <col min="7175" max="7175" width="8" style="168" customWidth="1"/>
    <col min="7176" max="7176" width="11.25" style="168" customWidth="1"/>
    <col min="7177" max="7177" width="8.75" style="168" customWidth="1"/>
    <col min="7178" max="7178" width="9.125" style="168" customWidth="1"/>
    <col min="7179" max="7425" width="9" style="168"/>
    <col min="7426" max="7426" width="9.625" style="168" customWidth="1"/>
    <col min="7427" max="7427" width="10" style="168" customWidth="1"/>
    <col min="7428" max="7428" width="7" style="168" customWidth="1"/>
    <col min="7429" max="7429" width="8" style="168" customWidth="1"/>
    <col min="7430" max="7430" width="10.875" style="168" customWidth="1"/>
    <col min="7431" max="7431" width="8" style="168" customWidth="1"/>
    <col min="7432" max="7432" width="11.25" style="168" customWidth="1"/>
    <col min="7433" max="7433" width="8.75" style="168" customWidth="1"/>
    <col min="7434" max="7434" width="9.125" style="168" customWidth="1"/>
    <col min="7435" max="7681" width="9" style="168"/>
    <col min="7682" max="7682" width="9.625" style="168" customWidth="1"/>
    <col min="7683" max="7683" width="10" style="168" customWidth="1"/>
    <col min="7684" max="7684" width="7" style="168" customWidth="1"/>
    <col min="7685" max="7685" width="8" style="168" customWidth="1"/>
    <col min="7686" max="7686" width="10.875" style="168" customWidth="1"/>
    <col min="7687" max="7687" width="8" style="168" customWidth="1"/>
    <col min="7688" max="7688" width="11.25" style="168" customWidth="1"/>
    <col min="7689" max="7689" width="8.75" style="168" customWidth="1"/>
    <col min="7690" max="7690" width="9.125" style="168" customWidth="1"/>
    <col min="7691" max="7937" width="9" style="168"/>
    <col min="7938" max="7938" width="9.625" style="168" customWidth="1"/>
    <col min="7939" max="7939" width="10" style="168" customWidth="1"/>
    <col min="7940" max="7940" width="7" style="168" customWidth="1"/>
    <col min="7941" max="7941" width="8" style="168" customWidth="1"/>
    <col min="7942" max="7942" width="10.875" style="168" customWidth="1"/>
    <col min="7943" max="7943" width="8" style="168" customWidth="1"/>
    <col min="7944" max="7944" width="11.25" style="168" customWidth="1"/>
    <col min="7945" max="7945" width="8.75" style="168" customWidth="1"/>
    <col min="7946" max="7946" width="9.125" style="168" customWidth="1"/>
    <col min="7947" max="8193" width="9" style="168"/>
    <col min="8194" max="8194" width="9.625" style="168" customWidth="1"/>
    <col min="8195" max="8195" width="10" style="168" customWidth="1"/>
    <col min="8196" max="8196" width="7" style="168" customWidth="1"/>
    <col min="8197" max="8197" width="8" style="168" customWidth="1"/>
    <col min="8198" max="8198" width="10.875" style="168" customWidth="1"/>
    <col min="8199" max="8199" width="8" style="168" customWidth="1"/>
    <col min="8200" max="8200" width="11.25" style="168" customWidth="1"/>
    <col min="8201" max="8201" width="8.75" style="168" customWidth="1"/>
    <col min="8202" max="8202" width="9.125" style="168" customWidth="1"/>
    <col min="8203" max="8449" width="9" style="168"/>
    <col min="8450" max="8450" width="9.625" style="168" customWidth="1"/>
    <col min="8451" max="8451" width="10" style="168" customWidth="1"/>
    <col min="8452" max="8452" width="7" style="168" customWidth="1"/>
    <col min="8453" max="8453" width="8" style="168" customWidth="1"/>
    <col min="8454" max="8454" width="10.875" style="168" customWidth="1"/>
    <col min="8455" max="8455" width="8" style="168" customWidth="1"/>
    <col min="8456" max="8456" width="11.25" style="168" customWidth="1"/>
    <col min="8457" max="8457" width="8.75" style="168" customWidth="1"/>
    <col min="8458" max="8458" width="9.125" style="168" customWidth="1"/>
    <col min="8459" max="8705" width="9" style="168"/>
    <col min="8706" max="8706" width="9.625" style="168" customWidth="1"/>
    <col min="8707" max="8707" width="10" style="168" customWidth="1"/>
    <col min="8708" max="8708" width="7" style="168" customWidth="1"/>
    <col min="8709" max="8709" width="8" style="168" customWidth="1"/>
    <col min="8710" max="8710" width="10.875" style="168" customWidth="1"/>
    <col min="8711" max="8711" width="8" style="168" customWidth="1"/>
    <col min="8712" max="8712" width="11.25" style="168" customWidth="1"/>
    <col min="8713" max="8713" width="8.75" style="168" customWidth="1"/>
    <col min="8714" max="8714" width="9.125" style="168" customWidth="1"/>
    <col min="8715" max="8961" width="9" style="168"/>
    <col min="8962" max="8962" width="9.625" style="168" customWidth="1"/>
    <col min="8963" max="8963" width="10" style="168" customWidth="1"/>
    <col min="8964" max="8964" width="7" style="168" customWidth="1"/>
    <col min="8965" max="8965" width="8" style="168" customWidth="1"/>
    <col min="8966" max="8966" width="10.875" style="168" customWidth="1"/>
    <col min="8967" max="8967" width="8" style="168" customWidth="1"/>
    <col min="8968" max="8968" width="11.25" style="168" customWidth="1"/>
    <col min="8969" max="8969" width="8.75" style="168" customWidth="1"/>
    <col min="8970" max="8970" width="9.125" style="168" customWidth="1"/>
    <col min="8971" max="9217" width="9" style="168"/>
    <col min="9218" max="9218" width="9.625" style="168" customWidth="1"/>
    <col min="9219" max="9219" width="10" style="168" customWidth="1"/>
    <col min="9220" max="9220" width="7" style="168" customWidth="1"/>
    <col min="9221" max="9221" width="8" style="168" customWidth="1"/>
    <col min="9222" max="9222" width="10.875" style="168" customWidth="1"/>
    <col min="9223" max="9223" width="8" style="168" customWidth="1"/>
    <col min="9224" max="9224" width="11.25" style="168" customWidth="1"/>
    <col min="9225" max="9225" width="8.75" style="168" customWidth="1"/>
    <col min="9226" max="9226" width="9.125" style="168" customWidth="1"/>
    <col min="9227" max="9473" width="9" style="168"/>
    <col min="9474" max="9474" width="9.625" style="168" customWidth="1"/>
    <col min="9475" max="9475" width="10" style="168" customWidth="1"/>
    <col min="9476" max="9476" width="7" style="168" customWidth="1"/>
    <col min="9477" max="9477" width="8" style="168" customWidth="1"/>
    <col min="9478" max="9478" width="10.875" style="168" customWidth="1"/>
    <col min="9479" max="9479" width="8" style="168" customWidth="1"/>
    <col min="9480" max="9480" width="11.25" style="168" customWidth="1"/>
    <col min="9481" max="9481" width="8.75" style="168" customWidth="1"/>
    <col min="9482" max="9482" width="9.125" style="168" customWidth="1"/>
    <col min="9483" max="9729" width="9" style="168"/>
    <col min="9730" max="9730" width="9.625" style="168" customWidth="1"/>
    <col min="9731" max="9731" width="10" style="168" customWidth="1"/>
    <col min="9732" max="9732" width="7" style="168" customWidth="1"/>
    <col min="9733" max="9733" width="8" style="168" customWidth="1"/>
    <col min="9734" max="9734" width="10.875" style="168" customWidth="1"/>
    <col min="9735" max="9735" width="8" style="168" customWidth="1"/>
    <col min="9736" max="9736" width="11.25" style="168" customWidth="1"/>
    <col min="9737" max="9737" width="8.75" style="168" customWidth="1"/>
    <col min="9738" max="9738" width="9.125" style="168" customWidth="1"/>
    <col min="9739" max="9985" width="9" style="168"/>
    <col min="9986" max="9986" width="9.625" style="168" customWidth="1"/>
    <col min="9987" max="9987" width="10" style="168" customWidth="1"/>
    <col min="9988" max="9988" width="7" style="168" customWidth="1"/>
    <col min="9989" max="9989" width="8" style="168" customWidth="1"/>
    <col min="9990" max="9990" width="10.875" style="168" customWidth="1"/>
    <col min="9991" max="9991" width="8" style="168" customWidth="1"/>
    <col min="9992" max="9992" width="11.25" style="168" customWidth="1"/>
    <col min="9993" max="9993" width="8.75" style="168" customWidth="1"/>
    <col min="9994" max="9994" width="9.125" style="168" customWidth="1"/>
    <col min="9995" max="10241" width="9" style="168"/>
    <col min="10242" max="10242" width="9.625" style="168" customWidth="1"/>
    <col min="10243" max="10243" width="10" style="168" customWidth="1"/>
    <col min="10244" max="10244" width="7" style="168" customWidth="1"/>
    <col min="10245" max="10245" width="8" style="168" customWidth="1"/>
    <col min="10246" max="10246" width="10.875" style="168" customWidth="1"/>
    <col min="10247" max="10247" width="8" style="168" customWidth="1"/>
    <col min="10248" max="10248" width="11.25" style="168" customWidth="1"/>
    <col min="10249" max="10249" width="8.75" style="168" customWidth="1"/>
    <col min="10250" max="10250" width="9.125" style="168" customWidth="1"/>
    <col min="10251" max="10497" width="9" style="168"/>
    <col min="10498" max="10498" width="9.625" style="168" customWidth="1"/>
    <col min="10499" max="10499" width="10" style="168" customWidth="1"/>
    <col min="10500" max="10500" width="7" style="168" customWidth="1"/>
    <col min="10501" max="10501" width="8" style="168" customWidth="1"/>
    <col min="10502" max="10502" width="10.875" style="168" customWidth="1"/>
    <col min="10503" max="10503" width="8" style="168" customWidth="1"/>
    <col min="10504" max="10504" width="11.25" style="168" customWidth="1"/>
    <col min="10505" max="10505" width="8.75" style="168" customWidth="1"/>
    <col min="10506" max="10506" width="9.125" style="168" customWidth="1"/>
    <col min="10507" max="10753" width="9" style="168"/>
    <col min="10754" max="10754" width="9.625" style="168" customWidth="1"/>
    <col min="10755" max="10755" width="10" style="168" customWidth="1"/>
    <col min="10756" max="10756" width="7" style="168" customWidth="1"/>
    <col min="10757" max="10757" width="8" style="168" customWidth="1"/>
    <col min="10758" max="10758" width="10.875" style="168" customWidth="1"/>
    <col min="10759" max="10759" width="8" style="168" customWidth="1"/>
    <col min="10760" max="10760" width="11.25" style="168" customWidth="1"/>
    <col min="10761" max="10761" width="8.75" style="168" customWidth="1"/>
    <col min="10762" max="10762" width="9.125" style="168" customWidth="1"/>
    <col min="10763" max="11009" width="9" style="168"/>
    <col min="11010" max="11010" width="9.625" style="168" customWidth="1"/>
    <col min="11011" max="11011" width="10" style="168" customWidth="1"/>
    <col min="11012" max="11012" width="7" style="168" customWidth="1"/>
    <col min="11013" max="11013" width="8" style="168" customWidth="1"/>
    <col min="11014" max="11014" width="10.875" style="168" customWidth="1"/>
    <col min="11015" max="11015" width="8" style="168" customWidth="1"/>
    <col min="11016" max="11016" width="11.25" style="168" customWidth="1"/>
    <col min="11017" max="11017" width="8.75" style="168" customWidth="1"/>
    <col min="11018" max="11018" width="9.125" style="168" customWidth="1"/>
    <col min="11019" max="11265" width="9" style="168"/>
    <col min="11266" max="11266" width="9.625" style="168" customWidth="1"/>
    <col min="11267" max="11267" width="10" style="168" customWidth="1"/>
    <col min="11268" max="11268" width="7" style="168" customWidth="1"/>
    <col min="11269" max="11269" width="8" style="168" customWidth="1"/>
    <col min="11270" max="11270" width="10.875" style="168" customWidth="1"/>
    <col min="11271" max="11271" width="8" style="168" customWidth="1"/>
    <col min="11272" max="11272" width="11.25" style="168" customWidth="1"/>
    <col min="11273" max="11273" width="8.75" style="168" customWidth="1"/>
    <col min="11274" max="11274" width="9.125" style="168" customWidth="1"/>
    <col min="11275" max="11521" width="9" style="168"/>
    <col min="11522" max="11522" width="9.625" style="168" customWidth="1"/>
    <col min="11523" max="11523" width="10" style="168" customWidth="1"/>
    <col min="11524" max="11524" width="7" style="168" customWidth="1"/>
    <col min="11525" max="11525" width="8" style="168" customWidth="1"/>
    <col min="11526" max="11526" width="10.875" style="168" customWidth="1"/>
    <col min="11527" max="11527" width="8" style="168" customWidth="1"/>
    <col min="11528" max="11528" width="11.25" style="168" customWidth="1"/>
    <col min="11529" max="11529" width="8.75" style="168" customWidth="1"/>
    <col min="11530" max="11530" width="9.125" style="168" customWidth="1"/>
    <col min="11531" max="11777" width="9" style="168"/>
    <col min="11778" max="11778" width="9.625" style="168" customWidth="1"/>
    <col min="11779" max="11779" width="10" style="168" customWidth="1"/>
    <col min="11780" max="11780" width="7" style="168" customWidth="1"/>
    <col min="11781" max="11781" width="8" style="168" customWidth="1"/>
    <col min="11782" max="11782" width="10.875" style="168" customWidth="1"/>
    <col min="11783" max="11783" width="8" style="168" customWidth="1"/>
    <col min="11784" max="11784" width="11.25" style="168" customWidth="1"/>
    <col min="11785" max="11785" width="8.75" style="168" customWidth="1"/>
    <col min="11786" max="11786" width="9.125" style="168" customWidth="1"/>
    <col min="11787" max="12033" width="9" style="168"/>
    <col min="12034" max="12034" width="9.625" style="168" customWidth="1"/>
    <col min="12035" max="12035" width="10" style="168" customWidth="1"/>
    <col min="12036" max="12036" width="7" style="168" customWidth="1"/>
    <col min="12037" max="12037" width="8" style="168" customWidth="1"/>
    <col min="12038" max="12038" width="10.875" style="168" customWidth="1"/>
    <col min="12039" max="12039" width="8" style="168" customWidth="1"/>
    <col min="12040" max="12040" width="11.25" style="168" customWidth="1"/>
    <col min="12041" max="12041" width="8.75" style="168" customWidth="1"/>
    <col min="12042" max="12042" width="9.125" style="168" customWidth="1"/>
    <col min="12043" max="12289" width="9" style="168"/>
    <col min="12290" max="12290" width="9.625" style="168" customWidth="1"/>
    <col min="12291" max="12291" width="10" style="168" customWidth="1"/>
    <col min="12292" max="12292" width="7" style="168" customWidth="1"/>
    <col min="12293" max="12293" width="8" style="168" customWidth="1"/>
    <col min="12294" max="12294" width="10.875" style="168" customWidth="1"/>
    <col min="12295" max="12295" width="8" style="168" customWidth="1"/>
    <col min="12296" max="12296" width="11.25" style="168" customWidth="1"/>
    <col min="12297" max="12297" width="8.75" style="168" customWidth="1"/>
    <col min="12298" max="12298" width="9.125" style="168" customWidth="1"/>
    <col min="12299" max="12545" width="9" style="168"/>
    <col min="12546" max="12546" width="9.625" style="168" customWidth="1"/>
    <col min="12547" max="12547" width="10" style="168" customWidth="1"/>
    <col min="12548" max="12548" width="7" style="168" customWidth="1"/>
    <col min="12549" max="12549" width="8" style="168" customWidth="1"/>
    <col min="12550" max="12550" width="10.875" style="168" customWidth="1"/>
    <col min="12551" max="12551" width="8" style="168" customWidth="1"/>
    <col min="12552" max="12552" width="11.25" style="168" customWidth="1"/>
    <col min="12553" max="12553" width="8.75" style="168" customWidth="1"/>
    <col min="12554" max="12554" width="9.125" style="168" customWidth="1"/>
    <col min="12555" max="12801" width="9" style="168"/>
    <col min="12802" max="12802" width="9.625" style="168" customWidth="1"/>
    <col min="12803" max="12803" width="10" style="168" customWidth="1"/>
    <col min="12804" max="12804" width="7" style="168" customWidth="1"/>
    <col min="12805" max="12805" width="8" style="168" customWidth="1"/>
    <col min="12806" max="12806" width="10.875" style="168" customWidth="1"/>
    <col min="12807" max="12807" width="8" style="168" customWidth="1"/>
    <col min="12808" max="12808" width="11.25" style="168" customWidth="1"/>
    <col min="12809" max="12809" width="8.75" style="168" customWidth="1"/>
    <col min="12810" max="12810" width="9.125" style="168" customWidth="1"/>
    <col min="12811" max="13057" width="9" style="168"/>
    <col min="13058" max="13058" width="9.625" style="168" customWidth="1"/>
    <col min="13059" max="13059" width="10" style="168" customWidth="1"/>
    <col min="13060" max="13060" width="7" style="168" customWidth="1"/>
    <col min="13061" max="13061" width="8" style="168" customWidth="1"/>
    <col min="13062" max="13062" width="10.875" style="168" customWidth="1"/>
    <col min="13063" max="13063" width="8" style="168" customWidth="1"/>
    <col min="13064" max="13064" width="11.25" style="168" customWidth="1"/>
    <col min="13065" max="13065" width="8.75" style="168" customWidth="1"/>
    <col min="13066" max="13066" width="9.125" style="168" customWidth="1"/>
    <col min="13067" max="13313" width="9" style="168"/>
    <col min="13314" max="13314" width="9.625" style="168" customWidth="1"/>
    <col min="13315" max="13315" width="10" style="168" customWidth="1"/>
    <col min="13316" max="13316" width="7" style="168" customWidth="1"/>
    <col min="13317" max="13317" width="8" style="168" customWidth="1"/>
    <col min="13318" max="13318" width="10.875" style="168" customWidth="1"/>
    <col min="13319" max="13319" width="8" style="168" customWidth="1"/>
    <col min="13320" max="13320" width="11.25" style="168" customWidth="1"/>
    <col min="13321" max="13321" width="8.75" style="168" customWidth="1"/>
    <col min="13322" max="13322" width="9.125" style="168" customWidth="1"/>
    <col min="13323" max="13569" width="9" style="168"/>
    <col min="13570" max="13570" width="9.625" style="168" customWidth="1"/>
    <col min="13571" max="13571" width="10" style="168" customWidth="1"/>
    <col min="13572" max="13572" width="7" style="168" customWidth="1"/>
    <col min="13573" max="13573" width="8" style="168" customWidth="1"/>
    <col min="13574" max="13574" width="10.875" style="168" customWidth="1"/>
    <col min="13575" max="13575" width="8" style="168" customWidth="1"/>
    <col min="13576" max="13576" width="11.25" style="168" customWidth="1"/>
    <col min="13577" max="13577" width="8.75" style="168" customWidth="1"/>
    <col min="13578" max="13578" width="9.125" style="168" customWidth="1"/>
    <col min="13579" max="13825" width="9" style="168"/>
    <col min="13826" max="13826" width="9.625" style="168" customWidth="1"/>
    <col min="13827" max="13827" width="10" style="168" customWidth="1"/>
    <col min="13828" max="13828" width="7" style="168" customWidth="1"/>
    <col min="13829" max="13829" width="8" style="168" customWidth="1"/>
    <col min="13830" max="13830" width="10.875" style="168" customWidth="1"/>
    <col min="13831" max="13831" width="8" style="168" customWidth="1"/>
    <col min="13832" max="13832" width="11.25" style="168" customWidth="1"/>
    <col min="13833" max="13833" width="8.75" style="168" customWidth="1"/>
    <col min="13834" max="13834" width="9.125" style="168" customWidth="1"/>
    <col min="13835" max="14081" width="9" style="168"/>
    <col min="14082" max="14082" width="9.625" style="168" customWidth="1"/>
    <col min="14083" max="14083" width="10" style="168" customWidth="1"/>
    <col min="14084" max="14084" width="7" style="168" customWidth="1"/>
    <col min="14085" max="14085" width="8" style="168" customWidth="1"/>
    <col min="14086" max="14086" width="10.875" style="168" customWidth="1"/>
    <col min="14087" max="14087" width="8" style="168" customWidth="1"/>
    <col min="14088" max="14088" width="11.25" style="168" customWidth="1"/>
    <col min="14089" max="14089" width="8.75" style="168" customWidth="1"/>
    <col min="14090" max="14090" width="9.125" style="168" customWidth="1"/>
    <col min="14091" max="14337" width="9" style="168"/>
    <col min="14338" max="14338" width="9.625" style="168" customWidth="1"/>
    <col min="14339" max="14339" width="10" style="168" customWidth="1"/>
    <col min="14340" max="14340" width="7" style="168" customWidth="1"/>
    <col min="14341" max="14341" width="8" style="168" customWidth="1"/>
    <col min="14342" max="14342" width="10.875" style="168" customWidth="1"/>
    <col min="14343" max="14343" width="8" style="168" customWidth="1"/>
    <col min="14344" max="14344" width="11.25" style="168" customWidth="1"/>
    <col min="14345" max="14345" width="8.75" style="168" customWidth="1"/>
    <col min="14346" max="14346" width="9.125" style="168" customWidth="1"/>
    <col min="14347" max="14593" width="9" style="168"/>
    <col min="14594" max="14594" width="9.625" style="168" customWidth="1"/>
    <col min="14595" max="14595" width="10" style="168" customWidth="1"/>
    <col min="14596" max="14596" width="7" style="168" customWidth="1"/>
    <col min="14597" max="14597" width="8" style="168" customWidth="1"/>
    <col min="14598" max="14598" width="10.875" style="168" customWidth="1"/>
    <col min="14599" max="14599" width="8" style="168" customWidth="1"/>
    <col min="14600" max="14600" width="11.25" style="168" customWidth="1"/>
    <col min="14601" max="14601" width="8.75" style="168" customWidth="1"/>
    <col min="14602" max="14602" width="9.125" style="168" customWidth="1"/>
    <col min="14603" max="14849" width="9" style="168"/>
    <col min="14850" max="14850" width="9.625" style="168" customWidth="1"/>
    <col min="14851" max="14851" width="10" style="168" customWidth="1"/>
    <col min="14852" max="14852" width="7" style="168" customWidth="1"/>
    <col min="14853" max="14853" width="8" style="168" customWidth="1"/>
    <col min="14854" max="14854" width="10.875" style="168" customWidth="1"/>
    <col min="14855" max="14855" width="8" style="168" customWidth="1"/>
    <col min="14856" max="14856" width="11.25" style="168" customWidth="1"/>
    <col min="14857" max="14857" width="8.75" style="168" customWidth="1"/>
    <col min="14858" max="14858" width="9.125" style="168" customWidth="1"/>
    <col min="14859" max="15105" width="9" style="168"/>
    <col min="15106" max="15106" width="9.625" style="168" customWidth="1"/>
    <col min="15107" max="15107" width="10" style="168" customWidth="1"/>
    <col min="15108" max="15108" width="7" style="168" customWidth="1"/>
    <col min="15109" max="15109" width="8" style="168" customWidth="1"/>
    <col min="15110" max="15110" width="10.875" style="168" customWidth="1"/>
    <col min="15111" max="15111" width="8" style="168" customWidth="1"/>
    <col min="15112" max="15112" width="11.25" style="168" customWidth="1"/>
    <col min="15113" max="15113" width="8.75" style="168" customWidth="1"/>
    <col min="15114" max="15114" width="9.125" style="168" customWidth="1"/>
    <col min="15115" max="15361" width="9" style="168"/>
    <col min="15362" max="15362" width="9.625" style="168" customWidth="1"/>
    <col min="15363" max="15363" width="10" style="168" customWidth="1"/>
    <col min="15364" max="15364" width="7" style="168" customWidth="1"/>
    <col min="15365" max="15365" width="8" style="168" customWidth="1"/>
    <col min="15366" max="15366" width="10.875" style="168" customWidth="1"/>
    <col min="15367" max="15367" width="8" style="168" customWidth="1"/>
    <col min="15368" max="15368" width="11.25" style="168" customWidth="1"/>
    <col min="15369" max="15369" width="8.75" style="168" customWidth="1"/>
    <col min="15370" max="15370" width="9.125" style="168" customWidth="1"/>
    <col min="15371" max="15617" width="9" style="168"/>
    <col min="15618" max="15618" width="9.625" style="168" customWidth="1"/>
    <col min="15619" max="15619" width="10" style="168" customWidth="1"/>
    <col min="15620" max="15620" width="7" style="168" customWidth="1"/>
    <col min="15621" max="15621" width="8" style="168" customWidth="1"/>
    <col min="15622" max="15622" width="10.875" style="168" customWidth="1"/>
    <col min="15623" max="15623" width="8" style="168" customWidth="1"/>
    <col min="15624" max="15624" width="11.25" style="168" customWidth="1"/>
    <col min="15625" max="15625" width="8.75" style="168" customWidth="1"/>
    <col min="15626" max="15626" width="9.125" style="168" customWidth="1"/>
    <col min="15627" max="15873" width="9" style="168"/>
    <col min="15874" max="15874" width="9.625" style="168" customWidth="1"/>
    <col min="15875" max="15875" width="10" style="168" customWidth="1"/>
    <col min="15876" max="15876" width="7" style="168" customWidth="1"/>
    <col min="15877" max="15877" width="8" style="168" customWidth="1"/>
    <col min="15878" max="15878" width="10.875" style="168" customWidth="1"/>
    <col min="15879" max="15879" width="8" style="168" customWidth="1"/>
    <col min="15880" max="15880" width="11.25" style="168" customWidth="1"/>
    <col min="15881" max="15881" width="8.75" style="168" customWidth="1"/>
    <col min="15882" max="15882" width="9.125" style="168" customWidth="1"/>
    <col min="15883" max="16129" width="9" style="168"/>
    <col min="16130" max="16130" width="9.625" style="168" customWidth="1"/>
    <col min="16131" max="16131" width="10" style="168" customWidth="1"/>
    <col min="16132" max="16132" width="7" style="168" customWidth="1"/>
    <col min="16133" max="16133" width="8" style="168" customWidth="1"/>
    <col min="16134" max="16134" width="10.875" style="168" customWidth="1"/>
    <col min="16135" max="16135" width="8" style="168" customWidth="1"/>
    <col min="16136" max="16136" width="11.25" style="168" customWidth="1"/>
    <col min="16137" max="16137" width="8.75" style="168" customWidth="1"/>
    <col min="16138" max="16138" width="9.125" style="168" customWidth="1"/>
    <col min="16139" max="16384" width="9" style="168"/>
  </cols>
  <sheetData>
    <row r="1" ht="30.6" spans="1:11">
      <c r="A1" s="1854" t="s">
        <v>89</v>
      </c>
      <c r="B1" s="1854"/>
      <c r="C1" s="1854"/>
      <c r="D1" s="1854"/>
      <c r="E1" s="1854"/>
      <c r="F1" s="1854"/>
      <c r="G1" s="1854"/>
      <c r="H1" s="1854"/>
      <c r="I1" s="1854"/>
      <c r="J1" s="1854"/>
      <c r="K1" s="117" t="s">
        <v>88</v>
      </c>
    </row>
    <row r="2" ht="17.4" spans="1:1">
      <c r="A2" s="1855" t="s">
        <v>90</v>
      </c>
    </row>
    <row r="3" ht="20.4" spans="3:9">
      <c r="C3" s="1856"/>
      <c r="D3" s="1856"/>
      <c r="E3" s="1856"/>
      <c r="F3" s="1857">
        <v>0</v>
      </c>
      <c r="G3" s="1858" t="s">
        <v>91</v>
      </c>
      <c r="I3" s="1858"/>
    </row>
    <row r="4" ht="22.2" spans="1:6">
      <c r="A4" s="1859" t="s">
        <v>92</v>
      </c>
      <c r="B4" s="1859"/>
      <c r="C4" s="1856">
        <f>F3/F5</f>
        <v>0</v>
      </c>
      <c r="D4" s="1856" t="s">
        <v>93</v>
      </c>
      <c r="E4" s="1856"/>
      <c r="F4" s="1856"/>
    </row>
    <row r="5" ht="20.4" spans="1:7">
      <c r="A5" s="289"/>
      <c r="B5" s="1856"/>
      <c r="C5" s="1856"/>
      <c r="D5" s="1856"/>
      <c r="E5" s="1856"/>
      <c r="F5" s="1856">
        <v>220</v>
      </c>
      <c r="G5" s="1858" t="s">
        <v>94</v>
      </c>
    </row>
    <row r="6" ht="20.4" spans="1:6">
      <c r="A6" s="289"/>
      <c r="B6" s="1856"/>
      <c r="C6" s="1856"/>
      <c r="D6" s="1856"/>
      <c r="E6" s="1856"/>
      <c r="F6" s="1856"/>
    </row>
    <row r="7" ht="20.4" spans="1:5">
      <c r="A7" s="1855" t="s">
        <v>95</v>
      </c>
      <c r="C7" s="1860"/>
      <c r="D7" s="1860"/>
      <c r="E7" s="1860"/>
    </row>
    <row r="8" ht="20.4" spans="3:9">
      <c r="C8" s="1856"/>
      <c r="D8" s="1856"/>
      <c r="E8" s="1856"/>
      <c r="F8" s="1857">
        <v>0</v>
      </c>
      <c r="G8" s="1858" t="s">
        <v>91</v>
      </c>
      <c r="I8" s="1858"/>
    </row>
    <row r="9" ht="22.2" spans="1:6">
      <c r="A9" s="1859" t="s">
        <v>92</v>
      </c>
      <c r="B9" s="1859"/>
      <c r="C9" s="1856">
        <f>F8/F10</f>
        <v>0</v>
      </c>
      <c r="D9" s="1856" t="s">
        <v>93</v>
      </c>
      <c r="E9" s="1856"/>
      <c r="F9" s="1856"/>
    </row>
    <row r="10" ht="20.4" spans="1:7">
      <c r="A10" s="289"/>
      <c r="B10" s="1856"/>
      <c r="C10" s="1856"/>
      <c r="D10" s="1856"/>
      <c r="E10" s="1856"/>
      <c r="F10" s="1856">
        <v>220</v>
      </c>
      <c r="G10" s="1856">
        <v>0.85</v>
      </c>
    </row>
    <row r="11" spans="6:7">
      <c r="F11" s="168" t="s">
        <v>96</v>
      </c>
      <c r="G11" s="440" t="s">
        <v>97</v>
      </c>
    </row>
    <row r="12" spans="6:7">
      <c r="F12" s="1858" t="s">
        <v>98</v>
      </c>
      <c r="G12" s="1858" t="s">
        <v>99</v>
      </c>
    </row>
    <row r="13" spans="6:7">
      <c r="F13" s="1858"/>
      <c r="G13" s="1858"/>
    </row>
    <row r="14" ht="20.4" spans="1:5">
      <c r="A14" s="1855" t="s">
        <v>100</v>
      </c>
      <c r="C14" s="1860"/>
      <c r="D14" s="1860"/>
      <c r="E14" s="1860"/>
    </row>
    <row r="15" ht="20.4" spans="3:9">
      <c r="C15" s="1856"/>
      <c r="D15" s="1856"/>
      <c r="E15" s="1856"/>
      <c r="F15" s="1856">
        <v>0</v>
      </c>
      <c r="G15" s="1858" t="s">
        <v>91</v>
      </c>
      <c r="H15" s="1858"/>
      <c r="I15" s="1858"/>
    </row>
    <row r="16" ht="22.2" spans="1:6">
      <c r="A16" s="1859" t="s">
        <v>92</v>
      </c>
      <c r="B16" s="1859"/>
      <c r="C16" s="1856">
        <v>0</v>
      </c>
      <c r="D16" s="1856" t="s">
        <v>93</v>
      </c>
      <c r="E16" s="1856"/>
      <c r="F16" s="1856"/>
    </row>
    <row r="17" ht="20.4" spans="1:8">
      <c r="A17" s="289"/>
      <c r="B17" s="1856"/>
      <c r="C17" s="1856"/>
      <c r="D17" s="1856"/>
      <c r="E17" s="1856"/>
      <c r="F17" s="1856">
        <v>220</v>
      </c>
      <c r="G17" s="1860">
        <v>0.875</v>
      </c>
      <c r="H17" s="1856">
        <v>0.89</v>
      </c>
    </row>
    <row r="18" spans="6:8">
      <c r="F18" s="168" t="s">
        <v>96</v>
      </c>
      <c r="G18" s="1861" t="s">
        <v>101</v>
      </c>
      <c r="H18" s="440" t="s">
        <v>97</v>
      </c>
    </row>
    <row r="19" spans="6:8">
      <c r="F19" s="1858" t="s">
        <v>98</v>
      </c>
      <c r="G19" s="1858" t="s">
        <v>102</v>
      </c>
      <c r="H19" s="1858" t="s">
        <v>99</v>
      </c>
    </row>
    <row r="20" spans="6:8">
      <c r="F20" s="1858"/>
      <c r="G20" s="1858"/>
      <c r="H20" s="1858"/>
    </row>
    <row r="21" ht="20.4" spans="1:5">
      <c r="A21" s="1855" t="s">
        <v>103</v>
      </c>
      <c r="C21" s="1860"/>
      <c r="D21" s="1860"/>
      <c r="E21" s="1860"/>
    </row>
    <row r="22" ht="20.4" spans="3:9">
      <c r="C22" s="1856"/>
      <c r="D22" s="1856"/>
      <c r="E22" s="1856"/>
      <c r="F22" s="1862">
        <f>E24*F24*G24*H24</f>
        <v>512.5716925</v>
      </c>
      <c r="G22" s="1857">
        <v>11000</v>
      </c>
      <c r="H22" s="1858" t="s">
        <v>91</v>
      </c>
      <c r="I22" s="1858"/>
    </row>
    <row r="23" ht="22.2" spans="1:6">
      <c r="A23" s="1859" t="s">
        <v>92</v>
      </c>
      <c r="B23" s="1859"/>
      <c r="C23" s="1856">
        <f>G22/F22</f>
        <v>21.4604125841382</v>
      </c>
      <c r="D23" s="1856" t="s">
        <v>93</v>
      </c>
      <c r="E23" s="1856"/>
      <c r="F23" s="1856"/>
    </row>
    <row r="24" ht="20.4" spans="1:8">
      <c r="A24" s="289"/>
      <c r="B24" s="1856"/>
      <c r="C24" s="1856"/>
      <c r="D24" s="1856"/>
      <c r="E24" s="1856">
        <v>1.7321</v>
      </c>
      <c r="F24" s="1856">
        <v>380</v>
      </c>
      <c r="G24" s="1860">
        <v>0.875</v>
      </c>
      <c r="H24" s="1856">
        <v>0.89</v>
      </c>
    </row>
    <row r="25" spans="5:8">
      <c r="E25" s="289">
        <v>3</v>
      </c>
      <c r="F25" s="168" t="s">
        <v>96</v>
      </c>
      <c r="G25" s="1861" t="s">
        <v>101</v>
      </c>
      <c r="H25" s="440" t="s">
        <v>97</v>
      </c>
    </row>
    <row r="26" spans="5:8">
      <c r="E26" s="1858" t="s">
        <v>104</v>
      </c>
      <c r="F26" s="1858" t="s">
        <v>98</v>
      </c>
      <c r="G26" s="1858" t="s">
        <v>102</v>
      </c>
      <c r="H26" s="1858" t="s">
        <v>99</v>
      </c>
    </row>
    <row r="27" ht="17.4" spans="1:7">
      <c r="A27" s="1855" t="s">
        <v>105</v>
      </c>
      <c r="B27" s="634"/>
      <c r="C27" s="634"/>
      <c r="D27" s="1863"/>
      <c r="E27" s="1863"/>
      <c r="F27" s="631"/>
      <c r="G27" s="1863"/>
    </row>
    <row r="28" spans="1:7">
      <c r="A28" s="634" t="s">
        <v>106</v>
      </c>
      <c r="B28" s="634"/>
      <c r="C28" s="634"/>
      <c r="D28" s="1863"/>
      <c r="E28" s="634"/>
      <c r="F28" s="631"/>
      <c r="G28" s="1864"/>
    </row>
    <row r="29" spans="1:7">
      <c r="A29" s="1865"/>
      <c r="B29" s="634"/>
      <c r="C29" s="634"/>
      <c r="D29" s="634"/>
      <c r="E29" s="634"/>
      <c r="F29" s="634"/>
      <c r="G29" s="634"/>
    </row>
    <row r="30" ht="22.2" spans="1:9">
      <c r="A30" s="1865"/>
      <c r="B30" s="1866" t="s">
        <v>107</v>
      </c>
      <c r="C30" s="1867">
        <f>E30*G30</f>
        <v>0</v>
      </c>
      <c r="D30" s="1856" t="s">
        <v>93</v>
      </c>
      <c r="E30" s="1867">
        <v>0</v>
      </c>
      <c r="F30" s="634" t="s">
        <v>108</v>
      </c>
      <c r="G30" s="1867">
        <v>0</v>
      </c>
      <c r="I30" s="1867"/>
    </row>
    <row r="31" ht="22.2" spans="1:7">
      <c r="A31" s="1865"/>
      <c r="B31" s="634"/>
      <c r="C31" s="634"/>
      <c r="D31" s="634"/>
      <c r="E31" s="631" t="s">
        <v>109</v>
      </c>
      <c r="G31" s="1863" t="s">
        <v>110</v>
      </c>
    </row>
    <row r="32" spans="1:9">
      <c r="A32" s="1865"/>
      <c r="B32" s="1868" t="s">
        <v>111</v>
      </c>
      <c r="C32" s="1868"/>
      <c r="D32" s="1868" t="s">
        <v>112</v>
      </c>
      <c r="E32" s="1868"/>
      <c r="F32" s="1868"/>
      <c r="G32" s="1868" t="s">
        <v>113</v>
      </c>
      <c r="H32" s="1868"/>
      <c r="I32" s="1868"/>
    </row>
    <row r="33" spans="1:7">
      <c r="A33" s="1865"/>
      <c r="B33" s="634"/>
      <c r="C33" s="634"/>
      <c r="D33" s="1868" t="s">
        <v>114</v>
      </c>
      <c r="E33" s="1868"/>
      <c r="F33" s="1868"/>
      <c r="G33" s="634"/>
    </row>
    <row r="34" spans="1:7">
      <c r="A34" s="1865"/>
      <c r="B34" s="634"/>
      <c r="C34" s="634"/>
      <c r="D34" s="634"/>
      <c r="E34" s="634"/>
      <c r="F34" s="634"/>
      <c r="G34" s="634"/>
    </row>
    <row r="35" ht="22.2" spans="1:8">
      <c r="A35" s="274"/>
      <c r="B35" s="274"/>
      <c r="C35" s="274"/>
      <c r="D35" s="274"/>
      <c r="E35" s="1862">
        <f>E37*G37</f>
        <v>176</v>
      </c>
      <c r="F35" s="1857">
        <v>0</v>
      </c>
      <c r="H35" s="1858" t="s">
        <v>115</v>
      </c>
    </row>
    <row r="36" ht="22.2" spans="2:5">
      <c r="B36" s="1858" t="s">
        <v>116</v>
      </c>
      <c r="C36" s="274">
        <f>F35/E35</f>
        <v>0</v>
      </c>
      <c r="D36" s="1856" t="s">
        <v>93</v>
      </c>
      <c r="E36" s="1856"/>
    </row>
    <row r="37" ht="20.4" spans="1:7">
      <c r="A37" s="1868" t="s">
        <v>117</v>
      </c>
      <c r="B37" s="1868"/>
      <c r="C37" s="1868"/>
      <c r="D37" s="274"/>
      <c r="E37" s="1856">
        <v>220</v>
      </c>
      <c r="F37" s="1860"/>
      <c r="G37" s="1856">
        <v>0.8</v>
      </c>
    </row>
    <row r="38" spans="2:7">
      <c r="B38" s="1868"/>
      <c r="C38" s="1868"/>
      <c r="D38" s="1868"/>
      <c r="E38" s="289" t="s">
        <v>118</v>
      </c>
      <c r="F38" s="1861"/>
      <c r="G38" s="440" t="s">
        <v>97</v>
      </c>
    </row>
    <row r="39" spans="5:8">
      <c r="E39" s="1859" t="s">
        <v>98</v>
      </c>
      <c r="F39" s="1859" t="s">
        <v>119</v>
      </c>
      <c r="G39" s="1859"/>
      <c r="H39" s="1859"/>
    </row>
    <row r="43" ht="30.6" spans="1:10">
      <c r="A43" s="1854" t="s">
        <v>120</v>
      </c>
      <c r="B43" s="1854"/>
      <c r="C43" s="1854"/>
      <c r="D43" s="1854"/>
      <c r="E43" s="1854"/>
      <c r="F43" s="1854"/>
      <c r="G43" s="1854"/>
      <c r="H43" s="1854"/>
      <c r="I43" s="1854"/>
      <c r="J43" s="1854"/>
    </row>
    <row r="45" ht="17.4" spans="1:3">
      <c r="A45" s="1855" t="s">
        <v>121</v>
      </c>
      <c r="B45" s="1855"/>
      <c r="C45" s="1855"/>
    </row>
    <row r="46" ht="22.2" spans="2:7">
      <c r="B46" s="1866" t="s">
        <v>122</v>
      </c>
      <c r="C46" s="1860">
        <f>E46*G46</f>
        <v>0</v>
      </c>
      <c r="D46" s="1856" t="s">
        <v>93</v>
      </c>
      <c r="E46" s="1856">
        <v>0</v>
      </c>
      <c r="F46" s="1869" t="s">
        <v>108</v>
      </c>
      <c r="G46" s="1856">
        <v>0</v>
      </c>
    </row>
    <row r="47" ht="22.2" spans="2:7">
      <c r="B47" s="634"/>
      <c r="C47" s="634"/>
      <c r="D47" s="634"/>
      <c r="E47" s="1870" t="s">
        <v>123</v>
      </c>
      <c r="G47" s="1871" t="s">
        <v>124</v>
      </c>
    </row>
    <row r="48" spans="2:8">
      <c r="B48" s="1872" t="s">
        <v>125</v>
      </c>
      <c r="C48" s="1872"/>
      <c r="D48" s="1868" t="s">
        <v>126</v>
      </c>
      <c r="E48" s="1868"/>
      <c r="F48" s="1868"/>
      <c r="G48" s="1868" t="s">
        <v>127</v>
      </c>
      <c r="H48" s="1868"/>
    </row>
    <row r="49" ht="17.4" spans="2:8">
      <c r="B49" s="1868" t="s">
        <v>128</v>
      </c>
      <c r="C49" s="1868"/>
      <c r="D49" s="1859" t="s">
        <v>129</v>
      </c>
      <c r="E49" s="1859"/>
      <c r="F49" s="1859"/>
      <c r="G49" s="1868" t="s">
        <v>130</v>
      </c>
      <c r="H49" s="1868"/>
    </row>
    <row r="50" ht="22.2" spans="2:10">
      <c r="B50" s="1856" t="s">
        <v>131</v>
      </c>
      <c r="C50" s="1856" t="s">
        <v>93</v>
      </c>
      <c r="D50" s="1870" t="s">
        <v>132</v>
      </c>
      <c r="E50" s="1870"/>
      <c r="F50" s="1870"/>
      <c r="G50" s="1870"/>
      <c r="J50" s="1867"/>
    </row>
    <row r="51" ht="22.2" spans="2:10">
      <c r="B51" s="1856" t="s">
        <v>106</v>
      </c>
      <c r="C51" s="1856"/>
      <c r="D51" s="1870"/>
      <c r="E51" s="1870"/>
      <c r="F51" s="1870"/>
      <c r="G51" s="1870"/>
      <c r="J51" s="1867"/>
    </row>
    <row r="52" ht="23.25" customHeight="1" spans="1:5">
      <c r="A52" s="1865" t="s">
        <v>133</v>
      </c>
      <c r="C52" s="1855" t="s">
        <v>134</v>
      </c>
      <c r="D52" s="1855"/>
      <c r="E52" s="1855"/>
    </row>
    <row r="53" ht="22.2" spans="1:3">
      <c r="A53" s="630" t="s">
        <v>135</v>
      </c>
      <c r="C53" s="1860" t="s">
        <v>136</v>
      </c>
    </row>
    <row r="54" ht="23.25" customHeight="1" spans="1:5">
      <c r="A54" s="630" t="s">
        <v>137</v>
      </c>
      <c r="C54" s="1860" t="s">
        <v>138</v>
      </c>
      <c r="D54" s="1860"/>
      <c r="E54" s="1860"/>
    </row>
    <row r="55" ht="15" customHeight="1" spans="1:5">
      <c r="A55" s="1855" t="s">
        <v>139</v>
      </c>
      <c r="C55" s="1860"/>
      <c r="D55" s="1860"/>
      <c r="E55" s="1860"/>
    </row>
    <row r="56" ht="22.2" spans="3:9">
      <c r="C56" s="1856"/>
      <c r="D56" s="1856"/>
      <c r="E56" s="1856"/>
      <c r="F56" s="1870">
        <v>1</v>
      </c>
      <c r="G56" s="1870"/>
      <c r="I56" s="1858"/>
    </row>
    <row r="57" ht="25.8" spans="1:10">
      <c r="A57" s="1859" t="s">
        <v>140</v>
      </c>
      <c r="B57" s="1859"/>
      <c r="C57" s="1856">
        <f>J57*H58</f>
        <v>0.185185185185185</v>
      </c>
      <c r="D57" s="1856" t="s">
        <v>93</v>
      </c>
      <c r="E57" s="1856"/>
      <c r="F57" s="1856"/>
      <c r="H57" s="289" t="s">
        <v>108</v>
      </c>
      <c r="I57" s="1876" t="s">
        <v>141</v>
      </c>
      <c r="J57" s="1873">
        <v>1000</v>
      </c>
    </row>
    <row r="58" ht="20.4" spans="1:8">
      <c r="A58" s="289"/>
      <c r="B58" s="1856" t="s">
        <v>142</v>
      </c>
      <c r="C58" s="1856"/>
      <c r="D58" s="1856"/>
      <c r="E58" s="1856">
        <f>F58*G58</f>
        <v>5400</v>
      </c>
      <c r="F58" s="1856">
        <v>54</v>
      </c>
      <c r="G58" s="1857">
        <v>100</v>
      </c>
      <c r="H58" s="1873">
        <f>F56/E58</f>
        <v>0.000185185185185185</v>
      </c>
    </row>
    <row r="59" ht="17.4" spans="5:8">
      <c r="E59" s="289"/>
      <c r="F59" s="1874" t="s">
        <v>143</v>
      </c>
      <c r="G59" s="1874" t="s">
        <v>124</v>
      </c>
      <c r="H59" s="630"/>
    </row>
    <row r="60" ht="25.2" spans="5:8">
      <c r="E60" s="176" t="s">
        <v>144</v>
      </c>
      <c r="F60" s="176"/>
      <c r="G60" s="1859" t="s">
        <v>145</v>
      </c>
      <c r="H60" s="1859"/>
    </row>
    <row r="61" spans="1:8">
      <c r="A61" s="168" t="s">
        <v>106</v>
      </c>
      <c r="E61" s="176" t="s">
        <v>146</v>
      </c>
      <c r="F61" s="176"/>
      <c r="G61" s="1859"/>
      <c r="H61" s="1859"/>
    </row>
    <row r="62" ht="28.2" spans="1:10">
      <c r="A62" s="1875" t="s">
        <v>147</v>
      </c>
      <c r="B62" s="1875"/>
      <c r="C62" s="1875"/>
      <c r="D62" s="1875"/>
      <c r="E62" s="1875"/>
      <c r="F62" s="1875"/>
      <c r="G62" s="1875"/>
      <c r="H62" s="1875"/>
      <c r="I62" s="1875"/>
      <c r="J62" s="1875"/>
    </row>
    <row r="63" ht="17.4" spans="1:1">
      <c r="A63" s="168" t="s">
        <v>148</v>
      </c>
    </row>
    <row r="64" ht="22.2" spans="3:5">
      <c r="C64" s="1870" t="s">
        <v>149</v>
      </c>
      <c r="D64" s="1870" t="s">
        <v>150</v>
      </c>
      <c r="E64" s="1870" t="s">
        <v>151</v>
      </c>
    </row>
    <row r="65" ht="17.4" spans="1:4">
      <c r="A65" s="168" t="s">
        <v>152</v>
      </c>
      <c r="B65" s="636" t="s">
        <v>153</v>
      </c>
      <c r="D65" s="168" t="s">
        <v>154</v>
      </c>
    </row>
    <row r="66" ht="18.75" customHeight="1" spans="2:4">
      <c r="B66" s="1855" t="s">
        <v>155</v>
      </c>
      <c r="D66" s="168" t="s">
        <v>156</v>
      </c>
    </row>
    <row r="67" ht="18.75" customHeight="1" spans="2:4">
      <c r="B67" s="636" t="s">
        <v>157</v>
      </c>
      <c r="D67" s="168" t="s">
        <v>158</v>
      </c>
    </row>
    <row r="68" ht="18.75" customHeight="1" spans="2:4">
      <c r="B68" s="636" t="s">
        <v>159</v>
      </c>
      <c r="D68" s="168" t="s">
        <v>160</v>
      </c>
    </row>
    <row r="69" ht="18.75" customHeight="1" spans="2:4">
      <c r="B69" s="636" t="s">
        <v>161</v>
      </c>
      <c r="D69" s="168" t="s">
        <v>162</v>
      </c>
    </row>
    <row r="70" spans="1:2">
      <c r="A70" s="1877" t="s">
        <v>163</v>
      </c>
      <c r="B70" s="636"/>
    </row>
    <row r="71" ht="21" customHeight="1" spans="3:6">
      <c r="C71" s="1859" t="s">
        <v>160</v>
      </c>
      <c r="D71" s="1859"/>
      <c r="E71" s="1859"/>
      <c r="F71" s="1858"/>
    </row>
    <row r="72" ht="22.2" spans="1:9">
      <c r="A72" s="168" t="s">
        <v>106</v>
      </c>
      <c r="E72" s="630" t="s">
        <v>164</v>
      </c>
      <c r="H72" s="630" t="s">
        <v>165</v>
      </c>
      <c r="I72" s="630"/>
    </row>
    <row r="73" ht="22.2" spans="2:10">
      <c r="B73" s="1856"/>
      <c r="C73" s="1856"/>
      <c r="D73" s="1878">
        <f>E73*F73</f>
        <v>15000</v>
      </c>
      <c r="E73" s="1857">
        <v>15</v>
      </c>
      <c r="F73" s="1879">
        <v>1000</v>
      </c>
      <c r="G73" s="1873">
        <f>H73*J73</f>
        <v>15000</v>
      </c>
      <c r="H73" s="1880">
        <v>15</v>
      </c>
      <c r="I73" s="1880"/>
      <c r="J73" s="1873">
        <v>1000</v>
      </c>
    </row>
    <row r="74" ht="22.2" spans="1:7">
      <c r="A74" s="636" t="s">
        <v>166</v>
      </c>
      <c r="B74" s="1856">
        <f>D73/C75</f>
        <v>25.606174106074</v>
      </c>
      <c r="C74" s="1856" t="s">
        <v>93</v>
      </c>
      <c r="D74" s="1856"/>
      <c r="E74" s="1856"/>
      <c r="G74" s="1856" t="s">
        <v>93</v>
      </c>
    </row>
    <row r="75" ht="22.2" spans="2:9">
      <c r="B75" s="1856">
        <f>G73/G75</f>
        <v>22.7894949544058</v>
      </c>
      <c r="C75" s="1881">
        <f>D75*E75*F75</f>
        <v>585.79622</v>
      </c>
      <c r="D75" s="1856">
        <v>1.7321</v>
      </c>
      <c r="E75" s="1856">
        <v>380</v>
      </c>
      <c r="F75" s="1860">
        <v>0.89</v>
      </c>
      <c r="G75" s="1881">
        <f>H75*I75</f>
        <v>658.198</v>
      </c>
      <c r="H75" s="1856">
        <v>1.7321</v>
      </c>
      <c r="I75" s="1867">
        <v>380</v>
      </c>
    </row>
    <row r="76" ht="22.2" spans="1:9">
      <c r="A76" s="168" t="s">
        <v>167</v>
      </c>
      <c r="D76" s="289">
        <v>3</v>
      </c>
      <c r="E76" s="168" t="s">
        <v>168</v>
      </c>
      <c r="F76" s="440" t="s">
        <v>97</v>
      </c>
      <c r="H76" s="289">
        <v>3</v>
      </c>
      <c r="I76" s="168" t="s">
        <v>168</v>
      </c>
    </row>
    <row r="77" spans="4:9">
      <c r="D77" s="1858" t="s">
        <v>104</v>
      </c>
      <c r="E77" s="1859" t="s">
        <v>98</v>
      </c>
      <c r="F77" s="1858" t="s">
        <v>99</v>
      </c>
      <c r="H77" s="1858" t="s">
        <v>104</v>
      </c>
      <c r="I77" s="1859" t="s">
        <v>98</v>
      </c>
    </row>
    <row r="78" ht="21" customHeight="1" spans="1:1">
      <c r="A78" s="1855" t="s">
        <v>169</v>
      </c>
    </row>
    <row r="79" ht="22.5" customHeight="1" spans="1:7">
      <c r="A79" s="1855"/>
      <c r="C79" s="1859" t="s">
        <v>160</v>
      </c>
      <c r="D79" s="1859"/>
      <c r="E79" s="1859"/>
      <c r="F79" s="1858"/>
      <c r="G79" s="1858"/>
    </row>
    <row r="80" ht="22.2" spans="1:8">
      <c r="A80" s="1855"/>
      <c r="D80" s="630" t="s">
        <v>164</v>
      </c>
      <c r="E80" s="630"/>
      <c r="G80" s="630" t="s">
        <v>165</v>
      </c>
      <c r="H80" s="636"/>
    </row>
    <row r="81" ht="22.2" spans="2:8">
      <c r="B81" s="1856"/>
      <c r="C81" s="1881">
        <f>D81*F81</f>
        <v>0</v>
      </c>
      <c r="D81" s="1857">
        <v>0</v>
      </c>
      <c r="E81" s="1857"/>
      <c r="F81" s="1873">
        <v>1000</v>
      </c>
      <c r="G81" s="1880">
        <v>0</v>
      </c>
      <c r="H81" s="1882">
        <f>F81*G81</f>
        <v>0</v>
      </c>
    </row>
    <row r="82" ht="22.2" spans="1:6">
      <c r="A82" s="1859" t="s">
        <v>170</v>
      </c>
      <c r="B82" s="1856">
        <f>C81/C83</f>
        <v>0</v>
      </c>
      <c r="C82" s="1856" t="s">
        <v>93</v>
      </c>
      <c r="D82" s="1856"/>
      <c r="F82" s="1856" t="s">
        <v>93</v>
      </c>
    </row>
    <row r="83" ht="22.2" spans="2:7">
      <c r="B83" s="1870">
        <f>H81/G83</f>
        <v>0</v>
      </c>
      <c r="C83" s="1881">
        <f>D83*E83</f>
        <v>176</v>
      </c>
      <c r="D83" s="1856">
        <v>220</v>
      </c>
      <c r="E83" s="1856">
        <v>0.8</v>
      </c>
      <c r="G83" s="1870">
        <v>220</v>
      </c>
    </row>
    <row r="84" ht="22.2" spans="1:7">
      <c r="A84" s="168" t="s">
        <v>167</v>
      </c>
      <c r="B84" s="1856"/>
      <c r="D84" s="168" t="s">
        <v>168</v>
      </c>
      <c r="E84" s="440" t="s">
        <v>97</v>
      </c>
      <c r="G84" s="630" t="s">
        <v>171</v>
      </c>
    </row>
    <row r="85" spans="1:7">
      <c r="A85" s="168" t="s">
        <v>106</v>
      </c>
      <c r="D85" s="1859" t="s">
        <v>98</v>
      </c>
      <c r="E85" s="1858" t="s">
        <v>99</v>
      </c>
      <c r="G85" s="1859" t="s">
        <v>98</v>
      </c>
    </row>
    <row r="86" ht="22.2" spans="1:10">
      <c r="A86" s="1880" t="s">
        <v>172</v>
      </c>
      <c r="B86" s="1880"/>
      <c r="C86" s="1880"/>
      <c r="D86" s="1880"/>
      <c r="E86" s="1880"/>
      <c r="F86" s="1880"/>
      <c r="G86" s="1880"/>
      <c r="H86" s="1880"/>
      <c r="I86" s="1880"/>
      <c r="J86" s="1880"/>
    </row>
    <row r="87" spans="1:1">
      <c r="A87" s="168" t="s">
        <v>173</v>
      </c>
    </row>
    <row r="88" ht="24.75" customHeight="1" spans="1:4">
      <c r="A88" s="636" t="s">
        <v>174</v>
      </c>
      <c r="D88" s="168" t="s">
        <v>175</v>
      </c>
    </row>
    <row r="89" ht="21" customHeight="1" spans="1:4">
      <c r="A89" s="1883" t="s">
        <v>176</v>
      </c>
      <c r="B89" s="1883"/>
      <c r="D89" s="168" t="s">
        <v>177</v>
      </c>
    </row>
    <row r="90" ht="21" customHeight="1" spans="1:4">
      <c r="A90" s="1883"/>
      <c r="B90" s="1883"/>
      <c r="D90" s="168" t="s">
        <v>178</v>
      </c>
    </row>
    <row r="91" ht="24.75" customHeight="1" spans="1:4">
      <c r="A91" s="636" t="s">
        <v>179</v>
      </c>
      <c r="D91" s="168" t="s">
        <v>180</v>
      </c>
    </row>
    <row r="92" ht="22.2" spans="1:4">
      <c r="A92" s="1867" t="s">
        <v>155</v>
      </c>
      <c r="D92" s="168" t="s">
        <v>181</v>
      </c>
    </row>
    <row r="93" ht="22.2" spans="4:10">
      <c r="D93" s="630" t="s">
        <v>182</v>
      </c>
      <c r="E93" s="630"/>
      <c r="G93" s="630" t="s">
        <v>183</v>
      </c>
      <c r="H93" s="630"/>
      <c r="J93" s="630" t="s">
        <v>179</v>
      </c>
    </row>
    <row r="94" ht="18.75" customHeight="1" spans="3:10">
      <c r="C94" s="1726" t="s">
        <v>184</v>
      </c>
      <c r="D94" s="630">
        <v>6000</v>
      </c>
      <c r="E94" s="630">
        <v>100</v>
      </c>
      <c r="F94" s="1861" t="s">
        <v>185</v>
      </c>
      <c r="G94" s="289">
        <v>200</v>
      </c>
      <c r="H94" s="289">
        <v>5</v>
      </c>
      <c r="I94" s="168" t="s">
        <v>186</v>
      </c>
      <c r="J94" s="289">
        <v>1</v>
      </c>
    </row>
    <row r="95" ht="22.2" spans="1:3">
      <c r="A95" s="1867" t="s">
        <v>155</v>
      </c>
      <c r="B95" s="168">
        <f>D97/I96</f>
        <v>2400</v>
      </c>
      <c r="C95" s="1856" t="s">
        <v>93</v>
      </c>
    </row>
    <row r="96" ht="22.2" spans="1:9">
      <c r="A96" s="1867"/>
      <c r="C96" s="1856"/>
      <c r="D96" s="1873">
        <f>D94/E94</f>
        <v>60</v>
      </c>
      <c r="E96" s="1873">
        <f>G94/H94</f>
        <v>40</v>
      </c>
      <c r="F96" s="289">
        <v>1</v>
      </c>
      <c r="G96" s="1861" t="s">
        <v>108</v>
      </c>
      <c r="H96" s="289">
        <v>1</v>
      </c>
      <c r="I96" s="1873">
        <f>F96*H96</f>
        <v>1</v>
      </c>
    </row>
    <row r="97" ht="22.2" spans="4:8">
      <c r="D97" s="1873">
        <f>D96*E96*J94</f>
        <v>2400</v>
      </c>
      <c r="E97" s="1873"/>
      <c r="F97" s="630" t="s">
        <v>187</v>
      </c>
      <c r="G97" s="289"/>
      <c r="H97" s="630" t="s">
        <v>188</v>
      </c>
    </row>
    <row r="98" ht="25.8" spans="1:10">
      <c r="A98" s="1884" t="s">
        <v>189</v>
      </c>
      <c r="B98" s="1884"/>
      <c r="C98" s="1884"/>
      <c r="D98" s="1884"/>
      <c r="E98" s="1884"/>
      <c r="F98" s="1884"/>
      <c r="G98" s="1884"/>
      <c r="H98" s="1884"/>
      <c r="I98" s="1884"/>
      <c r="J98" s="1884"/>
    </row>
    <row r="99" spans="1:1">
      <c r="A99" s="168" t="s">
        <v>190</v>
      </c>
    </row>
    <row r="100" spans="1:1">
      <c r="A100" s="168" t="s">
        <v>191</v>
      </c>
    </row>
    <row r="101" spans="1:1">
      <c r="A101" s="168" t="s">
        <v>192</v>
      </c>
    </row>
    <row r="102" ht="17.4" spans="1:10">
      <c r="A102" s="1874" t="s">
        <v>193</v>
      </c>
      <c r="B102" s="1874"/>
      <c r="C102" s="1874"/>
      <c r="D102" s="1874"/>
      <c r="E102" s="1874"/>
      <c r="F102" s="1874"/>
      <c r="G102" s="1874"/>
      <c r="H102" s="1874"/>
      <c r="I102" s="1874"/>
      <c r="J102" s="1874"/>
    </row>
    <row r="103" spans="1:8">
      <c r="A103" s="370" t="s">
        <v>194</v>
      </c>
      <c r="B103" s="371"/>
      <c r="C103" s="370" t="s">
        <v>195</v>
      </c>
      <c r="D103" s="371"/>
      <c r="E103" s="370" t="s">
        <v>196</v>
      </c>
      <c r="F103" s="371"/>
      <c r="G103" s="370" t="s">
        <v>197</v>
      </c>
      <c r="H103" s="371"/>
    </row>
    <row r="104" spans="1:8">
      <c r="A104" s="375" t="s">
        <v>198</v>
      </c>
      <c r="B104" s="377"/>
      <c r="C104" s="375" t="s">
        <v>199</v>
      </c>
      <c r="D104" s="377"/>
      <c r="E104" s="375" t="s">
        <v>200</v>
      </c>
      <c r="F104" s="377"/>
      <c r="G104" s="375" t="s">
        <v>201</v>
      </c>
      <c r="H104" s="377"/>
    </row>
    <row r="105" spans="1:8">
      <c r="A105" s="204">
        <v>1</v>
      </c>
      <c r="B105" s="204"/>
      <c r="C105" s="204">
        <v>0.8598</v>
      </c>
      <c r="D105" s="204"/>
      <c r="E105" s="204">
        <v>3.412</v>
      </c>
      <c r="F105" s="204"/>
      <c r="G105" s="204">
        <v>3.6</v>
      </c>
      <c r="H105" s="204"/>
    </row>
    <row r="106" spans="1:8">
      <c r="A106" s="204">
        <v>1.163</v>
      </c>
      <c r="B106" s="204"/>
      <c r="C106" s="204">
        <v>1</v>
      </c>
      <c r="D106" s="204"/>
      <c r="E106" s="204">
        <v>3.9683</v>
      </c>
      <c r="F106" s="204"/>
      <c r="G106" s="204">
        <v>4.1886</v>
      </c>
      <c r="H106" s="204"/>
    </row>
    <row r="107" spans="1:8">
      <c r="A107" s="204">
        <v>0.293</v>
      </c>
      <c r="B107" s="204"/>
      <c r="C107" s="204">
        <v>0.252</v>
      </c>
      <c r="D107" s="204"/>
      <c r="E107" s="204">
        <v>1</v>
      </c>
      <c r="F107" s="204"/>
      <c r="G107" s="204">
        <v>1.055</v>
      </c>
      <c r="H107" s="204"/>
    </row>
    <row r="108" spans="1:8">
      <c r="A108" s="204">
        <v>0.278</v>
      </c>
      <c r="B108" s="204"/>
      <c r="C108" s="204">
        <v>0.239</v>
      </c>
      <c r="D108" s="204"/>
      <c r="E108" s="204">
        <v>0.948</v>
      </c>
      <c r="F108" s="204"/>
      <c r="G108" s="204">
        <v>1</v>
      </c>
      <c r="H108" s="204"/>
    </row>
    <row r="109" spans="1:1">
      <c r="A109" s="168" t="s">
        <v>202</v>
      </c>
    </row>
    <row r="110" spans="1:1">
      <c r="A110" s="168" t="s">
        <v>106</v>
      </c>
    </row>
    <row r="112" ht="30" customHeight="1" spans="1:13">
      <c r="A112" s="1870" t="s">
        <v>203</v>
      </c>
      <c r="B112" s="1870" t="s">
        <v>93</v>
      </c>
      <c r="C112" s="1870" t="s">
        <v>204</v>
      </c>
      <c r="D112" s="1870" t="s">
        <v>205</v>
      </c>
      <c r="E112" s="1870" t="s">
        <v>206</v>
      </c>
      <c r="F112" s="1870" t="s">
        <v>207</v>
      </c>
      <c r="G112" s="1870" t="s">
        <v>208</v>
      </c>
      <c r="H112" s="1870" t="s">
        <v>101</v>
      </c>
      <c r="I112" s="1870" t="s">
        <v>209</v>
      </c>
      <c r="J112" s="1870" t="s">
        <v>208</v>
      </c>
      <c r="K112" s="1870" t="s">
        <v>210</v>
      </c>
      <c r="L112" s="1870" t="s">
        <v>211</v>
      </c>
      <c r="M112" s="1870" t="s">
        <v>212</v>
      </c>
    </row>
    <row r="113" spans="1:13">
      <c r="A113" s="289" t="s">
        <v>213</v>
      </c>
      <c r="B113" s="289"/>
      <c r="C113" s="289" t="s">
        <v>214</v>
      </c>
      <c r="D113" s="289"/>
      <c r="E113" s="289" t="s">
        <v>215</v>
      </c>
      <c r="F113" s="289" t="s">
        <v>216</v>
      </c>
      <c r="G113" s="289"/>
      <c r="H113" s="289" t="s">
        <v>217</v>
      </c>
      <c r="I113" s="289" t="s">
        <v>218</v>
      </c>
      <c r="J113" s="289"/>
      <c r="K113" s="289" t="s">
        <v>219</v>
      </c>
      <c r="L113" s="289" t="s">
        <v>220</v>
      </c>
      <c r="M113" s="289"/>
    </row>
    <row r="114" spans="1:13">
      <c r="A114" s="289"/>
      <c r="B114" s="289"/>
      <c r="C114" s="289" t="s">
        <v>221</v>
      </c>
      <c r="D114" s="289"/>
      <c r="E114" s="289" t="s">
        <v>222</v>
      </c>
      <c r="F114" s="289" t="s">
        <v>223</v>
      </c>
      <c r="G114" s="289"/>
      <c r="H114" s="289"/>
      <c r="I114" s="289" t="s">
        <v>224</v>
      </c>
      <c r="J114" s="289"/>
      <c r="K114" s="289" t="s">
        <v>225</v>
      </c>
      <c r="L114" s="289" t="s">
        <v>226</v>
      </c>
      <c r="M114" s="289"/>
    </row>
    <row r="115" spans="1:13">
      <c r="A115" s="289"/>
      <c r="B115" s="289"/>
      <c r="C115" s="289" t="s">
        <v>227</v>
      </c>
      <c r="D115" s="289"/>
      <c r="E115" s="289" t="s">
        <v>228</v>
      </c>
      <c r="F115" s="289"/>
      <c r="G115" s="289"/>
      <c r="H115" s="289"/>
      <c r="I115" s="289" t="s">
        <v>229</v>
      </c>
      <c r="J115" s="289"/>
      <c r="K115" s="289" t="s">
        <v>230</v>
      </c>
      <c r="L115" s="289" t="s">
        <v>231</v>
      </c>
      <c r="M115" s="289"/>
    </row>
    <row r="116" spans="1:13">
      <c r="A116" s="289"/>
      <c r="B116" s="289"/>
      <c r="C116" s="289"/>
      <c r="D116" s="289"/>
      <c r="E116" s="289"/>
      <c r="F116" s="289"/>
      <c r="G116" s="289"/>
      <c r="H116" s="289"/>
      <c r="I116" s="289"/>
      <c r="J116" s="289"/>
      <c r="K116" s="289" t="s">
        <v>232</v>
      </c>
      <c r="L116" s="289"/>
      <c r="M116" s="289"/>
    </row>
    <row r="117" spans="1:13">
      <c r="A117" s="289"/>
      <c r="B117" s="289"/>
      <c r="C117" s="289"/>
      <c r="D117" s="289"/>
      <c r="E117" s="289"/>
      <c r="F117" s="289"/>
      <c r="G117" s="289"/>
      <c r="H117" s="289"/>
      <c r="I117" s="289"/>
      <c r="J117" s="289"/>
      <c r="K117" s="289" t="s">
        <v>233</v>
      </c>
      <c r="L117" s="289"/>
      <c r="M117" s="289"/>
    </row>
    <row r="118" ht="25.8" spans="1:13">
      <c r="A118" s="1884" t="s">
        <v>234</v>
      </c>
      <c r="B118" s="1884"/>
      <c r="C118" s="1884"/>
      <c r="D118" s="1884"/>
      <c r="E118" s="1884"/>
      <c r="F118" s="1884"/>
      <c r="G118" s="1884"/>
      <c r="H118" s="1884"/>
      <c r="I118" s="1884"/>
      <c r="J118" s="1884"/>
      <c r="K118" s="289"/>
      <c r="L118" s="289"/>
      <c r="M118" s="289"/>
    </row>
    <row r="119" ht="18" customHeight="1" spans="1:13">
      <c r="A119" s="440" t="s">
        <v>235</v>
      </c>
      <c r="B119" s="440"/>
      <c r="C119" s="440"/>
      <c r="D119" s="440"/>
      <c r="E119" s="440"/>
      <c r="F119" s="289"/>
      <c r="G119" s="289"/>
      <c r="H119" s="289"/>
      <c r="I119" s="289"/>
      <c r="J119" s="289"/>
      <c r="K119" s="289"/>
      <c r="L119" s="289"/>
      <c r="M119" s="289"/>
    </row>
    <row r="120" spans="1:6">
      <c r="A120" s="289" t="s">
        <v>106</v>
      </c>
      <c r="B120" s="289"/>
      <c r="C120" s="289"/>
      <c r="D120" s="289"/>
      <c r="E120" s="289"/>
      <c r="F120" s="289"/>
    </row>
    <row r="121" spans="3:7">
      <c r="C121" s="289" t="s">
        <v>236</v>
      </c>
      <c r="D121" s="289"/>
      <c r="E121" s="289" t="s">
        <v>237</v>
      </c>
      <c r="F121" s="289"/>
      <c r="G121" s="289" t="s">
        <v>238</v>
      </c>
    </row>
    <row r="122" spans="3:7">
      <c r="C122" s="289" t="s">
        <v>239</v>
      </c>
      <c r="E122" s="630" t="s">
        <v>240</v>
      </c>
      <c r="G122" s="630" t="s">
        <v>241</v>
      </c>
    </row>
    <row r="123" ht="22.2" spans="3:7">
      <c r="C123" s="1880">
        <f>E123-G123</f>
        <v>0</v>
      </c>
      <c r="D123" s="1870" t="s">
        <v>93</v>
      </c>
      <c r="E123" s="1880">
        <v>0</v>
      </c>
      <c r="F123" s="1870" t="s">
        <v>242</v>
      </c>
      <c r="G123" s="1880">
        <v>0</v>
      </c>
    </row>
    <row r="124" spans="1:6">
      <c r="A124" s="1877" t="s">
        <v>243</v>
      </c>
      <c r="B124" s="1877"/>
      <c r="C124" s="1877"/>
      <c r="D124" s="1877"/>
      <c r="E124" s="1877"/>
      <c r="F124" s="1877"/>
    </row>
    <row r="125" ht="20.25" customHeight="1" spans="2:9">
      <c r="B125" s="289"/>
      <c r="C125" s="289" t="s">
        <v>244</v>
      </c>
      <c r="D125" s="289"/>
      <c r="E125" s="289" t="s">
        <v>237</v>
      </c>
      <c r="F125" s="289"/>
      <c r="G125" s="289" t="s">
        <v>238</v>
      </c>
      <c r="H125" s="289"/>
      <c r="I125" s="289"/>
    </row>
    <row r="126" ht="20.25" customHeight="1" spans="2:9">
      <c r="B126" s="289"/>
      <c r="C126" s="630" t="s">
        <v>245</v>
      </c>
      <c r="D126" s="630"/>
      <c r="E126" s="630" t="s">
        <v>240</v>
      </c>
      <c r="F126" s="630" t="s">
        <v>242</v>
      </c>
      <c r="G126" s="630" t="s">
        <v>241</v>
      </c>
      <c r="H126" s="289"/>
      <c r="I126" s="289"/>
    </row>
    <row r="127" ht="20.4" spans="2:9">
      <c r="B127" s="289"/>
      <c r="C127" s="1856"/>
      <c r="D127" s="1856"/>
      <c r="E127" s="1857">
        <v>0</v>
      </c>
      <c r="F127" s="1856"/>
      <c r="G127" s="1857">
        <v>0</v>
      </c>
      <c r="H127" s="1879">
        <f>E127-G127</f>
        <v>0</v>
      </c>
      <c r="I127" s="1856"/>
    </row>
    <row r="128" ht="20.4" spans="2:9">
      <c r="B128" s="289"/>
      <c r="C128" s="1857">
        <f>H129*I128</f>
        <v>0</v>
      </c>
      <c r="D128" s="1856" t="s">
        <v>93</v>
      </c>
      <c r="E128" s="1881" t="e">
        <f>F128*H128</f>
        <v>#VALUE!</v>
      </c>
      <c r="F128" s="1885"/>
      <c r="G128" s="1885"/>
      <c r="H128" s="1856" t="s">
        <v>108</v>
      </c>
      <c r="I128" s="1885">
        <v>100</v>
      </c>
    </row>
    <row r="129" ht="20.4" spans="2:9">
      <c r="B129" s="289"/>
      <c r="C129" s="1856"/>
      <c r="D129" s="1856"/>
      <c r="E129" s="1881"/>
      <c r="F129" s="1857">
        <v>750</v>
      </c>
      <c r="G129" s="1885"/>
      <c r="H129" s="1881">
        <f>H127/F129</f>
        <v>0</v>
      </c>
      <c r="I129" s="1856"/>
    </row>
    <row r="130" ht="20.4" spans="2:9">
      <c r="B130" s="289"/>
      <c r="C130" s="1856"/>
      <c r="D130" s="1856"/>
      <c r="E130" s="1856"/>
      <c r="F130" s="630" t="s">
        <v>246</v>
      </c>
      <c r="G130" s="1856"/>
      <c r="H130" s="1856"/>
      <c r="I130" s="1856"/>
    </row>
    <row r="131" ht="22.2" spans="2:9">
      <c r="B131" s="289"/>
      <c r="C131" s="289"/>
      <c r="D131" s="289"/>
      <c r="E131" s="1881"/>
      <c r="F131" s="289" t="s">
        <v>247</v>
      </c>
      <c r="G131" s="1870"/>
      <c r="H131" s="289"/>
      <c r="I131" s="289"/>
    </row>
    <row r="132" ht="18.75" customHeight="1" spans="1:9">
      <c r="A132" s="1886" t="s">
        <v>248</v>
      </c>
      <c r="B132" s="1886"/>
      <c r="C132" s="1886"/>
      <c r="D132" s="1886"/>
      <c r="E132" s="1886"/>
      <c r="F132" s="1886"/>
      <c r="G132" s="1886"/>
      <c r="H132" s="289"/>
      <c r="I132" s="289"/>
    </row>
    <row r="133" ht="18.75" customHeight="1" spans="2:9">
      <c r="B133" s="289"/>
      <c r="C133" s="630" t="s">
        <v>240</v>
      </c>
      <c r="D133" s="289" t="s">
        <v>249</v>
      </c>
      <c r="E133" s="289"/>
      <c r="F133" s="1859"/>
      <c r="G133" s="1883" t="s">
        <v>241</v>
      </c>
      <c r="H133" s="289"/>
      <c r="I133" s="289"/>
    </row>
    <row r="134" ht="22.2" spans="3:3">
      <c r="C134" s="1887" t="s">
        <v>250</v>
      </c>
    </row>
    <row r="135" spans="1:1">
      <c r="A135" s="168" t="s">
        <v>106</v>
      </c>
    </row>
    <row r="138" spans="6:7">
      <c r="F138" s="1888" t="s">
        <v>251</v>
      </c>
      <c r="G138" s="1888"/>
    </row>
    <row r="139" spans="3:7">
      <c r="C139" s="289" t="s">
        <v>252</v>
      </c>
      <c r="D139" s="289"/>
      <c r="E139" s="289"/>
      <c r="F139" s="289"/>
      <c r="G139" s="289"/>
    </row>
    <row r="140" spans="3:7">
      <c r="C140" s="289"/>
      <c r="D140" s="289"/>
      <c r="E140" s="289"/>
      <c r="F140" s="289"/>
      <c r="G140" s="289"/>
    </row>
    <row r="141" ht="13.5" customHeight="1" spans="6:6">
      <c r="F141" s="1889" t="s">
        <v>253</v>
      </c>
    </row>
    <row r="142" ht="13.5" customHeight="1" spans="3:6">
      <c r="C142" s="630" t="s">
        <v>240</v>
      </c>
      <c r="F142" s="1889"/>
    </row>
    <row r="143" spans="6:6">
      <c r="F143" s="1889"/>
    </row>
    <row r="144" spans="2:6">
      <c r="B144" s="1890" t="s">
        <v>254</v>
      </c>
      <c r="C144" s="630" t="s">
        <v>241</v>
      </c>
      <c r="F144" s="1889"/>
    </row>
    <row r="145" spans="2:3">
      <c r="B145" s="1891" t="s">
        <v>255</v>
      </c>
      <c r="C145" s="1888" t="s">
        <v>256</v>
      </c>
    </row>
    <row r="146" spans="5:5">
      <c r="E146" s="1892" t="s">
        <v>257</v>
      </c>
    </row>
    <row r="147" spans="3:5">
      <c r="C147" s="1893" t="s">
        <v>258</v>
      </c>
      <c r="D147" s="1893"/>
      <c r="E147" s="1893"/>
    </row>
    <row r="148" spans="2:6">
      <c r="B148" s="289" t="s">
        <v>259</v>
      </c>
      <c r="C148" s="289"/>
      <c r="D148" s="289"/>
      <c r="E148" s="289"/>
      <c r="F148" s="289"/>
    </row>
    <row r="149" spans="1:11">
      <c r="A149" s="246" t="s">
        <v>260</v>
      </c>
      <c r="B149" s="246"/>
      <c r="C149" s="246"/>
      <c r="D149" s="246"/>
      <c r="E149" s="246"/>
      <c r="F149" s="246"/>
      <c r="G149" s="246"/>
      <c r="H149" s="246"/>
      <c r="I149" s="246"/>
      <c r="J149" s="246"/>
      <c r="K149" s="246"/>
    </row>
    <row r="150" spans="1:11">
      <c r="A150" s="246" t="s">
        <v>261</v>
      </c>
      <c r="B150" s="246"/>
      <c r="C150" s="246"/>
      <c r="D150" s="246"/>
      <c r="E150" s="246"/>
      <c r="F150" s="246"/>
      <c r="G150" s="246"/>
      <c r="H150" s="246"/>
      <c r="I150" s="246"/>
      <c r="J150" s="246"/>
      <c r="K150" s="246"/>
    </row>
    <row r="151" spans="1:11">
      <c r="A151" s="246"/>
      <c r="B151" s="246"/>
      <c r="C151" s="246"/>
      <c r="D151" s="246"/>
      <c r="E151" s="246"/>
      <c r="F151" s="246"/>
      <c r="G151" s="246"/>
      <c r="H151" s="246"/>
      <c r="I151" s="246"/>
      <c r="J151" s="246"/>
      <c r="K151" s="246"/>
    </row>
    <row r="152" spans="1:13">
      <c r="A152" s="289" t="s">
        <v>262</v>
      </c>
      <c r="B152" s="289"/>
      <c r="C152" s="289"/>
      <c r="D152" s="289"/>
      <c r="E152" s="289"/>
      <c r="F152" s="289"/>
      <c r="G152" s="289"/>
      <c r="H152" s="289"/>
      <c r="I152" s="289"/>
      <c r="J152" s="289"/>
      <c r="K152" s="289"/>
      <c r="L152" s="289"/>
      <c r="M152" s="289"/>
    </row>
    <row r="153" ht="22.2" spans="9:13">
      <c r="I153" s="1898" t="s">
        <v>263</v>
      </c>
      <c r="J153" s="1898"/>
      <c r="L153" s="1898" t="s">
        <v>263</v>
      </c>
      <c r="M153" s="1898"/>
    </row>
    <row r="154" ht="22.2" spans="2:11">
      <c r="B154" s="1856" t="s">
        <v>264</v>
      </c>
      <c r="C154" s="1870" t="s">
        <v>93</v>
      </c>
      <c r="D154" s="1856" t="s">
        <v>265</v>
      </c>
      <c r="E154" s="1865" t="s">
        <v>266</v>
      </c>
      <c r="F154" s="1856" t="s">
        <v>208</v>
      </c>
      <c r="G154" s="1894" t="s">
        <v>267</v>
      </c>
      <c r="H154" s="1895" t="s">
        <v>268</v>
      </c>
      <c r="K154" s="1856" t="s">
        <v>269</v>
      </c>
    </row>
    <row r="155" ht="22.5" customHeight="1" spans="9:13">
      <c r="I155" s="1895" t="s">
        <v>270</v>
      </c>
      <c r="J155" s="1895"/>
      <c r="L155" s="1895" t="s">
        <v>271</v>
      </c>
      <c r="M155" s="1895"/>
    </row>
    <row r="157" spans="1:13">
      <c r="A157" s="289" t="s">
        <v>272</v>
      </c>
      <c r="B157" s="289"/>
      <c r="C157" s="289"/>
      <c r="D157" s="289"/>
      <c r="E157" s="289"/>
      <c r="F157" s="289"/>
      <c r="G157" s="289"/>
      <c r="H157" s="289"/>
      <c r="I157" s="289"/>
      <c r="J157" s="289"/>
      <c r="K157" s="289"/>
      <c r="L157" s="289"/>
      <c r="M157" s="289"/>
    </row>
    <row r="160" ht="22.2" spans="9:13">
      <c r="I160" s="1898" t="s">
        <v>263</v>
      </c>
      <c r="J160" s="1898"/>
      <c r="L160" s="1898" t="s">
        <v>263</v>
      </c>
      <c r="M160" s="1898"/>
    </row>
    <row r="161" ht="22.2" spans="2:11">
      <c r="B161" s="1856" t="s">
        <v>273</v>
      </c>
      <c r="C161" s="1870" t="s">
        <v>93</v>
      </c>
      <c r="D161" s="630" t="s">
        <v>274</v>
      </c>
      <c r="E161" s="1865" t="s">
        <v>266</v>
      </c>
      <c r="F161" s="1856" t="s">
        <v>208</v>
      </c>
      <c r="G161" s="1894" t="s">
        <v>275</v>
      </c>
      <c r="H161" s="1895" t="s">
        <v>268</v>
      </c>
      <c r="K161" s="1856" t="s">
        <v>269</v>
      </c>
    </row>
    <row r="162" ht="24" spans="1:13">
      <c r="A162" s="168" t="s">
        <v>106</v>
      </c>
      <c r="I162" s="1856" t="s">
        <v>276</v>
      </c>
      <c r="J162" s="1856"/>
      <c r="L162" s="1856" t="s">
        <v>277</v>
      </c>
      <c r="M162" s="1856"/>
    </row>
    <row r="163" spans="1:14">
      <c r="A163" s="246" t="s">
        <v>278</v>
      </c>
      <c r="B163" s="246"/>
      <c r="C163" s="246"/>
      <c r="D163" s="246"/>
      <c r="E163" s="246"/>
      <c r="F163" s="246"/>
      <c r="G163" s="246"/>
      <c r="H163" s="246"/>
      <c r="I163" s="246"/>
      <c r="J163" s="246"/>
      <c r="K163" s="246"/>
      <c r="L163" s="246"/>
      <c r="M163" s="246"/>
      <c r="N163" s="246"/>
    </row>
    <row r="164" spans="1:14">
      <c r="A164" s="246" t="s">
        <v>279</v>
      </c>
      <c r="B164" s="246"/>
      <c r="C164" s="246"/>
      <c r="D164" s="246"/>
      <c r="E164" s="246"/>
      <c r="F164" s="246"/>
      <c r="G164" s="246"/>
      <c r="H164" s="246"/>
      <c r="I164" s="246"/>
      <c r="J164" s="246"/>
      <c r="K164" s="246"/>
      <c r="L164" s="246"/>
      <c r="M164" s="246"/>
      <c r="N164" s="246"/>
    </row>
    <row r="165" spans="1:14">
      <c r="A165" s="246" t="s">
        <v>280</v>
      </c>
      <c r="B165" s="246"/>
      <c r="C165" s="246"/>
      <c r="D165" s="246"/>
      <c r="E165" s="246"/>
      <c r="F165" s="246"/>
      <c r="G165" s="246"/>
      <c r="H165" s="246"/>
      <c r="I165" s="246"/>
      <c r="J165" s="246"/>
      <c r="K165" s="246"/>
      <c r="L165" s="246"/>
      <c r="M165" s="246"/>
      <c r="N165" s="246"/>
    </row>
    <row r="166" spans="1:14">
      <c r="A166" s="246" t="s">
        <v>281</v>
      </c>
      <c r="B166" s="246"/>
      <c r="C166" s="246"/>
      <c r="D166" s="246"/>
      <c r="E166" s="246"/>
      <c r="F166" s="246"/>
      <c r="G166" s="246"/>
      <c r="H166" s="246"/>
      <c r="I166" s="246"/>
      <c r="J166" s="246"/>
      <c r="K166" s="246"/>
      <c r="L166" s="246"/>
      <c r="M166" s="246"/>
      <c r="N166" s="246"/>
    </row>
    <row r="167" spans="1:14">
      <c r="A167" s="246" t="s">
        <v>282</v>
      </c>
      <c r="B167" s="246"/>
      <c r="C167" s="246"/>
      <c r="D167" s="246"/>
      <c r="E167" s="246"/>
      <c r="F167" s="246"/>
      <c r="G167" s="246"/>
      <c r="H167" s="246"/>
      <c r="I167" s="246"/>
      <c r="J167" s="246"/>
      <c r="K167" s="246"/>
      <c r="L167" s="246"/>
      <c r="M167" s="246"/>
      <c r="N167" s="246"/>
    </row>
    <row r="168" spans="8:9">
      <c r="H168" s="1896">
        <v>3</v>
      </c>
      <c r="I168" s="1865" t="s">
        <v>283</v>
      </c>
    </row>
    <row r="169" spans="1:13">
      <c r="A169" s="246" t="s">
        <v>284</v>
      </c>
      <c r="B169" s="246"/>
      <c r="C169" s="246"/>
      <c r="D169" s="246"/>
      <c r="E169" s="246"/>
      <c r="F169" s="246"/>
      <c r="G169" s="246"/>
      <c r="H169" s="246"/>
      <c r="I169" s="246"/>
      <c r="J169" s="246"/>
      <c r="K169" s="246"/>
      <c r="L169" s="246"/>
      <c r="M169" s="246"/>
    </row>
    <row r="170" spans="1:1">
      <c r="A170" s="168" t="s">
        <v>285</v>
      </c>
    </row>
    <row r="172" ht="20.4" spans="2:5">
      <c r="B172" s="1860"/>
      <c r="C172" s="1860"/>
      <c r="D172" s="1856" t="s">
        <v>286</v>
      </c>
      <c r="E172" s="1856"/>
    </row>
    <row r="173" ht="20.4" spans="2:8">
      <c r="B173" s="1856" t="s">
        <v>245</v>
      </c>
      <c r="C173" s="1856" t="s">
        <v>93</v>
      </c>
      <c r="D173" s="1860"/>
      <c r="E173" s="1860"/>
      <c r="F173" s="1897" t="s">
        <v>287</v>
      </c>
      <c r="G173" s="1897"/>
      <c r="H173" s="1860"/>
    </row>
    <row r="174" ht="22.8" spans="2:5">
      <c r="B174" s="1860"/>
      <c r="C174" s="1860"/>
      <c r="D174" s="1860" t="s">
        <v>288</v>
      </c>
      <c r="E174" s="1869" t="s">
        <v>289</v>
      </c>
    </row>
  </sheetData>
  <sheetProtection formatCells="0" formatColumns="0" formatRows="0" insertRows="0" insertColumns="0" insertHyperlinks="0" deleteColumns="0" deleteRows="0" sort="0" autoFilter="0" pivotTables="0"/>
  <mergeCells count="89">
    <mergeCell ref="A1:J1"/>
    <mergeCell ref="A4:B4"/>
    <mergeCell ref="A9:B9"/>
    <mergeCell ref="A16:B16"/>
    <mergeCell ref="A23:B23"/>
    <mergeCell ref="B32:C32"/>
    <mergeCell ref="D32:F32"/>
    <mergeCell ref="G32:I32"/>
    <mergeCell ref="D33:F33"/>
    <mergeCell ref="A37:C37"/>
    <mergeCell ref="B38:D38"/>
    <mergeCell ref="F39:H39"/>
    <mergeCell ref="A43:J43"/>
    <mergeCell ref="D48:F48"/>
    <mergeCell ref="G48:H48"/>
    <mergeCell ref="D49:F49"/>
    <mergeCell ref="G49:H49"/>
    <mergeCell ref="D50:G50"/>
    <mergeCell ref="F56:G56"/>
    <mergeCell ref="A57:B57"/>
    <mergeCell ref="E60:F60"/>
    <mergeCell ref="G60:H60"/>
    <mergeCell ref="E61:F61"/>
    <mergeCell ref="A62:J62"/>
    <mergeCell ref="C71:E71"/>
    <mergeCell ref="H72:I72"/>
    <mergeCell ref="H73:I73"/>
    <mergeCell ref="C79:E79"/>
    <mergeCell ref="D80:E80"/>
    <mergeCell ref="D81:E81"/>
    <mergeCell ref="A86:J86"/>
    <mergeCell ref="D93:E93"/>
    <mergeCell ref="G93:H93"/>
    <mergeCell ref="A98:J98"/>
    <mergeCell ref="A102:J102"/>
    <mergeCell ref="A103:B103"/>
    <mergeCell ref="C103:D103"/>
    <mergeCell ref="E103:F103"/>
    <mergeCell ref="G103:H103"/>
    <mergeCell ref="A104:B104"/>
    <mergeCell ref="C104:D104"/>
    <mergeCell ref="E104:F104"/>
    <mergeCell ref="G104:H104"/>
    <mergeCell ref="A105:B105"/>
    <mergeCell ref="C105:D105"/>
    <mergeCell ref="E105:F105"/>
    <mergeCell ref="G105:H105"/>
    <mergeCell ref="A106:B106"/>
    <mergeCell ref="C106:D106"/>
    <mergeCell ref="E106:F106"/>
    <mergeCell ref="G106:H106"/>
    <mergeCell ref="A107:B107"/>
    <mergeCell ref="C107:D107"/>
    <mergeCell ref="E107:F107"/>
    <mergeCell ref="G107:H107"/>
    <mergeCell ref="A108:B108"/>
    <mergeCell ref="C108:D108"/>
    <mergeCell ref="E108:F108"/>
    <mergeCell ref="G108:H108"/>
    <mergeCell ref="A113:B113"/>
    <mergeCell ref="A118:J118"/>
    <mergeCell ref="A119:E119"/>
    <mergeCell ref="A132:G132"/>
    <mergeCell ref="D133:E133"/>
    <mergeCell ref="F138:G138"/>
    <mergeCell ref="C139:G139"/>
    <mergeCell ref="C147:E147"/>
    <mergeCell ref="B148:F148"/>
    <mergeCell ref="A149:K149"/>
    <mergeCell ref="A150:K150"/>
    <mergeCell ref="A152:M152"/>
    <mergeCell ref="I153:J153"/>
    <mergeCell ref="L153:M153"/>
    <mergeCell ref="I155:J155"/>
    <mergeCell ref="L155:M155"/>
    <mergeCell ref="A157:M157"/>
    <mergeCell ref="I160:J160"/>
    <mergeCell ref="L160:M160"/>
    <mergeCell ref="I162:J162"/>
    <mergeCell ref="L162:M162"/>
    <mergeCell ref="A163:N163"/>
    <mergeCell ref="A164:N164"/>
    <mergeCell ref="A165:N165"/>
    <mergeCell ref="A166:N166"/>
    <mergeCell ref="A167:N167"/>
    <mergeCell ref="A169:M169"/>
    <mergeCell ref="D172:E172"/>
    <mergeCell ref="F141:F144"/>
    <mergeCell ref="A89:B90"/>
  </mergeCells>
  <hyperlinks>
    <hyperlink ref="K1" location="目录!A1" display="目录!A1"/>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1"/>
  <sheetViews>
    <sheetView zoomScale="90" zoomScaleNormal="90" topLeftCell="A4" workbookViewId="0">
      <selection activeCell="V8" sqref="V8"/>
    </sheetView>
  </sheetViews>
  <sheetFormatPr defaultColWidth="9" defaultRowHeight="15.6"/>
  <cols>
    <col min="1" max="1" width="15.625" style="1818" customWidth="1"/>
    <col min="2" max="2" width="11.625" customWidth="1"/>
    <col min="4" max="4" width="9.875" customWidth="1"/>
  </cols>
  <sheetData>
    <row r="1" ht="14.25" customHeight="1" spans="1:10">
      <c r="A1" s="1819" t="s">
        <v>290</v>
      </c>
      <c r="B1" s="1819"/>
      <c r="C1" s="1819"/>
      <c r="D1" s="1819"/>
      <c r="E1" s="1819"/>
      <c r="F1" s="1819"/>
      <c r="G1" s="1819"/>
      <c r="H1" s="1819"/>
      <c r="I1" s="1819"/>
      <c r="J1" s="213" t="s">
        <v>88</v>
      </c>
    </row>
    <row r="2" ht="16.35" spans="1:10">
      <c r="A2" s="1820"/>
      <c r="B2" s="1820"/>
      <c r="C2" s="1820"/>
      <c r="D2" s="1820"/>
      <c r="E2" s="1820"/>
      <c r="F2" s="1820"/>
      <c r="G2" s="1820"/>
      <c r="H2" s="1820"/>
      <c r="I2" s="1820"/>
      <c r="J2" s="1845"/>
    </row>
    <row r="3" ht="19.5" customHeight="1" spans="1:11">
      <c r="A3" s="1821" t="s">
        <v>291</v>
      </c>
      <c r="B3" s="1822" t="s">
        <v>292</v>
      </c>
      <c r="C3" s="1822"/>
      <c r="D3" s="1822"/>
      <c r="E3" s="1823"/>
      <c r="F3" s="1824"/>
      <c r="G3" s="1825" t="s">
        <v>293</v>
      </c>
      <c r="H3" s="1823" t="s">
        <v>294</v>
      </c>
      <c r="I3" s="1823"/>
      <c r="J3" s="1846"/>
      <c r="K3" s="1847"/>
    </row>
    <row r="4" ht="17.4" spans="1:11">
      <c r="A4" s="1826" t="s">
        <v>295</v>
      </c>
      <c r="B4" s="1827" t="s">
        <v>296</v>
      </c>
      <c r="C4" s="1827"/>
      <c r="D4" s="1827"/>
      <c r="E4" s="1827"/>
      <c r="F4" s="1828"/>
      <c r="G4" s="1829" t="s">
        <v>297</v>
      </c>
      <c r="H4" s="1830" t="s">
        <v>298</v>
      </c>
      <c r="I4" s="1830"/>
      <c r="J4" s="1848"/>
      <c r="K4" s="1847"/>
    </row>
    <row r="5" ht="17.4" spans="1:11">
      <c r="A5" s="1826" t="s">
        <v>299</v>
      </c>
      <c r="B5" s="1830" t="s">
        <v>300</v>
      </c>
      <c r="C5" s="1830"/>
      <c r="D5" s="1830"/>
      <c r="E5" s="1830"/>
      <c r="F5" s="1828"/>
      <c r="G5" s="1829" t="s">
        <v>301</v>
      </c>
      <c r="H5" s="1830" t="s">
        <v>302</v>
      </c>
      <c r="I5" s="1830"/>
      <c r="J5" s="1848"/>
      <c r="K5" s="1849"/>
    </row>
    <row r="6" ht="17.4" spans="1:11">
      <c r="A6" s="1826" t="s">
        <v>303</v>
      </c>
      <c r="B6" s="1830" t="s">
        <v>304</v>
      </c>
      <c r="C6" s="1830"/>
      <c r="D6" s="1830"/>
      <c r="E6" s="1830"/>
      <c r="F6" s="1828"/>
      <c r="G6" s="1829" t="s">
        <v>305</v>
      </c>
      <c r="H6" s="1830" t="s">
        <v>306</v>
      </c>
      <c r="I6" s="1830"/>
      <c r="J6" s="1848"/>
      <c r="K6" s="1849"/>
    </row>
    <row r="7" spans="1:11">
      <c r="A7" s="1831" t="s">
        <v>307</v>
      </c>
      <c r="B7" s="1828" t="s">
        <v>308</v>
      </c>
      <c r="C7" s="1828"/>
      <c r="D7" s="1828"/>
      <c r="E7" s="1828"/>
      <c r="F7" s="1828"/>
      <c r="G7" s="1829"/>
      <c r="H7" s="1830"/>
      <c r="I7" s="1830"/>
      <c r="J7" s="1848"/>
      <c r="K7" s="1847"/>
    </row>
    <row r="8" spans="1:11">
      <c r="A8" s="1831" t="s">
        <v>309</v>
      </c>
      <c r="B8" s="1828" t="s">
        <v>310</v>
      </c>
      <c r="C8" s="1828"/>
      <c r="D8" s="1828"/>
      <c r="E8" s="1828"/>
      <c r="F8" s="1828"/>
      <c r="G8" s="1829" t="s">
        <v>311</v>
      </c>
      <c r="H8" s="1830">
        <v>3.14159</v>
      </c>
      <c r="I8" s="1830"/>
      <c r="J8" s="1848"/>
      <c r="K8" s="1847"/>
    </row>
    <row r="9" ht="16.35" spans="1:11">
      <c r="A9" s="1832" t="s">
        <v>312</v>
      </c>
      <c r="B9" s="1833" t="s">
        <v>313</v>
      </c>
      <c r="C9" s="1833"/>
      <c r="D9" s="1833"/>
      <c r="E9" s="1833"/>
      <c r="F9" s="1833"/>
      <c r="G9" s="1834" t="s">
        <v>314</v>
      </c>
      <c r="H9" s="1835" t="s">
        <v>315</v>
      </c>
      <c r="I9" s="1835"/>
      <c r="J9" s="1850"/>
      <c r="K9" s="1847"/>
    </row>
    <row r="10" ht="16.35" spans="1:1">
      <c r="A10" s="1818" t="s">
        <v>106</v>
      </c>
    </row>
    <row r="11" spans="1:10">
      <c r="A11" s="1836" t="s">
        <v>316</v>
      </c>
      <c r="B11" s="1837"/>
      <c r="C11" s="1837"/>
      <c r="D11" s="1837"/>
      <c r="E11" s="1837"/>
      <c r="F11" s="1837"/>
      <c r="G11" s="1837"/>
      <c r="H11" s="1837"/>
      <c r="I11" s="1837"/>
      <c r="J11" s="1851"/>
    </row>
    <row r="12" spans="1:10">
      <c r="A12" s="1838"/>
      <c r="B12" s="21"/>
      <c r="C12" s="21"/>
      <c r="D12" s="21"/>
      <c r="E12" s="21"/>
      <c r="F12" s="21"/>
      <c r="G12" s="21"/>
      <c r="H12" s="21"/>
      <c r="I12" s="21"/>
      <c r="J12" s="1729"/>
    </row>
    <row r="13" spans="1:10">
      <c r="A13" s="1838"/>
      <c r="B13" s="21"/>
      <c r="C13" s="21"/>
      <c r="D13" s="21"/>
      <c r="E13" s="21" t="s">
        <v>317</v>
      </c>
      <c r="F13" s="21"/>
      <c r="G13" s="21"/>
      <c r="H13" s="21"/>
      <c r="I13" s="21"/>
      <c r="J13" s="1729"/>
    </row>
    <row r="14" spans="1:10">
      <c r="A14" s="1838" t="s">
        <v>318</v>
      </c>
      <c r="B14" s="1839">
        <v>50</v>
      </c>
      <c r="C14" s="1840" t="s">
        <v>319</v>
      </c>
      <c r="D14" s="1804">
        <f>B14/1000</f>
        <v>0.05</v>
      </c>
      <c r="E14" s="21" t="s">
        <v>320</v>
      </c>
      <c r="F14" s="21"/>
      <c r="G14" s="21"/>
      <c r="H14" s="21"/>
      <c r="I14" s="21"/>
      <c r="J14" s="1729"/>
    </row>
    <row r="15" spans="1:10">
      <c r="A15" s="1838" t="s">
        <v>321</v>
      </c>
      <c r="B15" s="1839">
        <v>10</v>
      </c>
      <c r="C15" s="1840" t="s">
        <v>319</v>
      </c>
      <c r="D15" s="1804">
        <f>B15/1000</f>
        <v>0.01</v>
      </c>
      <c r="E15" s="21" t="s">
        <v>320</v>
      </c>
      <c r="F15" s="21"/>
      <c r="G15" s="21"/>
      <c r="H15" s="21"/>
      <c r="I15" s="21"/>
      <c r="J15" s="1729"/>
    </row>
    <row r="16" spans="1:10">
      <c r="A16" s="1838" t="s">
        <v>322</v>
      </c>
      <c r="B16" s="1839">
        <v>10</v>
      </c>
      <c r="C16" s="1840" t="s">
        <v>319</v>
      </c>
      <c r="D16" s="1804">
        <f>B16/1000</f>
        <v>0.01</v>
      </c>
      <c r="E16" s="21" t="s">
        <v>320</v>
      </c>
      <c r="F16" s="21"/>
      <c r="G16" s="21"/>
      <c r="H16" s="21"/>
      <c r="I16" s="21"/>
      <c r="J16" s="1729"/>
    </row>
    <row r="17" spans="1:10">
      <c r="A17" s="1838"/>
      <c r="B17" s="21"/>
      <c r="C17" s="21"/>
      <c r="D17" s="21"/>
      <c r="E17" s="21"/>
      <c r="F17" s="21"/>
      <c r="G17" s="21"/>
      <c r="H17" s="21"/>
      <c r="I17" s="21"/>
      <c r="J17" s="1729"/>
    </row>
    <row r="18" spans="1:10">
      <c r="A18" s="1838" t="s">
        <v>323</v>
      </c>
      <c r="B18" s="1839">
        <v>7800</v>
      </c>
      <c r="C18" s="1840" t="s">
        <v>319</v>
      </c>
      <c r="D18" s="21"/>
      <c r="E18" s="21"/>
      <c r="F18" s="21"/>
      <c r="G18" s="21"/>
      <c r="H18" s="21"/>
      <c r="I18" s="21"/>
      <c r="J18" s="1729"/>
    </row>
    <row r="19" spans="1:10">
      <c r="A19" s="1838" t="s">
        <v>106</v>
      </c>
      <c r="B19" s="21"/>
      <c r="C19" s="21"/>
      <c r="D19" s="21"/>
      <c r="E19" s="21"/>
      <c r="F19" s="21"/>
      <c r="G19" s="21"/>
      <c r="H19" s="21"/>
      <c r="I19" s="21"/>
      <c r="J19" s="1729"/>
    </row>
    <row r="20" ht="24" spans="1:10">
      <c r="A20" s="1841" t="s">
        <v>324</v>
      </c>
      <c r="B20" s="1839">
        <v>2</v>
      </c>
      <c r="C20" s="1840" t="s">
        <v>319</v>
      </c>
      <c r="D20" s="1804">
        <f>B20/1000</f>
        <v>0.002</v>
      </c>
      <c r="E20" s="21" t="s">
        <v>320</v>
      </c>
      <c r="F20" s="21"/>
      <c r="G20" s="21"/>
      <c r="H20" s="21"/>
      <c r="I20" s="21"/>
      <c r="J20" s="1729"/>
    </row>
    <row r="21" spans="1:10">
      <c r="A21" s="1838"/>
      <c r="B21" s="21"/>
      <c r="C21" s="21"/>
      <c r="D21" s="21"/>
      <c r="E21" s="21"/>
      <c r="F21" s="21"/>
      <c r="G21" s="21"/>
      <c r="H21" s="21"/>
      <c r="I21" s="21"/>
      <c r="J21" s="1729"/>
    </row>
    <row r="22" spans="1:10">
      <c r="A22" s="1838" t="s">
        <v>325</v>
      </c>
      <c r="B22" s="21"/>
      <c r="C22" s="21"/>
      <c r="D22" s="21"/>
      <c r="E22" s="21"/>
      <c r="F22" s="21"/>
      <c r="G22" s="21"/>
      <c r="H22" s="21"/>
      <c r="I22" s="21"/>
      <c r="J22" s="1729"/>
    </row>
    <row r="23" spans="1:10">
      <c r="A23" s="1838" t="s">
        <v>326</v>
      </c>
      <c r="B23" s="1842">
        <f>H8*((D14/2)^2-(D15/2)^2)*D16*B18</f>
        <v>0.147026412</v>
      </c>
      <c r="C23" s="21"/>
      <c r="D23" s="21"/>
      <c r="E23" s="21"/>
      <c r="F23" s="21"/>
      <c r="G23" s="21"/>
      <c r="H23" s="21"/>
      <c r="I23" s="21"/>
      <c r="J23" s="1729"/>
    </row>
    <row r="24" ht="18.15" spans="1:10">
      <c r="A24" s="1843" t="s">
        <v>327</v>
      </c>
      <c r="B24" s="1844">
        <f>((H8/32)*B18*D16*(D14^4-D15^4)+B23*D20^2)*10000</f>
        <v>0.48371689548</v>
      </c>
      <c r="C24" s="1718"/>
      <c r="D24" s="1844">
        <f>B24/10000</f>
        <v>4.8371689548e-5</v>
      </c>
      <c r="E24" s="1718" t="s">
        <v>328</v>
      </c>
      <c r="F24" s="1718"/>
      <c r="G24" s="1718"/>
      <c r="H24" s="1718"/>
      <c r="I24" s="1718"/>
      <c r="J24" s="1730"/>
    </row>
    <row r="25" ht="16.35"/>
    <row r="26" spans="1:10">
      <c r="A26" s="1836" t="s">
        <v>329</v>
      </c>
      <c r="B26" s="1837"/>
      <c r="C26" s="1837"/>
      <c r="D26" s="1837"/>
      <c r="E26" s="1837"/>
      <c r="F26" s="1837"/>
      <c r="G26" s="1837"/>
      <c r="H26" s="1837"/>
      <c r="I26" s="1837"/>
      <c r="J26" s="1851"/>
    </row>
    <row r="27" spans="1:10">
      <c r="A27" s="1838"/>
      <c r="B27" s="21"/>
      <c r="C27" s="21"/>
      <c r="D27" s="21"/>
      <c r="E27" s="21"/>
      <c r="F27" s="21"/>
      <c r="G27" s="21"/>
      <c r="H27" s="21"/>
      <c r="I27" s="21"/>
      <c r="J27" s="1729"/>
    </row>
    <row r="28" spans="1:10">
      <c r="A28" s="1838"/>
      <c r="B28" s="21"/>
      <c r="C28" s="21"/>
      <c r="D28" s="21"/>
      <c r="E28" s="21" t="s">
        <v>317</v>
      </c>
      <c r="F28" s="21"/>
      <c r="G28" s="21"/>
      <c r="H28" s="21"/>
      <c r="I28" s="21"/>
      <c r="J28" s="1729"/>
    </row>
    <row r="29" spans="1:10">
      <c r="A29" s="1838" t="s">
        <v>330</v>
      </c>
      <c r="B29" s="1839">
        <v>200</v>
      </c>
      <c r="C29" s="1840" t="s">
        <v>319</v>
      </c>
      <c r="D29" s="21">
        <f>B29/1000</f>
        <v>0.2</v>
      </c>
      <c r="E29" s="21" t="s">
        <v>320</v>
      </c>
      <c r="F29" s="21"/>
      <c r="G29" s="21"/>
      <c r="H29" s="21"/>
      <c r="I29" s="21"/>
      <c r="J29" s="1729"/>
    </row>
    <row r="30" spans="1:10">
      <c r="A30" s="1838" t="s">
        <v>331</v>
      </c>
      <c r="B30" s="1839">
        <v>100</v>
      </c>
      <c r="C30" s="1840" t="s">
        <v>319</v>
      </c>
      <c r="D30" s="21">
        <f>B30/1000</f>
        <v>0.1</v>
      </c>
      <c r="E30" s="21" t="s">
        <v>320</v>
      </c>
      <c r="F30" s="21"/>
      <c r="G30" s="21"/>
      <c r="H30" s="21"/>
      <c r="I30" s="21"/>
      <c r="J30" s="1729"/>
    </row>
    <row r="31" spans="1:10">
      <c r="A31" s="1838" t="s">
        <v>332</v>
      </c>
      <c r="B31" s="1839">
        <v>400</v>
      </c>
      <c r="C31" s="1840" t="s">
        <v>319</v>
      </c>
      <c r="D31" s="21">
        <f>B31/1000</f>
        <v>0.4</v>
      </c>
      <c r="E31" s="21" t="s">
        <v>320</v>
      </c>
      <c r="F31" s="21"/>
      <c r="G31" s="21"/>
      <c r="H31" s="21"/>
      <c r="I31" s="21"/>
      <c r="J31" s="1729"/>
    </row>
    <row r="32" spans="1:10">
      <c r="A32" s="1838"/>
      <c r="B32" s="21"/>
      <c r="C32" s="21"/>
      <c r="D32" s="21"/>
      <c r="E32" s="21"/>
      <c r="F32" s="21"/>
      <c r="G32" s="21"/>
      <c r="H32" s="21"/>
      <c r="I32" s="21"/>
      <c r="J32" s="1729"/>
    </row>
    <row r="33" spans="1:10">
      <c r="A33" s="1838" t="s">
        <v>333</v>
      </c>
      <c r="B33" s="1839">
        <v>7800</v>
      </c>
      <c r="C33" s="21"/>
      <c r="D33" s="21"/>
      <c r="E33" s="21"/>
      <c r="F33" s="21"/>
      <c r="G33" s="21"/>
      <c r="H33" s="21"/>
      <c r="I33" s="21"/>
      <c r="J33" s="1729"/>
    </row>
    <row r="34" spans="1:10">
      <c r="A34" s="1838" t="s">
        <v>106</v>
      </c>
      <c r="B34" s="21"/>
      <c r="C34" s="21"/>
      <c r="D34" s="21"/>
      <c r="E34" s="21"/>
      <c r="F34" s="21"/>
      <c r="G34" s="21"/>
      <c r="H34" s="21"/>
      <c r="I34" s="21"/>
      <c r="J34" s="1729"/>
    </row>
    <row r="35" ht="24" spans="1:10">
      <c r="A35" s="1841" t="s">
        <v>324</v>
      </c>
      <c r="B35" s="1839">
        <v>100</v>
      </c>
      <c r="C35" s="1840" t="s">
        <v>319</v>
      </c>
      <c r="D35" s="21">
        <f>B35/1000</f>
        <v>0.1</v>
      </c>
      <c r="E35" s="21" t="s">
        <v>320</v>
      </c>
      <c r="F35" s="21"/>
      <c r="G35" s="21"/>
      <c r="H35" s="21"/>
      <c r="I35" s="21"/>
      <c r="J35" s="1729"/>
    </row>
    <row r="36" spans="1:10">
      <c r="A36" s="1838"/>
      <c r="B36" s="21"/>
      <c r="C36" s="21"/>
      <c r="D36" s="21"/>
      <c r="E36" s="21"/>
      <c r="F36" s="21"/>
      <c r="G36" s="21"/>
      <c r="H36" s="21"/>
      <c r="I36" s="21"/>
      <c r="J36" s="1729"/>
    </row>
    <row r="37" spans="1:10">
      <c r="A37" s="1838" t="s">
        <v>325</v>
      </c>
      <c r="B37" s="21"/>
      <c r="C37" s="21"/>
      <c r="D37" s="21"/>
      <c r="E37" s="21"/>
      <c r="F37" s="21"/>
      <c r="G37" s="21"/>
      <c r="H37" s="21"/>
      <c r="I37" s="21"/>
      <c r="J37" s="1729"/>
    </row>
    <row r="38" spans="1:10">
      <c r="A38" s="1838" t="s">
        <v>326</v>
      </c>
      <c r="B38" s="1842">
        <f>H8*((D29/2)^2-(D30/2)^2)*D31*B33</f>
        <v>73.513206</v>
      </c>
      <c r="C38" s="21"/>
      <c r="D38" s="1804"/>
      <c r="E38" s="21"/>
      <c r="F38" s="21"/>
      <c r="G38" s="21"/>
      <c r="H38" s="21"/>
      <c r="I38" s="21"/>
      <c r="J38" s="1729"/>
    </row>
    <row r="39" ht="18.15" spans="1:10">
      <c r="A39" s="1843" t="s">
        <v>327</v>
      </c>
      <c r="B39" s="1844">
        <f>((1/4)*B38*((D29^2+D30^2)/4+(D31^2/3))+(B38*D35^2))*10000</f>
        <v>19450.3690875</v>
      </c>
      <c r="C39" s="1718"/>
      <c r="D39" s="1844">
        <f>B39/10000</f>
        <v>1.94503690875</v>
      </c>
      <c r="E39" s="1718" t="s">
        <v>328</v>
      </c>
      <c r="F39" s="1718"/>
      <c r="G39" s="1718"/>
      <c r="H39" s="1718"/>
      <c r="I39" s="1718"/>
      <c r="J39" s="1730"/>
    </row>
    <row r="40" ht="16.35"/>
    <row r="41" spans="1:10">
      <c r="A41" s="1836" t="s">
        <v>334</v>
      </c>
      <c r="B41" s="1837"/>
      <c r="C41" s="1837"/>
      <c r="D41" s="1837"/>
      <c r="E41" s="1837"/>
      <c r="F41" s="1837"/>
      <c r="G41" s="1837"/>
      <c r="H41" s="1837"/>
      <c r="I41" s="1837"/>
      <c r="J41" s="1851"/>
    </row>
    <row r="42" spans="1:10">
      <c r="A42" s="1838"/>
      <c r="B42" s="21"/>
      <c r="C42" s="21"/>
      <c r="D42" s="21"/>
      <c r="E42" s="21"/>
      <c r="F42" s="21"/>
      <c r="G42" s="21"/>
      <c r="H42" s="21"/>
      <c r="I42" s="21"/>
      <c r="J42" s="1729"/>
    </row>
    <row r="43" spans="1:10">
      <c r="A43" s="1838"/>
      <c r="B43" s="21"/>
      <c r="C43" s="21"/>
      <c r="D43" s="21"/>
      <c r="E43" s="21" t="s">
        <v>317</v>
      </c>
      <c r="F43" s="21"/>
      <c r="G43" s="21"/>
      <c r="H43" s="21"/>
      <c r="I43" s="21"/>
      <c r="J43" s="1729"/>
    </row>
    <row r="44" spans="1:10">
      <c r="A44" s="1838" t="s">
        <v>335</v>
      </c>
      <c r="B44" s="1839">
        <v>50</v>
      </c>
      <c r="C44" s="1840" t="s">
        <v>319</v>
      </c>
      <c r="D44" s="21">
        <f>B44/1000</f>
        <v>0.05</v>
      </c>
      <c r="E44" s="21" t="s">
        <v>320</v>
      </c>
      <c r="F44" s="21"/>
      <c r="G44" s="21"/>
      <c r="H44" s="21"/>
      <c r="I44" s="21"/>
      <c r="J44" s="1729"/>
    </row>
    <row r="45" spans="1:10">
      <c r="A45" s="1838" t="s">
        <v>336</v>
      </c>
      <c r="B45" s="1839">
        <v>10</v>
      </c>
      <c r="C45" s="1840" t="s">
        <v>319</v>
      </c>
      <c r="D45" s="21">
        <f>B45/1000</f>
        <v>0.01</v>
      </c>
      <c r="E45" s="21" t="s">
        <v>320</v>
      </c>
      <c r="F45" s="21"/>
      <c r="G45" s="21"/>
      <c r="H45" s="21"/>
      <c r="I45" s="21"/>
      <c r="J45" s="1729"/>
    </row>
    <row r="46" spans="1:10">
      <c r="A46" s="1838" t="s">
        <v>337</v>
      </c>
      <c r="B46" s="1839">
        <v>1</v>
      </c>
      <c r="C46" s="1840" t="s">
        <v>319</v>
      </c>
      <c r="D46" s="21">
        <f>B46/1000</f>
        <v>0.001</v>
      </c>
      <c r="E46" s="21" t="s">
        <v>320</v>
      </c>
      <c r="F46" s="21"/>
      <c r="G46" s="21"/>
      <c r="H46" s="21"/>
      <c r="I46" s="21"/>
      <c r="J46" s="1729"/>
    </row>
    <row r="47" spans="1:10">
      <c r="A47" s="1838"/>
      <c r="B47" s="21"/>
      <c r="C47" s="21"/>
      <c r="D47" s="21"/>
      <c r="E47" s="21"/>
      <c r="F47" s="21"/>
      <c r="G47" s="21"/>
      <c r="H47" s="21"/>
      <c r="I47" s="21"/>
      <c r="J47" s="1729"/>
    </row>
    <row r="48" spans="1:10">
      <c r="A48" s="1838" t="s">
        <v>333</v>
      </c>
      <c r="B48" s="1839">
        <v>7800</v>
      </c>
      <c r="C48" s="21"/>
      <c r="D48" s="21"/>
      <c r="E48" s="21"/>
      <c r="F48" s="21"/>
      <c r="G48" s="21"/>
      <c r="H48" s="21"/>
      <c r="I48" s="21"/>
      <c r="J48" s="1729"/>
    </row>
    <row r="49" spans="1:10">
      <c r="A49" s="1838" t="s">
        <v>106</v>
      </c>
      <c r="B49" s="21"/>
      <c r="C49" s="21"/>
      <c r="D49" s="21"/>
      <c r="E49" s="21"/>
      <c r="F49" s="21"/>
      <c r="G49" s="21"/>
      <c r="H49" s="21"/>
      <c r="I49" s="21"/>
      <c r="J49" s="1729"/>
    </row>
    <row r="50" ht="24" spans="1:10">
      <c r="A50" s="1841" t="s">
        <v>338</v>
      </c>
      <c r="B50" s="1839">
        <v>1</v>
      </c>
      <c r="C50" s="1840" t="s">
        <v>319</v>
      </c>
      <c r="D50" s="21">
        <f>B50/1000</f>
        <v>0.001</v>
      </c>
      <c r="E50" s="21" t="s">
        <v>320</v>
      </c>
      <c r="F50" s="21"/>
      <c r="G50" s="21"/>
      <c r="H50" s="21"/>
      <c r="I50" s="21"/>
      <c r="J50" s="1729"/>
    </row>
    <row r="51" spans="1:10">
      <c r="A51" s="1838"/>
      <c r="B51" s="21"/>
      <c r="C51" s="21"/>
      <c r="D51" s="21"/>
      <c r="E51" s="21"/>
      <c r="F51" s="21"/>
      <c r="G51" s="21"/>
      <c r="H51" s="21"/>
      <c r="I51" s="21"/>
      <c r="J51" s="1729"/>
    </row>
    <row r="52" spans="1:10">
      <c r="A52" s="1838" t="s">
        <v>325</v>
      </c>
      <c r="B52" s="21"/>
      <c r="C52" s="21"/>
      <c r="D52" s="21"/>
      <c r="E52" s="21"/>
      <c r="F52" s="21"/>
      <c r="G52" s="21"/>
      <c r="H52" s="21"/>
      <c r="I52" s="21"/>
      <c r="J52" s="1729"/>
    </row>
    <row r="53" spans="1:10">
      <c r="A53" s="1838" t="s">
        <v>326</v>
      </c>
      <c r="B53" s="1842">
        <f>D44*D45*D46*B48</f>
        <v>0.0039</v>
      </c>
      <c r="C53" s="21"/>
      <c r="D53" s="21"/>
      <c r="E53" s="21"/>
      <c r="F53" s="21"/>
      <c r="G53" s="21"/>
      <c r="H53" s="21"/>
      <c r="I53" s="21"/>
      <c r="J53" s="1729"/>
    </row>
    <row r="54" ht="18.15" spans="1:10">
      <c r="A54" s="1843" t="s">
        <v>327</v>
      </c>
      <c r="B54" s="1844">
        <f>((1/12)*B53*(D44^2+D45^2)+B53*D50^2)*10000</f>
        <v>0.008489</v>
      </c>
      <c r="C54" s="1718"/>
      <c r="D54" s="1844">
        <f>B54/10000</f>
        <v>8.489e-7</v>
      </c>
      <c r="E54" s="1718" t="s">
        <v>328</v>
      </c>
      <c r="F54" s="1718"/>
      <c r="G54" s="1718"/>
      <c r="H54" s="1718"/>
      <c r="I54" s="1718"/>
      <c r="J54" s="1730"/>
    </row>
    <row r="55" ht="16.35"/>
    <row r="56" spans="1:10">
      <c r="A56" s="1836" t="s">
        <v>339</v>
      </c>
      <c r="B56" s="1837"/>
      <c r="C56" s="1837"/>
      <c r="D56" s="1837"/>
      <c r="E56" s="1837"/>
      <c r="F56" s="1837"/>
      <c r="G56" s="1837"/>
      <c r="H56" s="1837"/>
      <c r="I56" s="1837"/>
      <c r="J56" s="1851"/>
    </row>
    <row r="57" spans="1:10">
      <c r="A57" s="1838"/>
      <c r="B57" s="21"/>
      <c r="C57" s="21"/>
      <c r="D57" s="21"/>
      <c r="E57" s="21"/>
      <c r="F57" s="21"/>
      <c r="G57" s="21"/>
      <c r="H57" s="21"/>
      <c r="I57" s="21"/>
      <c r="J57" s="1729"/>
    </row>
    <row r="58" spans="1:10">
      <c r="A58" s="1838"/>
      <c r="B58" s="21"/>
      <c r="C58" s="21"/>
      <c r="D58" s="21"/>
      <c r="E58" s="21" t="s">
        <v>317</v>
      </c>
      <c r="F58" s="21"/>
      <c r="G58" s="21"/>
      <c r="H58" s="21"/>
      <c r="I58" s="21"/>
      <c r="J58" s="1729"/>
    </row>
    <row r="59" spans="1:10">
      <c r="A59" s="1838" t="s">
        <v>340</v>
      </c>
      <c r="B59" s="1839">
        <v>0.38</v>
      </c>
      <c r="C59" s="1840" t="s">
        <v>319</v>
      </c>
      <c r="D59" s="21">
        <f t="shared" ref="D59:D64" si="0">B59/1000</f>
        <v>0.00038</v>
      </c>
      <c r="E59" s="21" t="s">
        <v>320</v>
      </c>
      <c r="F59" s="21"/>
      <c r="G59" s="21"/>
      <c r="H59" s="21"/>
      <c r="I59" s="21"/>
      <c r="J59" s="1729"/>
    </row>
    <row r="60" spans="1:10">
      <c r="A60" s="1838" t="s">
        <v>341</v>
      </c>
      <c r="B60" s="1839">
        <v>0.03</v>
      </c>
      <c r="C60" s="1840" t="s">
        <v>319</v>
      </c>
      <c r="D60" s="21">
        <f t="shared" si="0"/>
        <v>3e-5</v>
      </c>
      <c r="E60" s="21" t="s">
        <v>320</v>
      </c>
      <c r="F60" s="21"/>
      <c r="G60" s="21"/>
      <c r="H60" s="21"/>
      <c r="I60" s="21"/>
      <c r="J60" s="1729"/>
    </row>
    <row r="61" spans="1:10">
      <c r="A61" s="1838"/>
      <c r="B61" s="21"/>
      <c r="C61" s="21"/>
      <c r="D61" s="21"/>
      <c r="E61" s="21"/>
      <c r="F61" s="21"/>
      <c r="G61" s="21"/>
      <c r="H61" s="21"/>
      <c r="I61" s="21"/>
      <c r="J61" s="1729"/>
    </row>
    <row r="62" spans="1:10">
      <c r="A62" s="1838" t="s">
        <v>323</v>
      </c>
      <c r="B62" s="1839">
        <v>1500</v>
      </c>
      <c r="C62" s="21"/>
      <c r="D62" s="21"/>
      <c r="E62" s="21"/>
      <c r="F62" s="21"/>
      <c r="G62" s="21"/>
      <c r="H62" s="21"/>
      <c r="I62" s="21"/>
      <c r="J62" s="1729"/>
    </row>
    <row r="63" spans="1:10">
      <c r="A63" s="1838" t="s">
        <v>106</v>
      </c>
      <c r="B63" s="21"/>
      <c r="C63" s="21"/>
      <c r="D63" s="21"/>
      <c r="E63" s="21"/>
      <c r="F63" s="21"/>
      <c r="G63" s="21"/>
      <c r="H63" s="21"/>
      <c r="I63" s="21"/>
      <c r="J63" s="1729"/>
    </row>
    <row r="64" ht="24" spans="1:10">
      <c r="A64" s="1841" t="s">
        <v>324</v>
      </c>
      <c r="B64" s="1839">
        <v>10</v>
      </c>
      <c r="C64" s="1840" t="s">
        <v>319</v>
      </c>
      <c r="D64" s="21">
        <f t="shared" si="0"/>
        <v>0.01</v>
      </c>
      <c r="E64" s="21" t="s">
        <v>320</v>
      </c>
      <c r="F64" s="21"/>
      <c r="G64" s="21"/>
      <c r="H64" s="21"/>
      <c r="I64" s="21"/>
      <c r="J64" s="1729"/>
    </row>
    <row r="65" spans="1:10">
      <c r="A65" s="1838"/>
      <c r="B65" s="21"/>
      <c r="C65" s="21"/>
      <c r="D65" s="21"/>
      <c r="E65" s="21"/>
      <c r="F65" s="21"/>
      <c r="G65" s="21"/>
      <c r="H65" s="21"/>
      <c r="I65" s="21"/>
      <c r="J65" s="1729"/>
    </row>
    <row r="66" spans="1:10">
      <c r="A66" s="1838" t="s">
        <v>325</v>
      </c>
      <c r="B66" s="21"/>
      <c r="C66" s="21"/>
      <c r="D66" s="21"/>
      <c r="E66" s="21"/>
      <c r="F66" s="21"/>
      <c r="G66" s="21"/>
      <c r="H66" s="21"/>
      <c r="I66" s="21"/>
      <c r="J66" s="1729"/>
    </row>
    <row r="67" spans="1:10">
      <c r="A67" s="1838" t="s">
        <v>326</v>
      </c>
      <c r="B67" s="1842">
        <f>H8*(D59/2)^2*D60*B62</f>
        <v>5.103512955e-9</v>
      </c>
      <c r="C67" s="21"/>
      <c r="D67" s="21"/>
      <c r="E67" s="21"/>
      <c r="F67" s="21"/>
      <c r="G67" s="21"/>
      <c r="H67" s="21"/>
      <c r="I67" s="21"/>
      <c r="J67" s="1729"/>
    </row>
    <row r="68" ht="18.15" spans="1:10">
      <c r="A68" s="1843" t="s">
        <v>327</v>
      </c>
      <c r="B68" s="1844">
        <f>((1/8)*B67*D59^2+B67*D64^2)*10000</f>
        <v>5.10443413908838e-9</v>
      </c>
      <c r="C68" s="1718"/>
      <c r="D68" s="1844">
        <f>B68/10000</f>
        <v>5.10443413908838e-13</v>
      </c>
      <c r="E68" s="1718" t="s">
        <v>328</v>
      </c>
      <c r="F68" s="1718"/>
      <c r="G68" s="1718"/>
      <c r="H68" s="1718"/>
      <c r="I68" s="1718"/>
      <c r="J68" s="1730"/>
    </row>
    <row r="69" ht="16.35"/>
    <row r="70" spans="1:10">
      <c r="A70" s="1836" t="s">
        <v>342</v>
      </c>
      <c r="B70" s="1837"/>
      <c r="C70" s="1837"/>
      <c r="D70" s="1837"/>
      <c r="E70" s="1837"/>
      <c r="F70" s="1837"/>
      <c r="G70" s="1837"/>
      <c r="H70" s="1837"/>
      <c r="I70" s="1837"/>
      <c r="J70" s="1851"/>
    </row>
    <row r="71" spans="1:10">
      <c r="A71" s="1838"/>
      <c r="B71" s="21"/>
      <c r="C71" s="21"/>
      <c r="D71" s="21"/>
      <c r="E71" s="21" t="s">
        <v>317</v>
      </c>
      <c r="F71" s="21"/>
      <c r="G71" s="21"/>
      <c r="H71" s="21"/>
      <c r="I71" s="21"/>
      <c r="J71" s="1729"/>
    </row>
    <row r="72" spans="1:10">
      <c r="A72" s="1841" t="s">
        <v>343</v>
      </c>
      <c r="B72" s="1457">
        <v>0.1</v>
      </c>
      <c r="C72" s="1852" t="s">
        <v>319</v>
      </c>
      <c r="D72" s="21"/>
      <c r="E72" s="21"/>
      <c r="F72" s="21"/>
      <c r="G72" s="21"/>
      <c r="H72" s="21"/>
      <c r="I72" s="21"/>
      <c r="J72" s="1729"/>
    </row>
    <row r="73" spans="1:10">
      <c r="A73" s="1841"/>
      <c r="B73" s="1457"/>
      <c r="C73" s="1852"/>
      <c r="D73" s="21"/>
      <c r="E73" s="21"/>
      <c r="F73" s="21"/>
      <c r="G73" s="21"/>
      <c r="H73" s="21"/>
      <c r="I73" s="21"/>
      <c r="J73" s="1729"/>
    </row>
    <row r="74" spans="1:10">
      <c r="A74" s="1838" t="s">
        <v>326</v>
      </c>
      <c r="B74" s="1839">
        <v>100</v>
      </c>
      <c r="C74" s="1840" t="s">
        <v>319</v>
      </c>
      <c r="D74" s="21"/>
      <c r="E74" s="21"/>
      <c r="F74" s="21"/>
      <c r="G74" s="21"/>
      <c r="H74" s="21"/>
      <c r="I74" s="21"/>
      <c r="J74" s="1729"/>
    </row>
    <row r="75" spans="1:10">
      <c r="A75" s="1838" t="s">
        <v>106</v>
      </c>
      <c r="B75" s="1804"/>
      <c r="C75" s="1840"/>
      <c r="D75" s="21"/>
      <c r="E75" s="21"/>
      <c r="F75" s="21"/>
      <c r="G75" s="21"/>
      <c r="H75" s="21"/>
      <c r="I75" s="21"/>
      <c r="J75" s="1729"/>
    </row>
    <row r="76" spans="1:10">
      <c r="A76" s="1838" t="s">
        <v>325</v>
      </c>
      <c r="B76" s="1804"/>
      <c r="C76" s="1840"/>
      <c r="D76" s="21"/>
      <c r="E76" s="21"/>
      <c r="F76" s="21"/>
      <c r="G76" s="21"/>
      <c r="H76" s="21"/>
      <c r="I76" s="21"/>
      <c r="J76" s="1729"/>
    </row>
    <row r="77" ht="18.15" spans="1:10">
      <c r="A77" s="1843" t="s">
        <v>327</v>
      </c>
      <c r="B77" s="1844">
        <f>(B74*(B72/(2*H8))^2)*10^4</f>
        <v>253.3033870181</v>
      </c>
      <c r="C77" s="1718"/>
      <c r="D77" s="1844">
        <f>B77/10^4</f>
        <v>0.02533033870181</v>
      </c>
      <c r="E77" s="1718" t="s">
        <v>328</v>
      </c>
      <c r="F77" s="1718"/>
      <c r="G77" s="1718"/>
      <c r="H77" s="1718"/>
      <c r="I77" s="1718"/>
      <c r="J77" s="1730"/>
    </row>
    <row r="78" ht="16.35"/>
    <row r="79" spans="1:10">
      <c r="A79" s="1836" t="s">
        <v>344</v>
      </c>
      <c r="B79" s="1837"/>
      <c r="C79" s="1837"/>
      <c r="D79" s="1837"/>
      <c r="E79" s="1837"/>
      <c r="F79" s="1837"/>
      <c r="G79" s="1837"/>
      <c r="H79" s="1837"/>
      <c r="I79" s="1837"/>
      <c r="J79" s="1851"/>
    </row>
    <row r="80" spans="1:10">
      <c r="A80" s="1838"/>
      <c r="B80" s="21"/>
      <c r="C80" s="21"/>
      <c r="D80" s="21"/>
      <c r="E80" s="21"/>
      <c r="F80" s="21"/>
      <c r="G80" s="21"/>
      <c r="H80" s="21"/>
      <c r="I80" s="21"/>
      <c r="J80" s="1729"/>
    </row>
    <row r="81" spans="1:10">
      <c r="A81" s="1838"/>
      <c r="B81" s="21"/>
      <c r="C81" s="21"/>
      <c r="D81" s="21"/>
      <c r="E81" s="21" t="s">
        <v>317</v>
      </c>
      <c r="F81" s="21"/>
      <c r="G81" s="21"/>
      <c r="H81" s="21"/>
      <c r="I81" s="21"/>
      <c r="J81" s="1729"/>
    </row>
    <row r="82" ht="17.4" spans="1:10">
      <c r="A82" s="1838" t="s">
        <v>345</v>
      </c>
      <c r="B82" s="1839">
        <v>10</v>
      </c>
      <c r="C82" s="1840" t="s">
        <v>319</v>
      </c>
      <c r="D82" s="21">
        <f>B82/10000</f>
        <v>0.001</v>
      </c>
      <c r="E82" s="21" t="s">
        <v>328</v>
      </c>
      <c r="F82" s="21"/>
      <c r="G82" s="21"/>
      <c r="H82" s="21"/>
      <c r="I82" s="21"/>
      <c r="J82" s="1729"/>
    </row>
    <row r="83" spans="1:10">
      <c r="A83" s="1838" t="s">
        <v>346</v>
      </c>
      <c r="B83" s="1839">
        <v>20</v>
      </c>
      <c r="C83" s="1840" t="s">
        <v>319</v>
      </c>
      <c r="D83" s="21"/>
      <c r="E83" s="21"/>
      <c r="F83" s="21"/>
      <c r="G83" s="21"/>
      <c r="H83" s="21"/>
      <c r="I83" s="21"/>
      <c r="J83" s="1729"/>
    </row>
    <row r="84" spans="1:10">
      <c r="A84" s="1838"/>
      <c r="B84" s="1853"/>
      <c r="C84" s="1853"/>
      <c r="D84" s="1853"/>
      <c r="E84" s="1853"/>
      <c r="F84" s="21"/>
      <c r="G84" s="21"/>
      <c r="H84" s="21"/>
      <c r="I84" s="21"/>
      <c r="J84" s="1729"/>
    </row>
    <row r="85" spans="1:10">
      <c r="A85" s="1838"/>
      <c r="B85" s="21"/>
      <c r="C85" s="21"/>
      <c r="D85" s="21"/>
      <c r="E85" s="21"/>
      <c r="F85" s="21"/>
      <c r="G85" s="21"/>
      <c r="H85" s="21"/>
      <c r="I85" s="21"/>
      <c r="J85" s="1729"/>
    </row>
    <row r="86" spans="1:10">
      <c r="A86" s="1838"/>
      <c r="B86" s="21"/>
      <c r="C86" s="21"/>
      <c r="D86" s="21"/>
      <c r="E86" s="21"/>
      <c r="F86" s="21"/>
      <c r="G86" s="21"/>
      <c r="H86" s="21"/>
      <c r="I86" s="21"/>
      <c r="J86" s="1729"/>
    </row>
    <row r="87" ht="24" spans="1:10">
      <c r="A87" s="1841" t="s">
        <v>324</v>
      </c>
      <c r="B87" s="1839">
        <v>10</v>
      </c>
      <c r="C87" s="1840" t="s">
        <v>319</v>
      </c>
      <c r="D87" s="21">
        <f>B87/100</f>
        <v>0.1</v>
      </c>
      <c r="E87" s="21" t="s">
        <v>320</v>
      </c>
      <c r="F87" s="21"/>
      <c r="G87" s="21"/>
      <c r="H87" s="21"/>
      <c r="I87" s="21"/>
      <c r="J87" s="1729"/>
    </row>
    <row r="88" spans="1:10">
      <c r="A88" s="1838" t="s">
        <v>106</v>
      </c>
      <c r="B88" s="21"/>
      <c r="C88" s="21"/>
      <c r="D88" s="21"/>
      <c r="E88" s="21"/>
      <c r="F88" s="21"/>
      <c r="G88" s="21"/>
      <c r="H88" s="21"/>
      <c r="I88" s="21"/>
      <c r="J88" s="1729"/>
    </row>
    <row r="89" spans="1:10">
      <c r="A89" s="1838" t="s">
        <v>325</v>
      </c>
      <c r="B89" s="21"/>
      <c r="C89" s="21"/>
      <c r="D89" s="21"/>
      <c r="E89" s="21"/>
      <c r="F89" s="21"/>
      <c r="G89" s="21"/>
      <c r="H89" s="21"/>
      <c r="I89" s="21"/>
      <c r="J89" s="1729"/>
    </row>
    <row r="90" spans="1:10">
      <c r="A90" s="1838" t="s">
        <v>347</v>
      </c>
      <c r="B90" s="1842">
        <f>B83</f>
        <v>20</v>
      </c>
      <c r="C90" s="21"/>
      <c r="D90" s="21"/>
      <c r="E90" s="21"/>
      <c r="F90" s="21"/>
      <c r="G90" s="21"/>
      <c r="H90" s="21"/>
      <c r="I90" s="21"/>
      <c r="J90" s="1729"/>
    </row>
    <row r="91" ht="18.15" spans="1:10">
      <c r="A91" s="1843" t="s">
        <v>348</v>
      </c>
      <c r="B91" s="1844">
        <f>B82+B83*B87*B87/100</f>
        <v>30</v>
      </c>
      <c r="C91" s="1718"/>
      <c r="D91" s="1844">
        <f>B91/10000</f>
        <v>0.003</v>
      </c>
      <c r="E91" s="1718" t="s">
        <v>328</v>
      </c>
      <c r="F91" s="1718"/>
      <c r="G91" s="1718"/>
      <c r="H91" s="1718"/>
      <c r="I91" s="1718"/>
      <c r="J91" s="1730"/>
    </row>
  </sheetData>
  <protectedRanges>
    <protectedRange sqref="A3:J91" name="範圍1"/>
  </protectedRanges>
  <customSheetViews>
    <customSheetView guid="{B9330FFD-B5EF-4680-A375-DB92D4738404}">
      <selection activeCell="F20" sqref="F20"/>
      <pageMargins left="0.75" right="0.75" top="1" bottom="1" header="0.5" footer="0.5"/>
      <pageSetup paperSize="9" orientation="portrait" horizontalDpi="1200" verticalDpi="1200"/>
      <headerFooter alignWithMargins="0"/>
    </customSheetView>
  </customSheetViews>
  <mergeCells count="16">
    <mergeCell ref="B3:E3"/>
    <mergeCell ref="B4:E4"/>
    <mergeCell ref="B5:E5"/>
    <mergeCell ref="B6:E6"/>
    <mergeCell ref="A11:J11"/>
    <mergeCell ref="A26:J26"/>
    <mergeCell ref="A41:J41"/>
    <mergeCell ref="A56:J56"/>
    <mergeCell ref="A70:J70"/>
    <mergeCell ref="A79:J79"/>
    <mergeCell ref="A84:E84"/>
    <mergeCell ref="A72:A73"/>
    <mergeCell ref="B72:B73"/>
    <mergeCell ref="C72:C73"/>
    <mergeCell ref="J1:J2"/>
    <mergeCell ref="A1:I2"/>
  </mergeCells>
  <hyperlinks>
    <hyperlink ref="J1:J2" location="目录!A1" display="目录!A1"/>
  </hyperlinks>
  <pageMargins left="0.75" right="0.75" top="1" bottom="1" header="0.5" footer="0.5"/>
  <pageSetup paperSize="9" orientation="portrait" horizontalDpi="1200" verticalDpi="1200"/>
  <headerFooter alignWithMargins="0"/>
  <drawing r:id="rId1"/>
  <legacyDrawing r:id="rId2"/>
  <oleObjects>
    <mc:AlternateContent xmlns:mc="http://schemas.openxmlformats.org/markup-compatibility/2006">
      <mc:Choice Requires="x14">
        <oleObject shapeId="19472" progId="Equation.DSMT4" r:id="rId3">
          <objectPr defaultSize="0" r:id="rId4">
            <anchor moveWithCells="1">
              <from>
                <xdr:col>5</xdr:col>
                <xdr:colOff>38100</xdr:colOff>
                <xdr:row>22</xdr:row>
                <xdr:rowOff>28575</xdr:rowOff>
              </from>
              <to>
                <xdr:col>9</xdr:col>
                <xdr:colOff>647700</xdr:colOff>
                <xdr:row>23</xdr:row>
                <xdr:rowOff>190500</xdr:rowOff>
              </to>
            </anchor>
          </objectPr>
        </oleObject>
      </mc:Choice>
      <mc:Fallback>
        <oleObject shapeId="19472" progId="Equation.DSMT4" r:id="rId3"/>
      </mc:Fallback>
    </mc:AlternateContent>
    <mc:AlternateContent xmlns:mc="http://schemas.openxmlformats.org/markup-compatibility/2006">
      <mc:Choice Requires="x14">
        <oleObject shapeId="19473" progId="Equation.DSMT4" r:id="rId5">
          <objectPr defaultSize="0" r:id="rId6">
            <anchor moveWithCells="1">
              <from>
                <xdr:col>6</xdr:col>
                <xdr:colOff>19050</xdr:colOff>
                <xdr:row>89</xdr:row>
                <xdr:rowOff>19050</xdr:rowOff>
              </from>
              <to>
                <xdr:col>8</xdr:col>
                <xdr:colOff>19050</xdr:colOff>
                <xdr:row>90</xdr:row>
                <xdr:rowOff>219075</xdr:rowOff>
              </to>
            </anchor>
          </objectPr>
        </oleObject>
      </mc:Choice>
      <mc:Fallback>
        <oleObject shapeId="19473" progId="Equation.DSMT4" r:id="rId5"/>
      </mc:Fallback>
    </mc:AlternateContent>
    <mc:AlternateContent xmlns:mc="http://schemas.openxmlformats.org/markup-compatibility/2006">
      <mc:Choice Requires="x14">
        <oleObject shapeId="19474" progId="Equation.DSMT4" r:id="rId7">
          <objectPr defaultSize="0" r:id="rId8">
            <anchor moveWithCells="1">
              <from>
                <xdr:col>5</xdr:col>
                <xdr:colOff>28575</xdr:colOff>
                <xdr:row>37</xdr:row>
                <xdr:rowOff>9525</xdr:rowOff>
              </from>
              <to>
                <xdr:col>8</xdr:col>
                <xdr:colOff>228600</xdr:colOff>
                <xdr:row>38</xdr:row>
                <xdr:rowOff>200025</xdr:rowOff>
              </to>
            </anchor>
          </objectPr>
        </oleObject>
      </mc:Choice>
      <mc:Fallback>
        <oleObject shapeId="19474" progId="Equation.DSMT4" r:id="rId7"/>
      </mc:Fallback>
    </mc:AlternateContent>
    <mc:AlternateContent xmlns:mc="http://schemas.openxmlformats.org/markup-compatibility/2006">
      <mc:Choice Requires="x14">
        <oleObject shapeId="19475" progId="Equation.DSMT4" r:id="rId9">
          <objectPr defaultSize="0" r:id="rId10">
            <anchor moveWithCells="1">
              <from>
                <xdr:col>5</xdr:col>
                <xdr:colOff>38100</xdr:colOff>
                <xdr:row>66</xdr:row>
                <xdr:rowOff>28575</xdr:rowOff>
              </from>
              <to>
                <xdr:col>7</xdr:col>
                <xdr:colOff>657225</xdr:colOff>
                <xdr:row>67</xdr:row>
                <xdr:rowOff>190500</xdr:rowOff>
              </to>
            </anchor>
          </objectPr>
        </oleObject>
      </mc:Choice>
      <mc:Fallback>
        <oleObject shapeId="19475" progId="Equation.DSMT4" r:id="rId9"/>
      </mc:Fallback>
    </mc:AlternateContent>
    <mc:AlternateContent xmlns:mc="http://schemas.openxmlformats.org/markup-compatibility/2006">
      <mc:Choice Requires="x14">
        <oleObject shapeId="19476" progId="Equation.DSMT4" r:id="rId11">
          <objectPr defaultSize="0" r:id="rId12">
            <anchor moveWithCells="1">
              <from>
                <xdr:col>5</xdr:col>
                <xdr:colOff>0</xdr:colOff>
                <xdr:row>52</xdr:row>
                <xdr:rowOff>28575</xdr:rowOff>
              </from>
              <to>
                <xdr:col>7</xdr:col>
                <xdr:colOff>581025</xdr:colOff>
                <xdr:row>53</xdr:row>
                <xdr:rowOff>190500</xdr:rowOff>
              </to>
            </anchor>
          </objectPr>
        </oleObject>
      </mc:Choice>
      <mc:Fallback>
        <oleObject shapeId="19476" progId="Equation.DSMT4" r:id="rId11"/>
      </mc:Fallback>
    </mc:AlternateContent>
    <mc:AlternateContent xmlns:mc="http://schemas.openxmlformats.org/markup-compatibility/2006">
      <mc:Choice Requires="x14">
        <oleObject shapeId="19477" progId="Equation.DSMT4" r:id="rId13">
          <objectPr defaultSize="0" r:id="rId14">
            <anchor moveWithCells="1">
              <from>
                <xdr:col>5</xdr:col>
                <xdr:colOff>9525</xdr:colOff>
                <xdr:row>75</xdr:row>
                <xdr:rowOff>38100</xdr:rowOff>
              </from>
              <to>
                <xdr:col>6</xdr:col>
                <xdr:colOff>457200</xdr:colOff>
                <xdr:row>76</xdr:row>
                <xdr:rowOff>190500</xdr:rowOff>
              </to>
            </anchor>
          </objectPr>
        </oleObject>
      </mc:Choice>
      <mc:Fallback>
        <oleObject shapeId="19477" progId="Equation.DSMT4" r:id="rId13"/>
      </mc:Fallback>
    </mc:AlternateContent>
    <mc:AlternateContent xmlns:mc="http://schemas.openxmlformats.org/markup-compatibility/2006">
      <mc:Choice Requires="x14">
        <oleObject shapeId="19478" progId="Equation.DSMT4" r:id="rId15">
          <objectPr defaultSize="0" r:id="rId16">
            <anchor moveWithCells="1">
              <from>
                <xdr:col>0</xdr:col>
                <xdr:colOff>485775</xdr:colOff>
                <xdr:row>83</xdr:row>
                <xdr:rowOff>38100</xdr:rowOff>
              </from>
              <to>
                <xdr:col>4</xdr:col>
                <xdr:colOff>209550</xdr:colOff>
                <xdr:row>85</xdr:row>
                <xdr:rowOff>9525</xdr:rowOff>
              </to>
            </anchor>
          </objectPr>
        </oleObject>
      </mc:Choice>
      <mc:Fallback>
        <oleObject shapeId="19478" progId="Equation.DSMT4" r:id="rId1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62"/>
  <sheetViews>
    <sheetView zoomScale="75" zoomScaleNormal="75" workbookViewId="0">
      <selection activeCell="P29" sqref="P29"/>
    </sheetView>
  </sheetViews>
  <sheetFormatPr defaultColWidth="9" defaultRowHeight="15.6"/>
  <cols>
    <col min="3" max="3" width="11.375" customWidth="1"/>
    <col min="4" max="4" width="13.375" customWidth="1"/>
    <col min="6" max="6" width="14.375" customWidth="1"/>
    <col min="9" max="9" width="19.125" customWidth="1"/>
    <col min="11" max="11" width="11" customWidth="1"/>
  </cols>
  <sheetData>
    <row r="1" ht="25.8" spans="4:11">
      <c r="D1" s="949"/>
      <c r="E1" s="949"/>
      <c r="F1" s="949" t="s">
        <v>349</v>
      </c>
      <c r="K1" s="155" t="s">
        <v>88</v>
      </c>
    </row>
    <row r="2" spans="2:2">
      <c r="B2" t="s">
        <v>350</v>
      </c>
    </row>
    <row r="4" spans="3:11">
      <c r="C4" s="1785" t="s">
        <v>351</v>
      </c>
      <c r="D4" s="1785"/>
      <c r="E4" s="1788" t="s">
        <v>352</v>
      </c>
      <c r="F4" s="1787">
        <v>10</v>
      </c>
      <c r="G4" s="1788" t="s">
        <v>353</v>
      </c>
      <c r="H4" t="s">
        <v>319</v>
      </c>
      <c r="I4" s="1785" t="s">
        <v>354</v>
      </c>
      <c r="J4" s="1785"/>
      <c r="K4" s="1785"/>
    </row>
    <row r="5" spans="3:12">
      <c r="C5" s="1785" t="s">
        <v>355</v>
      </c>
      <c r="D5" s="1785"/>
      <c r="E5" s="1788" t="s">
        <v>356</v>
      </c>
      <c r="F5" s="1787">
        <v>8</v>
      </c>
      <c r="G5" s="1788" t="s">
        <v>357</v>
      </c>
      <c r="H5" t="s">
        <v>319</v>
      </c>
      <c r="I5" s="1785"/>
      <c r="J5" s="1788" t="s">
        <v>358</v>
      </c>
      <c r="K5" s="1785">
        <v>9.8</v>
      </c>
      <c r="L5" t="s">
        <v>359</v>
      </c>
    </row>
    <row r="6" ht="19.2" spans="3:11">
      <c r="C6" s="1785" t="s">
        <v>360</v>
      </c>
      <c r="D6" s="1785"/>
      <c r="E6" s="1788" t="s">
        <v>361</v>
      </c>
      <c r="F6" s="1787">
        <v>0.6</v>
      </c>
      <c r="G6" s="1788" t="s">
        <v>320</v>
      </c>
      <c r="H6" t="s">
        <v>319</v>
      </c>
      <c r="I6" s="1785"/>
      <c r="J6" s="1788" t="s">
        <v>362</v>
      </c>
      <c r="K6" s="1785">
        <v>3.1416</v>
      </c>
    </row>
    <row r="7" ht="19.8" spans="3:12">
      <c r="C7" s="1785" t="s">
        <v>363</v>
      </c>
      <c r="D7" s="1785"/>
      <c r="E7" s="1788" t="s">
        <v>364</v>
      </c>
      <c r="F7" s="1787">
        <v>0.04</v>
      </c>
      <c r="G7" s="1788" t="s">
        <v>320</v>
      </c>
      <c r="H7" t="s">
        <v>319</v>
      </c>
      <c r="I7" s="1785" t="s">
        <v>365</v>
      </c>
      <c r="J7" s="1788" t="s">
        <v>366</v>
      </c>
      <c r="K7" s="1787">
        <v>7900</v>
      </c>
      <c r="L7" t="s">
        <v>367</v>
      </c>
    </row>
    <row r="8" ht="19.2" spans="3:16">
      <c r="C8" s="1785" t="s">
        <v>368</v>
      </c>
      <c r="D8" s="1785"/>
      <c r="E8" s="1788" t="s">
        <v>369</v>
      </c>
      <c r="F8" s="1787">
        <v>0.019</v>
      </c>
      <c r="G8" s="1788" t="s">
        <v>320</v>
      </c>
      <c r="H8" t="s">
        <v>319</v>
      </c>
      <c r="I8" s="18"/>
      <c r="J8" s="18"/>
      <c r="K8" s="18"/>
      <c r="L8" s="18"/>
      <c r="M8" s="18"/>
      <c r="N8" s="18"/>
      <c r="O8" s="18"/>
      <c r="P8" s="18"/>
    </row>
    <row r="9" ht="19.2" spans="3:16">
      <c r="C9" s="1785" t="s">
        <v>370</v>
      </c>
      <c r="D9" s="1785"/>
      <c r="E9" s="1788" t="s">
        <v>371</v>
      </c>
      <c r="F9" s="1787">
        <v>2</v>
      </c>
      <c r="G9" s="1788" t="s">
        <v>357</v>
      </c>
      <c r="H9" t="s">
        <v>319</v>
      </c>
      <c r="I9" s="18"/>
      <c r="J9" s="18"/>
      <c r="K9" s="18"/>
      <c r="L9" s="18"/>
      <c r="M9" s="18"/>
      <c r="N9" s="18"/>
      <c r="O9" s="18"/>
      <c r="P9" s="18"/>
    </row>
    <row r="10" ht="19.2" spans="3:16">
      <c r="C10" s="1785" t="s">
        <v>372</v>
      </c>
      <c r="D10" s="1785"/>
      <c r="E10" s="1788" t="s">
        <v>373</v>
      </c>
      <c r="F10" s="1787">
        <v>0.05</v>
      </c>
      <c r="G10" s="1788" t="s">
        <v>320</v>
      </c>
      <c r="H10" t="s">
        <v>319</v>
      </c>
      <c r="I10" s="18"/>
      <c r="J10" s="18"/>
      <c r="K10" s="18"/>
      <c r="L10" s="18"/>
      <c r="M10" s="18"/>
      <c r="N10" s="18"/>
      <c r="O10" s="18"/>
      <c r="P10" s="18"/>
    </row>
    <row r="11" spans="3:16">
      <c r="C11" s="1785" t="s">
        <v>374</v>
      </c>
      <c r="D11" s="1785"/>
      <c r="E11" s="1788" t="s">
        <v>375</v>
      </c>
      <c r="F11" s="1787">
        <v>0.1</v>
      </c>
      <c r="G11" s="1785"/>
      <c r="H11" t="s">
        <v>319</v>
      </c>
      <c r="I11" s="18"/>
      <c r="J11" s="18"/>
      <c r="K11" s="18"/>
      <c r="L11" s="18"/>
      <c r="M11" s="18"/>
      <c r="N11" s="18"/>
      <c r="O11" s="18"/>
      <c r="P11" s="18"/>
    </row>
    <row r="12" spans="3:16">
      <c r="C12" s="1785" t="s">
        <v>376</v>
      </c>
      <c r="D12" s="1785"/>
      <c r="E12" s="1788" t="s">
        <v>377</v>
      </c>
      <c r="F12" s="1787">
        <v>0.3</v>
      </c>
      <c r="G12" s="1788" t="s">
        <v>320</v>
      </c>
      <c r="I12" s="18"/>
      <c r="J12" s="18"/>
      <c r="K12" s="18"/>
      <c r="L12" s="18"/>
      <c r="M12" s="18"/>
      <c r="N12" s="18"/>
      <c r="O12" s="18"/>
      <c r="P12" s="18"/>
    </row>
    <row r="13" spans="3:19">
      <c r="C13" s="1785" t="s">
        <v>378</v>
      </c>
      <c r="D13" s="1785"/>
      <c r="E13" s="1788" t="s">
        <v>379</v>
      </c>
      <c r="F13" s="1787">
        <v>0.9</v>
      </c>
      <c r="G13" s="1785"/>
      <c r="H13" t="s">
        <v>319</v>
      </c>
      <c r="I13" s="18"/>
      <c r="J13" s="18"/>
      <c r="K13" s="18"/>
      <c r="L13" s="18"/>
      <c r="M13" s="18"/>
      <c r="N13" s="18"/>
      <c r="O13" s="18"/>
      <c r="P13" s="18"/>
      <c r="Q13" s="18"/>
      <c r="R13" s="18"/>
      <c r="S13" s="18"/>
    </row>
    <row r="14" ht="21" spans="3:19">
      <c r="C14" s="1785" t="s">
        <v>380</v>
      </c>
      <c r="D14" s="1785"/>
      <c r="E14" s="1817" t="s">
        <v>381</v>
      </c>
      <c r="F14" s="1787">
        <v>1</v>
      </c>
      <c r="G14" s="1788" t="s">
        <v>382</v>
      </c>
      <c r="H14" t="s">
        <v>319</v>
      </c>
      <c r="I14" s="18"/>
      <c r="J14" s="18"/>
      <c r="K14" s="18"/>
      <c r="L14" s="18"/>
      <c r="M14" s="18"/>
      <c r="N14" s="18"/>
      <c r="O14" s="18"/>
      <c r="P14" s="18"/>
      <c r="Q14" s="18"/>
      <c r="R14" s="18"/>
      <c r="S14" s="18"/>
    </row>
    <row r="15" spans="3:19">
      <c r="C15" s="1785" t="s">
        <v>383</v>
      </c>
      <c r="D15" s="1785"/>
      <c r="E15" s="1788" t="s">
        <v>384</v>
      </c>
      <c r="F15" s="1796">
        <v>0.25</v>
      </c>
      <c r="G15" s="1785"/>
      <c r="H15" t="s">
        <v>319</v>
      </c>
      <c r="I15" s="18"/>
      <c r="J15" s="18"/>
      <c r="K15" s="18"/>
      <c r="L15" s="18"/>
      <c r="M15" s="18"/>
      <c r="N15" s="18"/>
      <c r="O15" s="18"/>
      <c r="P15" s="18"/>
      <c r="Q15" s="18"/>
      <c r="R15" s="18"/>
      <c r="S15" s="18"/>
    </row>
    <row r="16" ht="19.2" spans="3:19">
      <c r="C16" s="1785" t="s">
        <v>385</v>
      </c>
      <c r="D16" s="1785"/>
      <c r="E16" s="1788" t="s">
        <v>386</v>
      </c>
      <c r="F16" s="1795">
        <v>0</v>
      </c>
      <c r="G16" s="1788" t="s">
        <v>387</v>
      </c>
      <c r="I16" s="18"/>
      <c r="J16" s="18"/>
      <c r="K16" s="18"/>
      <c r="L16" s="18"/>
      <c r="M16" s="18"/>
      <c r="N16" s="18"/>
      <c r="O16" s="18"/>
      <c r="P16" s="18"/>
      <c r="Q16" s="18"/>
      <c r="R16" s="18"/>
      <c r="S16" s="18"/>
    </row>
    <row r="17" ht="18" spans="3:19">
      <c r="C17" s="1785" t="s">
        <v>388</v>
      </c>
      <c r="D17" s="1785"/>
      <c r="E17" s="1810" t="s">
        <v>389</v>
      </c>
      <c r="F17" s="1795">
        <v>0</v>
      </c>
      <c r="G17" s="1785" t="s">
        <v>390</v>
      </c>
      <c r="I17" s="18"/>
      <c r="J17" s="18"/>
      <c r="K17" s="18"/>
      <c r="L17" s="18"/>
      <c r="M17" s="18"/>
      <c r="N17" s="18"/>
      <c r="O17" s="18"/>
      <c r="P17" s="18"/>
      <c r="Q17" s="18"/>
      <c r="R17" s="18"/>
      <c r="S17" s="18"/>
    </row>
    <row r="18" ht="18" spans="3:19">
      <c r="C18" s="1697"/>
      <c r="D18" s="1697"/>
      <c r="E18" s="1797"/>
      <c r="F18" s="1720"/>
      <c r="G18" s="1697"/>
      <c r="I18" s="18"/>
      <c r="J18" s="18"/>
      <c r="K18" s="18"/>
      <c r="L18" s="18"/>
      <c r="M18" s="18"/>
      <c r="N18" s="18"/>
      <c r="O18" s="18"/>
      <c r="P18" s="18"/>
      <c r="Q18" s="18"/>
      <c r="R18" s="18"/>
      <c r="S18" s="18"/>
    </row>
    <row r="19" spans="2:19">
      <c r="B19" s="826" t="s">
        <v>391</v>
      </c>
      <c r="F19" s="826"/>
      <c r="I19" s="18"/>
      <c r="J19" s="18"/>
      <c r="K19" s="18"/>
      <c r="L19" s="18"/>
      <c r="M19" s="18"/>
      <c r="N19" s="18"/>
      <c r="O19" s="18"/>
      <c r="P19" s="18"/>
      <c r="Q19" s="18"/>
      <c r="R19" s="18"/>
      <c r="S19" s="18"/>
    </row>
    <row r="20" ht="21" spans="3:19">
      <c r="C20" t="s">
        <v>392</v>
      </c>
      <c r="E20" s="1811" t="s">
        <v>393</v>
      </c>
      <c r="F20" s="1812" t="s">
        <v>394</v>
      </c>
      <c r="G20" s="826"/>
      <c r="H20" t="s">
        <v>395</v>
      </c>
      <c r="I20" s="18"/>
      <c r="J20" s="18"/>
      <c r="K20" s="18"/>
      <c r="L20" s="18"/>
      <c r="M20" s="18"/>
      <c r="N20" s="18"/>
      <c r="O20" s="18"/>
      <c r="P20" s="18"/>
      <c r="Q20" s="18"/>
      <c r="R20" s="18"/>
      <c r="S20" s="18"/>
    </row>
    <row r="21" spans="3:19">
      <c r="C21" t="s">
        <v>106</v>
      </c>
      <c r="E21" s="514" t="s">
        <v>396</v>
      </c>
      <c r="F21" s="73">
        <f>F14*F15</f>
        <v>0.25</v>
      </c>
      <c r="G21" t="s">
        <v>382</v>
      </c>
      <c r="I21" s="18"/>
      <c r="J21" s="18"/>
      <c r="K21" s="18"/>
      <c r="L21" s="18"/>
      <c r="M21" s="18"/>
      <c r="N21" s="18"/>
      <c r="O21" s="18"/>
      <c r="P21" s="18"/>
      <c r="Q21" s="18"/>
      <c r="R21" s="18"/>
      <c r="S21" s="18"/>
    </row>
    <row r="22" spans="2:19">
      <c r="B22" s="826" t="s">
        <v>397</v>
      </c>
      <c r="I22" s="18"/>
      <c r="J22" s="18"/>
      <c r="K22" s="18"/>
      <c r="L22" s="18"/>
      <c r="M22" s="18"/>
      <c r="N22" s="18"/>
      <c r="O22" s="18"/>
      <c r="P22" s="18"/>
      <c r="Q22" s="18"/>
      <c r="R22" s="18"/>
      <c r="S22" s="18"/>
    </row>
    <row r="23" ht="24" spans="5:19">
      <c r="E23" s="470" t="s">
        <v>398</v>
      </c>
      <c r="F23" s="1524" t="s">
        <v>399</v>
      </c>
      <c r="I23" s="18"/>
      <c r="J23" s="18"/>
      <c r="K23" s="18"/>
      <c r="L23" s="18"/>
      <c r="M23" s="18"/>
      <c r="N23" s="18"/>
      <c r="O23" s="18"/>
      <c r="P23" s="18"/>
      <c r="Q23" s="18"/>
      <c r="R23" s="18"/>
      <c r="S23" s="18"/>
    </row>
    <row r="24" spans="5:19">
      <c r="E24" s="514" t="s">
        <v>396</v>
      </c>
      <c r="F24" s="60">
        <f>F4/F8</f>
        <v>526.315789473684</v>
      </c>
      <c r="G24" s="826" t="s">
        <v>400</v>
      </c>
      <c r="I24" s="18"/>
      <c r="J24" s="18"/>
      <c r="K24" s="18"/>
      <c r="L24" s="18"/>
      <c r="M24" s="18"/>
      <c r="N24" s="18"/>
      <c r="O24" s="18"/>
      <c r="P24" s="18"/>
      <c r="Q24" s="18"/>
      <c r="R24" s="18"/>
      <c r="S24" s="18"/>
    </row>
    <row r="25" spans="2:19">
      <c r="B25" s="826" t="s">
        <v>401</v>
      </c>
      <c r="Q25" s="18"/>
      <c r="R25" s="18"/>
      <c r="S25" s="18"/>
    </row>
    <row r="26" ht="24" customHeight="1" spans="2:19">
      <c r="B26" s="826"/>
      <c r="D26" s="1726" t="s">
        <v>402</v>
      </c>
      <c r="E26" s="1726"/>
      <c r="F26" t="s">
        <v>403</v>
      </c>
      <c r="Q26" s="18"/>
      <c r="R26" s="18"/>
      <c r="S26" s="18"/>
    </row>
    <row r="27" spans="2:19">
      <c r="B27" s="826"/>
      <c r="E27" s="514" t="s">
        <v>396</v>
      </c>
      <c r="F27" s="60">
        <f>F16+F5*K5*(SIN((F17/360)*2*K6)+F11*COS((F17/360)*2*K6))</f>
        <v>7.84</v>
      </c>
      <c r="G27" t="s">
        <v>387</v>
      </c>
      <c r="Q27" s="18"/>
      <c r="R27" s="18"/>
      <c r="S27" s="18"/>
    </row>
    <row r="28" spans="2:19">
      <c r="B28" s="826"/>
      <c r="Q28" s="18"/>
      <c r="R28" s="18"/>
      <c r="S28" s="18"/>
    </row>
    <row r="29" ht="42" customHeight="1" spans="2:19">
      <c r="B29" s="826"/>
      <c r="D29" s="1726" t="s">
        <v>404</v>
      </c>
      <c r="E29" s="1726"/>
      <c r="Q29" s="18"/>
      <c r="R29" s="18"/>
      <c r="S29" s="18"/>
    </row>
    <row r="30" ht="21" customHeight="1" spans="2:19">
      <c r="B30" s="826"/>
      <c r="D30" s="1726"/>
      <c r="E30" s="1726" t="s">
        <v>396</v>
      </c>
      <c r="F30" s="60">
        <f>(F27*F8)/(2*K6*F13)</f>
        <v>0.0263418498712616</v>
      </c>
      <c r="G30" s="826" t="s">
        <v>405</v>
      </c>
      <c r="Q30" s="18"/>
      <c r="R30" s="18"/>
      <c r="S30" s="18"/>
    </row>
    <row r="32" spans="2:2">
      <c r="B32" s="826" t="s">
        <v>406</v>
      </c>
    </row>
    <row r="33" ht="36" customHeight="1" spans="3:5">
      <c r="C33" s="168" t="s">
        <v>407</v>
      </c>
      <c r="D33" s="168"/>
      <c r="E33" s="1806" t="s">
        <v>408</v>
      </c>
    </row>
    <row r="34" ht="20.25" customHeight="1" spans="3:7">
      <c r="C34" s="168" t="s">
        <v>106</v>
      </c>
      <c r="D34" s="168"/>
      <c r="E34" s="1726" t="s">
        <v>396</v>
      </c>
      <c r="F34" s="60">
        <f>F5*(F8/(2*K6))^2</f>
        <v>7.31535524597134e-5</v>
      </c>
      <c r="G34" t="s">
        <v>409</v>
      </c>
    </row>
    <row r="36" ht="39" customHeight="1" spans="3:5">
      <c r="C36" s="168" t="s">
        <v>410</v>
      </c>
      <c r="D36" s="168"/>
      <c r="E36" s="1806" t="s">
        <v>411</v>
      </c>
    </row>
    <row r="37" ht="17.4" spans="5:7">
      <c r="E37" s="470" t="s">
        <v>396</v>
      </c>
      <c r="F37" s="60">
        <f>K6*K7*F6*F7^4/32</f>
        <v>0.00119129472</v>
      </c>
      <c r="G37" t="s">
        <v>409</v>
      </c>
    </row>
    <row r="38" spans="5:5">
      <c r="E38" s="514"/>
    </row>
    <row r="39" ht="34.5" customHeight="1" spans="3:5">
      <c r="C39" t="s">
        <v>412</v>
      </c>
      <c r="E39" s="470" t="s">
        <v>413</v>
      </c>
    </row>
    <row r="40" ht="17.4" spans="5:7">
      <c r="E40" s="470" t="s">
        <v>396</v>
      </c>
      <c r="F40" s="60">
        <f>F9*F10^2/8</f>
        <v>0.000625</v>
      </c>
      <c r="G40" t="s">
        <v>409</v>
      </c>
    </row>
    <row r="41" spans="5:9">
      <c r="E41" s="514"/>
      <c r="I41" s="682"/>
    </row>
    <row r="42" ht="20.4" spans="3:6">
      <c r="C42" t="s">
        <v>414</v>
      </c>
      <c r="E42" s="470" t="s">
        <v>415</v>
      </c>
      <c r="F42" s="1524" t="s">
        <v>416</v>
      </c>
    </row>
    <row r="43" ht="17.4" spans="3:7">
      <c r="C43" t="s">
        <v>106</v>
      </c>
      <c r="E43" s="470" t="s">
        <v>396</v>
      </c>
      <c r="F43" s="60">
        <f>F34+F37+F40</f>
        <v>0.00188944827245971</v>
      </c>
      <c r="G43" t="s">
        <v>409</v>
      </c>
    </row>
    <row r="44" spans="5:5">
      <c r="E44" s="514"/>
    </row>
    <row r="45" ht="39" customHeight="1" spans="3:11">
      <c r="C45" t="s">
        <v>417</v>
      </c>
      <c r="E45" s="1537" t="s">
        <v>418</v>
      </c>
      <c r="I45" t="s">
        <v>419</v>
      </c>
      <c r="J45" s="826" t="s">
        <v>420</v>
      </c>
      <c r="K45" s="1787">
        <v>1</v>
      </c>
    </row>
    <row r="46" ht="18" spans="5:11">
      <c r="E46" s="1537" t="s">
        <v>396</v>
      </c>
      <c r="F46" s="60">
        <f>2*K6*F24*(K49+F43)/(60*F21)</f>
        <v>0.659063206509434</v>
      </c>
      <c r="G46" s="826" t="s">
        <v>405</v>
      </c>
      <c r="J46" s="826"/>
      <c r="K46" s="1804"/>
    </row>
    <row r="47" spans="5:11">
      <c r="E47" s="514"/>
      <c r="F47" s="1813"/>
      <c r="K47" s="1804"/>
    </row>
    <row r="48" spans="2:6">
      <c r="B48" t="s">
        <v>421</v>
      </c>
      <c r="E48" s="514"/>
      <c r="F48" s="1814"/>
    </row>
    <row r="49" ht="20.4" spans="3:14">
      <c r="C49" t="s">
        <v>422</v>
      </c>
      <c r="E49" s="470" t="s">
        <v>423</v>
      </c>
      <c r="F49" s="1807" t="s">
        <v>424</v>
      </c>
      <c r="I49" t="s">
        <v>425</v>
      </c>
      <c r="J49" s="826" t="s">
        <v>426</v>
      </c>
      <c r="K49" s="1787">
        <v>0.0011</v>
      </c>
      <c r="L49" t="s">
        <v>409</v>
      </c>
      <c r="N49" s="1816"/>
    </row>
    <row r="50" spans="3:14">
      <c r="C50" t="s">
        <v>106</v>
      </c>
      <c r="E50" s="470" t="s">
        <v>396</v>
      </c>
      <c r="F50" s="1815">
        <f>(F30+F46)*K45</f>
        <v>0.685405056380696</v>
      </c>
      <c r="G50" s="826" t="s">
        <v>405</v>
      </c>
      <c r="J50" s="826"/>
      <c r="K50" s="1697"/>
      <c r="N50" s="1816"/>
    </row>
    <row r="51" spans="6:6">
      <c r="F51" s="1814"/>
    </row>
    <row r="52" spans="2:2">
      <c r="B52" s="826" t="s">
        <v>427</v>
      </c>
    </row>
    <row r="53" ht="19.2" spans="3:3">
      <c r="C53" t="s">
        <v>428</v>
      </c>
    </row>
    <row r="56" spans="2:2">
      <c r="B56" s="826" t="s">
        <v>429</v>
      </c>
    </row>
    <row r="57" ht="18.6" spans="3:6">
      <c r="C57" t="s">
        <v>430</v>
      </c>
      <c r="E57" s="514" t="s">
        <v>431</v>
      </c>
      <c r="F57">
        <f>F43/K49</f>
        <v>1.71768024769065</v>
      </c>
    </row>
    <row r="59" spans="2:2">
      <c r="B59" t="s">
        <v>432</v>
      </c>
    </row>
    <row r="60" spans="2:2">
      <c r="B60" t="s">
        <v>433</v>
      </c>
    </row>
    <row r="62" ht="18.6" spans="3:11">
      <c r="C62" t="s">
        <v>434</v>
      </c>
      <c r="E62" s="514" t="s">
        <v>435</v>
      </c>
      <c r="F62">
        <f>F43/(K49*K62^2)</f>
        <v>0.107355015480666</v>
      </c>
      <c r="I62" t="s">
        <v>436</v>
      </c>
      <c r="J62" t="s">
        <v>437</v>
      </c>
      <c r="K62" s="1787">
        <v>4</v>
      </c>
    </row>
  </sheetData>
  <customSheetViews>
    <customSheetView guid="{B9330FFD-B5EF-4680-A375-DB92D4738404}" scale="75">
      <selection activeCell="K1" sqref="K1"/>
      <pageMargins left="0.75" right="0.75" top="1" bottom="1" header="0.5" footer="0.5"/>
      <pageSetup paperSize="9" orientation="portrait"/>
      <headerFooter alignWithMargins="0"/>
    </customSheetView>
  </customSheetViews>
  <mergeCells count="2">
    <mergeCell ref="D26:E26"/>
    <mergeCell ref="D29:E29"/>
  </mergeCells>
  <hyperlinks>
    <hyperlink ref="K1"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0493" progId="Equation.DSMT4" r:id="rId3">
          <objectPr defaultSize="0" r:id="rId4">
            <anchor moveWithCells="1">
              <from>
                <xdr:col>5</xdr:col>
                <xdr:colOff>0</xdr:colOff>
                <xdr:row>25</xdr:row>
                <xdr:rowOff>0</xdr:rowOff>
              </from>
              <to>
                <xdr:col>7</xdr:col>
                <xdr:colOff>228600</xdr:colOff>
                <xdr:row>25</xdr:row>
                <xdr:rowOff>276225</xdr:rowOff>
              </to>
            </anchor>
          </objectPr>
        </oleObject>
      </mc:Choice>
      <mc:Fallback>
        <oleObject shapeId="20493" progId="Equation.DSMT4" r:id="rId3"/>
      </mc:Fallback>
    </mc:AlternateContent>
    <mc:AlternateContent xmlns:mc="http://schemas.openxmlformats.org/markup-compatibility/2006">
      <mc:Choice Requires="x14">
        <oleObject shapeId="20494" progId="Equation.DSMT4" r:id="rId5">
          <objectPr defaultSize="0" r:id="rId6">
            <anchor moveWithCells="1">
              <from>
                <xdr:col>5</xdr:col>
                <xdr:colOff>66675</xdr:colOff>
                <xdr:row>27</xdr:row>
                <xdr:rowOff>190500</xdr:rowOff>
              </from>
              <to>
                <xdr:col>5</xdr:col>
                <xdr:colOff>447675</xdr:colOff>
                <xdr:row>28</xdr:row>
                <xdr:rowOff>495300</xdr:rowOff>
              </to>
            </anchor>
          </objectPr>
        </oleObject>
      </mc:Choice>
      <mc:Fallback>
        <oleObject shapeId="20494" progId="Equation.DSMT4" r:id="rId5"/>
      </mc:Fallback>
    </mc:AlternateContent>
    <mc:AlternateContent xmlns:mc="http://schemas.openxmlformats.org/markup-compatibility/2006">
      <mc:Choice Requires="x14">
        <oleObject shapeId="20495" progId="Equation.DSMT4" r:id="rId7">
          <objectPr defaultSize="0" r:id="rId8">
            <anchor moveWithCells="1">
              <from>
                <xdr:col>5</xdr:col>
                <xdr:colOff>0</xdr:colOff>
                <xdr:row>32</xdr:row>
                <xdr:rowOff>0</xdr:rowOff>
              </from>
              <to>
                <xdr:col>5</xdr:col>
                <xdr:colOff>600075</xdr:colOff>
                <xdr:row>33</xdr:row>
                <xdr:rowOff>0</xdr:rowOff>
              </to>
            </anchor>
          </objectPr>
        </oleObject>
      </mc:Choice>
      <mc:Fallback>
        <oleObject shapeId="20495" progId="Equation.DSMT4" r:id="rId7"/>
      </mc:Fallback>
    </mc:AlternateContent>
    <mc:AlternateContent xmlns:mc="http://schemas.openxmlformats.org/markup-compatibility/2006">
      <mc:Choice Requires="x14">
        <oleObject shapeId="20496" progId="Equation.DSMT4" r:id="rId9">
          <objectPr defaultSize="0" r:id="rId10">
            <anchor moveWithCells="1">
              <from>
                <xdr:col>5</xdr:col>
                <xdr:colOff>0</xdr:colOff>
                <xdr:row>35</xdr:row>
                <xdr:rowOff>0</xdr:rowOff>
              </from>
              <to>
                <xdr:col>5</xdr:col>
                <xdr:colOff>866775</xdr:colOff>
                <xdr:row>36</xdr:row>
                <xdr:rowOff>9525</xdr:rowOff>
              </to>
            </anchor>
          </objectPr>
        </oleObject>
      </mc:Choice>
      <mc:Fallback>
        <oleObject shapeId="20496" progId="Equation.DSMT4" r:id="rId9"/>
      </mc:Fallback>
    </mc:AlternateContent>
    <mc:AlternateContent xmlns:mc="http://schemas.openxmlformats.org/markup-compatibility/2006">
      <mc:Choice Requires="x14">
        <oleObject shapeId="20497" progId="Equation.DSMT4" r:id="rId11">
          <objectPr defaultSize="0" r:id="rId12">
            <anchor moveWithCells="1">
              <from>
                <xdr:col>5</xdr:col>
                <xdr:colOff>0</xdr:colOff>
                <xdr:row>38</xdr:row>
                <xdr:rowOff>0</xdr:rowOff>
              </from>
              <to>
                <xdr:col>5</xdr:col>
                <xdr:colOff>561975</xdr:colOff>
                <xdr:row>39</xdr:row>
                <xdr:rowOff>9525</xdr:rowOff>
              </to>
            </anchor>
          </objectPr>
        </oleObject>
      </mc:Choice>
      <mc:Fallback>
        <oleObject shapeId="20497" progId="Equation.DSMT4" r:id="rId11"/>
      </mc:Fallback>
    </mc:AlternateContent>
    <mc:AlternateContent xmlns:mc="http://schemas.openxmlformats.org/markup-compatibility/2006">
      <mc:Choice Requires="x14">
        <oleObject shapeId="20498" progId="Equation.DSMT4" r:id="rId13">
          <objectPr defaultSize="0" r:id="rId14">
            <anchor moveWithCells="1">
              <from>
                <xdr:col>5</xdr:col>
                <xdr:colOff>38100</xdr:colOff>
                <xdr:row>44</xdr:row>
                <xdr:rowOff>9525</xdr:rowOff>
              </from>
              <to>
                <xdr:col>6</xdr:col>
                <xdr:colOff>104775</xdr:colOff>
                <xdr:row>44</xdr:row>
                <xdr:rowOff>485775</xdr:rowOff>
              </to>
            </anchor>
          </objectPr>
        </oleObject>
      </mc:Choice>
      <mc:Fallback>
        <oleObject shapeId="20498" progId="Equation.DSMT4" r:id="rId13"/>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62"/>
  <sheetViews>
    <sheetView zoomScale="75" zoomScaleNormal="75" workbookViewId="0">
      <selection activeCell="P21" sqref="P21"/>
    </sheetView>
  </sheetViews>
  <sheetFormatPr defaultColWidth="9" defaultRowHeight="15.6"/>
  <cols>
    <col min="3" max="3" width="11.375" customWidth="1"/>
    <col min="4" max="4" width="13.375" customWidth="1"/>
    <col min="6" max="6" width="14.375" customWidth="1"/>
    <col min="9" max="9" width="19.125" customWidth="1"/>
    <col min="11" max="11" width="11" customWidth="1"/>
    <col min="12" max="12" width="14.5" customWidth="1"/>
  </cols>
  <sheetData>
    <row r="1" ht="25.8" spans="4:11">
      <c r="D1" s="949"/>
      <c r="E1" s="949"/>
      <c r="F1" s="949" t="s">
        <v>438</v>
      </c>
      <c r="K1" s="155" t="s">
        <v>88</v>
      </c>
    </row>
    <row r="2" spans="2:2">
      <c r="B2" t="s">
        <v>350</v>
      </c>
    </row>
    <row r="4" spans="3:11">
      <c r="C4" s="1785" t="s">
        <v>351</v>
      </c>
      <c r="D4" s="1785"/>
      <c r="E4" s="1788" t="s">
        <v>352</v>
      </c>
      <c r="F4" s="1787">
        <v>24</v>
      </c>
      <c r="G4" s="1788" t="s">
        <v>353</v>
      </c>
      <c r="H4" t="s">
        <v>319</v>
      </c>
      <c r="I4" s="1785" t="s">
        <v>354</v>
      </c>
      <c r="J4" s="1785"/>
      <c r="K4" s="1785"/>
    </row>
    <row r="5" spans="3:12">
      <c r="C5" s="1785" t="s">
        <v>355</v>
      </c>
      <c r="D5" s="1785"/>
      <c r="E5" s="1788" t="s">
        <v>356</v>
      </c>
      <c r="F5" s="1787">
        <v>30</v>
      </c>
      <c r="G5" s="1788" t="s">
        <v>357</v>
      </c>
      <c r="H5" t="s">
        <v>319</v>
      </c>
      <c r="I5" s="1785"/>
      <c r="J5" s="1788" t="s">
        <v>358</v>
      </c>
      <c r="K5" s="1785">
        <v>9.8</v>
      </c>
      <c r="L5" t="s">
        <v>359</v>
      </c>
    </row>
    <row r="6" ht="19.2" spans="3:11">
      <c r="C6" s="1785" t="s">
        <v>439</v>
      </c>
      <c r="D6" s="1785"/>
      <c r="E6" s="1788" t="s">
        <v>361</v>
      </c>
      <c r="F6" s="1787">
        <v>1.4</v>
      </c>
      <c r="G6" s="1788" t="s">
        <v>320</v>
      </c>
      <c r="H6" t="s">
        <v>319</v>
      </c>
      <c r="I6" s="1785"/>
      <c r="J6" s="1788" t="s">
        <v>362</v>
      </c>
      <c r="K6" s="1785">
        <v>3.1416</v>
      </c>
    </row>
    <row r="7" ht="19.8" spans="3:12">
      <c r="C7" s="1785" t="s">
        <v>363</v>
      </c>
      <c r="D7" s="1785"/>
      <c r="E7" s="1788" t="s">
        <v>364</v>
      </c>
      <c r="F7" s="1787">
        <v>0.035</v>
      </c>
      <c r="G7" s="1788" t="s">
        <v>320</v>
      </c>
      <c r="H7" t="s">
        <v>319</v>
      </c>
      <c r="I7" s="1785" t="s">
        <v>365</v>
      </c>
      <c r="J7" s="1788" t="s">
        <v>366</v>
      </c>
      <c r="K7" s="1787">
        <v>7900</v>
      </c>
      <c r="L7" t="s">
        <v>367</v>
      </c>
    </row>
    <row r="8" ht="19.2" spans="3:16">
      <c r="C8" s="1785" t="s">
        <v>368</v>
      </c>
      <c r="D8" s="1785"/>
      <c r="E8" s="1788" t="s">
        <v>369</v>
      </c>
      <c r="F8" s="1787">
        <v>0.025</v>
      </c>
      <c r="G8" s="1788" t="s">
        <v>320</v>
      </c>
      <c r="H8" t="s">
        <v>319</v>
      </c>
      <c r="I8" s="18"/>
      <c r="J8" s="18"/>
      <c r="K8" s="18"/>
      <c r="L8" s="18"/>
      <c r="M8" s="18"/>
      <c r="N8" s="18"/>
      <c r="O8" s="18"/>
      <c r="P8" s="18"/>
    </row>
    <row r="9" ht="19.2" spans="3:16">
      <c r="C9" s="1785" t="s">
        <v>370</v>
      </c>
      <c r="D9" s="1785"/>
      <c r="E9" s="1788" t="s">
        <v>371</v>
      </c>
      <c r="F9" s="1787">
        <v>0.5</v>
      </c>
      <c r="G9" s="1788" t="s">
        <v>357</v>
      </c>
      <c r="H9" t="s">
        <v>319</v>
      </c>
      <c r="I9" s="18"/>
      <c r="J9" s="18"/>
      <c r="K9" s="18"/>
      <c r="L9" s="18"/>
      <c r="M9" s="18"/>
      <c r="N9" s="18"/>
      <c r="O9" s="18"/>
      <c r="P9" s="18"/>
    </row>
    <row r="10" ht="19.2" spans="3:16">
      <c r="C10" s="1785" t="s">
        <v>372</v>
      </c>
      <c r="D10" s="1785"/>
      <c r="E10" s="1788" t="s">
        <v>373</v>
      </c>
      <c r="F10" s="1787">
        <v>0.05</v>
      </c>
      <c r="G10" s="1788" t="s">
        <v>320</v>
      </c>
      <c r="H10" t="s">
        <v>319</v>
      </c>
      <c r="I10" s="18"/>
      <c r="J10" s="18"/>
      <c r="K10" s="18"/>
      <c r="L10" s="18"/>
      <c r="M10" s="18"/>
      <c r="N10" s="18"/>
      <c r="O10" s="18"/>
      <c r="P10" s="18"/>
    </row>
    <row r="11" spans="3:16">
      <c r="C11" s="1785" t="s">
        <v>374</v>
      </c>
      <c r="D11" s="1785"/>
      <c r="E11" s="1788" t="s">
        <v>375</v>
      </c>
      <c r="F11" s="1787">
        <v>0.1</v>
      </c>
      <c r="G11" s="1785"/>
      <c r="H11" t="s">
        <v>319</v>
      </c>
      <c r="I11" s="18"/>
      <c r="J11" s="18"/>
      <c r="K11" s="18"/>
      <c r="L11" s="18"/>
      <c r="M11" s="18"/>
      <c r="N11" s="18"/>
      <c r="O11" s="18"/>
      <c r="P11" s="18"/>
    </row>
    <row r="12" spans="3:16">
      <c r="C12" s="1785" t="s">
        <v>376</v>
      </c>
      <c r="D12" s="1785"/>
      <c r="E12" s="1788" t="s">
        <v>377</v>
      </c>
      <c r="F12" s="1787">
        <v>1.2</v>
      </c>
      <c r="G12" s="1788" t="s">
        <v>320</v>
      </c>
      <c r="I12" s="18"/>
      <c r="J12" s="18"/>
      <c r="K12" s="18"/>
      <c r="L12" s="18"/>
      <c r="M12" s="18"/>
      <c r="N12" s="18"/>
      <c r="O12" s="18"/>
      <c r="P12" s="18"/>
    </row>
    <row r="13" spans="3:19">
      <c r="C13" s="1785" t="s">
        <v>378</v>
      </c>
      <c r="D13" s="1785"/>
      <c r="E13" s="1788" t="s">
        <v>379</v>
      </c>
      <c r="F13" s="1787">
        <v>0.9</v>
      </c>
      <c r="G13" s="1785"/>
      <c r="H13" t="s">
        <v>319</v>
      </c>
      <c r="I13" s="18"/>
      <c r="J13" s="18"/>
      <c r="K13" s="18"/>
      <c r="L13" s="18"/>
      <c r="M13" s="18"/>
      <c r="N13" s="18"/>
      <c r="O13" s="18"/>
      <c r="P13" s="18"/>
      <c r="Q13" s="18"/>
      <c r="R13" s="18"/>
      <c r="S13" s="18"/>
    </row>
    <row r="14" spans="3:19">
      <c r="C14" s="1785" t="s">
        <v>380</v>
      </c>
      <c r="D14" s="1785"/>
      <c r="E14" s="1788" t="s">
        <v>440</v>
      </c>
      <c r="F14" s="1787">
        <v>3</v>
      </c>
      <c r="G14" s="1788" t="s">
        <v>382</v>
      </c>
      <c r="H14" t="s">
        <v>319</v>
      </c>
      <c r="I14" s="18"/>
      <c r="J14" s="18"/>
      <c r="K14" s="18"/>
      <c r="L14" s="18"/>
      <c r="M14" s="18"/>
      <c r="N14" s="18"/>
      <c r="O14" s="18"/>
      <c r="P14" s="18"/>
      <c r="Q14" s="18"/>
      <c r="R14" s="18"/>
      <c r="S14" s="18"/>
    </row>
    <row r="15" spans="3:19">
      <c r="C15" s="1785" t="s">
        <v>383</v>
      </c>
      <c r="D15" s="1785"/>
      <c r="E15" s="1788" t="s">
        <v>384</v>
      </c>
      <c r="F15" s="1796">
        <v>0.25</v>
      </c>
      <c r="G15" s="1785"/>
      <c r="H15" t="s">
        <v>319</v>
      </c>
      <c r="I15" s="18"/>
      <c r="J15" s="18"/>
      <c r="K15" s="18"/>
      <c r="L15" s="18"/>
      <c r="M15" s="18"/>
      <c r="N15" s="18"/>
      <c r="O15" s="18"/>
      <c r="P15" s="18"/>
      <c r="Q15" s="18"/>
      <c r="R15" s="18"/>
      <c r="S15" s="18"/>
    </row>
    <row r="16" ht="19.2" spans="3:19">
      <c r="C16" s="1785" t="s">
        <v>385</v>
      </c>
      <c r="D16" s="1785"/>
      <c r="E16" s="1788" t="s">
        <v>386</v>
      </c>
      <c r="F16" s="1795">
        <v>0</v>
      </c>
      <c r="G16" s="1788" t="s">
        <v>387</v>
      </c>
      <c r="I16" s="18"/>
      <c r="J16" s="18"/>
      <c r="K16" s="18"/>
      <c r="L16" s="18"/>
      <c r="M16" s="18"/>
      <c r="N16" s="18"/>
      <c r="O16" s="18"/>
      <c r="P16" s="18"/>
      <c r="Q16" s="18"/>
      <c r="R16" s="18"/>
      <c r="S16" s="18"/>
    </row>
    <row r="17" ht="18" spans="3:19">
      <c r="C17" s="1785" t="s">
        <v>388</v>
      </c>
      <c r="D17" s="1785"/>
      <c r="E17" s="1810" t="s">
        <v>389</v>
      </c>
      <c r="F17" s="1795">
        <v>90</v>
      </c>
      <c r="G17" s="1785" t="s">
        <v>390</v>
      </c>
      <c r="I17" s="18"/>
      <c r="J17" s="18"/>
      <c r="K17" s="18"/>
      <c r="L17" s="18"/>
      <c r="M17" s="18"/>
      <c r="N17" s="18"/>
      <c r="O17" s="18"/>
      <c r="P17" s="18"/>
      <c r="Q17" s="18"/>
      <c r="R17" s="18"/>
      <c r="S17" s="18"/>
    </row>
    <row r="18" ht="18" spans="3:19">
      <c r="C18" s="1697"/>
      <c r="D18" s="1697"/>
      <c r="E18" s="1797"/>
      <c r="F18" s="1720"/>
      <c r="G18" s="1697"/>
      <c r="N18" s="18"/>
      <c r="O18" s="18"/>
      <c r="P18" s="18"/>
      <c r="Q18" s="18"/>
      <c r="R18" s="18"/>
      <c r="S18" s="18"/>
    </row>
    <row r="19" spans="2:19">
      <c r="B19" s="826" t="s">
        <v>391</v>
      </c>
      <c r="F19" s="826"/>
      <c r="I19" s="18"/>
      <c r="J19" s="18"/>
      <c r="K19" s="18"/>
      <c r="L19" s="18"/>
      <c r="M19" s="18"/>
      <c r="N19" s="18"/>
      <c r="O19" s="18"/>
      <c r="P19" s="18"/>
      <c r="Q19" s="18"/>
      <c r="R19" s="18"/>
      <c r="S19" s="18"/>
    </row>
    <row r="20" ht="21" spans="3:19">
      <c r="C20" t="s">
        <v>392</v>
      </c>
      <c r="E20" s="1811" t="s">
        <v>393</v>
      </c>
      <c r="F20" s="1812" t="s">
        <v>394</v>
      </c>
      <c r="G20" s="826"/>
      <c r="H20" t="s">
        <v>395</v>
      </c>
      <c r="I20" s="18"/>
      <c r="J20" s="18"/>
      <c r="K20" s="18"/>
      <c r="L20" s="18"/>
      <c r="M20" s="18"/>
      <c r="N20" s="18"/>
      <c r="O20" s="18"/>
      <c r="P20" s="18"/>
      <c r="Q20" s="18"/>
      <c r="R20" s="18"/>
      <c r="S20" s="18"/>
    </row>
    <row r="21" spans="5:19">
      <c r="E21" s="514" t="s">
        <v>396</v>
      </c>
      <c r="F21" s="73">
        <f>F14*F15</f>
        <v>0.75</v>
      </c>
      <c r="G21" t="s">
        <v>382</v>
      </c>
      <c r="I21" s="18"/>
      <c r="J21" s="18"/>
      <c r="K21" s="18"/>
      <c r="L21" s="18"/>
      <c r="M21" s="18"/>
      <c r="N21" s="18"/>
      <c r="O21" s="18"/>
      <c r="P21" s="18"/>
      <c r="Q21" s="18"/>
      <c r="R21" s="18"/>
      <c r="S21" s="18"/>
    </row>
    <row r="22" spans="2:19">
      <c r="B22" s="826" t="s">
        <v>397</v>
      </c>
      <c r="I22" s="18"/>
      <c r="J22" s="18"/>
      <c r="K22" s="18"/>
      <c r="L22" s="18"/>
      <c r="M22" s="18"/>
      <c r="N22" s="18"/>
      <c r="O22" s="18"/>
      <c r="P22" s="18"/>
      <c r="Q22" s="18"/>
      <c r="R22" s="18"/>
      <c r="S22" s="18"/>
    </row>
    <row r="23" ht="20.4" spans="5:19">
      <c r="E23" s="470" t="s">
        <v>398</v>
      </c>
      <c r="F23" s="1524" t="s">
        <v>441</v>
      </c>
      <c r="I23" s="18"/>
      <c r="J23" s="18"/>
      <c r="K23" s="18"/>
      <c r="L23" s="18"/>
      <c r="M23" s="18"/>
      <c r="N23" s="18"/>
      <c r="O23" s="18"/>
      <c r="P23" s="18"/>
      <c r="Q23" s="18"/>
      <c r="R23" s="18"/>
      <c r="S23" s="18"/>
    </row>
    <row r="24" spans="5:19">
      <c r="E24" s="514" t="s">
        <v>396</v>
      </c>
      <c r="F24" s="60">
        <f>F4/F8</f>
        <v>960</v>
      </c>
      <c r="G24" s="826" t="s">
        <v>400</v>
      </c>
      <c r="I24" s="18"/>
      <c r="J24" s="18"/>
      <c r="K24" s="18"/>
      <c r="L24" s="18"/>
      <c r="M24" s="18"/>
      <c r="N24" s="18"/>
      <c r="O24" s="18"/>
      <c r="P24" s="18"/>
      <c r="Q24" s="18"/>
      <c r="R24" s="18"/>
      <c r="S24" s="18"/>
    </row>
    <row r="25" spans="2:19">
      <c r="B25" s="826" t="s">
        <v>401</v>
      </c>
      <c r="I25" s="18"/>
      <c r="J25" s="18"/>
      <c r="K25" s="18"/>
      <c r="L25" s="18"/>
      <c r="M25" s="18"/>
      <c r="N25" s="18"/>
      <c r="O25" s="18"/>
      <c r="Q25" s="18"/>
      <c r="R25" s="18"/>
      <c r="S25" s="18"/>
    </row>
    <row r="26" ht="24" customHeight="1" spans="2:19">
      <c r="B26" s="826"/>
      <c r="C26" t="s">
        <v>442</v>
      </c>
      <c r="D26" s="1726" t="s">
        <v>443</v>
      </c>
      <c r="E26" s="1726"/>
      <c r="F26" t="s">
        <v>403</v>
      </c>
      <c r="I26" s="18"/>
      <c r="J26" s="18"/>
      <c r="K26" s="18"/>
      <c r="L26" s="18"/>
      <c r="M26" s="18"/>
      <c r="N26" s="18"/>
      <c r="O26" s="18"/>
      <c r="Q26" s="18"/>
      <c r="R26" s="18"/>
      <c r="S26" s="18"/>
    </row>
    <row r="27" spans="2:19">
      <c r="B27" s="826"/>
      <c r="C27" t="s">
        <v>106</v>
      </c>
      <c r="E27" s="514" t="s">
        <v>396</v>
      </c>
      <c r="F27" s="60">
        <f>F16+F5*K5*(SIN((F17/360)*2*K6)+F11*COS((F17/360)*2*K6))</f>
        <v>293.999892005787</v>
      </c>
      <c r="G27" t="s">
        <v>405</v>
      </c>
      <c r="I27" s="18"/>
      <c r="J27" s="18"/>
      <c r="K27" s="18"/>
      <c r="L27" s="18"/>
      <c r="M27" s="18"/>
      <c r="N27" s="18"/>
      <c r="O27" s="18"/>
      <c r="Q27" s="18"/>
      <c r="R27" s="18"/>
      <c r="S27" s="18"/>
    </row>
    <row r="28" spans="2:19">
      <c r="B28" s="826"/>
      <c r="I28" s="18"/>
      <c r="J28" s="18"/>
      <c r="K28" s="18"/>
      <c r="L28" s="18"/>
      <c r="M28" s="18"/>
      <c r="N28" s="18"/>
      <c r="O28" s="18"/>
      <c r="Q28" s="18"/>
      <c r="R28" s="18"/>
      <c r="S28" s="18"/>
    </row>
    <row r="29" ht="42" customHeight="1" spans="2:19">
      <c r="B29" s="826"/>
      <c r="C29" s="168" t="s">
        <v>444</v>
      </c>
      <c r="D29" s="1726" t="s">
        <v>445</v>
      </c>
      <c r="E29" s="1726"/>
      <c r="I29" s="18"/>
      <c r="J29" s="18"/>
      <c r="K29" s="18"/>
      <c r="L29" s="18"/>
      <c r="M29" s="18"/>
      <c r="N29" s="18"/>
      <c r="O29" s="18"/>
      <c r="Q29" s="18"/>
      <c r="R29" s="18"/>
      <c r="S29" s="18"/>
    </row>
    <row r="30" ht="21" customHeight="1" spans="2:19">
      <c r="B30" s="826"/>
      <c r="D30" s="1726"/>
      <c r="E30" s="1726" t="s">
        <v>396</v>
      </c>
      <c r="F30" s="60">
        <f>(F27*F8)/(2*K6*F13)</f>
        <v>1.29976185173596</v>
      </c>
      <c r="G30" s="826" t="s">
        <v>405</v>
      </c>
      <c r="I30" s="18"/>
      <c r="J30" s="18"/>
      <c r="K30" s="18"/>
      <c r="L30" s="18"/>
      <c r="M30" s="18"/>
      <c r="N30" s="18"/>
      <c r="O30" s="18"/>
      <c r="Q30" s="18"/>
      <c r="R30" s="18"/>
      <c r="S30" s="18"/>
    </row>
    <row r="31" spans="9:15">
      <c r="I31" s="18"/>
      <c r="J31" s="18"/>
      <c r="K31" s="18"/>
      <c r="L31" s="18"/>
      <c r="M31" s="18"/>
      <c r="N31" s="18"/>
      <c r="O31" s="18"/>
    </row>
    <row r="32" spans="2:15">
      <c r="B32" s="826" t="s">
        <v>406</v>
      </c>
      <c r="I32" s="18"/>
      <c r="J32" s="18"/>
      <c r="K32" s="18"/>
      <c r="L32" s="18"/>
      <c r="M32" s="18"/>
      <c r="N32" s="18"/>
      <c r="O32" s="18"/>
    </row>
    <row r="33" ht="36" customHeight="1" spans="3:15">
      <c r="C33" s="168" t="s">
        <v>407</v>
      </c>
      <c r="D33" s="168"/>
      <c r="E33" s="1806" t="s">
        <v>408</v>
      </c>
      <c r="I33" s="18"/>
      <c r="J33" s="18"/>
      <c r="K33" s="18"/>
      <c r="L33" s="18"/>
      <c r="M33" s="18"/>
      <c r="N33" s="18"/>
      <c r="O33" s="18"/>
    </row>
    <row r="34" ht="20.25" customHeight="1" spans="3:7">
      <c r="C34" s="168" t="s">
        <v>106</v>
      </c>
      <c r="D34" s="168"/>
      <c r="E34" s="1726" t="s">
        <v>396</v>
      </c>
      <c r="F34" s="60">
        <f>F5*(F8/(2*K6))^2</f>
        <v>0.000474940827084358</v>
      </c>
      <c r="G34" t="s">
        <v>409</v>
      </c>
    </row>
    <row r="36" ht="39" customHeight="1" spans="3:5">
      <c r="C36" s="168" t="s">
        <v>410</v>
      </c>
      <c r="D36" s="168"/>
      <c r="E36" s="1806" t="s">
        <v>411</v>
      </c>
    </row>
    <row r="37" ht="17.4" spans="5:7">
      <c r="E37" s="470" t="s">
        <v>396</v>
      </c>
      <c r="F37" s="60">
        <f>K6*K7*F6*F7^4/32</f>
        <v>0.0016294018846875</v>
      </c>
      <c r="G37" t="s">
        <v>409</v>
      </c>
    </row>
    <row r="38" spans="5:5">
      <c r="E38" s="514"/>
    </row>
    <row r="39" ht="34.5" customHeight="1" spans="3:5">
      <c r="C39" s="168" t="s">
        <v>412</v>
      </c>
      <c r="E39" s="470" t="s">
        <v>413</v>
      </c>
    </row>
    <row r="40" ht="17.4" spans="5:7">
      <c r="E40" s="470" t="s">
        <v>396</v>
      </c>
      <c r="F40" s="60">
        <f>F9*F10^2/8</f>
        <v>0.00015625</v>
      </c>
      <c r="G40" t="s">
        <v>409</v>
      </c>
    </row>
    <row r="41" spans="5:9">
      <c r="E41" s="514"/>
      <c r="I41" s="682"/>
    </row>
    <row r="42" ht="20.4" spans="3:6">
      <c r="C42" t="s">
        <v>414</v>
      </c>
      <c r="E42" s="470" t="s">
        <v>415</v>
      </c>
      <c r="F42" s="1524" t="s">
        <v>416</v>
      </c>
    </row>
    <row r="43" ht="17.4" spans="5:7">
      <c r="E43" s="470" t="s">
        <v>396</v>
      </c>
      <c r="F43" s="60">
        <f>F34+F37+F40</f>
        <v>0.00226059271177186</v>
      </c>
      <c r="G43" t="s">
        <v>409</v>
      </c>
    </row>
    <row r="44" spans="5:5">
      <c r="E44" s="514"/>
    </row>
    <row r="45" ht="39" customHeight="1" spans="3:11">
      <c r="C45" s="168" t="s">
        <v>417</v>
      </c>
      <c r="E45" s="1537" t="s">
        <v>418</v>
      </c>
      <c r="I45" t="s">
        <v>419</v>
      </c>
      <c r="J45" s="826" t="s">
        <v>420</v>
      </c>
      <c r="K45" s="1787">
        <v>2</v>
      </c>
    </row>
    <row r="46" ht="18" spans="5:11">
      <c r="E46" s="1537" t="s">
        <v>396</v>
      </c>
      <c r="F46" s="60">
        <f>2*K6*F24*(K49+F43)/(60*F21)</f>
        <v>0.329821784034239</v>
      </c>
      <c r="G46" s="826" t="s">
        <v>405</v>
      </c>
      <c r="J46" s="826"/>
      <c r="K46" s="1804"/>
    </row>
    <row r="47" spans="5:11">
      <c r="E47" s="514"/>
      <c r="F47" s="1813"/>
      <c r="K47" s="1804"/>
    </row>
    <row r="48" spans="2:6">
      <c r="B48" t="s">
        <v>421</v>
      </c>
      <c r="E48" s="514"/>
      <c r="F48" s="1814"/>
    </row>
    <row r="49" ht="20.4" spans="3:14">
      <c r="C49" t="s">
        <v>422</v>
      </c>
      <c r="E49" s="470" t="s">
        <v>423</v>
      </c>
      <c r="F49" s="1807" t="s">
        <v>424</v>
      </c>
      <c r="I49" t="s">
        <v>425</v>
      </c>
      <c r="J49" s="826" t="s">
        <v>426</v>
      </c>
      <c r="K49" s="1787">
        <v>0.0002</v>
      </c>
      <c r="L49" t="s">
        <v>409</v>
      </c>
      <c r="N49" s="1816"/>
    </row>
    <row r="50" spans="5:14">
      <c r="E50" s="470" t="s">
        <v>396</v>
      </c>
      <c r="F50" s="1815">
        <f>(F30+F46)*K45</f>
        <v>3.2591672715404</v>
      </c>
      <c r="G50" s="826" t="s">
        <v>405</v>
      </c>
      <c r="J50" s="826"/>
      <c r="K50" s="1697"/>
      <c r="N50" s="1816"/>
    </row>
    <row r="51" spans="6:6">
      <c r="F51" s="1814"/>
    </row>
    <row r="52" spans="2:2">
      <c r="B52" s="826" t="s">
        <v>427</v>
      </c>
    </row>
    <row r="53" ht="19.2" spans="3:3">
      <c r="C53" t="s">
        <v>428</v>
      </c>
    </row>
    <row r="54" spans="3:3">
      <c r="C54" t="s">
        <v>106</v>
      </c>
    </row>
    <row r="56" spans="2:2">
      <c r="B56" s="826" t="s">
        <v>429</v>
      </c>
    </row>
    <row r="57" ht="18.6" spans="5:6">
      <c r="E57" s="514" t="s">
        <v>431</v>
      </c>
      <c r="F57">
        <f>F43/K49</f>
        <v>11.3029635588593</v>
      </c>
    </row>
    <row r="59" spans="2:4">
      <c r="B59" t="s">
        <v>432</v>
      </c>
      <c r="D59" t="s">
        <v>106</v>
      </c>
    </row>
    <row r="60" spans="2:2">
      <c r="B60" t="s">
        <v>433</v>
      </c>
    </row>
    <row r="62" ht="18.6" spans="5:11">
      <c r="E62" s="514" t="s">
        <v>435</v>
      </c>
      <c r="F62">
        <f>F43/(K49*K62^2)</f>
        <v>2.82574088971482</v>
      </c>
      <c r="I62" t="s">
        <v>436</v>
      </c>
      <c r="J62" t="s">
        <v>437</v>
      </c>
      <c r="K62" s="1787">
        <v>2</v>
      </c>
    </row>
  </sheetData>
  <customSheetViews>
    <customSheetView guid="{B9330FFD-B5EF-4680-A375-DB92D4738404}" scale="75">
      <selection activeCell="K1" sqref="K1"/>
      <pageMargins left="0.75" right="0.75" top="1" bottom="1" header="0.5" footer="0.5"/>
      <pageSetup paperSize="9" orientation="portrait"/>
      <headerFooter alignWithMargins="0"/>
    </customSheetView>
  </customSheetViews>
  <mergeCells count="2">
    <mergeCell ref="D26:E26"/>
    <mergeCell ref="D29:E29"/>
  </mergeCells>
  <hyperlinks>
    <hyperlink ref="K1"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1517" progId="Equation.DSMT4" r:id="rId3">
          <objectPr defaultSize="0" r:id="rId4">
            <anchor moveWithCells="1">
              <from>
                <xdr:col>5</xdr:col>
                <xdr:colOff>0</xdr:colOff>
                <xdr:row>25</xdr:row>
                <xdr:rowOff>0</xdr:rowOff>
              </from>
              <to>
                <xdr:col>7</xdr:col>
                <xdr:colOff>228600</xdr:colOff>
                <xdr:row>25</xdr:row>
                <xdr:rowOff>276225</xdr:rowOff>
              </to>
            </anchor>
          </objectPr>
        </oleObject>
      </mc:Choice>
      <mc:Fallback>
        <oleObject shapeId="21517" progId="Equation.DSMT4" r:id="rId3"/>
      </mc:Fallback>
    </mc:AlternateContent>
    <mc:AlternateContent xmlns:mc="http://schemas.openxmlformats.org/markup-compatibility/2006">
      <mc:Choice Requires="x14">
        <oleObject shapeId="21518" progId="Equation.DSMT4" r:id="rId5">
          <objectPr defaultSize="0" r:id="rId6">
            <anchor moveWithCells="1">
              <from>
                <xdr:col>5</xdr:col>
                <xdr:colOff>66675</xdr:colOff>
                <xdr:row>27</xdr:row>
                <xdr:rowOff>190500</xdr:rowOff>
              </from>
              <to>
                <xdr:col>5</xdr:col>
                <xdr:colOff>476250</xdr:colOff>
                <xdr:row>29</xdr:row>
                <xdr:rowOff>0</xdr:rowOff>
              </to>
            </anchor>
          </objectPr>
        </oleObject>
      </mc:Choice>
      <mc:Fallback>
        <oleObject shapeId="21518" progId="Equation.DSMT4" r:id="rId5"/>
      </mc:Fallback>
    </mc:AlternateContent>
    <mc:AlternateContent xmlns:mc="http://schemas.openxmlformats.org/markup-compatibility/2006">
      <mc:Choice Requires="x14">
        <oleObject shapeId="21519" progId="Equation.DSMT4" r:id="rId7">
          <objectPr defaultSize="0" r:id="rId8">
            <anchor moveWithCells="1">
              <from>
                <xdr:col>5</xdr:col>
                <xdr:colOff>0</xdr:colOff>
                <xdr:row>32</xdr:row>
                <xdr:rowOff>0</xdr:rowOff>
              </from>
              <to>
                <xdr:col>5</xdr:col>
                <xdr:colOff>647700</xdr:colOff>
                <xdr:row>33</xdr:row>
                <xdr:rowOff>38100</xdr:rowOff>
              </to>
            </anchor>
          </objectPr>
        </oleObject>
      </mc:Choice>
      <mc:Fallback>
        <oleObject shapeId="21519" progId="Equation.DSMT4" r:id="rId7"/>
      </mc:Fallback>
    </mc:AlternateContent>
    <mc:AlternateContent xmlns:mc="http://schemas.openxmlformats.org/markup-compatibility/2006">
      <mc:Choice Requires="x14">
        <oleObject shapeId="21520" progId="Equation.DSMT4" r:id="rId9">
          <objectPr defaultSize="0" r:id="rId10">
            <anchor moveWithCells="1">
              <from>
                <xdr:col>5</xdr:col>
                <xdr:colOff>0</xdr:colOff>
                <xdr:row>35</xdr:row>
                <xdr:rowOff>0</xdr:rowOff>
              </from>
              <to>
                <xdr:col>5</xdr:col>
                <xdr:colOff>866775</xdr:colOff>
                <xdr:row>36</xdr:row>
                <xdr:rowOff>9525</xdr:rowOff>
              </to>
            </anchor>
          </objectPr>
        </oleObject>
      </mc:Choice>
      <mc:Fallback>
        <oleObject shapeId="21520" progId="Equation.DSMT4" r:id="rId9"/>
      </mc:Fallback>
    </mc:AlternateContent>
    <mc:AlternateContent xmlns:mc="http://schemas.openxmlformats.org/markup-compatibility/2006">
      <mc:Choice Requires="x14">
        <oleObject shapeId="21521" progId="Equation.DSMT4" r:id="rId11">
          <objectPr defaultSize="0" r:id="rId12">
            <anchor moveWithCells="1">
              <from>
                <xdr:col>5</xdr:col>
                <xdr:colOff>0</xdr:colOff>
                <xdr:row>38</xdr:row>
                <xdr:rowOff>0</xdr:rowOff>
              </from>
              <to>
                <xdr:col>5</xdr:col>
                <xdr:colOff>561975</xdr:colOff>
                <xdr:row>39</xdr:row>
                <xdr:rowOff>9525</xdr:rowOff>
              </to>
            </anchor>
          </objectPr>
        </oleObject>
      </mc:Choice>
      <mc:Fallback>
        <oleObject shapeId="21521" progId="Equation.DSMT4" r:id="rId11"/>
      </mc:Fallback>
    </mc:AlternateContent>
    <mc:AlternateContent xmlns:mc="http://schemas.openxmlformats.org/markup-compatibility/2006">
      <mc:Choice Requires="x14">
        <oleObject shapeId="21522" progId="Equation.DSMT4" r:id="rId13">
          <objectPr defaultSize="0" r:id="rId14">
            <anchor moveWithCells="1">
              <from>
                <xdr:col>5</xdr:col>
                <xdr:colOff>38100</xdr:colOff>
                <xdr:row>44</xdr:row>
                <xdr:rowOff>9525</xdr:rowOff>
              </from>
              <to>
                <xdr:col>6</xdr:col>
                <xdr:colOff>104775</xdr:colOff>
                <xdr:row>44</xdr:row>
                <xdr:rowOff>485775</xdr:rowOff>
              </to>
            </anchor>
          </objectPr>
        </oleObject>
      </mc:Choice>
      <mc:Fallback>
        <oleObject shapeId="21522" progId="Equation.DSMT4" r:id="rId13"/>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6"/>
  <sheetViews>
    <sheetView workbookViewId="0">
      <selection activeCell="O25" sqref="O25"/>
    </sheetView>
  </sheetViews>
  <sheetFormatPr defaultColWidth="9" defaultRowHeight="15.6"/>
  <cols>
    <col min="4" max="4" width="11.25" customWidth="1"/>
  </cols>
  <sheetData>
    <row r="1" ht="25.8" spans="1:13">
      <c r="A1" s="1703" t="s">
        <v>446</v>
      </c>
      <c r="B1" s="1703"/>
      <c r="C1" s="1703"/>
      <c r="D1" s="1703"/>
      <c r="E1" s="1703"/>
      <c r="F1" s="1703"/>
      <c r="G1" s="1703"/>
      <c r="H1" s="1703"/>
      <c r="I1" s="1703"/>
      <c r="J1" s="1703"/>
      <c r="K1" s="1703"/>
      <c r="L1" s="1703"/>
      <c r="M1" s="155" t="s">
        <v>88</v>
      </c>
    </row>
    <row r="2" spans="2:2">
      <c r="B2" t="s">
        <v>350</v>
      </c>
    </row>
    <row r="4" ht="19.2" spans="3:12">
      <c r="C4" s="1785" t="s">
        <v>447</v>
      </c>
      <c r="D4" s="1785"/>
      <c r="E4" s="1786" t="s">
        <v>448</v>
      </c>
      <c r="F4" s="1787">
        <v>0.5</v>
      </c>
      <c r="G4" s="1788" t="s">
        <v>357</v>
      </c>
      <c r="H4" t="s">
        <v>319</v>
      </c>
      <c r="I4" s="1785"/>
      <c r="J4" s="1788" t="s">
        <v>449</v>
      </c>
      <c r="K4" s="1785">
        <v>9.8</v>
      </c>
      <c r="L4" t="s">
        <v>359</v>
      </c>
    </row>
    <row r="5" spans="3:11">
      <c r="C5" s="1785" t="s">
        <v>450</v>
      </c>
      <c r="D5" s="1785"/>
      <c r="E5" s="1786" t="s">
        <v>375</v>
      </c>
      <c r="F5" s="1787">
        <v>0.3</v>
      </c>
      <c r="G5" s="1788"/>
      <c r="H5" t="s">
        <v>319</v>
      </c>
      <c r="I5" s="1785"/>
      <c r="J5" s="1788" t="s">
        <v>362</v>
      </c>
      <c r="K5" s="1785">
        <v>3.1416</v>
      </c>
    </row>
    <row r="6" spans="3:10">
      <c r="C6" s="1785" t="s">
        <v>451</v>
      </c>
      <c r="D6" s="1785"/>
      <c r="E6" s="1786" t="s">
        <v>452</v>
      </c>
      <c r="F6" s="1787">
        <v>0.052</v>
      </c>
      <c r="G6" s="1788" t="s">
        <v>320</v>
      </c>
      <c r="H6" t="s">
        <v>319</v>
      </c>
      <c r="I6" s="18"/>
      <c r="J6" s="18"/>
    </row>
    <row r="7" ht="19.2" spans="3:14">
      <c r="C7" s="1785" t="s">
        <v>453</v>
      </c>
      <c r="D7" s="1785"/>
      <c r="E7" s="1786" t="s">
        <v>454</v>
      </c>
      <c r="F7" s="1787">
        <v>1</v>
      </c>
      <c r="G7" s="1788" t="s">
        <v>357</v>
      </c>
      <c r="H7" t="s">
        <v>319</v>
      </c>
      <c r="I7" s="18"/>
      <c r="J7" s="18"/>
      <c r="K7" s="18"/>
      <c r="L7" s="18"/>
      <c r="M7" s="18"/>
      <c r="N7" s="18"/>
    </row>
    <row r="8" spans="3:14">
      <c r="C8" s="1785" t="s">
        <v>455</v>
      </c>
      <c r="D8" s="1785"/>
      <c r="E8" s="1786" t="s">
        <v>379</v>
      </c>
      <c r="F8" s="1787">
        <v>0.9</v>
      </c>
      <c r="G8" s="1785"/>
      <c r="H8" t="s">
        <v>319</v>
      </c>
      <c r="I8" s="18"/>
      <c r="J8" s="18"/>
      <c r="K8" s="18"/>
      <c r="L8" s="18"/>
      <c r="M8" s="18"/>
      <c r="N8" s="18"/>
    </row>
    <row r="9" ht="19.2" spans="3:14">
      <c r="C9" s="1785" t="s">
        <v>456</v>
      </c>
      <c r="D9" s="1785"/>
      <c r="E9" s="1786" t="s">
        <v>457</v>
      </c>
      <c r="F9" s="1787">
        <v>0.7</v>
      </c>
      <c r="G9" s="1785"/>
      <c r="I9" s="18"/>
      <c r="J9" s="18"/>
      <c r="K9" s="18"/>
      <c r="L9" s="18"/>
      <c r="M9" s="18"/>
      <c r="N9" s="18"/>
    </row>
    <row r="10" spans="3:14">
      <c r="C10" s="1785" t="s">
        <v>458</v>
      </c>
      <c r="D10" s="1785"/>
      <c r="E10" s="1786" t="s">
        <v>459</v>
      </c>
      <c r="F10" s="1787">
        <v>1</v>
      </c>
      <c r="G10" s="1788"/>
      <c r="H10" t="s">
        <v>319</v>
      </c>
      <c r="I10" s="18"/>
      <c r="J10" s="18"/>
      <c r="K10" s="18"/>
      <c r="L10" s="18"/>
      <c r="M10" s="18"/>
      <c r="N10" s="18"/>
    </row>
    <row r="11" ht="18" spans="3:16">
      <c r="C11" s="1785" t="s">
        <v>460</v>
      </c>
      <c r="D11" s="1785"/>
      <c r="E11" s="1794" t="s">
        <v>440</v>
      </c>
      <c r="F11" s="1795">
        <v>0.07</v>
      </c>
      <c r="G11" s="1785" t="s">
        <v>382</v>
      </c>
      <c r="H11" t="s">
        <v>319</v>
      </c>
      <c r="I11" s="18"/>
      <c r="J11" s="18"/>
      <c r="K11" s="18"/>
      <c r="L11" s="18"/>
      <c r="M11" s="18"/>
      <c r="N11" s="18"/>
      <c r="O11" s="18"/>
      <c r="P11" s="18"/>
    </row>
    <row r="12" ht="18" spans="3:16">
      <c r="C12" s="1785" t="s">
        <v>461</v>
      </c>
      <c r="D12" s="1785"/>
      <c r="E12" s="1794" t="s">
        <v>377</v>
      </c>
      <c r="F12" s="1795">
        <v>0.09</v>
      </c>
      <c r="G12" s="1788" t="s">
        <v>320</v>
      </c>
      <c r="H12" t="s">
        <v>319</v>
      </c>
      <c r="I12" s="18"/>
      <c r="J12" s="18"/>
      <c r="K12" s="18"/>
      <c r="L12" s="18"/>
      <c r="M12" s="18"/>
      <c r="N12" s="18"/>
      <c r="O12" s="18"/>
      <c r="P12" s="18"/>
    </row>
    <row r="13" ht="18" spans="3:16">
      <c r="C13" s="1785" t="s">
        <v>383</v>
      </c>
      <c r="D13" s="1785"/>
      <c r="E13" s="1794" t="s">
        <v>384</v>
      </c>
      <c r="F13" s="1796">
        <v>0.5</v>
      </c>
      <c r="G13" s="1785"/>
      <c r="H13" t="s">
        <v>319</v>
      </c>
      <c r="I13" s="18"/>
      <c r="J13" s="18"/>
      <c r="K13" s="18"/>
      <c r="L13" s="18"/>
      <c r="M13" s="18"/>
      <c r="N13" s="18"/>
      <c r="O13" s="18"/>
      <c r="P13" s="18"/>
    </row>
    <row r="14" ht="21.6" spans="3:16">
      <c r="C14" s="1785" t="s">
        <v>385</v>
      </c>
      <c r="D14" s="1785"/>
      <c r="E14" s="1794" t="s">
        <v>462</v>
      </c>
      <c r="F14" s="1795">
        <v>0</v>
      </c>
      <c r="G14" s="1785" t="s">
        <v>387</v>
      </c>
      <c r="H14" t="s">
        <v>319</v>
      </c>
      <c r="I14" s="18"/>
      <c r="J14" s="18"/>
      <c r="K14" s="18"/>
      <c r="L14" s="18"/>
      <c r="M14" s="18"/>
      <c r="N14" s="18"/>
      <c r="O14" s="18"/>
      <c r="P14" s="18"/>
    </row>
    <row r="15" ht="18" spans="3:16">
      <c r="C15" s="1785" t="s">
        <v>388</v>
      </c>
      <c r="D15" s="1785"/>
      <c r="E15" s="1794" t="s">
        <v>463</v>
      </c>
      <c r="F15" s="1795">
        <v>0</v>
      </c>
      <c r="G15" s="1785" t="s">
        <v>390</v>
      </c>
      <c r="I15" s="18"/>
      <c r="J15" s="18"/>
      <c r="K15" s="18"/>
      <c r="L15" s="18"/>
      <c r="M15" s="18"/>
      <c r="N15" s="18"/>
      <c r="O15" s="18"/>
      <c r="P15" s="18"/>
    </row>
    <row r="16" ht="18" spans="3:16">
      <c r="C16" s="1697"/>
      <c r="D16" s="1697"/>
      <c r="E16" s="1797"/>
      <c r="F16" s="1720"/>
      <c r="G16" s="1697"/>
      <c r="I16" s="18"/>
      <c r="J16" s="18"/>
      <c r="K16" s="18"/>
      <c r="L16" s="18"/>
      <c r="M16" s="18"/>
      <c r="N16" s="18"/>
      <c r="O16" s="18"/>
      <c r="P16" s="18"/>
    </row>
    <row r="17" spans="2:16">
      <c r="B17" s="156" t="s">
        <v>464</v>
      </c>
      <c r="C17" s="156"/>
      <c r="D17" s="156"/>
      <c r="E17" s="156"/>
      <c r="F17" s="156"/>
      <c r="I17" s="18"/>
      <c r="J17" s="18"/>
      <c r="K17" s="18"/>
      <c r="L17" s="18"/>
      <c r="M17" s="18"/>
      <c r="N17" s="18"/>
      <c r="O17" s="18"/>
      <c r="P17" s="18"/>
    </row>
    <row r="18" ht="18.6" spans="2:16">
      <c r="B18" s="156"/>
      <c r="C18" s="156" t="s">
        <v>392</v>
      </c>
      <c r="D18" s="156"/>
      <c r="E18" s="1721" t="s">
        <v>465</v>
      </c>
      <c r="F18" s="1722" t="s">
        <v>466</v>
      </c>
      <c r="G18" s="826"/>
      <c r="H18" t="s">
        <v>395</v>
      </c>
      <c r="I18" s="18"/>
      <c r="J18" s="18"/>
      <c r="K18" s="18"/>
      <c r="L18" s="18"/>
      <c r="M18" s="18"/>
      <c r="N18" s="18"/>
      <c r="O18" s="18"/>
      <c r="P18" s="18"/>
    </row>
    <row r="19" spans="2:16">
      <c r="B19" s="156"/>
      <c r="C19" s="156"/>
      <c r="D19" s="156"/>
      <c r="E19" s="1721" t="s">
        <v>396</v>
      </c>
      <c r="F19" s="1808">
        <f>F11*F13</f>
        <v>0.035</v>
      </c>
      <c r="G19" t="s">
        <v>382</v>
      </c>
      <c r="I19" s="18"/>
      <c r="J19" s="18"/>
      <c r="K19" s="18"/>
      <c r="L19" s="18"/>
      <c r="M19" s="18"/>
      <c r="N19" s="18"/>
      <c r="O19" s="18"/>
      <c r="P19" s="18"/>
    </row>
    <row r="20" spans="2:16">
      <c r="B20" s="156" t="s">
        <v>467</v>
      </c>
      <c r="C20" s="156"/>
      <c r="D20" s="156"/>
      <c r="E20" s="156"/>
      <c r="F20" s="156"/>
      <c r="I20" s="18"/>
      <c r="J20" s="18"/>
      <c r="K20" s="18"/>
      <c r="L20" s="18"/>
      <c r="M20" s="18"/>
      <c r="N20" s="18"/>
      <c r="O20" s="18"/>
      <c r="P20" s="18"/>
    </row>
    <row r="21" ht="17.4" spans="2:16">
      <c r="B21" s="156"/>
      <c r="C21" s="156" t="s">
        <v>468</v>
      </c>
      <c r="D21" s="156"/>
      <c r="E21" s="1721" t="s">
        <v>469</v>
      </c>
      <c r="F21" s="1524">
        <f>2*(F12/F6)/(F19*(F11-F19))</f>
        <v>2825.74568288854</v>
      </c>
      <c r="G21" t="s">
        <v>470</v>
      </c>
      <c r="I21" s="18"/>
      <c r="J21" s="18"/>
      <c r="K21" s="18"/>
      <c r="L21" s="18"/>
      <c r="M21" s="18"/>
      <c r="N21" s="18"/>
      <c r="O21" s="18"/>
      <c r="P21" s="18"/>
    </row>
    <row r="22" spans="2:16">
      <c r="B22" s="156"/>
      <c r="C22" s="156"/>
      <c r="D22" s="156"/>
      <c r="E22" s="1721"/>
      <c r="F22" s="1627"/>
      <c r="G22" s="826"/>
      <c r="I22" s="18"/>
      <c r="J22" s="18"/>
      <c r="K22" s="18"/>
      <c r="L22" s="18"/>
      <c r="M22" s="18"/>
      <c r="N22" s="18"/>
      <c r="O22" s="18"/>
      <c r="P22" s="18"/>
    </row>
    <row r="23" spans="2:14">
      <c r="B23" s="156"/>
      <c r="C23" s="156" t="s">
        <v>471</v>
      </c>
      <c r="D23" s="156"/>
      <c r="E23" s="1721" t="s">
        <v>472</v>
      </c>
      <c r="F23" s="156">
        <f>(F21*F19/(2*K5))*60</f>
        <v>944.433717542961</v>
      </c>
      <c r="G23" t="s">
        <v>400</v>
      </c>
      <c r="I23" s="18"/>
      <c r="J23" s="18"/>
      <c r="K23" s="18"/>
      <c r="L23" s="18"/>
      <c r="M23" s="18"/>
      <c r="N23" s="18"/>
    </row>
    <row r="24" spans="2:14">
      <c r="B24" s="826"/>
      <c r="D24" s="1726"/>
      <c r="E24" s="1726"/>
      <c r="I24" s="18"/>
      <c r="J24" s="18"/>
      <c r="K24" s="18"/>
      <c r="L24" s="18"/>
      <c r="M24" s="18"/>
      <c r="N24" s="18"/>
    </row>
    <row r="25" ht="18.6" spans="3:14">
      <c r="C25" t="s">
        <v>473</v>
      </c>
      <c r="E25" s="514" t="s">
        <v>474</v>
      </c>
      <c r="F25" t="s">
        <v>475</v>
      </c>
      <c r="I25" s="18"/>
      <c r="J25" s="18"/>
      <c r="K25" s="18"/>
      <c r="L25" s="18"/>
      <c r="M25" s="18"/>
      <c r="N25" s="18"/>
    </row>
    <row r="26" ht="17.4" spans="3:14">
      <c r="C26" t="s">
        <v>106</v>
      </c>
      <c r="E26" s="514" t="s">
        <v>396</v>
      </c>
      <c r="F26">
        <f>F10*F21</f>
        <v>2825.74568288854</v>
      </c>
      <c r="G26" t="s">
        <v>470</v>
      </c>
      <c r="I26" s="18"/>
      <c r="J26" s="18"/>
      <c r="K26" s="18"/>
      <c r="L26" s="18"/>
      <c r="M26" s="18"/>
      <c r="N26" s="18"/>
    </row>
    <row r="27" spans="9:14">
      <c r="I27" s="18"/>
      <c r="J27" s="18"/>
      <c r="K27" s="18"/>
      <c r="L27" s="18"/>
      <c r="M27" s="18"/>
      <c r="N27" s="18"/>
    </row>
    <row r="28" ht="18.6" spans="3:14">
      <c r="C28" t="s">
        <v>476</v>
      </c>
      <c r="E28" s="514" t="s">
        <v>477</v>
      </c>
      <c r="F28" t="s">
        <v>478</v>
      </c>
      <c r="I28" s="18"/>
      <c r="J28" s="18"/>
      <c r="K28" s="18"/>
      <c r="L28" s="18"/>
      <c r="M28" s="18"/>
      <c r="N28" s="18"/>
    </row>
    <row r="29" spans="5:14">
      <c r="E29" s="514" t="s">
        <v>396</v>
      </c>
      <c r="F29">
        <f>F23*F10</f>
        <v>944.433717542961</v>
      </c>
      <c r="G29" t="s">
        <v>400</v>
      </c>
      <c r="I29" s="18"/>
      <c r="J29" s="18"/>
      <c r="K29" s="18"/>
      <c r="L29" s="18"/>
      <c r="M29" s="18"/>
      <c r="N29" s="18"/>
    </row>
    <row r="30" spans="9:14">
      <c r="I30" s="18"/>
      <c r="J30" s="18"/>
      <c r="K30" s="18"/>
      <c r="L30" s="18"/>
      <c r="M30" s="18"/>
      <c r="N30" s="18"/>
    </row>
    <row r="31" spans="2:14">
      <c r="B31" t="s">
        <v>479</v>
      </c>
      <c r="I31" s="18"/>
      <c r="J31" s="18"/>
      <c r="K31" s="18"/>
      <c r="L31" s="18"/>
      <c r="M31" s="18"/>
      <c r="N31" s="18"/>
    </row>
    <row r="32" spans="9:14">
      <c r="I32" s="18"/>
      <c r="J32" s="18"/>
      <c r="K32" s="18"/>
      <c r="L32" s="18"/>
      <c r="M32" s="18"/>
      <c r="N32" s="18"/>
    </row>
    <row r="33" spans="3:5">
      <c r="C33" t="s">
        <v>480</v>
      </c>
      <c r="E33" s="514" t="s">
        <v>481</v>
      </c>
    </row>
    <row r="34" spans="5:7">
      <c r="E34" s="514" t="s">
        <v>396</v>
      </c>
      <c r="F34">
        <f>F14+F4*K4*(SIN((F15/360)*2*K5)+F5*COS((F15/360)*2*K5))</f>
        <v>1.47</v>
      </c>
      <c r="G34" t="s">
        <v>387</v>
      </c>
    </row>
    <row r="35" spans="5:5">
      <c r="E35" s="514"/>
    </row>
    <row r="36" ht="18.6" spans="3:5">
      <c r="C36" t="s">
        <v>482</v>
      </c>
      <c r="E36" s="514" t="s">
        <v>483</v>
      </c>
    </row>
    <row r="37" spans="3:3">
      <c r="C37" t="s">
        <v>106</v>
      </c>
    </row>
    <row r="38" spans="5:7">
      <c r="E38" s="514" t="s">
        <v>396</v>
      </c>
      <c r="F38">
        <f>(F34*F6)/(2*F8)</f>
        <v>0.0424666666666667</v>
      </c>
      <c r="G38" t="s">
        <v>405</v>
      </c>
    </row>
    <row r="40" ht="18.6" spans="3:5">
      <c r="C40" t="s">
        <v>484</v>
      </c>
      <c r="E40" s="514" t="s">
        <v>485</v>
      </c>
    </row>
    <row r="41" ht="18" customHeight="1"/>
    <row r="42" spans="5:7">
      <c r="E42" s="514" t="s">
        <v>396</v>
      </c>
      <c r="F42">
        <f>F38/(F10*F9)</f>
        <v>0.0606666666666667</v>
      </c>
      <c r="G42" t="s">
        <v>405</v>
      </c>
    </row>
    <row r="44" spans="2:2">
      <c r="B44" t="s">
        <v>486</v>
      </c>
    </row>
    <row r="46" ht="18.6" spans="3:5">
      <c r="C46" t="s">
        <v>487</v>
      </c>
      <c r="E46" s="514" t="s">
        <v>488</v>
      </c>
    </row>
    <row r="47" spans="3:3">
      <c r="C47" t="s">
        <v>106</v>
      </c>
    </row>
    <row r="49" spans="5:5">
      <c r="E49" s="514" t="s">
        <v>396</v>
      </c>
    </row>
    <row r="51" ht="17.4" spans="5:7">
      <c r="E51" s="514" t="s">
        <v>396</v>
      </c>
      <c r="F51">
        <f>F4*(F6/2)^2</f>
        <v>0.000338</v>
      </c>
      <c r="G51" t="s">
        <v>409</v>
      </c>
    </row>
    <row r="53" ht="18.6" spans="3:5">
      <c r="C53" t="s">
        <v>489</v>
      </c>
      <c r="E53" s="514" t="s">
        <v>490</v>
      </c>
    </row>
    <row r="55" ht="17.4" spans="5:11">
      <c r="E55" s="514" t="s">
        <v>396</v>
      </c>
      <c r="F55">
        <f>(F7*F6^2)/8</f>
        <v>0.000338</v>
      </c>
      <c r="G55" t="s">
        <v>409</v>
      </c>
      <c r="J55" s="826"/>
      <c r="K55" s="1804"/>
    </row>
    <row r="56" spans="11:11">
      <c r="K56" s="1804"/>
    </row>
    <row r="57" ht="18.6" spans="3:6">
      <c r="C57" s="18" t="s">
        <v>491</v>
      </c>
      <c r="D57" s="18"/>
      <c r="E57" s="18"/>
      <c r="F57" s="514" t="s">
        <v>492</v>
      </c>
    </row>
    <row r="58" ht="19.2" spans="5:12">
      <c r="E58" s="514" t="s">
        <v>396</v>
      </c>
      <c r="F58">
        <f>F51+2*F55</f>
        <v>0.001014</v>
      </c>
      <c r="G58" t="s">
        <v>409</v>
      </c>
      <c r="I58" t="s">
        <v>425</v>
      </c>
      <c r="J58" s="826" t="s">
        <v>426</v>
      </c>
      <c r="K58" s="1787">
        <v>0.00027</v>
      </c>
      <c r="L58" t="s">
        <v>409</v>
      </c>
    </row>
    <row r="60" spans="3:5">
      <c r="C60" t="s">
        <v>493</v>
      </c>
      <c r="E60" s="514" t="s">
        <v>494</v>
      </c>
    </row>
    <row r="62" ht="17.4" spans="5:7">
      <c r="E62" s="514" t="s">
        <v>396</v>
      </c>
      <c r="F62">
        <f>F58/(F10^2)+K58</f>
        <v>0.001284</v>
      </c>
      <c r="G62" t="s">
        <v>409</v>
      </c>
    </row>
    <row r="65" ht="33.75" customHeight="1" spans="3:5">
      <c r="C65" t="s">
        <v>495</v>
      </c>
      <c r="E65" s="1809" t="s">
        <v>418</v>
      </c>
    </row>
    <row r="66" spans="5:7">
      <c r="E66" s="514" t="s">
        <v>396</v>
      </c>
      <c r="F66">
        <f>F62*F26/F9</f>
        <v>5.18322493832698</v>
      </c>
      <c r="G66" t="s">
        <v>405</v>
      </c>
    </row>
    <row r="69" spans="2:2">
      <c r="B69" t="s">
        <v>496</v>
      </c>
    </row>
    <row r="70" ht="20.4" spans="3:11">
      <c r="C70" t="s">
        <v>422</v>
      </c>
      <c r="E70" s="470" t="s">
        <v>423</v>
      </c>
      <c r="F70" s="1807" t="s">
        <v>497</v>
      </c>
      <c r="I70" t="s">
        <v>419</v>
      </c>
      <c r="J70" s="826" t="s">
        <v>420</v>
      </c>
      <c r="K70" s="1787">
        <v>2</v>
      </c>
    </row>
    <row r="71" spans="5:7">
      <c r="E71" s="514" t="s">
        <v>396</v>
      </c>
      <c r="F71">
        <f>(F42+F66)*K70</f>
        <v>10.4877832099873</v>
      </c>
      <c r="G71" t="s">
        <v>405</v>
      </c>
    </row>
    <row r="73" spans="2:2">
      <c r="B73" s="826" t="s">
        <v>498</v>
      </c>
    </row>
    <row r="74" spans="3:5">
      <c r="C74" t="s">
        <v>430</v>
      </c>
      <c r="E74" s="514" t="s">
        <v>499</v>
      </c>
    </row>
    <row r="76" spans="5:6">
      <c r="E76" s="514" t="s">
        <v>396</v>
      </c>
      <c r="F76">
        <f>(F58/(F10^2))/K58</f>
        <v>3.75555555555555</v>
      </c>
    </row>
  </sheetData>
  <customSheetViews>
    <customSheetView guid="{B9330FFD-B5EF-4680-A375-DB92D4738404}">
      <selection activeCell="M1" sqref="M1"/>
      <pageMargins left="0.75" right="0.75" top="1" bottom="1" header="0.5" footer="0.5"/>
      <pageSetup paperSize="9" orientation="portrait"/>
      <headerFooter alignWithMargins="0"/>
    </customSheetView>
  </customSheetViews>
  <mergeCells count="4">
    <mergeCell ref="A1:L1"/>
    <mergeCell ref="I6:J6"/>
    <mergeCell ref="D24:E24"/>
    <mergeCell ref="C57:E57"/>
  </mergeCells>
  <hyperlinks>
    <hyperlink ref="M1"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2538" progId="Equation.DSMT4" r:id="rId3">
          <objectPr defaultSize="0" r:id="rId4">
            <anchor moveWithCells="1">
              <from>
                <xdr:col>5</xdr:col>
                <xdr:colOff>19050</xdr:colOff>
                <xdr:row>32</xdr:row>
                <xdr:rowOff>0</xdr:rowOff>
              </from>
              <to>
                <xdr:col>7</xdr:col>
                <xdr:colOff>600075</xdr:colOff>
                <xdr:row>33</xdr:row>
                <xdr:rowOff>0</xdr:rowOff>
              </to>
            </anchor>
          </objectPr>
        </oleObject>
      </mc:Choice>
      <mc:Fallback>
        <oleObject shapeId="22538" progId="Equation.DSMT4" r:id="rId3"/>
      </mc:Fallback>
    </mc:AlternateContent>
    <mc:AlternateContent xmlns:mc="http://schemas.openxmlformats.org/markup-compatibility/2006">
      <mc:Choice Requires="x14">
        <oleObject shapeId="22539" progId="Equation.DSMT4" r:id="rId5">
          <objectPr defaultSize="0" r:id="rId6">
            <anchor moveWithCells="1">
              <from>
                <xdr:col>5</xdr:col>
                <xdr:colOff>0</xdr:colOff>
                <xdr:row>35</xdr:row>
                <xdr:rowOff>0</xdr:rowOff>
              </from>
              <to>
                <xdr:col>5</xdr:col>
                <xdr:colOff>400050</xdr:colOff>
                <xdr:row>36</xdr:row>
                <xdr:rowOff>114300</xdr:rowOff>
              </to>
            </anchor>
          </objectPr>
        </oleObject>
      </mc:Choice>
      <mc:Fallback>
        <oleObject shapeId="22539" progId="Equation.DSMT4" r:id="rId5"/>
      </mc:Fallback>
    </mc:AlternateContent>
    <mc:AlternateContent xmlns:mc="http://schemas.openxmlformats.org/markup-compatibility/2006">
      <mc:Choice Requires="x14">
        <oleObject shapeId="22540" progId="Equation.DSMT4" r:id="rId7">
          <objectPr defaultSize="0" r:id="rId8">
            <anchor moveWithCells="1">
              <from>
                <xdr:col>5</xdr:col>
                <xdr:colOff>0</xdr:colOff>
                <xdr:row>45</xdr:row>
                <xdr:rowOff>0</xdr:rowOff>
              </from>
              <to>
                <xdr:col>6</xdr:col>
                <xdr:colOff>333375</xdr:colOff>
                <xdr:row>49</xdr:row>
                <xdr:rowOff>161925</xdr:rowOff>
              </to>
            </anchor>
          </objectPr>
        </oleObject>
      </mc:Choice>
      <mc:Fallback>
        <oleObject shapeId="22540" progId="Equation.DSMT4" r:id="rId7"/>
      </mc:Fallback>
    </mc:AlternateContent>
    <mc:AlternateContent xmlns:mc="http://schemas.openxmlformats.org/markup-compatibility/2006">
      <mc:Choice Requires="x14">
        <oleObject shapeId="22541" progId="Equation.DSMT4" r:id="rId9">
          <objectPr defaultSize="0" r:id="rId10">
            <anchor moveWithCells="1">
              <from>
                <xdr:col>5</xdr:col>
                <xdr:colOff>19050</xdr:colOff>
                <xdr:row>51</xdr:row>
                <xdr:rowOff>142875</xdr:rowOff>
              </from>
              <to>
                <xdr:col>6</xdr:col>
                <xdr:colOff>219075</xdr:colOff>
                <xdr:row>53</xdr:row>
                <xdr:rowOff>95250</xdr:rowOff>
              </to>
            </anchor>
          </objectPr>
        </oleObject>
      </mc:Choice>
      <mc:Fallback>
        <oleObject shapeId="22541" progId="Equation.DSMT4" r:id="rId9"/>
      </mc:Fallback>
    </mc:AlternateContent>
    <mc:AlternateContent xmlns:mc="http://schemas.openxmlformats.org/markup-compatibility/2006">
      <mc:Choice Requires="x14">
        <oleObject shapeId="22542" progId="Equation.DSMT4" r:id="rId11">
          <objectPr defaultSize="0" r:id="rId12">
            <anchor moveWithCells="1">
              <from>
                <xdr:col>5</xdr:col>
                <xdr:colOff>28575</xdr:colOff>
                <xdr:row>38</xdr:row>
                <xdr:rowOff>123825</xdr:rowOff>
              </from>
              <to>
                <xdr:col>5</xdr:col>
                <xdr:colOff>495300</xdr:colOff>
                <xdr:row>40</xdr:row>
                <xdr:rowOff>161925</xdr:rowOff>
              </to>
            </anchor>
          </objectPr>
        </oleObject>
      </mc:Choice>
      <mc:Fallback>
        <oleObject shapeId="22542" progId="Equation.DSMT4" r:id="rId11"/>
      </mc:Fallback>
    </mc:AlternateContent>
    <mc:AlternateContent xmlns:mc="http://schemas.openxmlformats.org/markup-compatibility/2006">
      <mc:Choice Requires="x14">
        <oleObject shapeId="22543" progId="Equation.DSMT4" r:id="rId13">
          <objectPr defaultSize="0" r:id="rId14">
            <anchor moveWithCells="1">
              <from>
                <xdr:col>5</xdr:col>
                <xdr:colOff>28575</xdr:colOff>
                <xdr:row>58</xdr:row>
                <xdr:rowOff>133350</xdr:rowOff>
              </from>
              <to>
                <xdr:col>6</xdr:col>
                <xdr:colOff>66675</xdr:colOff>
                <xdr:row>60</xdr:row>
                <xdr:rowOff>104775</xdr:rowOff>
              </to>
            </anchor>
          </objectPr>
        </oleObject>
      </mc:Choice>
      <mc:Fallback>
        <oleObject shapeId="22543" progId="Equation.DSMT4" r:id="rId13"/>
      </mc:Fallback>
    </mc:AlternateContent>
    <mc:AlternateContent xmlns:mc="http://schemas.openxmlformats.org/markup-compatibility/2006">
      <mc:Choice Requires="x14">
        <oleObject shapeId="22544" progId="Equation.DSMT4" r:id="rId15">
          <objectPr defaultSize="0" r:id="rId16">
            <anchor moveWithCells="1">
              <from>
                <xdr:col>5</xdr:col>
                <xdr:colOff>9525</xdr:colOff>
                <xdr:row>72</xdr:row>
                <xdr:rowOff>142875</xdr:rowOff>
              </from>
              <to>
                <xdr:col>6</xdr:col>
                <xdr:colOff>9525</xdr:colOff>
                <xdr:row>74</xdr:row>
                <xdr:rowOff>95250</xdr:rowOff>
              </to>
            </anchor>
          </objectPr>
        </oleObject>
      </mc:Choice>
      <mc:Fallback>
        <oleObject shapeId="22544" progId="Equation.DSMT4" r:id="rId15"/>
      </mc:Fallback>
    </mc:AlternateContent>
    <mc:AlternateContent xmlns:mc="http://schemas.openxmlformats.org/markup-compatibility/2006">
      <mc:Choice Requires="x14">
        <oleObject shapeId="22545" progId="Equation.DSMT4" r:id="rId17">
          <objectPr defaultSize="0" r:id="rId18">
            <anchor moveWithCells="1">
              <from>
                <xdr:col>7</xdr:col>
                <xdr:colOff>0</xdr:colOff>
                <xdr:row>19</xdr:row>
                <xdr:rowOff>123825</xdr:rowOff>
              </from>
              <to>
                <xdr:col>8</xdr:col>
                <xdr:colOff>495300</xdr:colOff>
                <xdr:row>23</xdr:row>
                <xdr:rowOff>123825</xdr:rowOff>
              </to>
            </anchor>
          </objectPr>
        </oleObject>
      </mc:Choice>
      <mc:Fallback>
        <oleObject shapeId="22545" progId="Equation.DSMT4" r:id="rId17"/>
      </mc:Fallback>
    </mc:AlternateContent>
    <mc:AlternateContent xmlns:mc="http://schemas.openxmlformats.org/markup-compatibility/2006">
      <mc:Choice Requires="x14">
        <oleObject shapeId="22546" progId="Equation.DSMT4" r:id="rId19">
          <objectPr defaultSize="0" r:id="rId20">
            <anchor moveWithCells="1">
              <from>
                <xdr:col>5</xdr:col>
                <xdr:colOff>0</xdr:colOff>
                <xdr:row>64</xdr:row>
                <xdr:rowOff>0</xdr:rowOff>
              </from>
              <to>
                <xdr:col>5</xdr:col>
                <xdr:colOff>609600</xdr:colOff>
                <xdr:row>65</xdr:row>
                <xdr:rowOff>0</xdr:rowOff>
              </to>
            </anchor>
          </objectPr>
        </oleObject>
      </mc:Choice>
      <mc:Fallback>
        <oleObject shapeId="22546" progId="Equation.DSMT4" r:id="rId19"/>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9"/>
  <sheetViews>
    <sheetView workbookViewId="0">
      <selection activeCell="N34" sqref="N34"/>
    </sheetView>
  </sheetViews>
  <sheetFormatPr defaultColWidth="9" defaultRowHeight="15.6"/>
  <cols>
    <col min="4" max="4" width="11.25" customWidth="1"/>
  </cols>
  <sheetData>
    <row r="1" ht="25.8" spans="1:13">
      <c r="A1" s="1703" t="s">
        <v>500</v>
      </c>
      <c r="B1" s="1703"/>
      <c r="C1" s="1703"/>
      <c r="D1" s="1703"/>
      <c r="E1" s="1703"/>
      <c r="F1" s="1703"/>
      <c r="G1" s="1703"/>
      <c r="H1" s="1703"/>
      <c r="I1" s="1703"/>
      <c r="J1" s="1703"/>
      <c r="K1" s="1703"/>
      <c r="L1" s="1703"/>
      <c r="M1" s="155" t="s">
        <v>88</v>
      </c>
    </row>
    <row r="2" ht="10.5" customHeight="1" spans="1:13">
      <c r="A2" s="1703"/>
      <c r="B2" s="19"/>
      <c r="C2" s="19"/>
      <c r="D2" s="19"/>
      <c r="E2" s="19"/>
      <c r="F2" s="19"/>
      <c r="G2" s="19"/>
      <c r="H2" s="19"/>
      <c r="I2" s="19"/>
      <c r="J2" s="19"/>
      <c r="K2" s="19"/>
      <c r="L2" s="19"/>
      <c r="M2" s="19"/>
    </row>
    <row r="3" spans="2:2">
      <c r="B3" t="s">
        <v>501</v>
      </c>
    </row>
    <row r="4" spans="2:2">
      <c r="B4" t="s">
        <v>350</v>
      </c>
    </row>
    <row r="5" spans="3:11">
      <c r="C5" s="1785" t="s">
        <v>502</v>
      </c>
      <c r="D5" s="1785"/>
      <c r="E5" s="1786" t="s">
        <v>503</v>
      </c>
      <c r="F5" s="1787">
        <v>3</v>
      </c>
      <c r="G5" s="1788" t="s">
        <v>353</v>
      </c>
      <c r="I5" s="1785" t="s">
        <v>354</v>
      </c>
      <c r="J5" s="1785"/>
      <c r="K5" s="1785"/>
    </row>
    <row r="6" ht="19.2" spans="3:12">
      <c r="C6" s="1785" t="s">
        <v>447</v>
      </c>
      <c r="D6" s="1785"/>
      <c r="E6" s="1786" t="s">
        <v>448</v>
      </c>
      <c r="F6" s="1787">
        <v>40</v>
      </c>
      <c r="G6" s="1788" t="s">
        <v>357</v>
      </c>
      <c r="H6" t="s">
        <v>319</v>
      </c>
      <c r="I6" s="1785"/>
      <c r="J6" s="1788" t="s">
        <v>358</v>
      </c>
      <c r="K6" s="1785">
        <v>9.8</v>
      </c>
      <c r="L6" t="s">
        <v>359</v>
      </c>
    </row>
    <row r="7" spans="3:11">
      <c r="C7" s="1785" t="s">
        <v>450</v>
      </c>
      <c r="D7" s="1785"/>
      <c r="E7" s="1786" t="s">
        <v>375</v>
      </c>
      <c r="F7" s="1787">
        <v>0.3</v>
      </c>
      <c r="G7" s="1788"/>
      <c r="H7" t="s">
        <v>319</v>
      </c>
      <c r="I7" s="1785"/>
      <c r="J7" s="1788" t="s">
        <v>362</v>
      </c>
      <c r="K7" s="1785">
        <v>3.1416</v>
      </c>
    </row>
    <row r="8" spans="3:10">
      <c r="C8" s="1785" t="s">
        <v>451</v>
      </c>
      <c r="D8" s="1785"/>
      <c r="E8" s="1786" t="s">
        <v>452</v>
      </c>
      <c r="F8" s="1787">
        <v>0.1</v>
      </c>
      <c r="G8" s="1788" t="s">
        <v>320</v>
      </c>
      <c r="H8" t="s">
        <v>319</v>
      </c>
      <c r="I8" s="18"/>
      <c r="J8" s="18"/>
    </row>
    <row r="9" spans="3:10">
      <c r="C9" s="1785" t="s">
        <v>453</v>
      </c>
      <c r="D9" s="1785"/>
      <c r="E9" s="1786" t="s">
        <v>504</v>
      </c>
      <c r="F9" s="1787">
        <v>1</v>
      </c>
      <c r="G9" s="1788" t="s">
        <v>357</v>
      </c>
      <c r="H9" t="s">
        <v>319</v>
      </c>
      <c r="I9" s="18"/>
      <c r="J9" s="18"/>
    </row>
    <row r="10" spans="3:8">
      <c r="C10" s="1785" t="s">
        <v>455</v>
      </c>
      <c r="D10" s="1785"/>
      <c r="E10" s="1786" t="s">
        <v>379</v>
      </c>
      <c r="F10" s="1787">
        <v>0.9</v>
      </c>
      <c r="G10" s="1785"/>
      <c r="H10" t="s">
        <v>319</v>
      </c>
    </row>
    <row r="11" ht="19.2" spans="3:7">
      <c r="C11" s="1785" t="s">
        <v>456</v>
      </c>
      <c r="D11" s="1785"/>
      <c r="E11" s="1786" t="s">
        <v>457</v>
      </c>
      <c r="F11" s="1787">
        <v>0.7</v>
      </c>
      <c r="G11" s="1785"/>
    </row>
    <row r="12" spans="3:8">
      <c r="C12" s="1785" t="s">
        <v>458</v>
      </c>
      <c r="D12" s="1785"/>
      <c r="E12" s="1786" t="s">
        <v>459</v>
      </c>
      <c r="F12" s="1787">
        <v>3</v>
      </c>
      <c r="G12" s="1788"/>
      <c r="H12" t="s">
        <v>319</v>
      </c>
    </row>
    <row r="13" ht="18" spans="3:16">
      <c r="C13" s="1785" t="s">
        <v>385</v>
      </c>
      <c r="D13" s="1785"/>
      <c r="E13" s="1794" t="s">
        <v>505</v>
      </c>
      <c r="F13" s="1795">
        <v>0</v>
      </c>
      <c r="G13" s="1785" t="s">
        <v>387</v>
      </c>
      <c r="H13" t="s">
        <v>319</v>
      </c>
      <c r="N13" s="18"/>
      <c r="O13" s="18"/>
      <c r="P13" s="18"/>
    </row>
    <row r="14" ht="18" spans="3:16">
      <c r="C14" s="1785" t="s">
        <v>388</v>
      </c>
      <c r="D14" s="1785"/>
      <c r="E14" s="1794" t="s">
        <v>463</v>
      </c>
      <c r="F14" s="1795">
        <v>0</v>
      </c>
      <c r="G14" s="1785" t="s">
        <v>390</v>
      </c>
      <c r="N14" s="18"/>
      <c r="O14" s="18"/>
      <c r="P14" s="18"/>
    </row>
    <row r="15" ht="18" spans="3:16">
      <c r="C15" s="1697"/>
      <c r="D15" s="1697"/>
      <c r="E15" s="1797"/>
      <c r="F15" s="1720"/>
      <c r="G15" s="1697"/>
      <c r="N15" s="18"/>
      <c r="O15" s="18"/>
      <c r="P15" s="18"/>
    </row>
    <row r="16" spans="2:16">
      <c r="B16" s="156" t="s">
        <v>506</v>
      </c>
      <c r="C16" s="156"/>
      <c r="D16" s="156"/>
      <c r="E16" s="156"/>
      <c r="F16" s="156"/>
      <c r="N16" s="18"/>
      <c r="O16" s="18"/>
      <c r="P16" s="18"/>
    </row>
    <row r="17" spans="2:7">
      <c r="B17" s="156"/>
      <c r="C17" s="156" t="s">
        <v>471</v>
      </c>
      <c r="D17" s="156"/>
      <c r="E17" s="1721" t="s">
        <v>472</v>
      </c>
      <c r="F17" s="156">
        <f>(F5/(K7*F8))</f>
        <v>9.54927425515661</v>
      </c>
      <c r="G17" t="s">
        <v>400</v>
      </c>
    </row>
    <row r="19" ht="18.6" spans="3:6">
      <c r="C19" t="s">
        <v>476</v>
      </c>
      <c r="E19" s="514" t="s">
        <v>477</v>
      </c>
      <c r="F19" t="s">
        <v>478</v>
      </c>
    </row>
    <row r="20" spans="3:7">
      <c r="C20" t="s">
        <v>106</v>
      </c>
      <c r="E20" s="514" t="s">
        <v>396</v>
      </c>
      <c r="F20">
        <f>F17*F12</f>
        <v>28.6478227654698</v>
      </c>
      <c r="G20" t="s">
        <v>400</v>
      </c>
    </row>
    <row r="22" spans="2:2">
      <c r="B22" t="s">
        <v>507</v>
      </c>
    </row>
    <row r="24" spans="3:5">
      <c r="C24" t="s">
        <v>480</v>
      </c>
      <c r="E24" s="514" t="s">
        <v>481</v>
      </c>
    </row>
    <row r="25" spans="5:7">
      <c r="E25" s="514" t="s">
        <v>396</v>
      </c>
      <c r="F25">
        <f>F13+F6*K6*(SIN((F14/360)*2*K7)+F7*COS((F14/360)*2*K7))</f>
        <v>117.6</v>
      </c>
      <c r="G25" t="s">
        <v>387</v>
      </c>
    </row>
    <row r="26" spans="5:5">
      <c r="E26" s="514"/>
    </row>
    <row r="27" ht="18.6" spans="3:5">
      <c r="C27" t="s">
        <v>482</v>
      </c>
      <c r="E27" s="514" t="s">
        <v>483</v>
      </c>
    </row>
    <row r="28" spans="3:3">
      <c r="C28" t="s">
        <v>106</v>
      </c>
    </row>
    <row r="29" spans="5:7">
      <c r="E29" s="514" t="s">
        <v>396</v>
      </c>
      <c r="F29">
        <f>(F25*F8)/(2*F10)</f>
        <v>6.53333333333333</v>
      </c>
      <c r="G29" t="s">
        <v>405</v>
      </c>
    </row>
    <row r="31" ht="18.6" spans="3:5">
      <c r="C31" t="s">
        <v>484</v>
      </c>
      <c r="E31" s="514" t="s">
        <v>485</v>
      </c>
    </row>
    <row r="32" ht="18" customHeight="1"/>
    <row r="33" spans="5:7">
      <c r="E33" s="514" t="s">
        <v>396</v>
      </c>
      <c r="F33">
        <f>F29/(F12*F11)</f>
        <v>3.11111111111111</v>
      </c>
      <c r="G33" t="s">
        <v>405</v>
      </c>
    </row>
    <row r="35" spans="2:2">
      <c r="B35" t="s">
        <v>508</v>
      </c>
    </row>
    <row r="37" ht="18.6" spans="3:5">
      <c r="C37" t="s">
        <v>487</v>
      </c>
      <c r="E37" s="514" t="s">
        <v>488</v>
      </c>
    </row>
    <row r="38" spans="3:3">
      <c r="C38" t="s">
        <v>106</v>
      </c>
    </row>
    <row r="40" spans="5:5">
      <c r="E40" s="514" t="s">
        <v>396</v>
      </c>
    </row>
    <row r="42" ht="17.4" spans="5:7">
      <c r="E42" s="514" t="s">
        <v>396</v>
      </c>
      <c r="F42">
        <f>F6*(F8/2)^2</f>
        <v>0.1</v>
      </c>
      <c r="G42" t="s">
        <v>409</v>
      </c>
    </row>
    <row r="44" ht="18.6" spans="3:5">
      <c r="C44" t="s">
        <v>489</v>
      </c>
      <c r="E44" s="514" t="s">
        <v>490</v>
      </c>
    </row>
    <row r="46" ht="17.4" spans="5:11">
      <c r="E46" s="514" t="s">
        <v>396</v>
      </c>
      <c r="F46">
        <f>(F9*F8^2)/8</f>
        <v>0.00125</v>
      </c>
      <c r="G46" t="s">
        <v>409</v>
      </c>
      <c r="J46" s="826"/>
      <c r="K46" s="1804"/>
    </row>
    <row r="47" spans="11:11">
      <c r="K47" s="1804"/>
    </row>
    <row r="48" ht="18.6" spans="3:6">
      <c r="C48" s="18" t="s">
        <v>491</v>
      </c>
      <c r="D48" s="18"/>
      <c r="E48" s="18"/>
      <c r="F48" s="514" t="s">
        <v>492</v>
      </c>
    </row>
    <row r="49" ht="19.2" spans="3:12">
      <c r="C49" t="s">
        <v>106</v>
      </c>
      <c r="E49" s="514" t="s">
        <v>396</v>
      </c>
      <c r="F49">
        <f>F42+2*F46</f>
        <v>0.1025</v>
      </c>
      <c r="G49" t="s">
        <v>409</v>
      </c>
      <c r="I49" t="s">
        <v>425</v>
      </c>
      <c r="J49" s="826" t="s">
        <v>426</v>
      </c>
      <c r="K49" s="1787">
        <v>0.0011</v>
      </c>
      <c r="L49" t="s">
        <v>409</v>
      </c>
    </row>
    <row r="52" spans="2:2">
      <c r="B52" t="s">
        <v>496</v>
      </c>
    </row>
    <row r="53" ht="20.4" spans="3:11">
      <c r="C53" t="s">
        <v>422</v>
      </c>
      <c r="E53" s="470" t="s">
        <v>423</v>
      </c>
      <c r="F53" s="1807" t="s">
        <v>509</v>
      </c>
      <c r="I53" t="s">
        <v>419</v>
      </c>
      <c r="J53" s="826" t="s">
        <v>420</v>
      </c>
      <c r="K53" s="1787">
        <v>2</v>
      </c>
    </row>
    <row r="54" spans="5:7">
      <c r="E54" s="514" t="s">
        <v>396</v>
      </c>
      <c r="F54">
        <f>F33*K53</f>
        <v>6.22222222222222</v>
      </c>
      <c r="G54" t="s">
        <v>405</v>
      </c>
    </row>
    <row r="56" spans="2:2">
      <c r="B56" s="826" t="s">
        <v>498</v>
      </c>
    </row>
    <row r="57" spans="3:5">
      <c r="C57" t="s">
        <v>430</v>
      </c>
      <c r="E57" s="514" t="s">
        <v>499</v>
      </c>
    </row>
    <row r="58" spans="3:3">
      <c r="C58" t="s">
        <v>106</v>
      </c>
    </row>
    <row r="59" spans="5:6">
      <c r="E59" s="514" t="s">
        <v>396</v>
      </c>
      <c r="F59">
        <f>(F49/(F12^2))/K49</f>
        <v>10.3535353535354</v>
      </c>
    </row>
  </sheetData>
  <protectedRanges>
    <protectedRange sqref="F$1:F$1048576 K$1:K$1048576" name="範圍1"/>
  </protectedRanges>
  <customSheetViews>
    <customSheetView guid="{B9330FFD-B5EF-4680-A375-DB92D4738404}">
      <selection activeCell="M1" sqref="M1"/>
      <pageMargins left="0.75" right="0.75" top="1" bottom="1" header="0.5" footer="0.5"/>
      <pageSetup paperSize="9" orientation="portrait"/>
      <headerFooter alignWithMargins="0"/>
    </customSheetView>
  </customSheetViews>
  <mergeCells count="3">
    <mergeCell ref="A1:L1"/>
    <mergeCell ref="I8:J8"/>
    <mergeCell ref="C48:E48"/>
  </mergeCells>
  <hyperlinks>
    <hyperlink ref="M1"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3559" progId="Equation.DSMT4" r:id="rId3">
          <objectPr defaultSize="0" r:id="rId4">
            <anchor moveWithCells="1">
              <from>
                <xdr:col>5</xdr:col>
                <xdr:colOff>19050</xdr:colOff>
                <xdr:row>23</xdr:row>
                <xdr:rowOff>0</xdr:rowOff>
              </from>
              <to>
                <xdr:col>7</xdr:col>
                <xdr:colOff>600075</xdr:colOff>
                <xdr:row>24</xdr:row>
                <xdr:rowOff>0</xdr:rowOff>
              </to>
            </anchor>
          </objectPr>
        </oleObject>
      </mc:Choice>
      <mc:Fallback>
        <oleObject shapeId="23559" progId="Equation.DSMT4" r:id="rId3"/>
      </mc:Fallback>
    </mc:AlternateContent>
    <mc:AlternateContent xmlns:mc="http://schemas.openxmlformats.org/markup-compatibility/2006">
      <mc:Choice Requires="x14">
        <oleObject shapeId="23560" progId="Equation.DSMT4" r:id="rId5">
          <objectPr defaultSize="0" r:id="rId6">
            <anchor moveWithCells="1">
              <from>
                <xdr:col>5</xdr:col>
                <xdr:colOff>0</xdr:colOff>
                <xdr:row>26</xdr:row>
                <xdr:rowOff>0</xdr:rowOff>
              </from>
              <to>
                <xdr:col>5</xdr:col>
                <xdr:colOff>400050</xdr:colOff>
                <xdr:row>27</xdr:row>
                <xdr:rowOff>114300</xdr:rowOff>
              </to>
            </anchor>
          </objectPr>
        </oleObject>
      </mc:Choice>
      <mc:Fallback>
        <oleObject shapeId="23560" progId="Equation.DSMT4" r:id="rId5"/>
      </mc:Fallback>
    </mc:AlternateContent>
    <mc:AlternateContent xmlns:mc="http://schemas.openxmlformats.org/markup-compatibility/2006">
      <mc:Choice Requires="x14">
        <oleObject shapeId="23561" progId="Equation.DSMT4" r:id="rId7">
          <objectPr defaultSize="0" r:id="rId8">
            <anchor moveWithCells="1">
              <from>
                <xdr:col>5</xdr:col>
                <xdr:colOff>0</xdr:colOff>
                <xdr:row>36</xdr:row>
                <xdr:rowOff>0</xdr:rowOff>
              </from>
              <to>
                <xdr:col>6</xdr:col>
                <xdr:colOff>333375</xdr:colOff>
                <xdr:row>40</xdr:row>
                <xdr:rowOff>161925</xdr:rowOff>
              </to>
            </anchor>
          </objectPr>
        </oleObject>
      </mc:Choice>
      <mc:Fallback>
        <oleObject shapeId="23561" progId="Equation.DSMT4" r:id="rId7"/>
      </mc:Fallback>
    </mc:AlternateContent>
    <mc:AlternateContent xmlns:mc="http://schemas.openxmlformats.org/markup-compatibility/2006">
      <mc:Choice Requires="x14">
        <oleObject shapeId="23562" progId="Equation.DSMT4" r:id="rId9">
          <objectPr defaultSize="0" r:id="rId10">
            <anchor moveWithCells="1">
              <from>
                <xdr:col>5</xdr:col>
                <xdr:colOff>19050</xdr:colOff>
                <xdr:row>42</xdr:row>
                <xdr:rowOff>142875</xdr:rowOff>
              </from>
              <to>
                <xdr:col>6</xdr:col>
                <xdr:colOff>219075</xdr:colOff>
                <xdr:row>44</xdr:row>
                <xdr:rowOff>95250</xdr:rowOff>
              </to>
            </anchor>
          </objectPr>
        </oleObject>
      </mc:Choice>
      <mc:Fallback>
        <oleObject shapeId="23562" progId="Equation.DSMT4" r:id="rId9"/>
      </mc:Fallback>
    </mc:AlternateContent>
    <mc:AlternateContent xmlns:mc="http://schemas.openxmlformats.org/markup-compatibility/2006">
      <mc:Choice Requires="x14">
        <oleObject shapeId="23563" progId="Equation.DSMT4" r:id="rId11">
          <objectPr defaultSize="0" r:id="rId12">
            <anchor moveWithCells="1">
              <from>
                <xdr:col>5</xdr:col>
                <xdr:colOff>28575</xdr:colOff>
                <xdr:row>29</xdr:row>
                <xdr:rowOff>123825</xdr:rowOff>
              </from>
              <to>
                <xdr:col>5</xdr:col>
                <xdr:colOff>495300</xdr:colOff>
                <xdr:row>31</xdr:row>
                <xdr:rowOff>161925</xdr:rowOff>
              </to>
            </anchor>
          </objectPr>
        </oleObject>
      </mc:Choice>
      <mc:Fallback>
        <oleObject shapeId="23563" progId="Equation.DSMT4" r:id="rId11"/>
      </mc:Fallback>
    </mc:AlternateContent>
    <mc:AlternateContent xmlns:mc="http://schemas.openxmlformats.org/markup-compatibility/2006">
      <mc:Choice Requires="x14">
        <oleObject shapeId="23564" progId="Equation.DSMT4" r:id="rId13">
          <objectPr defaultSize="0" r:id="rId14">
            <anchor moveWithCells="1">
              <from>
                <xdr:col>5</xdr:col>
                <xdr:colOff>9525</xdr:colOff>
                <xdr:row>55</xdr:row>
                <xdr:rowOff>142875</xdr:rowOff>
              </from>
              <to>
                <xdr:col>6</xdr:col>
                <xdr:colOff>9525</xdr:colOff>
                <xdr:row>57</xdr:row>
                <xdr:rowOff>95250</xdr:rowOff>
              </to>
            </anchor>
          </objectPr>
        </oleObject>
      </mc:Choice>
      <mc:Fallback>
        <oleObject shapeId="23564" progId="Equation.DSMT4" r:id="rId13"/>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79"/>
  <sheetViews>
    <sheetView topLeftCell="I55" workbookViewId="0">
      <selection activeCell="N65" sqref="N65"/>
    </sheetView>
  </sheetViews>
  <sheetFormatPr defaultColWidth="9" defaultRowHeight="15.6"/>
  <cols>
    <col min="4" max="4" width="11.25" customWidth="1"/>
    <col min="6" max="6" width="12.75" customWidth="1"/>
    <col min="7" max="7" width="11.5" customWidth="1"/>
  </cols>
  <sheetData>
    <row r="1" ht="25.8" spans="4:13">
      <c r="D1" s="949"/>
      <c r="E1" s="949"/>
      <c r="F1" s="949" t="s">
        <v>510</v>
      </c>
      <c r="M1" s="155" t="s">
        <v>88</v>
      </c>
    </row>
    <row r="2" spans="2:2">
      <c r="B2" t="s">
        <v>350</v>
      </c>
    </row>
    <row r="4" ht="19.2" spans="3:11">
      <c r="C4" s="1785" t="s">
        <v>511</v>
      </c>
      <c r="D4" s="1785"/>
      <c r="E4" s="1786" t="s">
        <v>512</v>
      </c>
      <c r="F4" s="1787">
        <v>0.48</v>
      </c>
      <c r="G4" s="1788" t="s">
        <v>320</v>
      </c>
      <c r="H4" s="1785"/>
      <c r="I4" s="1785" t="s">
        <v>354</v>
      </c>
      <c r="J4" s="1785"/>
      <c r="K4" s="1785"/>
    </row>
    <row r="5" ht="19.2" spans="3:12">
      <c r="C5" s="1785" t="s">
        <v>513</v>
      </c>
      <c r="D5" s="1785"/>
      <c r="E5" s="1786" t="s">
        <v>514</v>
      </c>
      <c r="F5" s="1787">
        <v>0.03</v>
      </c>
      <c r="G5" s="1788" t="s">
        <v>320</v>
      </c>
      <c r="H5" s="1785" t="s">
        <v>319</v>
      </c>
      <c r="I5" s="1785"/>
      <c r="J5" s="1788" t="s">
        <v>358</v>
      </c>
      <c r="K5" s="1803">
        <v>9.8</v>
      </c>
      <c r="L5" t="s">
        <v>359</v>
      </c>
    </row>
    <row r="6" ht="19.2" spans="3:11">
      <c r="C6" s="1785" t="s">
        <v>515</v>
      </c>
      <c r="D6" s="1785"/>
      <c r="E6" s="1786" t="s">
        <v>516</v>
      </c>
      <c r="F6" s="1787">
        <v>0.04</v>
      </c>
      <c r="G6" s="1788" t="s">
        <v>320</v>
      </c>
      <c r="H6" s="1785" t="s">
        <v>319</v>
      </c>
      <c r="I6" s="1785"/>
      <c r="J6" s="1788" t="s">
        <v>362</v>
      </c>
      <c r="K6" s="1803">
        <v>3.1416</v>
      </c>
    </row>
    <row r="7" ht="19.2" spans="3:10">
      <c r="C7" s="1785" t="s">
        <v>517</v>
      </c>
      <c r="D7" s="1785"/>
      <c r="E7" s="1786" t="s">
        <v>518</v>
      </c>
      <c r="F7" s="1787">
        <v>0.4</v>
      </c>
      <c r="G7" s="1788" t="s">
        <v>320</v>
      </c>
      <c r="H7" s="1785" t="s">
        <v>319</v>
      </c>
      <c r="I7" s="18"/>
      <c r="J7" s="18"/>
    </row>
    <row r="8" ht="16.8" spans="3:10">
      <c r="C8" s="1785" t="s">
        <v>519</v>
      </c>
      <c r="D8" s="1785"/>
      <c r="E8" s="1786" t="s">
        <v>366</v>
      </c>
      <c r="F8" s="1787">
        <v>900</v>
      </c>
      <c r="G8" s="1788" t="s">
        <v>520</v>
      </c>
      <c r="H8" s="1785" t="s">
        <v>319</v>
      </c>
      <c r="I8" s="18"/>
      <c r="J8" s="18"/>
    </row>
    <row r="9" ht="18" customHeight="1" spans="3:8">
      <c r="C9" s="1789" t="s">
        <v>521</v>
      </c>
      <c r="D9" s="1785"/>
      <c r="E9" s="1790" t="s">
        <v>522</v>
      </c>
      <c r="F9" s="459">
        <v>24</v>
      </c>
      <c r="G9" s="1791" t="s">
        <v>523</v>
      </c>
      <c r="H9" s="1785" t="s">
        <v>319</v>
      </c>
    </row>
    <row r="10" ht="30.75" customHeight="1" spans="3:8">
      <c r="C10" s="1792" t="s">
        <v>524</v>
      </c>
      <c r="D10" s="18"/>
      <c r="E10" s="1793" t="s">
        <v>525</v>
      </c>
      <c r="F10" s="459">
        <v>0.41</v>
      </c>
      <c r="G10" s="1789" t="s">
        <v>320</v>
      </c>
      <c r="H10" s="1785"/>
    </row>
    <row r="11" spans="3:8">
      <c r="C11" s="1785" t="s">
        <v>526</v>
      </c>
      <c r="D11" s="1785"/>
      <c r="E11" s="1786" t="s">
        <v>527</v>
      </c>
      <c r="F11" s="1787">
        <v>15</v>
      </c>
      <c r="G11" s="1785" t="s">
        <v>390</v>
      </c>
      <c r="H11" s="1785" t="s">
        <v>319</v>
      </c>
    </row>
    <row r="12" ht="18" spans="3:16">
      <c r="C12" s="1785" t="s">
        <v>380</v>
      </c>
      <c r="D12" s="1785"/>
      <c r="E12" s="1794" t="s">
        <v>528</v>
      </c>
      <c r="F12" s="1795">
        <v>1.5</v>
      </c>
      <c r="G12" s="1785" t="s">
        <v>382</v>
      </c>
      <c r="H12" s="1785" t="s">
        <v>319</v>
      </c>
      <c r="N12" s="18"/>
      <c r="O12" s="18"/>
      <c r="P12" s="18"/>
    </row>
    <row r="13" ht="18" spans="3:16">
      <c r="C13" s="1785" t="s">
        <v>383</v>
      </c>
      <c r="D13" s="1785"/>
      <c r="E13" s="1794" t="s">
        <v>384</v>
      </c>
      <c r="F13" s="1796">
        <v>0.5</v>
      </c>
      <c r="G13" s="1785"/>
      <c r="H13" s="1785"/>
      <c r="N13" s="18"/>
      <c r="O13" s="18"/>
      <c r="P13" s="18"/>
    </row>
    <row r="14" ht="18" spans="3:16">
      <c r="C14" s="1785" t="s">
        <v>436</v>
      </c>
      <c r="D14" s="1785"/>
      <c r="E14" s="1794" t="s">
        <v>459</v>
      </c>
      <c r="F14" s="1795">
        <v>5</v>
      </c>
      <c r="G14" s="1785"/>
      <c r="H14" s="1785"/>
      <c r="N14" s="18"/>
      <c r="O14" s="18"/>
      <c r="P14" s="18"/>
    </row>
    <row r="15" ht="21.6" spans="3:16">
      <c r="C15" s="1785" t="s">
        <v>529</v>
      </c>
      <c r="D15" s="1785"/>
      <c r="E15" s="1794" t="s">
        <v>530</v>
      </c>
      <c r="F15" s="1795">
        <v>0.7</v>
      </c>
      <c r="G15" s="1785"/>
      <c r="H15" s="1785"/>
      <c r="N15" s="18"/>
      <c r="O15" s="18"/>
      <c r="P15" s="18"/>
    </row>
    <row r="16" ht="18" spans="3:16">
      <c r="C16" s="1697"/>
      <c r="D16" s="1697"/>
      <c r="E16" s="1797"/>
      <c r="F16" s="1720"/>
      <c r="G16" s="1697"/>
      <c r="N16" s="18"/>
      <c r="O16" s="18"/>
      <c r="P16" s="18"/>
    </row>
    <row r="17" ht="18" spans="2:16">
      <c r="B17" t="s">
        <v>531</v>
      </c>
      <c r="C17" s="1697"/>
      <c r="D17" s="1697"/>
      <c r="E17" s="1797"/>
      <c r="F17" s="1720"/>
      <c r="G17" s="1697"/>
      <c r="N17" s="18"/>
      <c r="O17" s="18"/>
      <c r="P17" s="18"/>
    </row>
    <row r="18" ht="18" spans="3:16">
      <c r="C18" s="1697" t="s">
        <v>532</v>
      </c>
      <c r="D18" s="1697"/>
      <c r="E18" s="1797"/>
      <c r="F18" s="1720"/>
      <c r="G18" s="1697"/>
      <c r="N18" s="18"/>
      <c r="O18" s="18"/>
      <c r="P18" s="18"/>
    </row>
    <row r="19" ht="21.6" spans="3:16">
      <c r="C19" s="1697" t="s">
        <v>533</v>
      </c>
      <c r="D19" s="1697"/>
      <c r="E19" s="1719" t="s">
        <v>534</v>
      </c>
      <c r="F19" s="1797" t="s">
        <v>466</v>
      </c>
      <c r="G19" s="1697"/>
      <c r="N19" s="18"/>
      <c r="O19" s="18"/>
      <c r="P19" s="18"/>
    </row>
    <row r="20" spans="3:16">
      <c r="C20" s="156" t="s">
        <v>106</v>
      </c>
      <c r="D20" s="156"/>
      <c r="E20" s="1721" t="s">
        <v>396</v>
      </c>
      <c r="F20" s="1627">
        <f>F12*F13</f>
        <v>0.75</v>
      </c>
      <c r="G20" t="s">
        <v>382</v>
      </c>
      <c r="N20" s="18"/>
      <c r="O20" s="18"/>
      <c r="P20" s="18"/>
    </row>
    <row r="21" spans="2:16">
      <c r="B21" s="156"/>
      <c r="C21" s="156"/>
      <c r="D21" s="156"/>
      <c r="E21" s="1721"/>
      <c r="F21" s="156"/>
      <c r="N21" s="18"/>
      <c r="O21" s="18"/>
      <c r="P21" s="18"/>
    </row>
    <row r="22" spans="2:16">
      <c r="B22" s="156" t="s">
        <v>467</v>
      </c>
      <c r="C22" s="156"/>
      <c r="D22" s="156"/>
      <c r="E22" s="1721"/>
      <c r="F22" s="156"/>
      <c r="N22" s="18"/>
      <c r="O22" s="18"/>
      <c r="P22" s="18"/>
    </row>
    <row r="23" ht="46.5" customHeight="1" spans="3:5">
      <c r="C23" s="636" t="s">
        <v>468</v>
      </c>
      <c r="E23" s="1726" t="s">
        <v>535</v>
      </c>
    </row>
    <row r="24" ht="17.4" spans="3:7">
      <c r="C24" s="156"/>
      <c r="E24" s="514" t="s">
        <v>396</v>
      </c>
      <c r="F24" s="1727">
        <f>((F11*K6)/180)/(F20*(F12-F20))</f>
        <v>0.465422222222222</v>
      </c>
      <c r="G24" t="s">
        <v>470</v>
      </c>
    </row>
    <row r="25" spans="2:16">
      <c r="B25" s="156"/>
      <c r="C25" s="156"/>
      <c r="D25" s="156"/>
      <c r="E25" s="1721"/>
      <c r="F25" s="156"/>
      <c r="N25" s="18"/>
      <c r="O25" s="18"/>
      <c r="P25" s="18"/>
    </row>
    <row r="26" spans="2:16">
      <c r="B26" s="156"/>
      <c r="C26" s="156"/>
      <c r="D26" s="156"/>
      <c r="E26" s="1721"/>
      <c r="F26" s="156"/>
      <c r="N26" s="18"/>
      <c r="O26" s="18"/>
      <c r="P26" s="18"/>
    </row>
    <row r="27" spans="2:6">
      <c r="B27" s="156"/>
      <c r="C27" s="156" t="s">
        <v>536</v>
      </c>
      <c r="D27" s="156"/>
      <c r="E27" s="1721" t="s">
        <v>472</v>
      </c>
      <c r="F27" s="156"/>
    </row>
    <row r="29" spans="5:7">
      <c r="E29" s="514" t="s">
        <v>396</v>
      </c>
      <c r="F29" s="1727">
        <f>(F24*F20*60)/(2*K6)</f>
        <v>3.33333333333333</v>
      </c>
      <c r="G29" t="s">
        <v>400</v>
      </c>
    </row>
    <row r="30" spans="5:5">
      <c r="E30" s="514"/>
    </row>
    <row r="31" ht="18.6" spans="3:6">
      <c r="C31" s="156" t="s">
        <v>537</v>
      </c>
      <c r="E31" s="514" t="s">
        <v>538</v>
      </c>
      <c r="F31" s="60" t="s">
        <v>539</v>
      </c>
    </row>
    <row r="32" ht="17.4" spans="5:7">
      <c r="E32" s="514" t="s">
        <v>396</v>
      </c>
      <c r="F32" s="1727">
        <f>F24*F14</f>
        <v>2.32711111111111</v>
      </c>
      <c r="G32" t="s">
        <v>470</v>
      </c>
    </row>
    <row r="34" ht="18.6" spans="3:6">
      <c r="C34" t="s">
        <v>476</v>
      </c>
      <c r="E34" s="514" t="s">
        <v>477</v>
      </c>
      <c r="F34" t="s">
        <v>478</v>
      </c>
    </row>
    <row r="35" spans="3:7">
      <c r="C35" t="s">
        <v>106</v>
      </c>
      <c r="E35" s="514" t="s">
        <v>396</v>
      </c>
      <c r="F35" s="1727">
        <f>F29*F14</f>
        <v>16.6666666666667</v>
      </c>
      <c r="G35" t="s">
        <v>400</v>
      </c>
    </row>
    <row r="37" spans="2:2">
      <c r="B37" t="s">
        <v>479</v>
      </c>
    </row>
    <row r="39" ht="18.6" spans="3:7">
      <c r="C39" s="1798" t="s">
        <v>540</v>
      </c>
      <c r="D39" s="1798"/>
      <c r="E39" s="514" t="s">
        <v>483</v>
      </c>
      <c r="F39" s="1799">
        <v>0</v>
      </c>
      <c r="G39" t="s">
        <v>405</v>
      </c>
    </row>
    <row r="40" spans="3:5">
      <c r="C40" s="1798"/>
      <c r="D40" s="1798"/>
      <c r="E40" s="514"/>
    </row>
    <row r="42" spans="2:2">
      <c r="B42" t="s">
        <v>486</v>
      </c>
    </row>
    <row r="44" ht="18.6" spans="3:5">
      <c r="C44" t="s">
        <v>541</v>
      </c>
      <c r="E44" s="514" t="s">
        <v>542</v>
      </c>
    </row>
    <row r="46" ht="17.4" spans="5:7">
      <c r="E46" s="514" t="s">
        <v>396</v>
      </c>
      <c r="F46" s="1727">
        <f>(K6*F8*F5*F4^4)/32</f>
        <v>0.140711510016</v>
      </c>
      <c r="G46" t="s">
        <v>409</v>
      </c>
    </row>
    <row r="49" ht="18.6" spans="3:5">
      <c r="C49" t="s">
        <v>543</v>
      </c>
      <c r="E49" s="514" t="s">
        <v>544</v>
      </c>
    </row>
    <row r="50" spans="3:4">
      <c r="C50" s="1800" t="s">
        <v>545</v>
      </c>
      <c r="D50" s="1800"/>
    </row>
    <row r="51" ht="17.4" spans="3:11">
      <c r="C51" s="1800"/>
      <c r="D51" s="1800"/>
      <c r="E51" s="514" t="s">
        <v>396</v>
      </c>
      <c r="F51" s="1727">
        <f>(K6*F8*F7*F6^4)/32</f>
        <v>9.047808e-5</v>
      </c>
      <c r="G51" t="s">
        <v>409</v>
      </c>
      <c r="J51" s="826"/>
      <c r="K51" s="1804"/>
    </row>
    <row r="52" spans="3:11">
      <c r="C52" s="1801"/>
      <c r="D52" s="1801"/>
      <c r="K52" s="1804"/>
    </row>
    <row r="53" spans="3:11">
      <c r="C53" s="1801"/>
      <c r="D53" s="1801"/>
      <c r="K53" s="1804"/>
    </row>
    <row r="54" ht="28.5" customHeight="1" spans="3:6">
      <c r="C54" s="168" t="s">
        <v>546</v>
      </c>
      <c r="D54" s="18"/>
      <c r="E54" s="1802" t="s">
        <v>547</v>
      </c>
      <c r="F54" s="514"/>
    </row>
    <row r="55" ht="19.2" spans="3:12">
      <c r="C55" t="s">
        <v>106</v>
      </c>
      <c r="E55" s="514" t="s">
        <v>396</v>
      </c>
      <c r="F55" s="1727">
        <f>(K6*F8*F7*F6^2)/4</f>
        <v>0.4523904</v>
      </c>
      <c r="G55" t="s">
        <v>357</v>
      </c>
      <c r="I55" t="s">
        <v>425</v>
      </c>
      <c r="J55" s="826" t="s">
        <v>426</v>
      </c>
      <c r="K55" s="1787">
        <v>0.00014</v>
      </c>
      <c r="L55" t="s">
        <v>409</v>
      </c>
    </row>
    <row r="57" ht="22.5" customHeight="1" spans="3:5">
      <c r="C57" t="s">
        <v>543</v>
      </c>
      <c r="E57" s="514" t="s">
        <v>548</v>
      </c>
    </row>
    <row r="58" ht="17.4" spans="3:7">
      <c r="C58" t="s">
        <v>549</v>
      </c>
      <c r="E58" s="514" t="s">
        <v>396</v>
      </c>
      <c r="F58" s="1727">
        <f>F9*(F51+F55*F10^2)</f>
        <v>1.82729530368</v>
      </c>
      <c r="G58" t="s">
        <v>409</v>
      </c>
    </row>
    <row r="60" ht="18.6" spans="3:6">
      <c r="C60" t="s">
        <v>493</v>
      </c>
      <c r="E60" s="514" t="s">
        <v>550</v>
      </c>
      <c r="F60" t="s">
        <v>551</v>
      </c>
    </row>
    <row r="61" ht="17.4" spans="5:7">
      <c r="E61" s="514" t="s">
        <v>396</v>
      </c>
      <c r="F61" s="1727">
        <f>F46+F58</f>
        <v>1.968006813696</v>
      </c>
      <c r="G61" t="s">
        <v>409</v>
      </c>
    </row>
    <row r="63" spans="2:2">
      <c r="B63" t="s">
        <v>552</v>
      </c>
    </row>
    <row r="64" spans="5:5">
      <c r="E64" s="514"/>
    </row>
    <row r="65" spans="3:6">
      <c r="C65" s="1798" t="s">
        <v>553</v>
      </c>
      <c r="D65" s="1798"/>
      <c r="E65" s="1805" t="s">
        <v>554</v>
      </c>
      <c r="F65" s="1244" t="s">
        <v>555</v>
      </c>
    </row>
    <row r="66" spans="3:6">
      <c r="C66" s="1798"/>
      <c r="D66" s="1798"/>
      <c r="E66" s="1805"/>
      <c r="F66" s="1244"/>
    </row>
    <row r="67" ht="17.4" spans="3:7">
      <c r="C67" t="s">
        <v>106</v>
      </c>
      <c r="E67" s="514" t="s">
        <v>396</v>
      </c>
      <c r="F67" s="1727">
        <f>F61/(F14^2)</f>
        <v>0.07872027254784</v>
      </c>
      <c r="G67" t="s">
        <v>409</v>
      </c>
    </row>
    <row r="68" spans="5:5">
      <c r="E68" s="514"/>
    </row>
    <row r="69" ht="41.25" customHeight="1" spans="3:5">
      <c r="C69" s="168" t="s">
        <v>495</v>
      </c>
      <c r="D69" s="168"/>
      <c r="E69" s="1806" t="s">
        <v>556</v>
      </c>
    </row>
    <row r="70" spans="5:7">
      <c r="E70" s="514" t="s">
        <v>396</v>
      </c>
      <c r="F70" s="1727">
        <f>((F67+K55)*F32)/F15</f>
        <v>0.262166594959041</v>
      </c>
      <c r="G70" t="s">
        <v>405</v>
      </c>
    </row>
    <row r="72" spans="2:2">
      <c r="B72" t="s">
        <v>557</v>
      </c>
    </row>
    <row r="73" ht="18.6" spans="3:12">
      <c r="C73" t="s">
        <v>422</v>
      </c>
      <c r="E73" s="514" t="s">
        <v>558</v>
      </c>
      <c r="F73" t="s">
        <v>559</v>
      </c>
      <c r="I73" t="s">
        <v>419</v>
      </c>
      <c r="J73" s="826" t="s">
        <v>420</v>
      </c>
      <c r="K73" s="1787">
        <v>2</v>
      </c>
      <c r="L73" t="s">
        <v>319</v>
      </c>
    </row>
    <row r="74" spans="3:7">
      <c r="C74" t="s">
        <v>106</v>
      </c>
      <c r="E74" s="514" t="s">
        <v>396</v>
      </c>
      <c r="F74" s="1727">
        <f>(F70+F39)*K73</f>
        <v>0.524333189918083</v>
      </c>
      <c r="G74" t="s">
        <v>405</v>
      </c>
    </row>
    <row r="76" spans="2:2">
      <c r="B76" s="826" t="s">
        <v>498</v>
      </c>
    </row>
    <row r="77" spans="3:5">
      <c r="C77" t="s">
        <v>430</v>
      </c>
      <c r="E77" s="514" t="s">
        <v>499</v>
      </c>
    </row>
    <row r="79" spans="5:6">
      <c r="E79" s="514" t="s">
        <v>396</v>
      </c>
      <c r="F79" s="1727">
        <f>(F61/(F14^2))/K55</f>
        <v>562.287661056</v>
      </c>
    </row>
  </sheetData>
  <protectedRanges>
    <protectedRange sqref="F$1:F$1048576" name="範圍1"/>
  </protectedRanges>
  <customSheetViews>
    <customSheetView guid="{B9330FFD-B5EF-4680-A375-DB92D4738404}">
      <selection activeCell="M1" sqref="M1"/>
      <pageMargins left="0.75" right="0.75" top="1" bottom="1" header="0.5" footer="0.5"/>
      <pageSetup paperSize="9" orientation="portrait"/>
      <headerFooter alignWithMargins="0"/>
    </customSheetView>
  </customSheetViews>
  <mergeCells count="8">
    <mergeCell ref="I7:J7"/>
    <mergeCell ref="C10:D10"/>
    <mergeCell ref="C69:D69"/>
    <mergeCell ref="E65:E66"/>
    <mergeCell ref="F65:F66"/>
    <mergeCell ref="C39:D40"/>
    <mergeCell ref="C65:D66"/>
    <mergeCell ref="C50:D52"/>
  </mergeCells>
  <hyperlinks>
    <hyperlink ref="M1"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4583" progId="Equation.DSMT4" r:id="rId3">
          <objectPr defaultSize="0" r:id="rId4">
            <anchor moveWithCells="1">
              <from>
                <xdr:col>5</xdr:col>
                <xdr:colOff>9525</xdr:colOff>
                <xdr:row>75</xdr:row>
                <xdr:rowOff>142875</xdr:rowOff>
              </from>
              <to>
                <xdr:col>5</xdr:col>
                <xdr:colOff>695325</xdr:colOff>
                <xdr:row>77</xdr:row>
                <xdr:rowOff>95250</xdr:rowOff>
              </to>
            </anchor>
          </objectPr>
        </oleObject>
      </mc:Choice>
      <mc:Fallback>
        <oleObject shapeId="24583" progId="Equation.DSMT4" r:id="rId3"/>
      </mc:Fallback>
    </mc:AlternateContent>
    <mc:AlternateContent xmlns:mc="http://schemas.openxmlformats.org/markup-compatibility/2006">
      <mc:Choice Requires="x14">
        <oleObject shapeId="24584" progId="Equation.DSMT4" r:id="rId5">
          <objectPr defaultSize="0" r:id="rId6">
            <anchor moveWithCells="1">
              <from>
                <xdr:col>5</xdr:col>
                <xdr:colOff>19050</xdr:colOff>
                <xdr:row>47</xdr:row>
                <xdr:rowOff>123825</xdr:rowOff>
              </from>
              <to>
                <xdr:col>6</xdr:col>
                <xdr:colOff>57150</xdr:colOff>
                <xdr:row>49</xdr:row>
                <xdr:rowOff>76200</xdr:rowOff>
              </to>
            </anchor>
          </objectPr>
        </oleObject>
      </mc:Choice>
      <mc:Fallback>
        <oleObject shapeId="24584" progId="Equation.DSMT4" r:id="rId5"/>
      </mc:Fallback>
    </mc:AlternateContent>
    <mc:AlternateContent xmlns:mc="http://schemas.openxmlformats.org/markup-compatibility/2006">
      <mc:Choice Requires="x14">
        <oleObject shapeId="24585" progId="Equation.DSMT4" r:id="rId7">
          <objectPr defaultSize="0" r:id="rId8">
            <anchor moveWithCells="1">
              <from>
                <xdr:col>5</xdr:col>
                <xdr:colOff>0</xdr:colOff>
                <xdr:row>42</xdr:row>
                <xdr:rowOff>161925</xdr:rowOff>
              </from>
              <to>
                <xdr:col>6</xdr:col>
                <xdr:colOff>38100</xdr:colOff>
                <xdr:row>44</xdr:row>
                <xdr:rowOff>95250</xdr:rowOff>
              </to>
            </anchor>
          </objectPr>
        </oleObject>
      </mc:Choice>
      <mc:Fallback>
        <oleObject shapeId="24585" progId="Equation.DSMT4" r:id="rId7"/>
      </mc:Fallback>
    </mc:AlternateContent>
    <mc:AlternateContent xmlns:mc="http://schemas.openxmlformats.org/markup-compatibility/2006">
      <mc:Choice Requires="x14">
        <oleObject shapeId="24586" progId="Equation.DSMT4" r:id="rId9">
          <objectPr defaultSize="0" r:id="rId10">
            <anchor moveWithCells="1">
              <from>
                <xdr:col>5</xdr:col>
                <xdr:colOff>19050</xdr:colOff>
                <xdr:row>53</xdr:row>
                <xdr:rowOff>19050</xdr:rowOff>
              </from>
              <to>
                <xdr:col>5</xdr:col>
                <xdr:colOff>876300</xdr:colOff>
                <xdr:row>53</xdr:row>
                <xdr:rowOff>352425</xdr:rowOff>
              </to>
            </anchor>
          </objectPr>
        </oleObject>
      </mc:Choice>
      <mc:Fallback>
        <oleObject shapeId="24586" progId="Equation.DSMT4" r:id="rId9"/>
      </mc:Fallback>
    </mc:AlternateContent>
    <mc:AlternateContent xmlns:mc="http://schemas.openxmlformats.org/markup-compatibility/2006">
      <mc:Choice Requires="x14">
        <oleObject shapeId="24587" progId="Equation.DSMT4" r:id="rId11">
          <objectPr defaultSize="0" r:id="rId12">
            <anchor moveWithCells="1">
              <from>
                <xdr:col>5</xdr:col>
                <xdr:colOff>47625</xdr:colOff>
                <xdr:row>55</xdr:row>
                <xdr:rowOff>171450</xdr:rowOff>
              </from>
              <to>
                <xdr:col>6</xdr:col>
                <xdr:colOff>276225</xdr:colOff>
                <xdr:row>56</xdr:row>
                <xdr:rowOff>276225</xdr:rowOff>
              </to>
            </anchor>
          </objectPr>
        </oleObject>
      </mc:Choice>
      <mc:Fallback>
        <oleObject shapeId="24587" progId="Equation.DSMT4" r:id="rId11"/>
      </mc:Fallback>
    </mc:AlternateContent>
    <mc:AlternateContent xmlns:mc="http://schemas.openxmlformats.org/markup-compatibility/2006">
      <mc:Choice Requires="x14">
        <oleObject shapeId="24588" progId="Equation.DSMT4" r:id="rId13">
          <objectPr defaultSize="0" r:id="rId14">
            <anchor moveWithCells="1">
              <from>
                <xdr:col>5</xdr:col>
                <xdr:colOff>0</xdr:colOff>
                <xdr:row>68</xdr:row>
                <xdr:rowOff>0</xdr:rowOff>
              </from>
              <to>
                <xdr:col>6</xdr:col>
                <xdr:colOff>114300</xdr:colOff>
                <xdr:row>69</xdr:row>
                <xdr:rowOff>0</xdr:rowOff>
              </to>
            </anchor>
          </objectPr>
        </oleObject>
      </mc:Choice>
      <mc:Fallback>
        <oleObject shapeId="24588" progId="Equation.DSMT4" r:id="rId13"/>
      </mc:Fallback>
    </mc:AlternateContent>
    <mc:AlternateContent xmlns:mc="http://schemas.openxmlformats.org/markup-compatibility/2006">
      <mc:Choice Requires="x14">
        <oleObject shapeId="24589" progId="Equation.DSMT4" r:id="rId15">
          <objectPr defaultSize="0" r:id="rId16">
            <anchor moveWithCells="1">
              <from>
                <xdr:col>5</xdr:col>
                <xdr:colOff>47625</xdr:colOff>
                <xdr:row>22</xdr:row>
                <xdr:rowOff>9525</xdr:rowOff>
              </from>
              <to>
                <xdr:col>5</xdr:col>
                <xdr:colOff>876300</xdr:colOff>
                <xdr:row>22</xdr:row>
                <xdr:rowOff>504825</xdr:rowOff>
              </to>
            </anchor>
          </objectPr>
        </oleObject>
      </mc:Choice>
      <mc:Fallback>
        <oleObject shapeId="24589" progId="Equation.DSMT4" r:id="rId15"/>
      </mc:Fallback>
    </mc:AlternateContent>
    <mc:AlternateContent xmlns:mc="http://schemas.openxmlformats.org/markup-compatibility/2006">
      <mc:Choice Requires="x14">
        <oleObject shapeId="24590" progId="Equation.DSMT4" r:id="rId17">
          <objectPr defaultSize="0" r:id="rId18">
            <anchor moveWithCells="1">
              <from>
                <xdr:col>5</xdr:col>
                <xdr:colOff>38100</xdr:colOff>
                <xdr:row>25</xdr:row>
                <xdr:rowOff>76200</xdr:rowOff>
              </from>
              <to>
                <xdr:col>5</xdr:col>
                <xdr:colOff>876300</xdr:colOff>
                <xdr:row>27</xdr:row>
                <xdr:rowOff>114300</xdr:rowOff>
              </to>
            </anchor>
          </objectPr>
        </oleObject>
      </mc:Choice>
      <mc:Fallback>
        <oleObject shapeId="24590" progId="Equation.DSMT4" r:id="rId17"/>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H8" sqref="H8"/>
    </sheetView>
  </sheetViews>
  <sheetFormatPr defaultColWidth="9" defaultRowHeight="15.6" outlineLevelCol="6"/>
  <cols>
    <col min="1" max="1" width="18.125" customWidth="1"/>
    <col min="2" max="2" width="11.75" customWidth="1"/>
    <col min="3" max="3" width="12.25" customWidth="1"/>
    <col min="4" max="4" width="13.125" customWidth="1"/>
    <col min="5" max="5" width="12.375" customWidth="1"/>
    <col min="6" max="6" width="13.5" customWidth="1"/>
    <col min="7" max="7" width="14.875" customWidth="1"/>
  </cols>
  <sheetData>
    <row r="1" ht="21" spans="1:7">
      <c r="A1" s="825" t="s">
        <v>560</v>
      </c>
      <c r="B1" s="825"/>
      <c r="C1" s="825"/>
      <c r="D1" s="825"/>
      <c r="E1" s="825"/>
      <c r="F1" s="825"/>
      <c r="G1" s="825"/>
    </row>
    <row r="2" spans="1:3">
      <c r="A2" s="826" t="s">
        <v>561</v>
      </c>
      <c r="C2" t="s">
        <v>562</v>
      </c>
    </row>
    <row r="3" spans="1:7">
      <c r="A3" s="826"/>
      <c r="C3" s="826" t="s">
        <v>563</v>
      </c>
      <c r="G3" s="155" t="s">
        <v>88</v>
      </c>
    </row>
    <row r="4" ht="24" customHeight="1" spans="1:7">
      <c r="A4" s="1771" t="s">
        <v>106</v>
      </c>
      <c r="B4" s="1771"/>
      <c r="C4" s="1771"/>
      <c r="D4" s="1771"/>
      <c r="E4" s="1771"/>
      <c r="F4" s="1771"/>
      <c r="G4" s="1772"/>
    </row>
    <row r="5" ht="62.4" spans="1:7">
      <c r="A5" s="828" t="s">
        <v>564</v>
      </c>
      <c r="B5" s="829" t="s">
        <v>565</v>
      </c>
      <c r="C5" s="830" t="s">
        <v>566</v>
      </c>
      <c r="D5" s="830" t="s">
        <v>567</v>
      </c>
      <c r="E5" s="830" t="s">
        <v>568</v>
      </c>
      <c r="F5" s="830" t="s">
        <v>569</v>
      </c>
      <c r="G5" s="831" t="s">
        <v>570</v>
      </c>
    </row>
    <row r="6" ht="21.75" customHeight="1" spans="1:7">
      <c r="A6" s="1773">
        <v>3</v>
      </c>
      <c r="B6" s="1774">
        <v>132</v>
      </c>
      <c r="C6" s="1774">
        <v>150</v>
      </c>
      <c r="D6" s="1774">
        <v>315</v>
      </c>
      <c r="E6" s="1774">
        <v>4</v>
      </c>
      <c r="F6" s="943">
        <f>100*D6/E6</f>
        <v>7875</v>
      </c>
      <c r="G6" s="1775">
        <f>(A6*B6+C6)*100/(D6*100/E6)+A6*A9*B9*C9</f>
        <v>18.9333333333333</v>
      </c>
    </row>
    <row r="7" ht="26.25" customHeight="1" spans="1:7">
      <c r="A7" s="1776"/>
      <c r="B7" s="1777"/>
      <c r="C7" s="1777"/>
      <c r="D7" s="1777"/>
      <c r="E7" s="1777"/>
      <c r="F7" s="1777"/>
      <c r="G7" s="1778"/>
    </row>
    <row r="8" ht="62.4" spans="1:7">
      <c r="A8" s="847" t="s">
        <v>571</v>
      </c>
      <c r="B8" s="848" t="s">
        <v>572</v>
      </c>
      <c r="C8" s="848" t="s">
        <v>573</v>
      </c>
      <c r="D8" s="848"/>
      <c r="E8" s="845"/>
      <c r="F8" s="845"/>
      <c r="G8" s="846"/>
    </row>
    <row r="9" ht="19.5" customHeight="1" spans="1:7">
      <c r="A9" s="1773">
        <v>100</v>
      </c>
      <c r="B9" s="1679">
        <v>0.2</v>
      </c>
      <c r="C9" s="1679">
        <v>0.2</v>
      </c>
      <c r="D9" s="432"/>
      <c r="E9" s="432"/>
      <c r="F9" s="432"/>
      <c r="G9" s="1779"/>
    </row>
    <row r="10" ht="19.5" customHeight="1" spans="1:7">
      <c r="A10" s="1780"/>
      <c r="B10" s="1781"/>
      <c r="C10" s="1781"/>
      <c r="D10" s="1781"/>
      <c r="E10" s="1781"/>
      <c r="F10" s="1781"/>
      <c r="G10" s="1782"/>
    </row>
    <row r="11" ht="19.5" customHeight="1" spans="1:7">
      <c r="A11" s="1783"/>
      <c r="B11" s="838" t="s">
        <v>574</v>
      </c>
      <c r="C11" s="313"/>
      <c r="D11" s="313"/>
      <c r="E11" s="313"/>
      <c r="F11" s="313"/>
      <c r="G11" s="836"/>
    </row>
    <row r="12" ht="19.5" customHeight="1" spans="1:7">
      <c r="A12" s="839"/>
      <c r="B12" s="838" t="s">
        <v>575</v>
      </c>
      <c r="C12" s="313"/>
      <c r="D12" s="313"/>
      <c r="E12" s="313"/>
      <c r="F12" s="313"/>
      <c r="G12" s="836"/>
    </row>
    <row r="13" ht="19.5" customHeight="1" spans="1:7">
      <c r="A13" s="1784"/>
      <c r="B13" s="841" t="s">
        <v>576</v>
      </c>
      <c r="C13" s="842"/>
      <c r="D13" s="842"/>
      <c r="E13" s="842"/>
      <c r="F13" s="842"/>
      <c r="G13" s="843"/>
    </row>
  </sheetData>
  <protectedRanges>
    <protectedRange sqref="A6:G13" name="範圍1"/>
  </protectedRanges>
  <customSheetViews>
    <customSheetView guid="{B9330FFD-B5EF-4680-A375-DB92D4738404}">
      <selection activeCell="G3" sqref="G3:G4"/>
      <pageMargins left="0.7" right="0.7" top="0.75" bottom="0.75" header="0.3" footer="0.3"/>
      <headerFooter/>
    </customSheetView>
  </customSheetViews>
  <mergeCells count="5">
    <mergeCell ref="A1:G1"/>
    <mergeCell ref="A4:F4"/>
    <mergeCell ref="A7:G7"/>
    <mergeCell ref="A10:G10"/>
    <mergeCell ref="G3:G4"/>
  </mergeCells>
  <hyperlinks>
    <hyperlink ref="G3:G4" location="目录!A1" display="目录!A1"/>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1"/>
  <sheetViews>
    <sheetView workbookViewId="0">
      <selection activeCell="H5" sqref="H5"/>
    </sheetView>
  </sheetViews>
  <sheetFormatPr defaultColWidth="9" defaultRowHeight="15.6" outlineLevelCol="4"/>
  <cols>
    <col min="1" max="1" width="15.5" customWidth="1"/>
    <col min="2" max="2" width="19.75" customWidth="1"/>
    <col min="4" max="4" width="32.25" customWidth="1"/>
  </cols>
  <sheetData>
    <row r="1" spans="1:5">
      <c r="A1" s="1759" t="s">
        <v>63</v>
      </c>
      <c r="B1" s="1760"/>
      <c r="C1" s="1760"/>
      <c r="D1" s="1760"/>
      <c r="E1" s="1728"/>
    </row>
    <row r="2" spans="1:5">
      <c r="A2" s="1706" t="s">
        <v>106</v>
      </c>
      <c r="B2" s="21"/>
      <c r="C2" s="25"/>
      <c r="D2" s="21"/>
      <c r="E2" s="1729"/>
    </row>
    <row r="3" spans="1:5">
      <c r="A3" s="1706" t="s">
        <v>577</v>
      </c>
      <c r="B3" s="21" t="s">
        <v>578</v>
      </c>
      <c r="C3" s="1761">
        <v>1</v>
      </c>
      <c r="D3" s="21" t="s">
        <v>579</v>
      </c>
      <c r="E3" s="1762"/>
    </row>
    <row r="4" spans="1:5">
      <c r="A4" s="1706" t="s">
        <v>580</v>
      </c>
      <c r="B4" s="21" t="s">
        <v>581</v>
      </c>
      <c r="C4" s="1761">
        <v>120</v>
      </c>
      <c r="D4" s="21" t="s">
        <v>353</v>
      </c>
      <c r="E4" s="1762" t="s">
        <v>582</v>
      </c>
    </row>
    <row r="5" spans="1:5">
      <c r="A5" s="1706" t="s">
        <v>583</v>
      </c>
      <c r="B5" s="21" t="s">
        <v>584</v>
      </c>
      <c r="C5" s="1763">
        <v>0.1</v>
      </c>
      <c r="D5" s="21" t="s">
        <v>585</v>
      </c>
      <c r="E5" s="1764"/>
    </row>
    <row r="6" spans="1:5">
      <c r="A6" s="1706" t="s">
        <v>586</v>
      </c>
      <c r="B6" s="21" t="s">
        <v>587</v>
      </c>
      <c r="C6" s="1763">
        <f>C5*C3*10</f>
        <v>1</v>
      </c>
      <c r="D6" s="21" t="s">
        <v>588</v>
      </c>
      <c r="E6" s="1764"/>
    </row>
    <row r="7" spans="1:5">
      <c r="A7" s="1706" t="s">
        <v>589</v>
      </c>
      <c r="B7" s="21" t="s">
        <v>590</v>
      </c>
      <c r="C7" s="1763">
        <v>1.25</v>
      </c>
      <c r="D7" s="21" t="s">
        <v>591</v>
      </c>
      <c r="E7" s="1764" t="s">
        <v>592</v>
      </c>
    </row>
    <row r="8" spans="1:5">
      <c r="A8" s="1706" t="s">
        <v>593</v>
      </c>
      <c r="B8" s="21" t="s">
        <v>379</v>
      </c>
      <c r="C8" s="1763">
        <v>0.8</v>
      </c>
      <c r="D8" s="21"/>
      <c r="E8" s="1764"/>
    </row>
    <row r="9" spans="1:5">
      <c r="A9" s="1706" t="s">
        <v>594</v>
      </c>
      <c r="B9" s="21" t="s">
        <v>595</v>
      </c>
      <c r="C9" s="1763">
        <f>C6*C4*C7/60/C8</f>
        <v>3.125</v>
      </c>
      <c r="D9" s="21" t="s">
        <v>596</v>
      </c>
      <c r="E9" s="1764"/>
    </row>
    <row r="10" spans="1:5">
      <c r="A10" s="1706"/>
      <c r="B10" s="21"/>
      <c r="C10" s="25"/>
      <c r="D10" s="21"/>
      <c r="E10" s="1729"/>
    </row>
    <row r="11" spans="1:5">
      <c r="A11" s="1706"/>
      <c r="B11" s="21"/>
      <c r="C11" s="25"/>
      <c r="D11" s="21"/>
      <c r="E11" s="1729"/>
    </row>
    <row r="12" spans="1:5">
      <c r="A12" s="1706" t="s">
        <v>597</v>
      </c>
      <c r="B12" s="21" t="s">
        <v>452</v>
      </c>
      <c r="C12" s="1765">
        <v>155</v>
      </c>
      <c r="D12" s="21" t="s">
        <v>598</v>
      </c>
      <c r="E12" s="1729"/>
    </row>
    <row r="13" spans="1:5">
      <c r="A13" s="1706" t="s">
        <v>599</v>
      </c>
      <c r="B13" s="21" t="s">
        <v>600</v>
      </c>
      <c r="C13" s="1765">
        <v>196</v>
      </c>
      <c r="D13" s="21" t="s">
        <v>400</v>
      </c>
      <c r="E13" s="1729"/>
    </row>
    <row r="14" ht="16.35" spans="1:5">
      <c r="A14" s="1714" t="s">
        <v>580</v>
      </c>
      <c r="B14" s="1718" t="s">
        <v>601</v>
      </c>
      <c r="C14" s="1766">
        <f>C13*3.14*C12*(15/19)/1000</f>
        <v>75.3104210526316</v>
      </c>
      <c r="D14" s="1718" t="s">
        <v>353</v>
      </c>
      <c r="E14" s="1730"/>
    </row>
    <row r="15" ht="16.35" spans="1:1">
      <c r="A15" s="1767" t="s">
        <v>106</v>
      </c>
    </row>
    <row r="16" spans="1:5">
      <c r="A16" s="1759" t="s">
        <v>63</v>
      </c>
      <c r="B16" s="1760"/>
      <c r="C16" s="1760"/>
      <c r="D16" s="1760"/>
      <c r="E16" s="1728"/>
    </row>
    <row r="17" spans="1:5">
      <c r="A17" s="1706"/>
      <c r="B17" s="21"/>
      <c r="C17" s="25"/>
      <c r="D17" s="21"/>
      <c r="E17" s="1729"/>
    </row>
    <row r="18" spans="1:5">
      <c r="A18" s="1706" t="s">
        <v>577</v>
      </c>
      <c r="B18" s="21" t="s">
        <v>578</v>
      </c>
      <c r="C18" s="1761">
        <v>1</v>
      </c>
      <c r="D18" s="21" t="s">
        <v>579</v>
      </c>
      <c r="E18" s="1768"/>
    </row>
    <row r="19" spans="1:5">
      <c r="A19" s="1706" t="s">
        <v>580</v>
      </c>
      <c r="B19" s="21" t="s">
        <v>581</v>
      </c>
      <c r="C19" s="1761">
        <v>120</v>
      </c>
      <c r="D19" s="21" t="s">
        <v>353</v>
      </c>
      <c r="E19" s="1768"/>
    </row>
    <row r="20" spans="1:5">
      <c r="A20" s="1706" t="s">
        <v>583</v>
      </c>
      <c r="B20" s="21" t="s">
        <v>584</v>
      </c>
      <c r="C20" s="1763">
        <v>0.07</v>
      </c>
      <c r="D20" s="21" t="s">
        <v>585</v>
      </c>
      <c r="E20" s="1768"/>
    </row>
    <row r="21" spans="1:5">
      <c r="A21" s="1706" t="s">
        <v>586</v>
      </c>
      <c r="B21" s="21" t="s">
        <v>587</v>
      </c>
      <c r="C21" s="1763">
        <f>C20*C18*10</f>
        <v>0.7</v>
      </c>
      <c r="D21" s="21" t="s">
        <v>588</v>
      </c>
      <c r="E21" s="1768"/>
    </row>
    <row r="22" spans="1:5">
      <c r="A22" s="1706" t="s">
        <v>589</v>
      </c>
      <c r="B22" s="21" t="s">
        <v>590</v>
      </c>
      <c r="C22" s="1763">
        <v>1.25</v>
      </c>
      <c r="D22" s="21" t="s">
        <v>591</v>
      </c>
      <c r="E22" s="1768"/>
    </row>
    <row r="23" spans="1:5">
      <c r="A23" s="1706" t="s">
        <v>593</v>
      </c>
      <c r="B23" s="21" t="s">
        <v>379</v>
      </c>
      <c r="C23" s="1763">
        <v>0.8</v>
      </c>
      <c r="D23" s="21"/>
      <c r="E23" s="1768"/>
    </row>
    <row r="24" spans="1:5">
      <c r="A24" s="1706" t="s">
        <v>602</v>
      </c>
      <c r="B24" s="21" t="s">
        <v>595</v>
      </c>
      <c r="C24" s="1763">
        <f>C21*C19*C22/60/C23</f>
        <v>2.1875</v>
      </c>
      <c r="D24" s="21" t="s">
        <v>596</v>
      </c>
      <c r="E24" s="1768"/>
    </row>
    <row r="25" spans="1:5">
      <c r="A25" s="1706" t="s">
        <v>594</v>
      </c>
      <c r="B25" s="21" t="s">
        <v>603</v>
      </c>
      <c r="C25" s="1769">
        <f>C24/1.732</f>
        <v>1.26299076212471</v>
      </c>
      <c r="D25" s="21" t="s">
        <v>596</v>
      </c>
      <c r="E25" s="1729"/>
    </row>
    <row r="26" spans="1:5">
      <c r="A26" s="1706"/>
      <c r="B26" s="21"/>
      <c r="C26" s="25"/>
      <c r="D26" s="21"/>
      <c r="E26" s="1729"/>
    </row>
    <row r="27" spans="1:5">
      <c r="A27" s="1706"/>
      <c r="B27" s="21"/>
      <c r="C27" s="25"/>
      <c r="D27" s="21"/>
      <c r="E27" s="1729"/>
    </row>
    <row r="28" spans="1:5">
      <c r="A28" s="1706" t="s">
        <v>597</v>
      </c>
      <c r="B28" s="21" t="s">
        <v>452</v>
      </c>
      <c r="C28" s="1765">
        <v>155</v>
      </c>
      <c r="D28" s="21"/>
      <c r="E28" s="349" t="s">
        <v>88</v>
      </c>
    </row>
    <row r="29" spans="1:5">
      <c r="A29" s="1706" t="s">
        <v>599</v>
      </c>
      <c r="B29" s="21" t="s">
        <v>600</v>
      </c>
      <c r="C29" s="1765">
        <v>196</v>
      </c>
      <c r="D29" s="21" t="s">
        <v>400</v>
      </c>
      <c r="E29" s="349"/>
    </row>
    <row r="30" spans="1:5">
      <c r="A30" s="1706" t="s">
        <v>604</v>
      </c>
      <c r="B30" s="21" t="s">
        <v>605</v>
      </c>
      <c r="C30" s="1769">
        <f>C29*1.732</f>
        <v>339.472</v>
      </c>
      <c r="D30" s="21" t="s">
        <v>400</v>
      </c>
      <c r="E30" s="349"/>
    </row>
    <row r="31" ht="16.35" spans="1:5">
      <c r="A31" s="1714" t="s">
        <v>580</v>
      </c>
      <c r="B31" s="1718" t="s">
        <v>606</v>
      </c>
      <c r="C31" s="1770">
        <f>C30*3.14*C28*(15/19)/1000</f>
        <v>130.437649263158</v>
      </c>
      <c r="D31" s="1718" t="s">
        <v>353</v>
      </c>
      <c r="E31" s="350"/>
    </row>
  </sheetData>
  <protectedRanges>
    <protectedRange sqref="C$1:C$1048576" name="範圍1"/>
  </protectedRanges>
  <customSheetViews>
    <customSheetView guid="{B9330FFD-B5EF-4680-A375-DB92D4738404}">
      <selection activeCell="H36" sqref="H36"/>
      <pageMargins left="0.7" right="0.7" top="0.75" bottom="0.75" header="0.3" footer="0.3"/>
      <headerFooter/>
    </customSheetView>
  </customSheetViews>
  <mergeCells count="3">
    <mergeCell ref="A1:D1"/>
    <mergeCell ref="A16:D16"/>
    <mergeCell ref="E28:E31"/>
  </mergeCells>
  <hyperlinks>
    <hyperlink ref="E28:E31" location="目录!A1" display="目录!A1"/>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6"/>
  <sheetViews>
    <sheetView workbookViewId="0">
      <selection activeCell="K31" sqref="K31"/>
    </sheetView>
  </sheetViews>
  <sheetFormatPr defaultColWidth="9" defaultRowHeight="15.6"/>
  <cols>
    <col min="1" max="1" width="19.875" customWidth="1"/>
    <col min="4" max="4" width="18.625" customWidth="1"/>
    <col min="7" max="7" width="31.375" customWidth="1"/>
  </cols>
  <sheetData>
    <row r="1" ht="18" customHeight="1" spans="1:9">
      <c r="A1" s="1731" t="s">
        <v>66</v>
      </c>
      <c r="B1" s="1732"/>
      <c r="C1" s="1732"/>
      <c r="D1" s="1732"/>
      <c r="E1" s="1732"/>
      <c r="F1" s="1732"/>
      <c r="G1" s="1732"/>
      <c r="H1" s="1733" t="s">
        <v>88</v>
      </c>
      <c r="I1" s="1758"/>
    </row>
    <row r="2" ht="18" customHeight="1" spans="1:9">
      <c r="A2" s="626" t="s">
        <v>607</v>
      </c>
      <c r="B2" s="626"/>
      <c r="C2" s="626"/>
      <c r="D2" s="1734" t="s">
        <v>608</v>
      </c>
      <c r="E2" s="1734"/>
      <c r="F2" s="1734"/>
      <c r="G2" s="1735" t="s">
        <v>609</v>
      </c>
      <c r="H2" s="1735"/>
      <c r="I2" s="1735"/>
    </row>
    <row r="3" ht="18" customHeight="1" spans="1:9">
      <c r="A3" s="1736" t="s">
        <v>610</v>
      </c>
      <c r="B3" s="1737">
        <v>0.11</v>
      </c>
      <c r="C3" s="1738"/>
      <c r="D3" s="1739"/>
      <c r="E3" s="1739"/>
      <c r="F3" s="1739"/>
      <c r="G3" s="1424" t="s">
        <v>611</v>
      </c>
      <c r="H3" s="1424">
        <f>B3*(B19+B20)*10*B25</f>
        <v>44</v>
      </c>
      <c r="I3" s="1424" t="s">
        <v>194</v>
      </c>
    </row>
    <row r="4" ht="18" customHeight="1" spans="1:9">
      <c r="A4" s="1740" t="s">
        <v>612</v>
      </c>
      <c r="B4" s="1740">
        <v>1.1</v>
      </c>
      <c r="C4" s="1741"/>
      <c r="D4" s="1740" t="s">
        <v>613</v>
      </c>
      <c r="E4" s="1740">
        <v>2</v>
      </c>
      <c r="F4" s="1741" t="s">
        <v>523</v>
      </c>
      <c r="G4" s="1424" t="s">
        <v>614</v>
      </c>
      <c r="H4" s="1424">
        <f>B3*(B19+B20)*COS(B7)*10*B25+(B19+B20)*SIN(B7)*10*B25</f>
        <v>231.320999890635</v>
      </c>
      <c r="I4" s="1424" t="s">
        <v>194</v>
      </c>
    </row>
    <row r="5" ht="18" customHeight="1" spans="1:9">
      <c r="A5" s="1740" t="s">
        <v>615</v>
      </c>
      <c r="B5" s="1740">
        <v>1.1</v>
      </c>
      <c r="C5" s="1741"/>
      <c r="D5" s="1740" t="s">
        <v>616</v>
      </c>
      <c r="E5" s="1740">
        <v>2</v>
      </c>
      <c r="F5" s="1741" t="s">
        <v>523</v>
      </c>
      <c r="G5" s="1742" t="s">
        <v>617</v>
      </c>
      <c r="H5" s="1742">
        <f>E5*E7</f>
        <v>500</v>
      </c>
      <c r="I5" s="1742" t="s">
        <v>194</v>
      </c>
    </row>
    <row r="6" ht="18" customHeight="1" spans="1:9">
      <c r="A6" s="1743" t="s">
        <v>618</v>
      </c>
      <c r="B6" s="1743">
        <v>55</v>
      </c>
      <c r="C6" s="1743" t="s">
        <v>619</v>
      </c>
      <c r="D6" s="205"/>
      <c r="E6" s="205"/>
      <c r="F6" s="204"/>
      <c r="G6" s="1744" t="s">
        <v>620</v>
      </c>
      <c r="H6" s="1745">
        <f>H5/H4</f>
        <v>2.16149852471843</v>
      </c>
      <c r="I6" s="1744"/>
    </row>
    <row r="7" ht="18" customHeight="1" spans="1:9">
      <c r="A7" s="1746" t="s">
        <v>618</v>
      </c>
      <c r="B7" s="1746">
        <f>ATAN(B6/100)</f>
        <v>0.502843210927861</v>
      </c>
      <c r="C7" s="1746" t="s">
        <v>621</v>
      </c>
      <c r="D7" s="1747" t="s">
        <v>622</v>
      </c>
      <c r="E7" s="1747">
        <v>250</v>
      </c>
      <c r="F7" s="1748" t="s">
        <v>194</v>
      </c>
      <c r="G7" s="1424" t="s">
        <v>623</v>
      </c>
      <c r="H7" s="1424">
        <f>B3*(B19+B20)*10*B14/2000</f>
        <v>6.6</v>
      </c>
      <c r="I7" s="1424" t="s">
        <v>405</v>
      </c>
    </row>
    <row r="8" ht="18" customHeight="1" spans="1:9">
      <c r="A8" s="1746" t="s">
        <v>618</v>
      </c>
      <c r="B8" s="1746">
        <f>B7*180/3.1415926</f>
        <v>28.8107942344322</v>
      </c>
      <c r="C8" s="1746" t="s">
        <v>624</v>
      </c>
      <c r="D8" s="1747" t="s">
        <v>625</v>
      </c>
      <c r="E8" s="1747">
        <v>36</v>
      </c>
      <c r="F8" s="1748" t="s">
        <v>626</v>
      </c>
      <c r="G8" s="1424" t="s">
        <v>627</v>
      </c>
      <c r="H8" s="1424">
        <f>B3*(B19+B20)*COS(B7)*10*B14/2000+(B19+B20)*SIN(B7)*10*B14/2000</f>
        <v>34.6981499835952</v>
      </c>
      <c r="I8" s="1424" t="s">
        <v>405</v>
      </c>
    </row>
    <row r="9" ht="18" customHeight="1" spans="1:9">
      <c r="A9" s="1743" t="s">
        <v>628</v>
      </c>
      <c r="B9" s="1743">
        <v>165</v>
      </c>
      <c r="C9" s="1743" t="s">
        <v>598</v>
      </c>
      <c r="D9" s="1746" t="s">
        <v>629</v>
      </c>
      <c r="E9" s="1746">
        <f>(E11-E10)/E13*E12</f>
        <v>0.457142857142857</v>
      </c>
      <c r="F9" s="1749" t="s">
        <v>405</v>
      </c>
      <c r="G9" s="1746" t="s">
        <v>630</v>
      </c>
      <c r="H9" s="1746">
        <f>E9*E26*E5</f>
        <v>58.5142857142857</v>
      </c>
      <c r="I9" s="1746" t="s">
        <v>405</v>
      </c>
    </row>
    <row r="10" ht="18" customHeight="1" spans="1:9">
      <c r="A10" s="1742"/>
      <c r="B10" s="1742"/>
      <c r="C10" s="1742"/>
      <c r="D10" s="1740" t="s">
        <v>631</v>
      </c>
      <c r="E10" s="1740">
        <v>1</v>
      </c>
      <c r="F10" s="1741" t="s">
        <v>632</v>
      </c>
      <c r="G10" s="1744" t="s">
        <v>633</v>
      </c>
      <c r="H10" s="1745">
        <f>H9/H8</f>
        <v>1.68638056328509</v>
      </c>
      <c r="I10" s="1744"/>
    </row>
    <row r="11" ht="18" customHeight="1" spans="1:9">
      <c r="A11" s="626" t="s">
        <v>634</v>
      </c>
      <c r="B11" s="626"/>
      <c r="C11" s="626"/>
      <c r="D11" s="1740" t="s">
        <v>635</v>
      </c>
      <c r="E11" s="1740">
        <v>9</v>
      </c>
      <c r="F11" s="1741" t="s">
        <v>632</v>
      </c>
      <c r="G11" s="1424" t="s">
        <v>636</v>
      </c>
      <c r="H11" s="1424">
        <f>B3*(B19+B20)*10*B14/2000+(B19+B20)*B28*B14/2000</f>
        <v>8.4</v>
      </c>
      <c r="I11" s="1424" t="s">
        <v>405</v>
      </c>
    </row>
    <row r="12" ht="18" customHeight="1" spans="1:9">
      <c r="A12" s="1740" t="s">
        <v>637</v>
      </c>
      <c r="B12" s="1740">
        <v>2</v>
      </c>
      <c r="C12" s="1741" t="s">
        <v>523</v>
      </c>
      <c r="D12" s="1747" t="s">
        <v>638</v>
      </c>
      <c r="E12" s="1747">
        <v>0.52</v>
      </c>
      <c r="F12" s="1748" t="s">
        <v>405</v>
      </c>
      <c r="G12" s="1424" t="s">
        <v>639</v>
      </c>
      <c r="H12" s="1424">
        <f>B3*(B19+B20)*COS(B7)*10*B14/2000+(B19+B20)*SIN(B7)*10*B14/2000+(B19+B20)*B29*B14/2000</f>
        <v>36.4981499835952</v>
      </c>
      <c r="I12" s="1424" t="s">
        <v>405</v>
      </c>
    </row>
    <row r="13" ht="18" customHeight="1" spans="1:9">
      <c r="A13" s="1740" t="s">
        <v>640</v>
      </c>
      <c r="B13" s="1740">
        <v>2</v>
      </c>
      <c r="C13" s="1741" t="s">
        <v>523</v>
      </c>
      <c r="D13" s="1747" t="s">
        <v>641</v>
      </c>
      <c r="E13" s="1747">
        <v>9.1</v>
      </c>
      <c r="F13" s="1748" t="s">
        <v>632</v>
      </c>
      <c r="G13" s="1746" t="s">
        <v>642</v>
      </c>
      <c r="H13" s="1746">
        <f>E14*E26*E5*0.5</f>
        <v>96</v>
      </c>
      <c r="I13" s="1746" t="s">
        <v>405</v>
      </c>
    </row>
    <row r="14" ht="18" customHeight="1" spans="1:9">
      <c r="A14" s="1740" t="s">
        <v>643</v>
      </c>
      <c r="B14" s="1740">
        <v>120</v>
      </c>
      <c r="C14" s="1741" t="s">
        <v>598</v>
      </c>
      <c r="D14" s="1747" t="s">
        <v>644</v>
      </c>
      <c r="E14" s="1747">
        <v>1.5</v>
      </c>
      <c r="F14" s="1748" t="s">
        <v>405</v>
      </c>
      <c r="G14" s="1744" t="s">
        <v>645</v>
      </c>
      <c r="H14" s="1745">
        <f>H13/H12</f>
        <v>2.63027030255366</v>
      </c>
      <c r="I14" s="1744"/>
    </row>
    <row r="15" ht="18" customHeight="1" spans="1:9">
      <c r="A15" s="1740" t="s">
        <v>646</v>
      </c>
      <c r="B15" s="1740">
        <v>120</v>
      </c>
      <c r="C15" s="1741" t="s">
        <v>598</v>
      </c>
      <c r="D15" s="1746" t="s">
        <v>647</v>
      </c>
      <c r="E15" s="1750" t="s">
        <v>648</v>
      </c>
      <c r="F15" s="1749"/>
      <c r="G15" s="1424" t="s">
        <v>649</v>
      </c>
      <c r="H15" s="1424">
        <f>(B19+B20)*B14/4000</f>
        <v>3</v>
      </c>
      <c r="I15" s="1424" t="s">
        <v>405</v>
      </c>
    </row>
    <row r="16" ht="18" customHeight="1" spans="1:9">
      <c r="A16" s="1746"/>
      <c r="B16" s="1746"/>
      <c r="C16" s="1749"/>
      <c r="D16" s="1746" t="s">
        <v>650</v>
      </c>
      <c r="E16" s="1751" t="s">
        <v>651</v>
      </c>
      <c r="F16" s="1749" t="s">
        <v>624</v>
      </c>
      <c r="G16" s="1424" t="s">
        <v>652</v>
      </c>
      <c r="H16" s="1424">
        <f>H15+H12</f>
        <v>39.4981499835952</v>
      </c>
      <c r="I16" s="1424" t="s">
        <v>405</v>
      </c>
    </row>
    <row r="17" ht="18" customHeight="1" spans="1:9">
      <c r="A17" s="1752" t="s">
        <v>653</v>
      </c>
      <c r="B17" s="1752">
        <v>446</v>
      </c>
      <c r="C17" s="1753" t="s">
        <v>598</v>
      </c>
      <c r="D17" s="1740" t="s">
        <v>654</v>
      </c>
      <c r="E17" s="1740">
        <v>4700</v>
      </c>
      <c r="F17" s="1741" t="s">
        <v>400</v>
      </c>
      <c r="G17" s="1746" t="s">
        <v>655</v>
      </c>
      <c r="H17" s="1746">
        <f>E14*E26*E5*0.8</f>
        <v>153.6</v>
      </c>
      <c r="I17" s="1746" t="s">
        <v>405</v>
      </c>
    </row>
    <row r="18" ht="18" customHeight="1" spans="1:9">
      <c r="A18" s="1752" t="s">
        <v>656</v>
      </c>
      <c r="B18" s="1752">
        <v>592</v>
      </c>
      <c r="C18" s="1753" t="s">
        <v>598</v>
      </c>
      <c r="D18" s="1740" t="s">
        <v>657</v>
      </c>
      <c r="E18" s="1740">
        <v>5500</v>
      </c>
      <c r="F18" s="1741" t="s">
        <v>400</v>
      </c>
      <c r="G18" s="1746" t="s">
        <v>658</v>
      </c>
      <c r="H18" s="1746">
        <f>B5*(B19+B20)*10*B14/2000</f>
        <v>66</v>
      </c>
      <c r="I18" s="1746" t="s">
        <v>405</v>
      </c>
    </row>
    <row r="19" ht="18" customHeight="1" spans="1:9">
      <c r="A19" s="1740" t="s">
        <v>659</v>
      </c>
      <c r="B19" s="1740">
        <v>50</v>
      </c>
      <c r="C19" s="1741" t="s">
        <v>357</v>
      </c>
      <c r="D19" s="1742"/>
      <c r="E19" s="1742"/>
      <c r="F19" s="338"/>
      <c r="G19" s="1744" t="s">
        <v>660</v>
      </c>
      <c r="H19" s="1745">
        <f>H17/H16</f>
        <v>3.88878972974164</v>
      </c>
      <c r="I19" s="1744"/>
    </row>
    <row r="20" ht="18" customHeight="1" spans="1:9">
      <c r="A20" s="1740" t="s">
        <v>661</v>
      </c>
      <c r="B20" s="1740">
        <v>50</v>
      </c>
      <c r="C20" s="1741" t="s">
        <v>357</v>
      </c>
      <c r="D20" s="1747" t="s">
        <v>662</v>
      </c>
      <c r="E20" s="1747">
        <v>1.1</v>
      </c>
      <c r="F20" s="1748"/>
      <c r="G20" s="1744" t="s">
        <v>663</v>
      </c>
      <c r="H20" s="1744">
        <f>H18/H16</f>
        <v>1.67096433699836</v>
      </c>
      <c r="I20" s="1744"/>
    </row>
    <row r="21" ht="18" customHeight="1" spans="1:9">
      <c r="A21" s="1754" t="s">
        <v>664</v>
      </c>
      <c r="B21" s="1754">
        <f>B18/B17</f>
        <v>1.32735426008969</v>
      </c>
      <c r="C21" s="1754"/>
      <c r="D21" s="1744" t="s">
        <v>665</v>
      </c>
      <c r="E21" s="1744">
        <f>E20*E11</f>
        <v>9.9</v>
      </c>
      <c r="F21" s="1755" t="s">
        <v>632</v>
      </c>
      <c r="G21" s="1424" t="s">
        <v>666</v>
      </c>
      <c r="H21" s="1424">
        <f>(B19+B20)*10*B3/2+B4*(B19+B20)*10*B18/4/B17</f>
        <v>420.022421524664</v>
      </c>
      <c r="I21" s="1424" t="s">
        <v>387</v>
      </c>
    </row>
    <row r="22" ht="18" customHeight="1" spans="1:9">
      <c r="A22" s="206"/>
      <c r="B22" s="206"/>
      <c r="C22" s="206"/>
      <c r="D22" s="1746"/>
      <c r="E22" s="1746"/>
      <c r="F22" s="1749"/>
      <c r="G22" s="1746" t="s">
        <v>667</v>
      </c>
      <c r="H22" s="1742">
        <f>E9*E26/B15*2000</f>
        <v>487.619047619048</v>
      </c>
      <c r="I22" s="1746" t="s">
        <v>387</v>
      </c>
    </row>
    <row r="23" ht="18" customHeight="1" spans="1:9">
      <c r="A23" s="1746"/>
      <c r="B23" s="1746"/>
      <c r="C23" s="1749"/>
      <c r="D23" s="1742"/>
      <c r="E23" s="1742"/>
      <c r="F23" s="338"/>
      <c r="G23" s="1744" t="s">
        <v>668</v>
      </c>
      <c r="H23" s="1744">
        <f>H22/H21</f>
        <v>1.1609357563556</v>
      </c>
      <c r="I23" s="1744"/>
    </row>
    <row r="24" ht="18" customHeight="1" spans="1:9">
      <c r="A24" s="626" t="s">
        <v>669</v>
      </c>
      <c r="B24" s="626"/>
      <c r="C24" s="626"/>
      <c r="D24" s="1734" t="s">
        <v>670</v>
      </c>
      <c r="E24" s="1734"/>
      <c r="F24" s="1734"/>
      <c r="G24" s="1735" t="s">
        <v>671</v>
      </c>
      <c r="H24" s="1735"/>
      <c r="I24" s="1735"/>
    </row>
    <row r="25" ht="18" customHeight="1" spans="1:9">
      <c r="A25" s="1424" t="s">
        <v>672</v>
      </c>
      <c r="B25" s="1424">
        <v>0.4</v>
      </c>
      <c r="C25" s="1424" t="s">
        <v>359</v>
      </c>
      <c r="D25" s="1739"/>
      <c r="E25" s="1739"/>
      <c r="F25" s="1739"/>
      <c r="G25" s="1744" t="s">
        <v>673</v>
      </c>
      <c r="H25" s="1744">
        <f>E17/60/E26*3.14*B14/1000</f>
        <v>0.4611875</v>
      </c>
      <c r="I25" s="1744" t="s">
        <v>359</v>
      </c>
    </row>
    <row r="26" ht="18" customHeight="1" spans="1:9">
      <c r="A26" s="205" t="s">
        <v>674</v>
      </c>
      <c r="B26" s="205">
        <v>0.5</v>
      </c>
      <c r="C26" s="205" t="s">
        <v>359</v>
      </c>
      <c r="D26" s="1742" t="s">
        <v>675</v>
      </c>
      <c r="E26" s="1742">
        <f>E27*E32</f>
        <v>64</v>
      </c>
      <c r="F26" s="338"/>
      <c r="G26" s="1744" t="s">
        <v>676</v>
      </c>
      <c r="H26" s="1744">
        <f>E18/60/E26*3.14*B14/1000</f>
        <v>0.5396875</v>
      </c>
      <c r="I26" s="1744" t="s">
        <v>359</v>
      </c>
    </row>
    <row r="27" ht="18" customHeight="1" spans="1:9">
      <c r="A27" s="1756" t="s">
        <v>677</v>
      </c>
      <c r="B27" s="1756">
        <f>B25</f>
        <v>0.4</v>
      </c>
      <c r="C27" s="1756" t="s">
        <v>359</v>
      </c>
      <c r="D27" s="1740" t="s">
        <v>678</v>
      </c>
      <c r="E27" s="1740">
        <f>E28/E29</f>
        <v>1</v>
      </c>
      <c r="F27" s="1741"/>
      <c r="G27" s="1746" t="s">
        <v>106</v>
      </c>
      <c r="H27" s="1746"/>
      <c r="I27" s="1746"/>
    </row>
    <row r="28" ht="18" customHeight="1" spans="1:9">
      <c r="A28" s="1743" t="s">
        <v>679</v>
      </c>
      <c r="B28" s="1743">
        <v>0.3</v>
      </c>
      <c r="C28" s="1743" t="s">
        <v>680</v>
      </c>
      <c r="D28" s="1740" t="s">
        <v>681</v>
      </c>
      <c r="E28" s="1740">
        <v>25</v>
      </c>
      <c r="F28" s="1741"/>
      <c r="G28" s="1757"/>
      <c r="H28" s="1757"/>
      <c r="I28" s="1757"/>
    </row>
    <row r="29" ht="18" customHeight="1" spans="1:9">
      <c r="A29" s="1756" t="s">
        <v>682</v>
      </c>
      <c r="B29" s="1756">
        <f>B28</f>
        <v>0.3</v>
      </c>
      <c r="C29" s="1756" t="s">
        <v>680</v>
      </c>
      <c r="D29" s="1740" t="s">
        <v>683</v>
      </c>
      <c r="E29" s="1740">
        <v>25</v>
      </c>
      <c r="F29" s="1741"/>
      <c r="G29" s="1742"/>
      <c r="H29" s="1742"/>
      <c r="I29" s="1742"/>
    </row>
    <row r="30" ht="18" customHeight="1" spans="1:9">
      <c r="A30" s="1742"/>
      <c r="B30" s="1742"/>
      <c r="C30" s="1742"/>
      <c r="D30" s="1747" t="s">
        <v>684</v>
      </c>
      <c r="E30" s="1747"/>
      <c r="F30" s="1748" t="s">
        <v>405</v>
      </c>
      <c r="G30" s="1746" t="s">
        <v>685</v>
      </c>
      <c r="H30" s="1746">
        <f>E9*E32*E27</f>
        <v>29.2571428571429</v>
      </c>
      <c r="I30" s="1746" t="s">
        <v>405</v>
      </c>
    </row>
    <row r="31" ht="18" customHeight="1" spans="1:9">
      <c r="A31" s="1742"/>
      <c r="B31" s="1742"/>
      <c r="C31" s="1742"/>
      <c r="D31" s="1747" t="s">
        <v>686</v>
      </c>
      <c r="E31" s="1747"/>
      <c r="F31" s="1748" t="s">
        <v>405</v>
      </c>
      <c r="G31" s="1746" t="s">
        <v>687</v>
      </c>
      <c r="H31" s="1746">
        <f>E9*E32</f>
        <v>29.2571428571429</v>
      </c>
      <c r="I31" s="1746" t="s">
        <v>405</v>
      </c>
    </row>
    <row r="32" ht="18" customHeight="1" spans="1:9">
      <c r="A32" s="1742"/>
      <c r="B32" s="1742"/>
      <c r="C32" s="1742"/>
      <c r="D32" s="1740" t="s">
        <v>688</v>
      </c>
      <c r="E32" s="1740">
        <v>64</v>
      </c>
      <c r="F32" s="1741"/>
      <c r="G32" s="1744" t="s">
        <v>689</v>
      </c>
      <c r="H32" s="1745">
        <f>E30/H30</f>
        <v>0</v>
      </c>
      <c r="I32" s="1744"/>
    </row>
    <row r="33" ht="18" customHeight="1" spans="1:9">
      <c r="A33" s="1742"/>
      <c r="B33" s="1742"/>
      <c r="C33" s="1742"/>
      <c r="D33" s="1747" t="s">
        <v>654</v>
      </c>
      <c r="E33" s="1747">
        <v>3500</v>
      </c>
      <c r="F33" s="1748" t="s">
        <v>400</v>
      </c>
      <c r="G33" s="1744" t="s">
        <v>690</v>
      </c>
      <c r="H33" s="1745">
        <f>E31/H31</f>
        <v>0</v>
      </c>
      <c r="I33" s="1744"/>
    </row>
    <row r="34" ht="18" customHeight="1" spans="1:9">
      <c r="A34" s="1742"/>
      <c r="B34" s="1742"/>
      <c r="C34" s="1742"/>
      <c r="D34" s="1747" t="s">
        <v>657</v>
      </c>
      <c r="E34" s="1747">
        <v>6000</v>
      </c>
      <c r="F34" s="1748" t="s">
        <v>400</v>
      </c>
      <c r="G34" s="1742"/>
      <c r="H34" s="1742"/>
      <c r="I34" s="1742"/>
    </row>
    <row r="35" ht="18" customHeight="1" spans="1:9">
      <c r="A35" s="1742"/>
      <c r="B35" s="1742"/>
      <c r="C35" s="1742"/>
      <c r="D35" s="1747" t="s">
        <v>638</v>
      </c>
      <c r="E35" s="1747">
        <v>35</v>
      </c>
      <c r="F35" s="1748" t="s">
        <v>405</v>
      </c>
      <c r="G35" s="1746" t="s">
        <v>691</v>
      </c>
      <c r="H35" s="1746">
        <f>E9*E32</f>
        <v>29.2571428571429</v>
      </c>
      <c r="I35" s="1746" t="s">
        <v>405</v>
      </c>
    </row>
    <row r="36" ht="18" customHeight="1" spans="1:9">
      <c r="A36" s="1742"/>
      <c r="B36" s="1742"/>
      <c r="C36" s="1742"/>
      <c r="D36" s="1746" t="s">
        <v>650</v>
      </c>
      <c r="E36" s="1750" t="s">
        <v>692</v>
      </c>
      <c r="F36" s="1749" t="s">
        <v>624</v>
      </c>
      <c r="G36" s="1744" t="s">
        <v>693</v>
      </c>
      <c r="H36" s="1745">
        <f>E35/H35</f>
        <v>1.1962890625</v>
      </c>
      <c r="I36" s="1744"/>
    </row>
  </sheetData>
  <protectedRanges>
    <protectedRange sqref="B$1:B$1048576 E$1:E$1048576 H$1:H$1048576" name="範圍1"/>
  </protectedRanges>
  <customSheetViews>
    <customSheetView guid="{B9330FFD-B5EF-4680-A375-DB92D4738404}">
      <selection activeCell="H1" sqref="H1:I1"/>
      <pageMargins left="0.7" right="0.7" top="0.75" bottom="0.75" header="0.3" footer="0.3"/>
      <headerFooter/>
    </customSheetView>
  </customSheetViews>
  <mergeCells count="11">
    <mergeCell ref="A1:G1"/>
    <mergeCell ref="H1:I1"/>
    <mergeCell ref="A2:C2"/>
    <mergeCell ref="D2:F2"/>
    <mergeCell ref="G2:I2"/>
    <mergeCell ref="D3:F3"/>
    <mergeCell ref="A11:C11"/>
    <mergeCell ref="A24:C24"/>
    <mergeCell ref="D24:F24"/>
    <mergeCell ref="G24:I24"/>
    <mergeCell ref="D25:F25"/>
  </mergeCells>
  <hyperlinks>
    <hyperlink ref="H1:I1" location="目录!A1" display="目录!A1"/>
  </hyperlink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2"/>
  <sheetViews>
    <sheetView topLeftCell="A2" workbookViewId="0">
      <selection activeCell="N20" sqref="N20"/>
    </sheetView>
  </sheetViews>
  <sheetFormatPr defaultColWidth="9" defaultRowHeight="15.6"/>
  <cols>
    <col min="4" max="4" width="11.25" customWidth="1"/>
    <col min="6" max="6" width="11" customWidth="1"/>
  </cols>
  <sheetData>
    <row r="1" ht="25.8" spans="1:13">
      <c r="A1" s="1703" t="s">
        <v>694</v>
      </c>
      <c r="B1" s="19"/>
      <c r="C1" s="19"/>
      <c r="D1" s="19"/>
      <c r="E1" s="19"/>
      <c r="F1" s="19"/>
      <c r="G1" s="19"/>
      <c r="H1" s="19"/>
      <c r="I1" s="19"/>
      <c r="J1" s="19"/>
      <c r="K1" s="19"/>
      <c r="L1" s="19"/>
      <c r="M1" s="19"/>
    </row>
    <row r="2" ht="26.55" spans="1:13">
      <c r="A2" s="1703"/>
      <c r="B2" s="60" t="s">
        <v>695</v>
      </c>
      <c r="C2" s="60"/>
      <c r="D2" s="60"/>
      <c r="E2" s="18"/>
      <c r="F2" s="18"/>
      <c r="G2" s="19"/>
      <c r="H2" s="19"/>
      <c r="I2" s="19"/>
      <c r="J2" s="19"/>
      <c r="K2" s="19"/>
      <c r="L2" s="328" t="s">
        <v>88</v>
      </c>
      <c r="M2" s="19"/>
    </row>
    <row r="3" spans="2:12">
      <c r="B3" s="1704" t="s">
        <v>696</v>
      </c>
      <c r="C3" s="1705"/>
      <c r="D3" s="1705"/>
      <c r="E3" s="1705"/>
      <c r="F3" s="1705"/>
      <c r="G3" s="1705"/>
      <c r="H3" s="1705"/>
      <c r="I3" s="1705"/>
      <c r="J3" s="1705"/>
      <c r="K3" s="1705"/>
      <c r="L3" s="1728"/>
    </row>
    <row r="4" spans="2:12">
      <c r="B4" s="1706"/>
      <c r="C4" s="1707" t="s">
        <v>458</v>
      </c>
      <c r="D4" s="1707"/>
      <c r="E4" s="1708" t="s">
        <v>459</v>
      </c>
      <c r="F4" s="1709">
        <v>5</v>
      </c>
      <c r="G4" s="1710"/>
      <c r="H4" s="21" t="s">
        <v>319</v>
      </c>
      <c r="I4" s="1707"/>
      <c r="J4" s="1710" t="s">
        <v>449</v>
      </c>
      <c r="K4" s="1707">
        <v>9.8</v>
      </c>
      <c r="L4" s="1729" t="s">
        <v>359</v>
      </c>
    </row>
    <row r="5" ht="18" spans="2:16">
      <c r="B5" s="1706"/>
      <c r="C5" s="1707" t="s">
        <v>460</v>
      </c>
      <c r="D5" s="1707"/>
      <c r="E5" s="1711" t="s">
        <v>440</v>
      </c>
      <c r="F5" s="1712">
        <v>1.5</v>
      </c>
      <c r="G5" s="1707" t="s">
        <v>382</v>
      </c>
      <c r="H5" s="21" t="s">
        <v>319</v>
      </c>
      <c r="I5" s="1707"/>
      <c r="J5" s="1710" t="s">
        <v>362</v>
      </c>
      <c r="K5" s="1707">
        <v>3.1416</v>
      </c>
      <c r="L5" s="1729"/>
      <c r="N5" s="18"/>
      <c r="O5" s="18"/>
      <c r="P5" s="18"/>
    </row>
    <row r="6" ht="18" spans="2:16">
      <c r="B6" s="1706"/>
      <c r="C6" s="1707" t="s">
        <v>697</v>
      </c>
      <c r="D6" s="1707"/>
      <c r="E6" s="1711" t="s">
        <v>377</v>
      </c>
      <c r="F6" s="1712">
        <v>15</v>
      </c>
      <c r="G6" s="1707" t="s">
        <v>390</v>
      </c>
      <c r="H6" s="21" t="s">
        <v>319</v>
      </c>
      <c r="I6" s="21"/>
      <c r="J6" s="21"/>
      <c r="K6" s="21"/>
      <c r="L6" s="1729"/>
      <c r="N6" s="18"/>
      <c r="O6" s="18"/>
      <c r="P6" s="18"/>
    </row>
    <row r="7" ht="18" spans="2:16">
      <c r="B7" s="1706"/>
      <c r="C7" s="1707" t="s">
        <v>383</v>
      </c>
      <c r="D7" s="1707"/>
      <c r="E7" s="1711" t="s">
        <v>384</v>
      </c>
      <c r="F7" s="1713">
        <v>0.5</v>
      </c>
      <c r="G7" s="1707"/>
      <c r="H7" s="21" t="s">
        <v>319</v>
      </c>
      <c r="I7" s="21"/>
      <c r="J7" s="21"/>
      <c r="K7" s="21"/>
      <c r="L7" s="1729"/>
      <c r="N7" s="18"/>
      <c r="O7" s="18"/>
      <c r="P7" s="18"/>
    </row>
    <row r="8" ht="18.75" spans="2:16">
      <c r="B8" s="1714"/>
      <c r="C8" s="1715" t="s">
        <v>698</v>
      </c>
      <c r="D8" s="1715"/>
      <c r="E8" s="1716" t="s">
        <v>494</v>
      </c>
      <c r="F8" s="1717">
        <f>0.285</f>
        <v>0.285</v>
      </c>
      <c r="G8" s="1715" t="s">
        <v>699</v>
      </c>
      <c r="H8" s="1718"/>
      <c r="I8" s="1718"/>
      <c r="J8" s="1718"/>
      <c r="K8" s="1718"/>
      <c r="L8" s="1730"/>
      <c r="N8" s="18"/>
      <c r="O8" s="18"/>
      <c r="P8" s="18"/>
    </row>
    <row r="9" ht="18" spans="3:16">
      <c r="C9" s="1697"/>
      <c r="D9" s="1697"/>
      <c r="E9" s="1719"/>
      <c r="F9" s="1720"/>
      <c r="G9" s="1697"/>
      <c r="N9" s="18"/>
      <c r="O9" s="18"/>
      <c r="P9" s="18"/>
    </row>
    <row r="10" spans="2:16">
      <c r="B10" s="156" t="s">
        <v>464</v>
      </c>
      <c r="C10" s="156"/>
      <c r="D10" s="156"/>
      <c r="E10" s="156"/>
      <c r="F10" s="156"/>
      <c r="N10" s="18"/>
      <c r="O10" s="18"/>
      <c r="P10" s="18"/>
    </row>
    <row r="11" ht="18.6" spans="2:16">
      <c r="B11" s="156"/>
      <c r="C11" s="156" t="s">
        <v>392</v>
      </c>
      <c r="D11" s="156"/>
      <c r="E11" s="1721" t="s">
        <v>465</v>
      </c>
      <c r="F11" s="1722" t="s">
        <v>466</v>
      </c>
      <c r="G11" s="826"/>
      <c r="N11" s="18"/>
      <c r="O11" s="18"/>
      <c r="P11" s="18"/>
    </row>
    <row r="12" spans="2:16">
      <c r="B12" s="156"/>
      <c r="C12" s="156"/>
      <c r="D12" s="156"/>
      <c r="E12" s="1721" t="s">
        <v>396</v>
      </c>
      <c r="F12" s="1723">
        <f>F5*F7</f>
        <v>0.75</v>
      </c>
      <c r="G12" t="s">
        <v>382</v>
      </c>
      <c r="N12" s="18"/>
      <c r="O12" s="18"/>
      <c r="P12" s="18"/>
    </row>
    <row r="13" spans="2:16">
      <c r="B13" s="156" t="s">
        <v>467</v>
      </c>
      <c r="C13" s="156"/>
      <c r="D13" s="156"/>
      <c r="E13" s="156"/>
      <c r="F13" s="156"/>
      <c r="N13" s="18"/>
      <c r="O13" s="18"/>
      <c r="P13" s="18"/>
    </row>
    <row r="14" ht="17.4" spans="2:16">
      <c r="B14" s="156"/>
      <c r="C14" s="156" t="s">
        <v>468</v>
      </c>
      <c r="D14" s="156"/>
      <c r="E14" s="1721" t="s">
        <v>469</v>
      </c>
      <c r="I14" s="1524"/>
      <c r="N14" s="18"/>
      <c r="O14" s="18"/>
      <c r="P14" s="18"/>
    </row>
    <row r="15" ht="17.4" spans="2:16">
      <c r="B15" s="156" t="s">
        <v>106</v>
      </c>
      <c r="C15" s="156"/>
      <c r="D15" s="156"/>
      <c r="E15" s="1721"/>
      <c r="F15" s="1524"/>
      <c r="I15" s="1524"/>
      <c r="N15" s="18"/>
      <c r="O15" s="18"/>
      <c r="P15" s="18"/>
    </row>
    <row r="16" ht="17.4" spans="2:16">
      <c r="B16" s="156"/>
      <c r="C16" s="156"/>
      <c r="D16" s="156"/>
      <c r="E16" s="1721" t="s">
        <v>93</v>
      </c>
      <c r="F16" s="1724">
        <f>(F6*K5)/(180*(F12*(F5-F12)))</f>
        <v>0.465422222222222</v>
      </c>
      <c r="G16" t="s">
        <v>470</v>
      </c>
      <c r="I16" s="1524"/>
      <c r="N16" s="18"/>
      <c r="O16" s="18"/>
      <c r="P16" s="18"/>
    </row>
    <row r="17" spans="2:16">
      <c r="B17" s="156"/>
      <c r="C17" s="156"/>
      <c r="D17" s="156"/>
      <c r="E17" s="1721"/>
      <c r="F17" s="1627"/>
      <c r="G17" s="826"/>
      <c r="N17" s="18"/>
      <c r="O17" s="18"/>
      <c r="P17" s="18"/>
    </row>
    <row r="18" spans="2:5">
      <c r="B18" s="156"/>
      <c r="C18" s="156" t="s">
        <v>471</v>
      </c>
      <c r="D18" s="156"/>
      <c r="E18" s="1721" t="s">
        <v>700</v>
      </c>
    </row>
    <row r="19" spans="2:6">
      <c r="B19" s="156"/>
      <c r="C19" s="156"/>
      <c r="D19" s="156"/>
      <c r="E19" s="1721"/>
      <c r="F19" s="156"/>
    </row>
    <row r="20" spans="2:7">
      <c r="B20" s="156"/>
      <c r="C20" s="156"/>
      <c r="D20" s="156"/>
      <c r="E20" s="1721" t="s">
        <v>93</v>
      </c>
      <c r="F20" s="1725">
        <f>(F16*F12/(2*K5))*60</f>
        <v>3.33333333333333</v>
      </c>
      <c r="G20" t="s">
        <v>400</v>
      </c>
    </row>
    <row r="21" spans="2:5">
      <c r="B21" s="826"/>
      <c r="D21" s="1726"/>
      <c r="E21" s="1726"/>
    </row>
    <row r="22" ht="18.6" spans="3:6">
      <c r="C22" t="s">
        <v>473</v>
      </c>
      <c r="E22" s="514" t="s">
        <v>474</v>
      </c>
      <c r="F22" t="s">
        <v>475</v>
      </c>
    </row>
    <row r="23" ht="17.4" spans="2:7">
      <c r="B23" t="s">
        <v>106</v>
      </c>
      <c r="E23" s="514" t="s">
        <v>396</v>
      </c>
      <c r="F23" s="1727">
        <f>F4*F16</f>
        <v>2.32711111111111</v>
      </c>
      <c r="G23" t="s">
        <v>470</v>
      </c>
    </row>
    <row r="25" ht="18.6" spans="3:6">
      <c r="C25" t="s">
        <v>476</v>
      </c>
      <c r="E25" s="514" t="s">
        <v>477</v>
      </c>
      <c r="F25" t="s">
        <v>701</v>
      </c>
    </row>
    <row r="26" spans="5:7">
      <c r="E26" s="514" t="s">
        <v>396</v>
      </c>
      <c r="F26" s="1727">
        <f>F20*F4</f>
        <v>16.6666666666667</v>
      </c>
      <c r="G26" t="s">
        <v>400</v>
      </c>
    </row>
    <row r="28" spans="3:6">
      <c r="C28" t="s">
        <v>702</v>
      </c>
      <c r="E28" s="514" t="s">
        <v>558</v>
      </c>
      <c r="F28" t="s">
        <v>703</v>
      </c>
    </row>
    <row r="29" spans="2:7">
      <c r="B29" t="s">
        <v>106</v>
      </c>
      <c r="E29" s="514" t="s">
        <v>396</v>
      </c>
      <c r="F29" s="1727">
        <f>F8*F23</f>
        <v>0.663226666666667</v>
      </c>
      <c r="G29" t="s">
        <v>405</v>
      </c>
    </row>
    <row r="31" spans="5:6">
      <c r="E31" s="514" t="s">
        <v>704</v>
      </c>
      <c r="F31" t="s">
        <v>705</v>
      </c>
    </row>
    <row r="32" spans="5:7">
      <c r="E32" s="514" t="s">
        <v>396</v>
      </c>
      <c r="F32" s="1727">
        <f>2*F29</f>
        <v>1.32645333333333</v>
      </c>
      <c r="G32" t="s">
        <v>405</v>
      </c>
    </row>
  </sheetData>
  <protectedRanges>
    <protectedRange sqref="B3:L8" name="範圍1"/>
  </protectedRanges>
  <customSheetViews>
    <customSheetView guid="{B9330FFD-B5EF-4680-A375-DB92D4738404}">
      <selection activeCell="L2" sqref="L2"/>
      <pageMargins left="0.75" right="0.75" top="1" bottom="1" header="0.5" footer="0.5"/>
      <pageSetup paperSize="9" orientation="portrait"/>
      <headerFooter alignWithMargins="0"/>
    </customSheetView>
  </customSheetViews>
  <mergeCells count="3">
    <mergeCell ref="A1:M1"/>
    <mergeCell ref="B2:F2"/>
    <mergeCell ref="D21:E21"/>
  </mergeCells>
  <hyperlinks>
    <hyperlink ref="L2" location="目录!A1" display="目录!A1"/>
  </hyperlinks>
  <pageMargins left="0.75" right="0.75" top="1" bottom="1" header="0.5" footer="0.5"/>
  <pageSetup paperSize="9" orientation="portrait"/>
  <headerFooter alignWithMargins="0"/>
  <drawing r:id="rId1"/>
  <legacyDrawing r:id="rId2"/>
  <oleObjects>
    <mc:AlternateContent xmlns:mc="http://schemas.openxmlformats.org/markup-compatibility/2006">
      <mc:Choice Requires="x14">
        <oleObject shapeId="25607" progId="Equation.DSMT4" r:id="rId3">
          <objectPr defaultSize="0" r:id="rId4">
            <anchor moveWithCells="1">
              <from>
                <xdr:col>5</xdr:col>
                <xdr:colOff>47625</xdr:colOff>
                <xdr:row>12</xdr:row>
                <xdr:rowOff>104775</xdr:rowOff>
              </from>
              <to>
                <xdr:col>6</xdr:col>
                <xdr:colOff>133350</xdr:colOff>
                <xdr:row>14</xdr:row>
                <xdr:rowOff>190500</xdr:rowOff>
              </to>
            </anchor>
          </objectPr>
        </oleObject>
      </mc:Choice>
      <mc:Fallback>
        <oleObject shapeId="25607" progId="Equation.DSMT4" r:id="rId3"/>
      </mc:Fallback>
    </mc:AlternateContent>
    <mc:AlternateContent xmlns:mc="http://schemas.openxmlformats.org/markup-compatibility/2006">
      <mc:Choice Requires="x14">
        <oleObject shapeId="25608" progId="Equation.DSMT4" r:id="rId5">
          <objectPr defaultSize="0" r:id="rId6">
            <anchor moveWithCells="1">
              <from>
                <xdr:col>5</xdr:col>
                <xdr:colOff>38100</xdr:colOff>
                <xdr:row>16</xdr:row>
                <xdr:rowOff>114300</xdr:rowOff>
              </from>
              <to>
                <xdr:col>6</xdr:col>
                <xdr:colOff>104775</xdr:colOff>
                <xdr:row>18</xdr:row>
                <xdr:rowOff>142875</xdr:rowOff>
              </to>
            </anchor>
          </objectPr>
        </oleObject>
      </mc:Choice>
      <mc:Fallback>
        <oleObject shapeId="25608" progId="Equation.DSMT4" r:id="rId5"/>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1"/>
  <sheetViews>
    <sheetView topLeftCell="A30" workbookViewId="0">
      <selection activeCell="M10" sqref="M10"/>
    </sheetView>
  </sheetViews>
  <sheetFormatPr defaultColWidth="9" defaultRowHeight="15.6"/>
  <cols>
    <col min="8" max="8" width="27.625" customWidth="1"/>
  </cols>
  <sheetData>
    <row r="1" ht="20.25" customHeight="1" spans="1:9">
      <c r="A1" s="1023" t="s">
        <v>27</v>
      </c>
      <c r="B1" s="1023"/>
      <c r="C1" s="1023"/>
      <c r="D1" s="1023"/>
      <c r="E1" s="1023"/>
      <c r="F1" s="1023"/>
      <c r="G1" s="1023"/>
      <c r="H1" s="1023"/>
      <c r="I1" s="1023"/>
    </row>
    <row r="2" spans="1:9">
      <c r="A2" s="1694"/>
      <c r="B2" s="1694"/>
      <c r="C2" s="58" t="s">
        <v>706</v>
      </c>
      <c r="D2" s="58"/>
      <c r="E2" s="58"/>
      <c r="F2" s="1698"/>
      <c r="G2" s="1698"/>
      <c r="H2" s="996" t="s">
        <v>707</v>
      </c>
      <c r="I2" s="67"/>
    </row>
    <row r="3" s="1697" customFormat="1" spans="1:9">
      <c r="A3" s="1699"/>
      <c r="B3" s="1699"/>
      <c r="C3" s="1699"/>
      <c r="D3" s="1699"/>
      <c r="E3" s="1699"/>
      <c r="F3" s="1699"/>
      <c r="G3" s="1699"/>
      <c r="H3" s="1699"/>
      <c r="I3" s="1699"/>
    </row>
    <row r="4" spans="1:11">
      <c r="A4" s="168"/>
      <c r="B4" s="168"/>
      <c r="C4" s="168"/>
      <c r="D4" s="168"/>
      <c r="E4" s="168"/>
      <c r="F4" s="168"/>
      <c r="G4" s="168"/>
      <c r="H4" s="168"/>
      <c r="I4" s="168"/>
      <c r="J4" s="168"/>
      <c r="K4" s="168"/>
    </row>
    <row r="5" spans="1:11">
      <c r="A5" s="168"/>
      <c r="B5" s="168"/>
      <c r="C5" s="168"/>
      <c r="D5" s="168"/>
      <c r="E5" s="168"/>
      <c r="F5" s="168"/>
      <c r="G5" s="168"/>
      <c r="H5" s="168" t="s">
        <v>708</v>
      </c>
      <c r="I5" s="1700">
        <v>1</v>
      </c>
      <c r="J5" s="168"/>
      <c r="K5" s="168"/>
    </row>
    <row r="6" spans="1:11">
      <c r="A6" s="168"/>
      <c r="B6" s="168"/>
      <c r="C6" s="168"/>
      <c r="D6" s="168"/>
      <c r="E6" s="168"/>
      <c r="F6" s="168"/>
      <c r="G6" s="168"/>
      <c r="H6" s="168" t="s">
        <v>709</v>
      </c>
      <c r="I6" s="1700">
        <v>50</v>
      </c>
      <c r="J6" s="168"/>
      <c r="K6" s="168"/>
    </row>
    <row r="7" spans="1:11">
      <c r="A7" s="168"/>
      <c r="B7" s="168"/>
      <c r="C7" s="168"/>
      <c r="D7" s="168"/>
      <c r="E7" s="168"/>
      <c r="F7" s="168"/>
      <c r="G7" s="168"/>
      <c r="H7" s="168" t="s">
        <v>710</v>
      </c>
      <c r="I7" s="1700">
        <v>3</v>
      </c>
      <c r="J7" s="168"/>
      <c r="K7" s="168"/>
    </row>
    <row r="8" spans="1:11">
      <c r="A8" s="168"/>
      <c r="B8" s="168"/>
      <c r="C8" s="168"/>
      <c r="D8" s="168"/>
      <c r="E8" s="168"/>
      <c r="F8" s="168"/>
      <c r="G8" s="168"/>
      <c r="H8" s="168" t="s">
        <v>711</v>
      </c>
      <c r="I8" s="1701">
        <f>I5*(I6/(2*PI()*1000))^2*I7^2</f>
        <v>0.00056993165798815</v>
      </c>
      <c r="J8" s="168"/>
      <c r="K8" s="168"/>
    </row>
    <row r="9" spans="1:11">
      <c r="A9" s="168"/>
      <c r="B9" s="168"/>
      <c r="C9" s="168"/>
      <c r="D9" s="168"/>
      <c r="E9" s="168"/>
      <c r="F9" s="168"/>
      <c r="G9" s="168"/>
      <c r="H9" s="168"/>
      <c r="I9" s="168"/>
      <c r="J9" s="168"/>
      <c r="K9" s="168"/>
    </row>
    <row r="10" spans="1:11">
      <c r="A10" s="168"/>
      <c r="B10" s="168"/>
      <c r="C10" s="168"/>
      <c r="D10" s="168"/>
      <c r="E10" s="168"/>
      <c r="F10" s="168"/>
      <c r="G10" s="168"/>
      <c r="H10" s="168"/>
      <c r="I10" s="168"/>
      <c r="J10" s="168"/>
      <c r="K10" s="168"/>
    </row>
    <row r="11" spans="1:11">
      <c r="A11" s="168"/>
      <c r="B11" s="168"/>
      <c r="C11" s="168"/>
      <c r="D11" s="168"/>
      <c r="E11" s="168"/>
      <c r="F11" s="168"/>
      <c r="G11" s="168"/>
      <c r="H11" s="168"/>
      <c r="I11" s="1702" t="s">
        <v>88</v>
      </c>
      <c r="J11" s="168"/>
      <c r="K11" s="168"/>
    </row>
    <row r="12" spans="1:11">
      <c r="A12" s="168"/>
      <c r="B12" s="168"/>
      <c r="C12" s="168"/>
      <c r="D12" s="168"/>
      <c r="E12" s="168"/>
      <c r="F12" s="168"/>
      <c r="G12" s="168"/>
      <c r="H12" s="168"/>
      <c r="I12" s="1702"/>
      <c r="J12" s="168"/>
      <c r="K12" s="168"/>
    </row>
    <row r="13" spans="1:11">
      <c r="A13" s="168"/>
      <c r="B13" s="168"/>
      <c r="C13" s="168"/>
      <c r="D13" s="168"/>
      <c r="E13" s="168"/>
      <c r="F13" s="168"/>
      <c r="G13" s="168"/>
      <c r="H13" s="168"/>
      <c r="I13" s="1702"/>
      <c r="J13" s="168"/>
      <c r="K13" s="168"/>
    </row>
    <row r="14" spans="1:11">
      <c r="A14" s="168"/>
      <c r="B14" s="168"/>
      <c r="C14" s="168"/>
      <c r="D14" s="168"/>
      <c r="E14" s="168"/>
      <c r="F14" s="168"/>
      <c r="G14" s="168"/>
      <c r="H14" s="168"/>
      <c r="I14" s="1702"/>
      <c r="J14" s="168"/>
      <c r="K14" s="168"/>
    </row>
    <row r="15" spans="1:11">
      <c r="A15" s="168"/>
      <c r="B15" s="168"/>
      <c r="C15" s="168"/>
      <c r="D15" s="168"/>
      <c r="E15" s="168"/>
      <c r="F15" s="168"/>
      <c r="G15" s="168"/>
      <c r="H15" s="168"/>
      <c r="I15" s="168"/>
      <c r="J15" s="168"/>
      <c r="K15" s="168"/>
    </row>
    <row r="16" spans="1:11">
      <c r="A16" s="168"/>
      <c r="B16" s="168"/>
      <c r="C16" s="168"/>
      <c r="D16" s="168"/>
      <c r="E16" s="168"/>
      <c r="F16" s="168"/>
      <c r="G16" s="168"/>
      <c r="H16" s="168"/>
      <c r="I16" s="168"/>
      <c r="J16" s="168"/>
      <c r="K16" s="168"/>
    </row>
    <row r="17" spans="1:11">
      <c r="A17" s="168"/>
      <c r="B17" s="168"/>
      <c r="C17" s="168"/>
      <c r="D17" s="168"/>
      <c r="E17" s="168"/>
      <c r="F17" s="168"/>
      <c r="G17" s="168"/>
      <c r="H17" s="168" t="s">
        <v>708</v>
      </c>
      <c r="I17" s="1700">
        <v>4</v>
      </c>
      <c r="J17" s="168"/>
      <c r="K17" s="168"/>
    </row>
    <row r="18" spans="1:11">
      <c r="A18" s="168"/>
      <c r="B18" s="168"/>
      <c r="C18" s="168"/>
      <c r="D18" s="168"/>
      <c r="E18" s="168"/>
      <c r="F18" s="168"/>
      <c r="G18" s="168"/>
      <c r="H18" s="168" t="s">
        <v>712</v>
      </c>
      <c r="I18" s="1700">
        <v>20</v>
      </c>
      <c r="J18" s="168"/>
      <c r="K18" s="168"/>
    </row>
    <row r="19" spans="1:11">
      <c r="A19" s="168"/>
      <c r="B19" s="168"/>
      <c r="C19" s="168"/>
      <c r="D19" s="168"/>
      <c r="E19" s="168"/>
      <c r="F19" s="168"/>
      <c r="G19" s="168"/>
      <c r="H19" s="168" t="s">
        <v>710</v>
      </c>
      <c r="I19" s="1700">
        <v>3</v>
      </c>
      <c r="J19" s="168"/>
      <c r="K19" s="168"/>
    </row>
    <row r="20" spans="1:11">
      <c r="A20" s="168"/>
      <c r="B20" s="168"/>
      <c r="C20" s="168"/>
      <c r="D20" s="168"/>
      <c r="E20" s="168"/>
      <c r="F20" s="168"/>
      <c r="G20" s="168"/>
      <c r="H20" s="168" t="s">
        <v>494</v>
      </c>
      <c r="I20" s="1701">
        <f>I17*(I18/2000)^2*I19^2</f>
        <v>0.0036</v>
      </c>
      <c r="J20" s="168"/>
      <c r="K20" s="168"/>
    </row>
    <row r="21" spans="1:11">
      <c r="A21" s="168"/>
      <c r="B21" s="168"/>
      <c r="C21" s="168"/>
      <c r="D21" s="168"/>
      <c r="E21" s="168"/>
      <c r="F21" s="168"/>
      <c r="G21" s="168"/>
      <c r="H21" s="168"/>
      <c r="I21" s="168"/>
      <c r="J21" s="168"/>
      <c r="K21" s="168"/>
    </row>
    <row r="22" spans="1:11">
      <c r="A22" s="168"/>
      <c r="B22" s="168"/>
      <c r="C22" s="168"/>
      <c r="D22" s="168"/>
      <c r="E22" s="168"/>
      <c r="F22" s="168"/>
      <c r="G22" s="168"/>
      <c r="H22" s="168"/>
      <c r="I22" s="168"/>
      <c r="J22" s="168"/>
      <c r="K22" s="168"/>
    </row>
    <row r="23" spans="1:11">
      <c r="A23" s="168"/>
      <c r="B23" s="168"/>
      <c r="C23" s="168"/>
      <c r="D23" s="168"/>
      <c r="E23" s="168"/>
      <c r="F23" s="168"/>
      <c r="G23" s="168"/>
      <c r="H23" s="168"/>
      <c r="I23" s="168"/>
      <c r="J23" s="168"/>
      <c r="K23" s="168"/>
    </row>
    <row r="24" spans="1:11">
      <c r="A24" s="168"/>
      <c r="B24" s="168"/>
      <c r="C24" s="168"/>
      <c r="D24" s="168"/>
      <c r="E24" s="168"/>
      <c r="F24" s="168"/>
      <c r="G24" s="168"/>
      <c r="H24" s="168"/>
      <c r="I24" s="168"/>
      <c r="J24" s="168"/>
      <c r="K24" s="168"/>
    </row>
    <row r="25" spans="1:11">
      <c r="A25" s="168"/>
      <c r="B25" s="168"/>
      <c r="C25" s="168"/>
      <c r="D25" s="168"/>
      <c r="E25" s="168"/>
      <c r="F25" s="168"/>
      <c r="G25" s="168"/>
      <c r="H25" s="168"/>
      <c r="I25" s="168"/>
      <c r="J25" s="168"/>
      <c r="K25" s="168"/>
    </row>
    <row r="26" spans="1:11">
      <c r="A26" s="168"/>
      <c r="B26" s="168"/>
      <c r="C26" s="168"/>
      <c r="D26" s="168"/>
      <c r="E26" s="168"/>
      <c r="F26" s="168"/>
      <c r="G26" s="168"/>
      <c r="H26" s="168"/>
      <c r="I26" s="168"/>
      <c r="J26" s="168"/>
      <c r="K26" s="168"/>
    </row>
    <row r="27" spans="1:11">
      <c r="A27" s="168"/>
      <c r="B27" s="168"/>
      <c r="C27" s="168"/>
      <c r="D27" s="168"/>
      <c r="E27" s="168"/>
      <c r="F27" s="168"/>
      <c r="G27" s="168"/>
      <c r="H27" s="168"/>
      <c r="I27" s="168"/>
      <c r="J27" s="168"/>
      <c r="K27" s="168"/>
    </row>
    <row r="28" spans="1:11">
      <c r="A28" s="168"/>
      <c r="B28" s="168"/>
      <c r="C28" s="168"/>
      <c r="D28" s="168"/>
      <c r="E28" s="168"/>
      <c r="F28" s="168"/>
      <c r="G28" s="168"/>
      <c r="H28" s="168"/>
      <c r="I28" s="168"/>
      <c r="J28" s="168"/>
      <c r="K28" s="168"/>
    </row>
    <row r="29" spans="1:11">
      <c r="A29" s="168"/>
      <c r="B29" s="168"/>
      <c r="C29" s="168"/>
      <c r="D29" s="168"/>
      <c r="E29" s="168"/>
      <c r="F29" s="168"/>
      <c r="G29" s="168"/>
      <c r="H29" s="168"/>
      <c r="I29" s="168"/>
      <c r="J29" s="168"/>
      <c r="K29" s="168"/>
    </row>
    <row r="30" spans="1:11">
      <c r="A30" s="168"/>
      <c r="B30" s="168"/>
      <c r="C30" s="168"/>
      <c r="D30" s="168"/>
      <c r="E30" s="168"/>
      <c r="F30" s="168"/>
      <c r="G30" s="168"/>
      <c r="H30" s="168" t="s">
        <v>713</v>
      </c>
      <c r="I30" s="1700">
        <v>1</v>
      </c>
      <c r="J30" s="168"/>
      <c r="K30" s="168"/>
    </row>
    <row r="31" spans="1:11">
      <c r="A31" s="168"/>
      <c r="B31" s="168"/>
      <c r="C31" s="168"/>
      <c r="D31" s="168"/>
      <c r="E31" s="168"/>
      <c r="F31" s="168"/>
      <c r="G31" s="168"/>
      <c r="H31" s="168" t="s">
        <v>714</v>
      </c>
      <c r="I31" s="1700">
        <v>10</v>
      </c>
      <c r="J31" s="168"/>
      <c r="K31" s="168"/>
    </row>
    <row r="32" spans="1:11">
      <c r="A32" s="168"/>
      <c r="B32" s="168"/>
      <c r="C32" s="168"/>
      <c r="D32" s="168"/>
      <c r="E32" s="168"/>
      <c r="F32" s="168"/>
      <c r="G32" s="168"/>
      <c r="H32" s="168" t="s">
        <v>715</v>
      </c>
      <c r="I32" s="1700">
        <v>50</v>
      </c>
      <c r="J32" s="168"/>
      <c r="K32" s="168"/>
    </row>
    <row r="33" spans="1:11">
      <c r="A33" s="168"/>
      <c r="B33" s="168"/>
      <c r="C33" s="168"/>
      <c r="D33" s="168"/>
      <c r="E33" s="168"/>
      <c r="F33" s="168"/>
      <c r="G33" s="168"/>
      <c r="H33" s="168" t="s">
        <v>710</v>
      </c>
      <c r="I33" s="1700">
        <v>3</v>
      </c>
      <c r="J33" s="168"/>
      <c r="K33" s="168"/>
    </row>
    <row r="34" spans="1:11">
      <c r="A34" s="168"/>
      <c r="B34" s="168"/>
      <c r="C34" s="168"/>
      <c r="D34" s="168"/>
      <c r="E34" s="168"/>
      <c r="F34" s="168"/>
      <c r="G34" s="168"/>
      <c r="H34" s="168" t="s">
        <v>494</v>
      </c>
      <c r="I34" s="1701">
        <f>(I30+I31*(I32/1000)^2)*I33^2</f>
        <v>9.225</v>
      </c>
      <c r="J34" s="168"/>
      <c r="K34" s="168"/>
    </row>
    <row r="35" spans="1:11">
      <c r="A35" s="168"/>
      <c r="B35" s="168"/>
      <c r="C35" s="168"/>
      <c r="D35" s="168"/>
      <c r="E35" s="168"/>
      <c r="F35" s="168"/>
      <c r="G35" s="168"/>
      <c r="H35" s="168"/>
      <c r="I35" s="168"/>
      <c r="J35" s="168"/>
      <c r="K35" s="168"/>
    </row>
    <row r="36" spans="1:11">
      <c r="A36" s="168"/>
      <c r="B36" s="168"/>
      <c r="C36" s="168"/>
      <c r="D36" s="168"/>
      <c r="E36" s="168"/>
      <c r="F36" s="168"/>
      <c r="G36" s="168"/>
      <c r="H36" s="168"/>
      <c r="I36" s="168"/>
      <c r="J36" s="168"/>
      <c r="K36" s="168"/>
    </row>
    <row r="37" spans="1:11">
      <c r="A37" s="168"/>
      <c r="B37" s="168"/>
      <c r="C37" s="168"/>
      <c r="D37" s="168"/>
      <c r="E37" s="168"/>
      <c r="F37" s="168"/>
      <c r="G37" s="168"/>
      <c r="H37" s="168"/>
      <c r="I37" s="168"/>
      <c r="J37" s="168"/>
      <c r="K37" s="168"/>
    </row>
    <row r="38" spans="1:11">
      <c r="A38" s="168"/>
      <c r="B38" s="168"/>
      <c r="C38" s="168"/>
      <c r="D38" s="168"/>
      <c r="E38" s="168"/>
      <c r="F38" s="168"/>
      <c r="G38" s="168"/>
      <c r="H38" s="168"/>
      <c r="I38" s="168"/>
      <c r="J38" s="168"/>
      <c r="K38" s="168"/>
    </row>
    <row r="39" spans="1:11">
      <c r="A39" s="168"/>
      <c r="B39" s="168"/>
      <c r="C39" s="168"/>
      <c r="D39" s="168"/>
      <c r="E39" s="168"/>
      <c r="F39" s="168"/>
      <c r="G39" s="168"/>
      <c r="H39" s="168"/>
      <c r="I39" s="168"/>
      <c r="J39" s="168"/>
      <c r="K39" s="168"/>
    </row>
    <row r="40" spans="1:11">
      <c r="A40" s="168"/>
      <c r="B40" s="168"/>
      <c r="C40" s="168"/>
      <c r="D40" s="168"/>
      <c r="E40" s="168"/>
      <c r="F40" s="168"/>
      <c r="G40" s="168"/>
      <c r="H40" s="168"/>
      <c r="I40" s="168"/>
      <c r="J40" s="168"/>
      <c r="K40" s="168"/>
    </row>
    <row r="41" spans="1:11">
      <c r="A41" s="168"/>
      <c r="B41" s="168"/>
      <c r="C41" s="168"/>
      <c r="D41" s="168"/>
      <c r="E41" s="168"/>
      <c r="F41" s="168"/>
      <c r="G41" s="168"/>
      <c r="H41" s="168"/>
      <c r="I41" s="168"/>
      <c r="J41" s="168"/>
      <c r="K41" s="168"/>
    </row>
    <row r="42" spans="1:11">
      <c r="A42" s="168"/>
      <c r="B42" s="168"/>
      <c r="C42" s="168"/>
      <c r="D42" s="168"/>
      <c r="E42" s="168"/>
      <c r="F42" s="168"/>
      <c r="G42" s="168"/>
      <c r="H42" s="168"/>
      <c r="I42" s="168"/>
      <c r="J42" s="168"/>
      <c r="K42" s="168"/>
    </row>
    <row r="43" spans="1:11">
      <c r="A43" s="168"/>
      <c r="B43" s="168"/>
      <c r="C43" s="168"/>
      <c r="D43" s="168"/>
      <c r="E43" s="168"/>
      <c r="F43" s="168"/>
      <c r="G43" s="168"/>
      <c r="H43" s="168"/>
      <c r="I43" s="168"/>
      <c r="J43" s="168"/>
      <c r="K43" s="168"/>
    </row>
    <row r="44" spans="1:11">
      <c r="A44" s="168"/>
      <c r="B44" s="168"/>
      <c r="C44" s="168"/>
      <c r="D44" s="168"/>
      <c r="E44" s="168"/>
      <c r="F44" s="168"/>
      <c r="G44" s="168"/>
      <c r="H44" s="168"/>
      <c r="I44" s="168"/>
      <c r="J44" s="168"/>
      <c r="K44" s="168"/>
    </row>
    <row r="45" spans="1:11">
      <c r="A45" s="168"/>
      <c r="B45" s="168"/>
      <c r="C45" s="168"/>
      <c r="D45" s="168"/>
      <c r="E45" s="168"/>
      <c r="F45" s="168"/>
      <c r="G45" s="168"/>
      <c r="H45" s="168"/>
      <c r="I45" s="168"/>
      <c r="J45" s="168"/>
      <c r="K45" s="168"/>
    </row>
    <row r="46" spans="1:11">
      <c r="A46" s="168"/>
      <c r="B46" s="168"/>
      <c r="C46" s="168"/>
      <c r="D46" s="168"/>
      <c r="E46" s="168"/>
      <c r="F46" s="168"/>
      <c r="G46" s="168"/>
      <c r="H46" s="168"/>
      <c r="I46" s="168"/>
      <c r="J46" s="168"/>
      <c r="K46" s="168"/>
    </row>
    <row r="47" spans="1:11">
      <c r="A47" s="168"/>
      <c r="B47" s="168"/>
      <c r="C47" s="168"/>
      <c r="D47" s="168"/>
      <c r="E47" s="168"/>
      <c r="F47" s="168"/>
      <c r="G47" s="168"/>
      <c r="H47" s="168"/>
      <c r="I47" s="168"/>
      <c r="J47" s="168"/>
      <c r="K47" s="168"/>
    </row>
    <row r="48" spans="1:11">
      <c r="A48" s="168"/>
      <c r="B48" s="168"/>
      <c r="C48" s="168"/>
      <c r="D48" s="168"/>
      <c r="E48" s="168"/>
      <c r="F48" s="168"/>
      <c r="G48" s="168"/>
      <c r="H48" s="168"/>
      <c r="I48" s="168"/>
      <c r="J48" s="168"/>
      <c r="K48" s="168"/>
    </row>
    <row r="49" spans="1:11">
      <c r="A49" s="168"/>
      <c r="B49" s="168"/>
      <c r="C49" s="168"/>
      <c r="D49" s="168"/>
      <c r="E49" s="168"/>
      <c r="F49" s="168"/>
      <c r="G49" s="168"/>
      <c r="H49" s="168"/>
      <c r="I49" s="168"/>
      <c r="J49" s="168"/>
      <c r="K49" s="168"/>
    </row>
    <row r="50" spans="1:11">
      <c r="A50" s="168"/>
      <c r="B50" s="168"/>
      <c r="C50" s="168"/>
      <c r="D50" s="168"/>
      <c r="E50" s="168"/>
      <c r="F50" s="168"/>
      <c r="G50" s="168"/>
      <c r="H50" s="168"/>
      <c r="I50" s="168"/>
      <c r="J50" s="168"/>
      <c r="K50" s="168"/>
    </row>
    <row r="51" spans="1:11">
      <c r="A51" s="168"/>
      <c r="B51" s="168"/>
      <c r="C51" s="168"/>
      <c r="D51" s="168"/>
      <c r="E51" s="168"/>
      <c r="F51" s="168"/>
      <c r="G51" s="168"/>
      <c r="H51" s="168"/>
      <c r="I51" s="168"/>
      <c r="J51" s="168"/>
      <c r="K51" s="168"/>
    </row>
    <row r="52" spans="1:11">
      <c r="A52" s="168"/>
      <c r="B52" s="168"/>
      <c r="C52" s="168"/>
      <c r="D52" s="168"/>
      <c r="E52" s="168"/>
      <c r="F52" s="168"/>
      <c r="G52" s="168"/>
      <c r="H52" s="168"/>
      <c r="I52" s="168"/>
      <c r="J52" s="168"/>
      <c r="K52" s="168"/>
    </row>
    <row r="53" spans="1:11">
      <c r="A53" s="168"/>
      <c r="B53" s="168"/>
      <c r="C53" s="168"/>
      <c r="D53" s="168"/>
      <c r="E53" s="168"/>
      <c r="F53" s="168"/>
      <c r="G53" s="168"/>
      <c r="H53" s="168"/>
      <c r="I53" s="168"/>
      <c r="J53" s="168"/>
      <c r="K53" s="168"/>
    </row>
    <row r="54" spans="1:11">
      <c r="A54" s="168"/>
      <c r="B54" s="168"/>
      <c r="C54" s="168"/>
      <c r="D54" s="168"/>
      <c r="E54" s="168"/>
      <c r="F54" s="168"/>
      <c r="G54" s="168"/>
      <c r="H54" s="168"/>
      <c r="I54" s="168"/>
      <c r="J54" s="168"/>
      <c r="K54" s="168"/>
    </row>
    <row r="55" spans="1:11">
      <c r="A55" s="168"/>
      <c r="B55" s="168"/>
      <c r="C55" s="168"/>
      <c r="D55" s="168"/>
      <c r="E55" s="168"/>
      <c r="F55" s="168"/>
      <c r="G55" s="168"/>
      <c r="H55" s="168"/>
      <c r="I55" s="168"/>
      <c r="J55" s="168"/>
      <c r="K55" s="168"/>
    </row>
    <row r="56" spans="1:11">
      <c r="A56" s="168"/>
      <c r="B56" s="168"/>
      <c r="C56" s="168"/>
      <c r="D56" s="168"/>
      <c r="E56" s="168"/>
      <c r="F56" s="168"/>
      <c r="G56" s="168"/>
      <c r="H56" s="168"/>
      <c r="I56" s="168"/>
      <c r="J56" s="168"/>
      <c r="K56" s="168"/>
    </row>
    <row r="57" spans="1:11">
      <c r="A57" s="168"/>
      <c r="B57" s="168"/>
      <c r="C57" s="168"/>
      <c r="D57" s="168"/>
      <c r="E57" s="168"/>
      <c r="F57" s="168"/>
      <c r="G57" s="168"/>
      <c r="H57" s="168"/>
      <c r="I57" s="168"/>
      <c r="J57" s="168"/>
      <c r="K57" s="168"/>
    </row>
    <row r="58" spans="1:11">
      <c r="A58" s="168"/>
      <c r="B58" s="168"/>
      <c r="C58" s="168"/>
      <c r="D58" s="168"/>
      <c r="E58" s="168"/>
      <c r="F58" s="168"/>
      <c r="G58" s="168"/>
      <c r="H58" s="168"/>
      <c r="I58" s="168"/>
      <c r="J58" s="168"/>
      <c r="K58" s="168"/>
    </row>
    <row r="59" spans="1:11">
      <c r="A59" s="168"/>
      <c r="B59" s="168"/>
      <c r="C59" s="168"/>
      <c r="D59" s="168"/>
      <c r="E59" s="168"/>
      <c r="F59" s="168"/>
      <c r="G59" s="168"/>
      <c r="H59" s="168"/>
      <c r="I59" s="168"/>
      <c r="J59" s="168"/>
      <c r="K59" s="168"/>
    </row>
    <row r="60" spans="1:11">
      <c r="A60" s="168"/>
      <c r="B60" s="168"/>
      <c r="C60" s="168"/>
      <c r="D60" s="168"/>
      <c r="E60" s="168"/>
      <c r="F60" s="168"/>
      <c r="G60" s="168"/>
      <c r="H60" s="636" t="s">
        <v>716</v>
      </c>
      <c r="I60" s="1700">
        <v>500</v>
      </c>
      <c r="J60" s="168"/>
      <c r="K60" s="168"/>
    </row>
    <row r="61" spans="1:11">
      <c r="A61" s="168"/>
      <c r="B61" s="168"/>
      <c r="C61" s="168"/>
      <c r="D61" s="168"/>
      <c r="E61" s="168"/>
      <c r="F61" s="168"/>
      <c r="G61" s="168"/>
      <c r="H61" s="168" t="s">
        <v>717</v>
      </c>
      <c r="I61" s="1700">
        <v>0.5</v>
      </c>
      <c r="J61" s="168" t="s">
        <v>382</v>
      </c>
      <c r="K61" s="168"/>
    </row>
    <row r="62" spans="1:11">
      <c r="A62" s="168"/>
      <c r="B62" s="168"/>
      <c r="C62" s="168"/>
      <c r="D62" s="168"/>
      <c r="E62" s="168"/>
      <c r="F62" s="168"/>
      <c r="G62" s="168"/>
      <c r="H62" s="168"/>
      <c r="I62" s="168"/>
      <c r="J62" s="168"/>
      <c r="K62" s="168"/>
    </row>
    <row r="63" spans="1:11">
      <c r="A63" s="168"/>
      <c r="B63" s="168"/>
      <c r="C63" s="168"/>
      <c r="D63" s="168"/>
      <c r="E63" s="168"/>
      <c r="F63" s="168"/>
      <c r="G63" s="168"/>
      <c r="H63" s="168" t="s">
        <v>718</v>
      </c>
      <c r="I63" s="1701">
        <f>I60*2*PI()/I61</f>
        <v>6283.18530717959</v>
      </c>
      <c r="J63" s="168"/>
      <c r="K63" s="168"/>
    </row>
    <row r="64" spans="1:11">
      <c r="A64" s="168"/>
      <c r="B64" s="168"/>
      <c r="C64" s="168"/>
      <c r="D64" s="168"/>
      <c r="E64" s="168"/>
      <c r="F64" s="168"/>
      <c r="G64" s="168"/>
      <c r="H64" s="168"/>
      <c r="I64" s="168"/>
      <c r="J64" s="168"/>
      <c r="K64" s="168"/>
    </row>
    <row r="65" spans="1:11">
      <c r="A65" s="168"/>
      <c r="B65" s="168"/>
      <c r="C65" s="168"/>
      <c r="D65" s="168"/>
      <c r="E65" s="168"/>
      <c r="F65" s="168"/>
      <c r="G65" s="168"/>
      <c r="H65" s="168"/>
      <c r="I65" s="168"/>
      <c r="J65" s="168"/>
      <c r="K65" s="168"/>
    </row>
    <row r="66" spans="1:11">
      <c r="A66" s="168"/>
      <c r="B66" s="168"/>
      <c r="C66" s="168"/>
      <c r="D66" s="168"/>
      <c r="E66" s="168"/>
      <c r="F66" s="168"/>
      <c r="G66" s="168"/>
      <c r="H66" s="168"/>
      <c r="I66" s="168"/>
      <c r="J66" s="168"/>
      <c r="K66" s="168"/>
    </row>
    <row r="67" spans="1:11">
      <c r="A67" s="168"/>
      <c r="B67" s="168"/>
      <c r="C67" s="168"/>
      <c r="D67" s="168"/>
      <c r="E67" s="168"/>
      <c r="F67" s="168"/>
      <c r="G67" s="168"/>
      <c r="H67" s="168" t="s">
        <v>494</v>
      </c>
      <c r="I67" s="1700"/>
      <c r="J67" s="168"/>
      <c r="K67" s="168"/>
    </row>
    <row r="68" spans="1:11">
      <c r="A68" s="168"/>
      <c r="B68" s="168"/>
      <c r="C68" s="168"/>
      <c r="D68" s="168"/>
      <c r="E68" s="168"/>
      <c r="F68" s="168"/>
      <c r="G68" s="168"/>
      <c r="H68" s="168" t="s">
        <v>718</v>
      </c>
      <c r="I68" s="1700"/>
      <c r="J68" s="168"/>
      <c r="K68" s="168"/>
    </row>
    <row r="69" spans="1:11">
      <c r="A69" s="168"/>
      <c r="B69" s="168"/>
      <c r="C69" s="168"/>
      <c r="D69" s="168"/>
      <c r="E69" s="168"/>
      <c r="F69" s="168"/>
      <c r="G69" s="168"/>
      <c r="H69" s="168" t="s">
        <v>719</v>
      </c>
      <c r="I69" s="1700"/>
      <c r="J69" s="168"/>
      <c r="K69" s="168"/>
    </row>
    <row r="70" spans="1:11">
      <c r="A70" s="168"/>
      <c r="B70" s="168"/>
      <c r="C70" s="168"/>
      <c r="D70" s="168"/>
      <c r="E70" s="168"/>
      <c r="F70" s="168"/>
      <c r="G70" s="168"/>
      <c r="H70" s="168" t="s">
        <v>720</v>
      </c>
      <c r="I70" s="1700">
        <v>0.8</v>
      </c>
      <c r="J70" s="168"/>
      <c r="K70" s="168"/>
    </row>
    <row r="71" spans="1:11">
      <c r="A71" s="168"/>
      <c r="B71" s="168"/>
      <c r="C71" s="168"/>
      <c r="D71" s="168"/>
      <c r="E71" s="168"/>
      <c r="F71" s="168"/>
      <c r="G71" s="168"/>
      <c r="H71" s="168" t="s">
        <v>558</v>
      </c>
      <c r="I71" s="1701">
        <f>(I67*I68+I69)/I70</f>
        <v>0</v>
      </c>
      <c r="J71" s="168"/>
      <c r="K71" s="168"/>
    </row>
    <row r="72" spans="1:11">
      <c r="A72" s="168"/>
      <c r="B72" s="168"/>
      <c r="C72" s="168"/>
      <c r="D72" s="168"/>
      <c r="E72" s="168"/>
      <c r="F72" s="168"/>
      <c r="G72" s="168"/>
      <c r="H72" s="168"/>
      <c r="I72" s="168"/>
      <c r="J72" s="168"/>
      <c r="K72" s="168"/>
    </row>
    <row r="73" spans="1:11">
      <c r="A73" s="168"/>
      <c r="B73" s="168"/>
      <c r="C73" s="168"/>
      <c r="D73" s="168"/>
      <c r="E73" s="168"/>
      <c r="F73" s="168"/>
      <c r="G73" s="168"/>
      <c r="H73" s="168"/>
      <c r="I73" s="168"/>
      <c r="J73" s="168"/>
      <c r="K73" s="168"/>
    </row>
    <row r="74" spans="1:11">
      <c r="A74" s="168"/>
      <c r="B74" s="168"/>
      <c r="C74" s="168"/>
      <c r="D74" s="168"/>
      <c r="E74" s="168"/>
      <c r="F74" s="168"/>
      <c r="G74" s="168"/>
      <c r="H74" s="168"/>
      <c r="I74" s="168"/>
      <c r="J74" s="168"/>
      <c r="K74" s="168"/>
    </row>
    <row r="75" spans="1:11">
      <c r="A75" s="168"/>
      <c r="B75" s="168"/>
      <c r="C75" s="168"/>
      <c r="D75" s="168"/>
      <c r="E75" s="168"/>
      <c r="F75" s="168"/>
      <c r="G75" s="168"/>
      <c r="H75" s="168"/>
      <c r="I75" s="168"/>
      <c r="J75" s="168"/>
      <c r="K75" s="168"/>
    </row>
    <row r="76" spans="1:11">
      <c r="A76" s="168"/>
      <c r="B76" s="168"/>
      <c r="C76" s="168"/>
      <c r="D76" s="168"/>
      <c r="E76" s="168"/>
      <c r="F76" s="168"/>
      <c r="G76" s="168"/>
      <c r="H76" s="168"/>
      <c r="I76" s="168"/>
      <c r="J76" s="168"/>
      <c r="K76" s="168"/>
    </row>
    <row r="77" spans="1:11">
      <c r="A77" s="168"/>
      <c r="B77" s="168"/>
      <c r="C77" s="168"/>
      <c r="D77" s="168"/>
      <c r="E77" s="168"/>
      <c r="F77" s="168"/>
      <c r="G77" s="168"/>
      <c r="H77" s="168"/>
      <c r="I77" s="168"/>
      <c r="J77" s="168"/>
      <c r="K77" s="168"/>
    </row>
    <row r="78" spans="1:11">
      <c r="A78" s="168"/>
      <c r="B78" s="168"/>
      <c r="C78" s="168"/>
      <c r="D78" s="168"/>
      <c r="E78" s="168"/>
      <c r="F78" s="168"/>
      <c r="G78" s="168"/>
      <c r="H78" s="168"/>
      <c r="I78" s="168"/>
      <c r="J78" s="168"/>
      <c r="K78" s="168"/>
    </row>
    <row r="79" spans="1:11">
      <c r="A79" s="168"/>
      <c r="B79" s="168"/>
      <c r="C79" s="168"/>
      <c r="D79" s="168"/>
      <c r="E79" s="168"/>
      <c r="F79" s="168"/>
      <c r="G79" s="168"/>
      <c r="H79" s="168"/>
      <c r="I79" s="168"/>
      <c r="J79" s="168"/>
      <c r="K79" s="168"/>
    </row>
    <row r="80" spans="1:11">
      <c r="A80" s="168"/>
      <c r="B80" s="168"/>
      <c r="C80" s="168"/>
      <c r="D80" s="168"/>
      <c r="E80" s="168"/>
      <c r="F80" s="168"/>
      <c r="G80" s="168"/>
      <c r="H80" s="168"/>
      <c r="I80" s="168"/>
      <c r="J80" s="168"/>
      <c r="K80" s="168"/>
    </row>
    <row r="81" spans="1:11">
      <c r="A81" s="168"/>
      <c r="B81" s="168"/>
      <c r="C81" s="168"/>
      <c r="D81" s="168"/>
      <c r="E81" s="168"/>
      <c r="F81" s="168"/>
      <c r="G81" s="168"/>
      <c r="H81" s="168"/>
      <c r="I81" s="168"/>
      <c r="J81" s="168"/>
      <c r="K81" s="168"/>
    </row>
    <row r="82" spans="1:11">
      <c r="A82" s="168"/>
      <c r="B82" s="168"/>
      <c r="C82" s="168"/>
      <c r="D82" s="168"/>
      <c r="E82" s="168"/>
      <c r="F82" s="168"/>
      <c r="G82" s="168"/>
      <c r="H82" s="168"/>
      <c r="I82" s="168"/>
      <c r="J82" s="168"/>
      <c r="K82" s="168"/>
    </row>
    <row r="83" spans="1:11">
      <c r="A83" s="168"/>
      <c r="B83" s="168"/>
      <c r="C83" s="168"/>
      <c r="D83" s="168"/>
      <c r="E83" s="168"/>
      <c r="F83" s="168"/>
      <c r="G83" s="168"/>
      <c r="H83" s="168"/>
      <c r="I83" s="168"/>
      <c r="J83" s="168"/>
      <c r="K83" s="168"/>
    </row>
    <row r="84" spans="1:11">
      <c r="A84" s="168"/>
      <c r="B84" s="168"/>
      <c r="C84" s="168"/>
      <c r="D84" s="168"/>
      <c r="E84" s="168"/>
      <c r="F84" s="168"/>
      <c r="G84" s="168"/>
      <c r="H84" s="168"/>
      <c r="I84" s="168"/>
      <c r="J84" s="168"/>
      <c r="K84" s="168"/>
    </row>
    <row r="85" spans="1:11">
      <c r="A85" s="168"/>
      <c r="B85" s="168"/>
      <c r="C85" s="168"/>
      <c r="D85" s="168"/>
      <c r="E85" s="168"/>
      <c r="F85" s="168"/>
      <c r="G85" s="168"/>
      <c r="H85" s="168"/>
      <c r="I85" s="168"/>
      <c r="J85" s="168"/>
      <c r="K85" s="168"/>
    </row>
    <row r="86" spans="1:11">
      <c r="A86" s="168"/>
      <c r="B86" s="168"/>
      <c r="C86" s="168"/>
      <c r="D86" s="168"/>
      <c r="E86" s="168"/>
      <c r="F86" s="168"/>
      <c r="G86" s="168"/>
      <c r="H86" s="168"/>
      <c r="I86" s="168"/>
      <c r="J86" s="168"/>
      <c r="K86" s="168"/>
    </row>
    <row r="87" spans="1:11">
      <c r="A87" s="168"/>
      <c r="B87" s="168"/>
      <c r="C87" s="168"/>
      <c r="D87" s="168"/>
      <c r="E87" s="168"/>
      <c r="F87" s="168"/>
      <c r="G87" s="168"/>
      <c r="H87" s="168"/>
      <c r="I87" s="168"/>
      <c r="J87" s="168"/>
      <c r="K87" s="168"/>
    </row>
    <row r="88" spans="1:11">
      <c r="A88" s="168"/>
      <c r="B88" s="168"/>
      <c r="C88" s="168"/>
      <c r="D88" s="168"/>
      <c r="E88" s="168"/>
      <c r="F88" s="168"/>
      <c r="G88" s="168"/>
      <c r="H88" s="168"/>
      <c r="I88" s="168"/>
      <c r="J88" s="168"/>
      <c r="K88" s="168"/>
    </row>
    <row r="89" spans="1:11">
      <c r="A89" s="168"/>
      <c r="B89" s="168"/>
      <c r="C89" s="168"/>
      <c r="D89" s="168"/>
      <c r="E89" s="168"/>
      <c r="F89" s="168"/>
      <c r="G89" s="168"/>
      <c r="H89" s="168"/>
      <c r="I89" s="168"/>
      <c r="J89" s="168"/>
      <c r="K89" s="168"/>
    </row>
    <row r="90" spans="1:11">
      <c r="A90" s="168"/>
      <c r="B90" s="168"/>
      <c r="C90" s="168"/>
      <c r="D90" s="168"/>
      <c r="E90" s="168"/>
      <c r="F90" s="168"/>
      <c r="G90" s="168"/>
      <c r="H90" s="168"/>
      <c r="I90" s="168"/>
      <c r="J90" s="168"/>
      <c r="K90" s="168"/>
    </row>
    <row r="91" spans="1:11">
      <c r="A91" s="168"/>
      <c r="B91" s="168"/>
      <c r="C91" s="168"/>
      <c r="D91" s="168"/>
      <c r="E91" s="168"/>
      <c r="F91" s="168"/>
      <c r="G91" s="168"/>
      <c r="H91" s="168"/>
      <c r="I91" s="168"/>
      <c r="J91" s="168"/>
      <c r="K91" s="168"/>
    </row>
  </sheetData>
  <protectedRanges>
    <protectedRange sqref="I$1:I$1048576" name="範圍1"/>
  </protectedRanges>
  <customSheetViews>
    <customSheetView guid="{B9330FFD-B5EF-4680-A375-DB92D4738404}">
      <selection activeCell="H10" sqref="H10"/>
      <pageMargins left="0.7" right="0.7" top="0.75" bottom="0.75" header="0.3" footer="0.3"/>
      <headerFooter/>
    </customSheetView>
  </customSheetViews>
  <mergeCells count="6">
    <mergeCell ref="A1:I1"/>
    <mergeCell ref="A2:B2"/>
    <mergeCell ref="C2:E2"/>
    <mergeCell ref="F2:G2"/>
    <mergeCell ref="H2:I2"/>
    <mergeCell ref="I11:I14"/>
  </mergeCells>
  <hyperlinks>
    <hyperlink ref="I11:I14" location="目录!A1" display="目录!A1"/>
  </hyperlinks>
  <pageMargins left="0.7" right="0.7" top="0.75" bottom="0.75" header="0.3" footer="0.3"/>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1"/>
  <sheetViews>
    <sheetView workbookViewId="0">
      <pane ySplit="16" topLeftCell="A38" activePane="bottomLeft" state="frozen"/>
      <selection/>
      <selection pane="bottomLeft" activeCell="C38" sqref="C38"/>
    </sheetView>
  </sheetViews>
  <sheetFormatPr defaultColWidth="9" defaultRowHeight="15.6" outlineLevelCol="7"/>
  <cols>
    <col min="2" max="2" width="31.5" customWidth="1"/>
    <col min="3" max="3" width="10.625" customWidth="1"/>
  </cols>
  <sheetData>
    <row r="1" ht="18.75" customHeight="1" spans="1:8">
      <c r="A1" s="1670" t="s">
        <v>721</v>
      </c>
      <c r="B1" s="1670"/>
      <c r="C1" s="1670"/>
      <c r="D1" s="1670"/>
      <c r="E1" s="1670"/>
      <c r="F1" s="1670"/>
      <c r="G1" s="1670"/>
      <c r="H1" s="525" t="s">
        <v>88</v>
      </c>
    </row>
    <row r="2" ht="18.75" customHeight="1" spans="1:8">
      <c r="A2" s="1671" t="s">
        <v>722</v>
      </c>
      <c r="B2" s="1672"/>
      <c r="C2" s="1672"/>
      <c r="D2" s="1672"/>
      <c r="E2" s="1672"/>
      <c r="F2" s="1672"/>
      <c r="G2" s="1672"/>
      <c r="H2" s="1673"/>
    </row>
    <row r="3" ht="17.4" spans="1:8">
      <c r="A3" s="1674" t="s">
        <v>723</v>
      </c>
      <c r="B3" s="1675">
        <v>3.1415926</v>
      </c>
      <c r="C3" s="1676">
        <v>3.1415926</v>
      </c>
      <c r="D3" s="1677" t="s">
        <v>724</v>
      </c>
      <c r="E3" s="1678" t="s">
        <v>725</v>
      </c>
      <c r="F3" s="1678"/>
      <c r="G3" s="1678"/>
      <c r="H3" s="1679">
        <v>9.807</v>
      </c>
    </row>
    <row r="4" spans="1:8">
      <c r="A4" s="1680" t="s">
        <v>726</v>
      </c>
      <c r="B4" s="1681" t="s">
        <v>727</v>
      </c>
      <c r="C4" s="1679">
        <v>3</v>
      </c>
      <c r="D4" s="1682"/>
      <c r="E4" s="1678"/>
      <c r="F4" s="1678"/>
      <c r="G4" s="1678"/>
      <c r="H4" s="1683"/>
    </row>
    <row r="5" ht="18.6" spans="1:8">
      <c r="A5" s="1680" t="s">
        <v>728</v>
      </c>
      <c r="B5" s="1684" t="s">
        <v>729</v>
      </c>
      <c r="C5" s="1679">
        <v>1</v>
      </c>
      <c r="D5" s="1682"/>
      <c r="E5" s="1678"/>
      <c r="F5" s="1678"/>
      <c r="G5" s="1678"/>
      <c r="H5" s="1683"/>
    </row>
    <row r="6" ht="18.6" spans="1:8">
      <c r="A6" s="1680" t="s">
        <v>730</v>
      </c>
      <c r="B6" s="1685" t="s">
        <v>731</v>
      </c>
      <c r="C6" s="1679">
        <v>0.2</v>
      </c>
      <c r="D6" s="1682"/>
      <c r="E6" s="1678"/>
      <c r="F6" s="1678"/>
      <c r="G6" s="1678"/>
      <c r="H6" s="1683"/>
    </row>
    <row r="7" spans="1:8">
      <c r="A7" s="1680" t="s">
        <v>732</v>
      </c>
      <c r="B7" s="1678" t="s">
        <v>733</v>
      </c>
      <c r="C7" s="1679">
        <v>0.9</v>
      </c>
      <c r="D7" s="1682"/>
      <c r="E7" s="1678"/>
      <c r="F7" s="1678"/>
      <c r="G7" s="1678"/>
      <c r="H7" s="1683"/>
    </row>
    <row r="8" spans="1:8">
      <c r="A8" s="1680" t="s">
        <v>437</v>
      </c>
      <c r="B8" s="1678" t="s">
        <v>734</v>
      </c>
      <c r="C8" s="1679">
        <v>1</v>
      </c>
      <c r="D8" s="1682"/>
      <c r="E8" s="1678"/>
      <c r="F8" s="1678"/>
      <c r="G8" s="1678"/>
      <c r="H8" s="1683"/>
    </row>
    <row r="9" ht="18.6" spans="1:8">
      <c r="A9" s="1680" t="s">
        <v>735</v>
      </c>
      <c r="B9" s="1678" t="s">
        <v>736</v>
      </c>
      <c r="C9" s="1679">
        <v>0.2</v>
      </c>
      <c r="D9" s="1682" t="s">
        <v>737</v>
      </c>
      <c r="E9" s="1678" t="s">
        <v>738</v>
      </c>
      <c r="F9" s="1678"/>
      <c r="G9" s="1678"/>
      <c r="H9" s="1683"/>
    </row>
    <row r="10" ht="18.6" spans="1:8">
      <c r="A10" s="1680" t="s">
        <v>739</v>
      </c>
      <c r="B10" s="1678" t="s">
        <v>740</v>
      </c>
      <c r="C10" s="1679">
        <v>5</v>
      </c>
      <c r="D10" s="1682" t="s">
        <v>293</v>
      </c>
      <c r="E10" s="1678" t="s">
        <v>294</v>
      </c>
      <c r="F10" s="1678"/>
      <c r="G10" s="1678"/>
      <c r="H10" s="1683"/>
    </row>
    <row r="11" ht="17.4" spans="1:8">
      <c r="A11" s="1680" t="s">
        <v>741</v>
      </c>
      <c r="B11" s="1678" t="s">
        <v>742</v>
      </c>
      <c r="C11" s="1679">
        <v>2</v>
      </c>
      <c r="D11" s="1682" t="s">
        <v>297</v>
      </c>
      <c r="E11" s="1678" t="s">
        <v>298</v>
      </c>
      <c r="F11" s="1678"/>
      <c r="G11" s="1678"/>
      <c r="H11" s="1683"/>
    </row>
    <row r="12" ht="18.6" spans="1:8">
      <c r="A12" s="1680"/>
      <c r="B12" s="1686" t="s">
        <v>743</v>
      </c>
      <c r="C12" s="1687"/>
      <c r="D12" s="1682" t="s">
        <v>301</v>
      </c>
      <c r="E12" s="1678" t="s">
        <v>302</v>
      </c>
      <c r="F12" s="1678"/>
      <c r="G12" s="1678"/>
      <c r="H12" s="1683"/>
    </row>
    <row r="13" ht="17.4" spans="1:8">
      <c r="A13" s="1680" t="s">
        <v>744</v>
      </c>
      <c r="B13" s="1686" t="s">
        <v>745</v>
      </c>
      <c r="C13" s="1679">
        <v>1</v>
      </c>
      <c r="D13" s="1682" t="s">
        <v>305</v>
      </c>
      <c r="E13" s="1678" t="s">
        <v>306</v>
      </c>
      <c r="F13" s="1678"/>
      <c r="G13" s="1678"/>
      <c r="H13" s="1683"/>
    </row>
    <row r="14" spans="1:8">
      <c r="A14" s="1688" t="s">
        <v>746</v>
      </c>
      <c r="B14" s="1689" t="s">
        <v>747</v>
      </c>
      <c r="C14" s="1679">
        <v>0.05</v>
      </c>
      <c r="D14" s="1682"/>
      <c r="E14" s="1678"/>
      <c r="F14" s="1678"/>
      <c r="G14" s="1678"/>
      <c r="H14" s="1683"/>
    </row>
    <row r="15" spans="1:8">
      <c r="A15" s="1688" t="s">
        <v>748</v>
      </c>
      <c r="B15" s="1689" t="s">
        <v>749</v>
      </c>
      <c r="C15" s="1679">
        <v>45</v>
      </c>
      <c r="D15" s="1682"/>
      <c r="E15" s="1678"/>
      <c r="F15" s="1678"/>
      <c r="G15" s="1678"/>
      <c r="H15" s="1683"/>
    </row>
    <row r="16" spans="1:8">
      <c r="A16" s="1688" t="s">
        <v>750</v>
      </c>
      <c r="B16" s="1689" t="s">
        <v>751</v>
      </c>
      <c r="C16" s="1679">
        <v>0.5</v>
      </c>
      <c r="D16" s="1682"/>
      <c r="E16" s="1678"/>
      <c r="F16" s="1678"/>
      <c r="G16" s="1678"/>
      <c r="H16" s="1683"/>
    </row>
    <row r="17" spans="1:3">
      <c r="A17" s="1690" t="s">
        <v>752</v>
      </c>
      <c r="C17" s="60"/>
    </row>
    <row r="18" spans="1:1">
      <c r="A18" s="1691"/>
    </row>
    <row r="22" spans="1:2">
      <c r="A22" s="1692" t="s">
        <v>753</v>
      </c>
      <c r="B22" s="1693">
        <f>((C4*C9)/(2*C3)+(C6*C5*C9)/(2*C3))*(1/C8)</f>
        <v>0.101859165316343</v>
      </c>
    </row>
    <row r="26" spans="1:2">
      <c r="A26" s="1692" t="s">
        <v>753</v>
      </c>
      <c r="B26" s="1694">
        <f>C10+C13*H3*(SIN(C15)+(C14*COS(C15)))</f>
        <v>13.6024025023229</v>
      </c>
    </row>
    <row r="28" spans="1:3">
      <c r="A28" s="60" t="s">
        <v>754</v>
      </c>
      <c r="B28" s="60"/>
      <c r="C28" s="60"/>
    </row>
    <row r="35" spans="1:2">
      <c r="A35" s="1692" t="s">
        <v>753</v>
      </c>
      <c r="B35" s="1693">
        <f>((C14*C10+C13*H3)*C16)/2*C8</f>
        <v>2.51425</v>
      </c>
    </row>
    <row r="37" spans="1:1">
      <c r="A37" t="s">
        <v>755</v>
      </c>
    </row>
    <row r="43" spans="1:2">
      <c r="A43" s="1695" t="s">
        <v>753</v>
      </c>
      <c r="B43" s="1426">
        <f>C4*C16/2*C7*C8</f>
        <v>0.675</v>
      </c>
    </row>
    <row r="44" ht="16.5" customHeight="1"/>
    <row r="45" spans="1:2">
      <c r="A45" s="1692" t="s">
        <v>756</v>
      </c>
      <c r="B45" s="1426">
        <f>C10+C13*H3*(SIN(C15)+C14*COS(C15))</f>
        <v>13.6024025023229</v>
      </c>
    </row>
    <row r="47" spans="1:1">
      <c r="A47" t="s">
        <v>757</v>
      </c>
    </row>
    <row r="51" ht="21" customHeight="1" spans="1:2">
      <c r="A51" s="1696" t="s">
        <v>753</v>
      </c>
      <c r="B51" s="1426">
        <f>C11*(C16/2)</f>
        <v>0.5</v>
      </c>
    </row>
  </sheetData>
  <protectedRanges>
    <protectedRange sqref="C3:C16" name="範圍1"/>
  </protectedRanges>
  <customSheetViews>
    <customSheetView guid="{B9330FFD-B5EF-4680-A375-DB92D4738404}">
      <pane ySplit="16" topLeftCell="A17" activePane="bottomLeft" state="frozen"/>
      <selection activeCell="H1" sqref="H1"/>
      <pageMargins left="0.7" right="0.7" top="0.75" bottom="0.75" header="0.3" footer="0.3"/>
      <headerFooter/>
    </customSheetView>
  </customSheetViews>
  <mergeCells count="4">
    <mergeCell ref="A1:G1"/>
    <mergeCell ref="A2:H2"/>
    <mergeCell ref="A17:C17"/>
    <mergeCell ref="A28:C28"/>
  </mergeCells>
  <hyperlinks>
    <hyperlink ref="H1" location="目录!A1" display="目录!A1"/>
  </hyperlinks>
  <pageMargins left="0.7" right="0.7" top="0.75" bottom="0.75" header="0.3" footer="0.3"/>
  <headerFooter/>
  <drawing r:id="rId1"/>
  <legacyDrawing r:id="rId2"/>
  <oleObjects>
    <mc:AlternateContent xmlns:mc="http://schemas.openxmlformats.org/markup-compatibility/2006">
      <mc:Choice Requires="x14">
        <oleObject shapeId="55297" progId="Equation.DSMT4" r:id="rId3">
          <objectPr defaultSize="0" r:id="rId4">
            <anchor moveWithCells="1">
              <from>
                <xdr:col>0</xdr:col>
                <xdr:colOff>0</xdr:colOff>
                <xdr:row>17</xdr:row>
                <xdr:rowOff>0</xdr:rowOff>
              </from>
              <to>
                <xdr:col>1</xdr:col>
                <xdr:colOff>2390775</xdr:colOff>
                <xdr:row>20</xdr:row>
                <xdr:rowOff>161925</xdr:rowOff>
              </to>
            </anchor>
          </objectPr>
        </oleObject>
      </mc:Choice>
      <mc:Fallback>
        <oleObject shapeId="55297" progId="Equation.DSMT4" r:id="rId3"/>
      </mc:Fallback>
    </mc:AlternateContent>
    <mc:AlternateContent xmlns:mc="http://schemas.openxmlformats.org/markup-compatibility/2006">
      <mc:Choice Requires="x14">
        <oleObject shapeId="55298" progId="Equation.DSMT4" r:id="rId5">
          <objectPr defaultSize="0" r:id="rId6">
            <anchor moveWithCells="1">
              <from>
                <xdr:col>0</xdr:col>
                <xdr:colOff>0</xdr:colOff>
                <xdr:row>22</xdr:row>
                <xdr:rowOff>28575</xdr:rowOff>
              </from>
              <to>
                <xdr:col>2</xdr:col>
                <xdr:colOff>85725</xdr:colOff>
                <xdr:row>24</xdr:row>
                <xdr:rowOff>171450</xdr:rowOff>
              </to>
            </anchor>
          </objectPr>
        </oleObject>
      </mc:Choice>
      <mc:Fallback>
        <oleObject shapeId="55298" progId="Equation.DSMT4" r:id="rId5"/>
      </mc:Fallback>
    </mc:AlternateContent>
    <mc:AlternateContent xmlns:mc="http://schemas.openxmlformats.org/markup-compatibility/2006">
      <mc:Choice Requires="x14">
        <oleObject shapeId="55299" progId="Equation.DSMT4" r:id="rId7">
          <objectPr defaultSize="0" r:id="rId8">
            <anchor moveWithCells="1">
              <from>
                <xdr:col>0</xdr:col>
                <xdr:colOff>0</xdr:colOff>
                <xdr:row>28</xdr:row>
                <xdr:rowOff>19050</xdr:rowOff>
              </from>
              <to>
                <xdr:col>2</xdr:col>
                <xdr:colOff>76200</xdr:colOff>
                <xdr:row>33</xdr:row>
                <xdr:rowOff>171450</xdr:rowOff>
              </to>
            </anchor>
          </objectPr>
        </oleObject>
      </mc:Choice>
      <mc:Fallback>
        <oleObject shapeId="55299" progId="Equation.DSMT4" r:id="rId7"/>
      </mc:Fallback>
    </mc:AlternateContent>
    <mc:AlternateContent xmlns:mc="http://schemas.openxmlformats.org/markup-compatibility/2006">
      <mc:Choice Requires="x14">
        <oleObject shapeId="55300" progId="Equation.DSMT4" r:id="rId9">
          <objectPr defaultSize="0" r:id="rId10">
            <anchor moveWithCells="1">
              <from>
                <xdr:col>0</xdr:col>
                <xdr:colOff>28575</xdr:colOff>
                <xdr:row>37</xdr:row>
                <xdr:rowOff>9525</xdr:rowOff>
              </from>
              <to>
                <xdr:col>1</xdr:col>
                <xdr:colOff>2371725</xdr:colOff>
                <xdr:row>41</xdr:row>
                <xdr:rowOff>171450</xdr:rowOff>
              </to>
            </anchor>
          </objectPr>
        </oleObject>
      </mc:Choice>
      <mc:Fallback>
        <oleObject shapeId="55300" progId="Equation.DSMT4" r:id="rId9"/>
      </mc:Fallback>
    </mc:AlternateContent>
    <mc:AlternateContent xmlns:mc="http://schemas.openxmlformats.org/markup-compatibility/2006">
      <mc:Choice Requires="x14">
        <oleObject shapeId="55301" progId="Equation.DSMT4" r:id="rId11">
          <objectPr defaultSize="0" r:id="rId12">
            <anchor moveWithCells="1">
              <from>
                <xdr:col>0</xdr:col>
                <xdr:colOff>19050</xdr:colOff>
                <xdr:row>47</xdr:row>
                <xdr:rowOff>19050</xdr:rowOff>
              </from>
              <to>
                <xdr:col>1</xdr:col>
                <xdr:colOff>2390775</xdr:colOff>
                <xdr:row>50</xdr:row>
                <xdr:rowOff>9525</xdr:rowOff>
              </to>
            </anchor>
          </objectPr>
        </oleObject>
      </mc:Choice>
      <mc:Fallback>
        <oleObject shapeId="55301" progId="Equation.DSMT4" r:id="rId11"/>
      </mc:Fallback>
    </mc:AlternateContent>
  </oleObjec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8"/>
  <sheetViews>
    <sheetView topLeftCell="A33" workbookViewId="0">
      <selection activeCell="P26" sqref="P26"/>
    </sheetView>
  </sheetViews>
  <sheetFormatPr defaultColWidth="9" defaultRowHeight="15.6"/>
  <cols>
    <col min="1" max="1" width="5" customWidth="1"/>
    <col min="2" max="2" width="8.875" customWidth="1"/>
    <col min="3" max="3" width="9.125" customWidth="1"/>
    <col min="4" max="4" width="11.625" customWidth="1"/>
    <col min="5" max="5" width="8.75" customWidth="1"/>
    <col min="6" max="6" width="11.75" customWidth="1"/>
    <col min="7" max="7" width="11.25" customWidth="1"/>
  </cols>
  <sheetData>
    <row r="1" ht="21" customHeight="1" spans="1:7">
      <c r="A1" s="1647" t="s">
        <v>758</v>
      </c>
      <c r="B1" s="1647"/>
      <c r="C1" s="1647"/>
      <c r="D1" s="1647"/>
      <c r="E1" s="1647"/>
      <c r="F1" s="1647"/>
      <c r="G1" s="1647"/>
    </row>
    <row r="2" spans="1:7">
      <c r="A2" s="1648" t="s">
        <v>759</v>
      </c>
      <c r="B2" s="313" t="s">
        <v>760</v>
      </c>
      <c r="C2" s="313"/>
      <c r="D2" s="1649">
        <v>1.2</v>
      </c>
      <c r="E2" s="1650" t="s">
        <v>761</v>
      </c>
      <c r="F2" s="21"/>
      <c r="G2" s="21"/>
    </row>
    <row r="3" spans="1:7">
      <c r="A3" s="1648"/>
      <c r="B3" s="1651" t="s">
        <v>762</v>
      </c>
      <c r="C3" s="1651"/>
      <c r="D3" s="1652">
        <v>1500</v>
      </c>
      <c r="E3" s="1650"/>
      <c r="F3" s="21"/>
      <c r="G3" s="138" t="s">
        <v>88</v>
      </c>
    </row>
    <row r="4" spans="1:7">
      <c r="A4" s="1648"/>
      <c r="B4" s="1651" t="s">
        <v>763</v>
      </c>
      <c r="C4" s="1651"/>
      <c r="D4" s="1649">
        <v>70</v>
      </c>
      <c r="E4" s="1650"/>
      <c r="F4" s="21"/>
      <c r="G4" s="138"/>
    </row>
    <row r="5" spans="1:7">
      <c r="A5" s="1648"/>
      <c r="B5" s="1651" t="s">
        <v>764</v>
      </c>
      <c r="C5" s="1651"/>
      <c r="D5" s="1649">
        <v>101325</v>
      </c>
      <c r="E5" s="1650"/>
      <c r="F5" s="21"/>
      <c r="G5" s="138"/>
    </row>
    <row r="6" spans="1:7">
      <c r="A6" s="1648"/>
      <c r="B6" s="988" t="s">
        <v>765</v>
      </c>
      <c r="C6" s="990"/>
      <c r="D6" s="1653">
        <f>1.2*D5/101325*293/(273+D4)</f>
        <v>1.02507288629738</v>
      </c>
      <c r="E6" s="1650"/>
      <c r="F6" s="21"/>
      <c r="G6" s="21"/>
    </row>
    <row r="7" spans="1:9">
      <c r="A7" s="21"/>
      <c r="B7" s="21" t="s">
        <v>106</v>
      </c>
      <c r="C7" s="21"/>
      <c r="D7" s="21"/>
      <c r="E7" s="21"/>
      <c r="F7" s="21"/>
      <c r="G7" s="21"/>
      <c r="I7" s="21"/>
    </row>
    <row r="8" spans="1:9">
      <c r="A8" s="313" t="s">
        <v>8</v>
      </c>
      <c r="B8" s="313" t="s">
        <v>766</v>
      </c>
      <c r="C8" s="313" t="s">
        <v>767</v>
      </c>
      <c r="D8" s="58" t="s">
        <v>768</v>
      </c>
      <c r="E8" s="1654" t="s">
        <v>769</v>
      </c>
      <c r="F8" s="1654" t="s">
        <v>770</v>
      </c>
      <c r="G8" s="1655" t="s">
        <v>771</v>
      </c>
      <c r="I8" s="1668"/>
    </row>
    <row r="9" spans="1:9">
      <c r="A9" s="1656">
        <v>1</v>
      </c>
      <c r="B9" s="1657">
        <f>(IF(D2&lt;=0.28,0.438,(IF(D2&lt;=0.32,0.438,(IF(D2&lt;=0.36,0.4488,(IF(D2&lt;=0.4,0.4487,(IF(D2&lt;0.5,0.4475,(IF(D2&lt;=0.8,0.4548,0.454))))))))))))</f>
        <v>0.454</v>
      </c>
      <c r="C9" s="1657">
        <f>(IF(D2&lt;=0.28,0.1411,(IF(D2&lt;=0.32,0.1403,(IF(D2&lt;=0.36,0.1463,(IF(D2&lt;=0.4,0.1464,(IF(D2&lt;0.5,0.1466,(IF(D2&lt;=0.8,0.1482,0.188))))))))))))</f>
        <v>0.188</v>
      </c>
      <c r="D9" s="1658">
        <f>(IF(D2&lt;=0.28,0.74,(IF(D2&lt;=0.32,0.78,(IF(D2&lt;=0.36,0.8,(IF(D2&lt;=0.4,0.81,(IF(D2&lt;0.5,0.81,(IF(D2&lt;=0.8,0.82,0.82))))))))))))</f>
        <v>0.82</v>
      </c>
      <c r="E9" s="1659">
        <f>101300*((D6*((PI()*D2*D3/60)^2)*B9/354550+1)^3.5-1)</f>
        <v>4194.43142127359</v>
      </c>
      <c r="F9" s="1659">
        <f>900*PI()*D2^2*(PI()*D2*D3/60)*C9</f>
        <v>72141.2811934986</v>
      </c>
      <c r="G9" s="1660">
        <f t="shared" ref="G9:G14" si="0">E9*F9/3600/D9/1000</f>
        <v>102.503948715767</v>
      </c>
      <c r="I9" s="1668"/>
    </row>
    <row r="10" spans="1:9">
      <c r="A10" s="1656">
        <v>2</v>
      </c>
      <c r="B10" s="1657">
        <f>(IF(D2&lt;=0.28,0.4237,(IF(D2&lt;=0.32,0.423,(IF(D2&lt;=0.36,0.439,(IF(D2&lt;=0.4,0.44,(IF(D2&lt;0.5,0.44,(IF(D2&lt;=0.8,0.4472,0.448))))))))))))</f>
        <v>0.448</v>
      </c>
      <c r="C10" s="1657">
        <f>(IF(D2&lt;=0.28,0.158,(IF(D2&lt;=0.32,0.157,(IF(D2&lt;=0.36,0.164,(IF(D2&lt;=0.4,0.1642,(IF(D2&lt;0.5,0.1642,(IF(D2&lt;=0.8,0.1662,0.2045))))))))))))</f>
        <v>0.2045</v>
      </c>
      <c r="D10" s="1658">
        <f>(IF(D2&lt;=0.28,0.77,(IF(D2&lt;=0.32,0.8,(IF(D2&lt;=0.36,0.83,(IF(D2&lt;=0.4,0.84,(IF(D2&lt;0.5,0.84,(IF(D2&lt;=0.8,0.85,0.85))))))))))))</f>
        <v>0.85</v>
      </c>
      <c r="E10" s="1659">
        <f>101300*((D6*((PI()*D2*D3/60)^2)*B10/354550+1)^3.5-1)</f>
        <v>4138.20358868613</v>
      </c>
      <c r="F10" s="1659">
        <f>900*PI()*D2^2*(PI()*D2*D3/60)*C10</f>
        <v>78472.8298088854</v>
      </c>
      <c r="G10" s="1660">
        <f t="shared" si="0"/>
        <v>106.123054225322</v>
      </c>
      <c r="I10" s="1669"/>
    </row>
    <row r="11" spans="1:10">
      <c r="A11" s="1656">
        <v>3</v>
      </c>
      <c r="B11" s="1657">
        <f>(IF(D2&lt;=0.28,0.4099,(IF(D2&lt;=0.32,0.4099,(IF(D2&lt;=0.36,0.426,(IF(D2&lt;=0.4,0.4268,(IF(D2&lt;0.5,0.4268,(IF(D2&lt;=0.8,0.439,0.43))))))))))))</f>
        <v>0.43</v>
      </c>
      <c r="C11" s="1657">
        <f>(IF(D2&lt;=0.28,0.175,(IF(D2&lt;=0.32,0.174,(IF(D2&lt;=0.36,0.1816,(IF(D2&lt;=0.4,0.1819,(IF(D2&lt;0.5,0.1821,(IF(D2&lt;=0.8,0.1841,0.2231))))))))))))</f>
        <v>0.2231</v>
      </c>
      <c r="D11" s="1658">
        <f>(IF(D2&lt;=0.28,0.795,(IF(D2&lt;=0.32,0.82,(IF(D2&lt;=0.36,0.86,(IF(D2&lt;=0.4,0.87,(IF(D2&lt;0.5,0.87,(IF(D2&lt;=0.8,0.88,0.88))))))))))))</f>
        <v>0.88</v>
      </c>
      <c r="E11" s="1659">
        <f>101300*((D6*((PI()*D2*D3/60)^2)*B11/354550+1)^3.5-1)</f>
        <v>3969.64852975673</v>
      </c>
      <c r="F11" s="1659">
        <f>900*PI()*D2^2*(PI()*D2*D3/60)*C11</f>
        <v>85610.2118844124</v>
      </c>
      <c r="G11" s="1660">
        <f t="shared" si="0"/>
        <v>107.273501180278</v>
      </c>
      <c r="I11" s="1669"/>
      <c r="J11" s="826" t="s">
        <v>395</v>
      </c>
    </row>
    <row r="12" spans="1:9">
      <c r="A12" s="1656">
        <v>4</v>
      </c>
      <c r="B12" s="1657">
        <f>(IF(D2&lt;=0.28,0.387,(IF(D2&lt;=0.32,0.386,(IF(D2&lt;=0.36,0.408,(IF(D2&lt;=0.4,0.4071,(IF(D2&lt;0.5,0.4095,(IF(D2&lt;=0.8,0.426,0.409))))))))))))</f>
        <v>0.409</v>
      </c>
      <c r="C12" s="1657">
        <f>(IF(D2&lt;=0.28,0.192,(IF(D2&lt;=0.32,0.1898,(IF(D2&lt;=0.36,0.1993,(IF(D2&lt;=0.4,0.1996,(IF(D2&lt;0.5,0.1998,(IF(D2&lt;=0.8,0.2022,0.238))))))))))))</f>
        <v>0.238</v>
      </c>
      <c r="D12" s="1658">
        <f>(IF(D2&lt;=0.28,0.81,(IF(D2&lt;=0.32,0.88,(IF(D2&lt;=0.36,0.88,(IF(D2&lt;=0.4,0.88,(IF(D2&lt;0.5,0.88,(IF(D2&lt;=0.8,0.89,0.89))))))))))))</f>
        <v>0.89</v>
      </c>
      <c r="E12" s="1659">
        <f>101300*((D6*((PI()*D2*D3/60)^2)*B12/354550+1)^3.5-1)</f>
        <v>3773.24432052632</v>
      </c>
      <c r="F12" s="1659">
        <f>900*PI()*D2^2*(PI()*D2*D3/60)*C12</f>
        <v>91327.7921492163</v>
      </c>
      <c r="G12" s="1660">
        <f t="shared" si="0"/>
        <v>107.553705690773</v>
      </c>
      <c r="I12" s="1669"/>
    </row>
    <row r="13" spans="1:9">
      <c r="A13" s="1656">
        <v>5</v>
      </c>
      <c r="B13" s="1657">
        <f>(IF(D2&lt;=0.28,0.3607,(IF(D2&lt;=0.32,0.358,(IF(D2&lt;=0.36,0.383,(IF(D2&lt;=0.4,0.384,(IF(D2&lt;0.5,0.3852,(IF(D2&lt;=0.8,0.406,0.386))))))))))))</f>
        <v>0.386</v>
      </c>
      <c r="C13" s="1657">
        <f>(IF(D2&lt;=0.28,0.209,(IF(D2&lt;=0.32,0.208,(IF(D2&lt;=0.36,0.217,(IF(D2&lt;=0.4,0.2174,(IF(D2&lt;0.5,0.2175,(IF(D2&lt;=0.8,0.2205,0.2545))))))))))))</f>
        <v>0.2545</v>
      </c>
      <c r="D13" s="1658">
        <f>(IF(D2&lt;=0.28,0.8,(IF(D2&lt;=0.32,0.82,(IF(D2&lt;=0.36,0.85,(IF(D2&lt;=0.4,0.86,(IF(D2&lt;0.5,0.86,(IF(D2&lt;=0.8,0.87,0.87))))))))))))</f>
        <v>0.87</v>
      </c>
      <c r="E13" s="1659">
        <f>101300*((D6*((PI()*D2*D3/60)^2)*B13/354550+1)^3.5-1)</f>
        <v>3558.43541973141</v>
      </c>
      <c r="F13" s="1659">
        <f>900*PI()*D2^2*(PI()*D2*D3/60)*C13</f>
        <v>97659.3407646031</v>
      </c>
      <c r="G13" s="1660">
        <f t="shared" si="0"/>
        <v>110.9560846885</v>
      </c>
      <c r="I13" s="1669"/>
    </row>
    <row r="14" spans="1:9">
      <c r="A14" s="1656">
        <v>6</v>
      </c>
      <c r="B14" s="1657">
        <f>(IF(D2&lt;=0.28,0.329,(IF(D2&lt;=0.32,0.33,(IF(D2&lt;=0.36,0.3589,(IF(D2&lt;=0.4,0.3586,(IF(D2&lt;0.5,0.359,(IF(D2&lt;=0.8,0.3757,0.3598))))))))))))</f>
        <v>0.3598</v>
      </c>
      <c r="C14" s="1657">
        <f>(IF(D2&lt;=0.28,0.226,(IF(D2&lt;=0.32,0.2249,(IF(D2&lt;=0.36,0.2347,(IF(D2&lt;=0.4,0.2348,(IF(D2&lt;0.5,0.2354,(IF(D2&lt;=0.8,0.2382,0.271))))))))))))</f>
        <v>0.271</v>
      </c>
      <c r="D14" s="1658">
        <f>(IF(D2&lt;=0.28,0.76,(IF(D2&lt;=0.32,0.78,(IF(D2&lt;=0.36,0.8,(IF(D2&lt;=0.4,0.82,(IF(D2&lt;0.5,0.82,(IF(D2&lt;=0.8,0.83,0.83))))))))))))</f>
        <v>0.83</v>
      </c>
      <c r="E14" s="1659">
        <f>101300*((D6*((PI()*D2*D3/60)^2)*B14/354550+1)^3.5-1)</f>
        <v>3314.1224485095</v>
      </c>
      <c r="F14" s="1659">
        <f>900*PI()*D2^2*(PI()*D2*D3/60)*C14</f>
        <v>103990.88937999</v>
      </c>
      <c r="G14" s="1660">
        <f t="shared" si="0"/>
        <v>115.340877153512</v>
      </c>
      <c r="I14" s="1669"/>
    </row>
    <row r="15" spans="1:9">
      <c r="A15" s="1661" t="str">
        <f>(IF(D2&gt;=1,"",7))</f>
        <v/>
      </c>
      <c r="B15" s="1662" t="str">
        <f>(IF(D2&lt;=0.28,0.3019,(IF(D2&lt;=0.32,0.303,(IF(D2&lt;=0.36,0.326,(IF(D2&lt;=0.4,0.325,(IF(D2&lt;0.5,0.3279,(IF(D2&lt;=0.8,0.345,""))))))))))))</f>
        <v/>
      </c>
      <c r="C15" s="1662" t="str">
        <f>(IF(D2&lt;=0.28,0.242,(IF(D2&lt;=0.32,0.2416,(IF(D2&lt;=0.36,0.2524,(IF(D2&lt;=0.4,0.2527,(IF(D2&lt;0.5,0.253,(IF(D2&lt;=0.8,0.2563,""))))))))))))</f>
        <v/>
      </c>
      <c r="D15" s="1663" t="str">
        <f>(IF(D2&gt;=1,"",(IF(D2&lt;=0.28,0.72,(IF(D2&lt;=0.32,0.74,(IF(D2&lt;=0.36,0.78,(IF(D2&lt;=0.4,0.78,(IF(D2&lt;0.5,0.78,(IF(D2&lt;=0.8,0.79,0.79))))))))))))))</f>
        <v/>
      </c>
      <c r="E15" s="1664" t="str">
        <f>(IF(D2&lt;1,(101300*((D6*((PI()*D2*D3/60)^2)*B15/354550+1)^3.5-1)),""))</f>
        <v/>
      </c>
      <c r="F15" s="1664" t="str">
        <f>(IF(D2&lt;1,(900*PI()*D2^2*(PI()*D2*D3/60)*C15),""))</f>
        <v/>
      </c>
      <c r="G15" s="1665" t="str">
        <f>(IF(D2&lt;1,E15*F15/3600/D15/1000,""))</f>
        <v/>
      </c>
      <c r="I15" s="1669"/>
    </row>
    <row r="16" spans="1:9">
      <c r="A16" s="1666" t="str">
        <f>(IF(D2&gt;=1,"",8))</f>
        <v/>
      </c>
      <c r="B16" s="1667" t="str">
        <f>(IF(D2&lt;=0.28,0.2706,(IF(D2&lt;=0.32,0.2756,(IF(D2&lt;=0.36,0.296,(IF(D2&lt;=0.4,0.2948,(IF(D2&lt;0.5,0.295,(IF(D2&lt;=0.8,0.3155,""))))))))))))</f>
        <v/>
      </c>
      <c r="C16" s="1667" t="str">
        <f>(IF(D2&lt;=0.28,0.2599,(IF(D2&lt;=0.32,0.2587,(IF(D2&lt;=0.36,0.27,(IF(D2&lt;=0.4,0.27,(IF(D2&lt;0.5,0.2704,(IF(D2&lt;=0.8,0.2744,""))))))))))))</f>
        <v/>
      </c>
      <c r="D16" s="1663" t="str">
        <f>(IF(D2&gt;=1,"",(IF(D2&lt;=0.28,0.7,(IF(D2&lt;=0.32,0.72,(IF(D2&lt;=0.36,0.74,(IF(D2&lt;=0.4,0.74,(IF(D2&lt;0.5,0.74,(IF(D2&lt;=0.8,0.75,0.75))))))))))))))</f>
        <v/>
      </c>
      <c r="E16" s="1664" t="str">
        <f>(IF(D2&lt;1,(101300*((D6*((PI()*D2*D3/60)^2)*B16/354550+1)^3.5-1)),""))</f>
        <v/>
      </c>
      <c r="F16" s="1664" t="str">
        <f>(IF(D2&lt;1,900*PI()*D2^2*(PI()*D2*D3/60)*C16,""))</f>
        <v/>
      </c>
      <c r="G16" s="1665" t="str">
        <f>(IF(D2&lt;1,E16*F16/3600/D16/1000,""))</f>
        <v/>
      </c>
      <c r="I16" s="1669"/>
    </row>
    <row r="48" spans="3:6">
      <c r="C48" s="18"/>
      <c r="D48" s="18"/>
      <c r="E48" s="18"/>
      <c r="F48" s="18"/>
    </row>
  </sheetData>
  <protectedRanges>
    <protectedRange password="8BC5" sqref="D2:D6" name="範圍1"/>
  </protectedRanges>
  <customSheetViews>
    <customSheetView guid="{B9330FFD-B5EF-4680-A375-DB92D4738404}">
      <selection activeCell="G3" sqref="G3:G5"/>
      <pageMargins left="0.7" right="0.7" top="0.75" bottom="0.75" header="0.3" footer="0.3"/>
      <headerFooter/>
    </customSheetView>
  </customSheetViews>
  <mergeCells count="9">
    <mergeCell ref="A1:G1"/>
    <mergeCell ref="B3:C3"/>
    <mergeCell ref="B4:C4"/>
    <mergeCell ref="B5:C5"/>
    <mergeCell ref="B6:C6"/>
    <mergeCell ref="C48:F48"/>
    <mergeCell ref="A2:A6"/>
    <mergeCell ref="E2:E6"/>
    <mergeCell ref="G3:G5"/>
  </mergeCells>
  <hyperlinks>
    <hyperlink ref="G3:G5" location="目录!A1" display="目录!A1"/>
  </hyperlinks>
  <pageMargins left="0.7" right="0.7" top="0.75" bottom="0.75" header="0.3" footer="0.3"/>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4"/>
  <sheetViews>
    <sheetView workbookViewId="0">
      <selection activeCell="J11" sqref="J11"/>
    </sheetView>
  </sheetViews>
  <sheetFormatPr defaultColWidth="9" defaultRowHeight="15.6"/>
  <cols>
    <col min="1" max="1" width="4.5" style="289" customWidth="1"/>
    <col min="2" max="2" width="16.125" customWidth="1"/>
    <col min="3" max="3" width="32" style="1627" customWidth="1"/>
    <col min="4" max="4" width="96.5" style="156" customWidth="1"/>
  </cols>
  <sheetData>
    <row r="1" ht="36.75" customHeight="1" spans="1:12">
      <c r="A1" s="1628" t="s">
        <v>88</v>
      </c>
      <c r="B1" s="1628"/>
      <c r="C1" s="1629" t="s">
        <v>772</v>
      </c>
      <c r="D1" s="1630"/>
      <c r="E1" s="1631" t="s">
        <v>773</v>
      </c>
      <c r="F1" s="1631"/>
      <c r="G1" s="1631"/>
      <c r="H1" s="1631"/>
      <c r="I1" s="1631"/>
      <c r="J1" s="1631"/>
      <c r="K1" s="1631"/>
      <c r="L1" s="1631"/>
    </row>
    <row r="2" ht="21" customHeight="1" spans="1:4">
      <c r="A2" s="1632" t="s">
        <v>8</v>
      </c>
      <c r="B2" s="1632" t="s">
        <v>774</v>
      </c>
      <c r="C2" s="1633" t="s">
        <v>775</v>
      </c>
      <c r="D2" s="1634" t="s">
        <v>776</v>
      </c>
    </row>
    <row r="3" ht="47.25" customHeight="1" spans="1:4">
      <c r="A3" s="1635">
        <v>1</v>
      </c>
      <c r="B3" s="1636" t="s">
        <v>777</v>
      </c>
      <c r="C3" s="1637" t="s">
        <v>778</v>
      </c>
      <c r="D3" s="1637" t="s">
        <v>779</v>
      </c>
    </row>
    <row r="4" ht="73.5" customHeight="1" spans="1:4">
      <c r="A4" s="1638">
        <v>2</v>
      </c>
      <c r="B4" s="1639" t="s">
        <v>780</v>
      </c>
      <c r="C4" s="1640" t="s">
        <v>781</v>
      </c>
      <c r="D4" s="1641" t="s">
        <v>782</v>
      </c>
    </row>
    <row r="5" ht="67.5" customHeight="1" spans="1:4">
      <c r="A5" s="1638">
        <v>3</v>
      </c>
      <c r="B5" s="1639" t="s">
        <v>783</v>
      </c>
      <c r="C5" s="1642" t="s">
        <v>784</v>
      </c>
      <c r="D5" s="1641" t="s">
        <v>785</v>
      </c>
    </row>
    <row r="6" ht="42" customHeight="1" spans="1:4">
      <c r="A6" s="1635">
        <v>4</v>
      </c>
      <c r="B6" s="1636" t="s">
        <v>786</v>
      </c>
      <c r="C6" s="1643" t="s">
        <v>787</v>
      </c>
      <c r="D6" s="1637" t="s">
        <v>788</v>
      </c>
    </row>
    <row r="7" ht="49.5" customHeight="1" spans="1:4">
      <c r="A7" s="1635">
        <v>5</v>
      </c>
      <c r="B7" s="1636" t="s">
        <v>789</v>
      </c>
      <c r="C7" s="1637" t="s">
        <v>790</v>
      </c>
      <c r="D7" s="1637" t="s">
        <v>791</v>
      </c>
    </row>
    <row r="8" ht="39.75" customHeight="1" spans="1:4">
      <c r="A8" s="1635">
        <v>6</v>
      </c>
      <c r="B8" s="1636" t="s">
        <v>792</v>
      </c>
      <c r="C8" s="1643" t="s">
        <v>793</v>
      </c>
      <c r="D8" s="1637" t="s">
        <v>794</v>
      </c>
    </row>
    <row r="9" ht="40.5" customHeight="1" spans="1:4">
      <c r="A9" s="1635">
        <v>7</v>
      </c>
      <c r="B9" s="1636" t="s">
        <v>795</v>
      </c>
      <c r="C9" s="1643" t="s">
        <v>796</v>
      </c>
      <c r="D9" s="1637" t="s">
        <v>797</v>
      </c>
    </row>
    <row r="10" ht="52.5" customHeight="1" spans="1:4">
      <c r="A10" s="1635">
        <v>8</v>
      </c>
      <c r="B10" s="1636" t="s">
        <v>798</v>
      </c>
      <c r="C10" s="1643" t="s">
        <v>799</v>
      </c>
      <c r="D10" s="1643" t="s">
        <v>800</v>
      </c>
    </row>
    <row r="11" ht="39" customHeight="1" spans="1:4">
      <c r="A11" s="1635">
        <v>9</v>
      </c>
      <c r="B11" s="1636" t="s">
        <v>801</v>
      </c>
      <c r="C11" s="1643" t="s">
        <v>802</v>
      </c>
      <c r="D11" s="1637" t="s">
        <v>803</v>
      </c>
    </row>
    <row r="12" ht="39" customHeight="1" spans="1:4">
      <c r="A12" s="1635">
        <v>10</v>
      </c>
      <c r="B12" s="1636" t="s">
        <v>804</v>
      </c>
      <c r="C12" s="1643" t="s">
        <v>805</v>
      </c>
      <c r="D12" s="1637" t="s">
        <v>806</v>
      </c>
    </row>
    <row r="13" ht="39" customHeight="1" spans="1:4">
      <c r="A13" s="1635">
        <v>11</v>
      </c>
      <c r="B13" s="1636" t="s">
        <v>807</v>
      </c>
      <c r="C13" s="1643" t="s">
        <v>808</v>
      </c>
      <c r="D13" s="1637" t="s">
        <v>809</v>
      </c>
    </row>
    <row r="14" ht="65.25" customHeight="1" spans="1:4">
      <c r="A14" s="1635">
        <v>12</v>
      </c>
      <c r="B14" s="1636" t="s">
        <v>810</v>
      </c>
      <c r="C14" s="1637" t="s">
        <v>811</v>
      </c>
      <c r="D14" s="1637" t="s">
        <v>812</v>
      </c>
    </row>
    <row r="15" ht="47.25" customHeight="1" spans="1:4">
      <c r="A15" s="1635">
        <v>13</v>
      </c>
      <c r="B15" s="1636" t="s">
        <v>813</v>
      </c>
      <c r="C15" s="1637" t="s">
        <v>814</v>
      </c>
      <c r="D15" s="1637" t="s">
        <v>815</v>
      </c>
    </row>
    <row r="16" ht="36.75" customHeight="1" spans="1:4">
      <c r="A16" s="1635">
        <v>14</v>
      </c>
      <c r="B16" s="1636" t="s">
        <v>816</v>
      </c>
      <c r="C16" s="1643" t="s">
        <v>817</v>
      </c>
      <c r="D16" s="1637" t="s">
        <v>818</v>
      </c>
    </row>
    <row r="17" ht="51" customHeight="1" spans="1:4">
      <c r="A17" s="1635">
        <v>15</v>
      </c>
      <c r="B17" s="1636" t="s">
        <v>819</v>
      </c>
      <c r="C17" s="1637" t="s">
        <v>820</v>
      </c>
      <c r="D17" s="1637" t="s">
        <v>821</v>
      </c>
    </row>
    <row r="18" ht="34.5" customHeight="1" spans="1:4">
      <c r="A18" s="1635">
        <v>16</v>
      </c>
      <c r="B18" s="1636" t="s">
        <v>822</v>
      </c>
      <c r="C18" s="1637" t="s">
        <v>823</v>
      </c>
      <c r="D18" s="1637" t="s">
        <v>824</v>
      </c>
    </row>
    <row r="19" ht="48.75" customHeight="1" spans="1:4">
      <c r="A19" s="1635">
        <v>17</v>
      </c>
      <c r="B19" s="1636" t="s">
        <v>825</v>
      </c>
      <c r="C19" s="1643" t="s">
        <v>826</v>
      </c>
      <c r="D19" s="1637" t="s">
        <v>827</v>
      </c>
    </row>
    <row r="20" ht="39" customHeight="1" spans="1:4">
      <c r="A20" s="1635">
        <v>18</v>
      </c>
      <c r="B20" s="1636" t="s">
        <v>828</v>
      </c>
      <c r="C20" s="1643" t="s">
        <v>829</v>
      </c>
      <c r="D20" s="1637" t="s">
        <v>830</v>
      </c>
    </row>
    <row r="21" ht="32.25" customHeight="1" spans="1:4">
      <c r="A21" s="1635">
        <v>19</v>
      </c>
      <c r="B21" s="1636" t="s">
        <v>831</v>
      </c>
      <c r="C21" s="1643" t="s">
        <v>832</v>
      </c>
      <c r="D21" s="1637" t="s">
        <v>833</v>
      </c>
    </row>
    <row r="22" ht="17.1" spans="1:4">
      <c r="A22" s="1635">
        <v>20</v>
      </c>
      <c r="B22" s="1636" t="s">
        <v>834</v>
      </c>
      <c r="C22" s="1643" t="s">
        <v>835</v>
      </c>
      <c r="D22" s="1637" t="s">
        <v>836</v>
      </c>
    </row>
    <row r="23" ht="17.1" spans="1:4">
      <c r="A23" s="1635">
        <v>21</v>
      </c>
      <c r="B23" s="1636" t="s">
        <v>837</v>
      </c>
      <c r="C23" s="1643" t="s">
        <v>838</v>
      </c>
      <c r="D23" s="1637" t="s">
        <v>836</v>
      </c>
    </row>
    <row r="24" ht="32.7" spans="1:4">
      <c r="A24" s="1635">
        <v>22</v>
      </c>
      <c r="B24" s="1636" t="s">
        <v>839</v>
      </c>
      <c r="C24" s="1643" t="s">
        <v>840</v>
      </c>
      <c r="D24" s="1637" t="s">
        <v>841</v>
      </c>
    </row>
    <row r="25" ht="17.1" spans="1:4">
      <c r="A25" s="1635">
        <v>23</v>
      </c>
      <c r="B25" s="1636" t="s">
        <v>842</v>
      </c>
      <c r="C25" s="1643" t="s">
        <v>843</v>
      </c>
      <c r="D25" s="1637" t="s">
        <v>836</v>
      </c>
    </row>
    <row r="26" ht="17.1" spans="1:4">
      <c r="A26" s="1635">
        <v>24</v>
      </c>
      <c r="B26" s="1636" t="s">
        <v>844</v>
      </c>
      <c r="C26" s="1643" t="s">
        <v>845</v>
      </c>
      <c r="D26" s="1637" t="s">
        <v>836</v>
      </c>
    </row>
    <row r="27" ht="17.1" spans="1:4">
      <c r="A27" s="1635">
        <v>25</v>
      </c>
      <c r="B27" s="1636" t="s">
        <v>846</v>
      </c>
      <c r="C27" s="1643" t="s">
        <v>847</v>
      </c>
      <c r="D27" s="1637" t="s">
        <v>836</v>
      </c>
    </row>
    <row r="28" ht="17.1" spans="1:4">
      <c r="A28" s="1635">
        <v>26</v>
      </c>
      <c r="B28" s="1636" t="s">
        <v>848</v>
      </c>
      <c r="C28" s="1643" t="s">
        <v>849</v>
      </c>
      <c r="D28" s="1637" t="s">
        <v>836</v>
      </c>
    </row>
    <row r="29" ht="17.1" spans="1:4">
      <c r="A29" s="1635">
        <v>27</v>
      </c>
      <c r="B29" s="1636" t="s">
        <v>850</v>
      </c>
      <c r="C29" s="1643" t="s">
        <v>851</v>
      </c>
      <c r="D29" s="1637" t="s">
        <v>836</v>
      </c>
    </row>
    <row r="30" ht="17.1" spans="1:4">
      <c r="A30" s="1635">
        <v>28</v>
      </c>
      <c r="B30" s="1636" t="s">
        <v>852</v>
      </c>
      <c r="C30" s="1643" t="s">
        <v>853</v>
      </c>
      <c r="D30" s="1637" t="s">
        <v>836</v>
      </c>
    </row>
    <row r="31" ht="17.1" spans="1:4">
      <c r="A31" s="1635">
        <v>29</v>
      </c>
      <c r="B31" s="1636" t="s">
        <v>854</v>
      </c>
      <c r="C31" s="1643" t="s">
        <v>855</v>
      </c>
      <c r="D31" s="1637" t="s">
        <v>836</v>
      </c>
    </row>
    <row r="32" ht="17.1" spans="1:4">
      <c r="A32" s="1635">
        <v>30</v>
      </c>
      <c r="B32" s="1636" t="s">
        <v>856</v>
      </c>
      <c r="C32" s="1643" t="s">
        <v>857</v>
      </c>
      <c r="D32" s="1637" t="s">
        <v>836</v>
      </c>
    </row>
    <row r="33" ht="32.7" spans="1:4">
      <c r="A33" s="1635">
        <v>31</v>
      </c>
      <c r="B33" s="1636" t="s">
        <v>858</v>
      </c>
      <c r="C33" s="1643" t="s">
        <v>859</v>
      </c>
      <c r="D33" s="1637" t="s">
        <v>836</v>
      </c>
    </row>
    <row r="34" ht="17.1" spans="1:4">
      <c r="A34" s="1635">
        <v>32</v>
      </c>
      <c r="B34" s="1636" t="s">
        <v>860</v>
      </c>
      <c r="C34" s="1643" t="s">
        <v>861</v>
      </c>
      <c r="D34" s="1637" t="s">
        <v>841</v>
      </c>
    </row>
    <row r="35" ht="32.7" spans="1:4">
      <c r="A35" s="1635">
        <v>33</v>
      </c>
      <c r="B35" s="1636" t="s">
        <v>862</v>
      </c>
      <c r="C35" s="1643" t="s">
        <v>863</v>
      </c>
      <c r="D35" s="1637" t="s">
        <v>864</v>
      </c>
    </row>
    <row r="36" ht="32.7" spans="1:4">
      <c r="A36" s="1635">
        <v>34</v>
      </c>
      <c r="B36" s="1636" t="s">
        <v>865</v>
      </c>
      <c r="C36" s="1637" t="s">
        <v>866</v>
      </c>
      <c r="D36" s="1637" t="s">
        <v>867</v>
      </c>
    </row>
    <row r="37" ht="33.3" spans="1:4">
      <c r="A37" s="1635">
        <v>35</v>
      </c>
      <c r="B37" s="1636" t="s">
        <v>868</v>
      </c>
      <c r="C37" s="1643" t="s">
        <v>869</v>
      </c>
      <c r="D37" s="1643" t="s">
        <v>870</v>
      </c>
    </row>
    <row r="38" ht="32.7" spans="1:4">
      <c r="A38" s="1635">
        <v>36</v>
      </c>
      <c r="B38" s="1636" t="s">
        <v>871</v>
      </c>
      <c r="C38" s="1637" t="s">
        <v>872</v>
      </c>
      <c r="D38" s="1637" t="s">
        <v>873</v>
      </c>
    </row>
    <row r="39" ht="48.3" spans="1:4">
      <c r="A39" s="1635">
        <v>37</v>
      </c>
      <c r="B39" s="1636" t="s">
        <v>874</v>
      </c>
      <c r="C39" s="1643" t="s">
        <v>875</v>
      </c>
      <c r="D39" s="1637" t="s">
        <v>876</v>
      </c>
    </row>
    <row r="40" ht="48.3" spans="1:4">
      <c r="A40" s="1635">
        <v>38</v>
      </c>
      <c r="B40" s="1636" t="s">
        <v>877</v>
      </c>
      <c r="C40" s="1643" t="s">
        <v>878</v>
      </c>
      <c r="D40" s="1637" t="s">
        <v>879</v>
      </c>
    </row>
    <row r="41" ht="64.5" customHeight="1" spans="1:4">
      <c r="A41" s="1635">
        <v>39</v>
      </c>
      <c r="B41" s="1636" t="s">
        <v>880</v>
      </c>
      <c r="C41" s="1643" t="s">
        <v>881</v>
      </c>
      <c r="D41" s="1637" t="s">
        <v>882</v>
      </c>
    </row>
    <row r="42" ht="64.5" spans="1:4">
      <c r="A42" s="1635">
        <v>40</v>
      </c>
      <c r="B42" s="1636" t="s">
        <v>883</v>
      </c>
      <c r="C42" s="1643" t="s">
        <v>884</v>
      </c>
      <c r="D42" s="1643" t="s">
        <v>885</v>
      </c>
    </row>
    <row r="43" ht="51.75" customHeight="1" spans="1:4">
      <c r="A43" s="1635">
        <v>41</v>
      </c>
      <c r="B43" s="1636" t="s">
        <v>886</v>
      </c>
      <c r="C43" s="1643" t="s">
        <v>887</v>
      </c>
      <c r="D43" s="1637" t="s">
        <v>888</v>
      </c>
    </row>
    <row r="44" ht="27.75" customHeight="1" spans="1:4">
      <c r="A44" s="1635">
        <v>42</v>
      </c>
      <c r="B44" s="1636" t="s">
        <v>889</v>
      </c>
      <c r="C44" s="1643" t="s">
        <v>890</v>
      </c>
      <c r="D44" s="1637" t="s">
        <v>891</v>
      </c>
    </row>
    <row r="45" ht="51" customHeight="1" spans="1:4">
      <c r="A45" s="1635">
        <v>43</v>
      </c>
      <c r="B45" s="1636" t="s">
        <v>892</v>
      </c>
      <c r="C45" s="1643" t="s">
        <v>893</v>
      </c>
      <c r="D45" s="1643" t="s">
        <v>894</v>
      </c>
    </row>
    <row r="46" ht="28.5" customHeight="1" spans="1:4">
      <c r="A46" s="1635">
        <v>44</v>
      </c>
      <c r="B46" s="1636" t="s">
        <v>895</v>
      </c>
      <c r="C46" s="1643" t="s">
        <v>896</v>
      </c>
      <c r="D46" s="1637" t="s">
        <v>897</v>
      </c>
    </row>
    <row r="47" ht="76.5" customHeight="1" spans="1:4">
      <c r="A47" s="1635">
        <v>45</v>
      </c>
      <c r="B47" s="1636" t="s">
        <v>898</v>
      </c>
      <c r="C47" s="1643" t="s">
        <v>899</v>
      </c>
      <c r="D47" s="1643" t="s">
        <v>900</v>
      </c>
    </row>
    <row r="48" ht="44.25" customHeight="1" spans="1:4">
      <c r="A48" s="1635">
        <v>46</v>
      </c>
      <c r="B48" s="1636" t="s">
        <v>901</v>
      </c>
      <c r="C48" s="1643" t="s">
        <v>902</v>
      </c>
      <c r="D48" s="1637" t="s">
        <v>903</v>
      </c>
    </row>
    <row r="49" ht="53.25" customHeight="1" spans="1:4">
      <c r="A49" s="1635">
        <v>47</v>
      </c>
      <c r="B49" s="1636" t="s">
        <v>904</v>
      </c>
      <c r="C49" s="1643" t="s">
        <v>905</v>
      </c>
      <c r="D49" s="1643" t="s">
        <v>906</v>
      </c>
    </row>
    <row r="50" ht="43.5" customHeight="1" spans="1:4">
      <c r="A50" s="1635">
        <v>48</v>
      </c>
      <c r="B50" s="1636" t="s">
        <v>907</v>
      </c>
      <c r="C50" s="1637" t="s">
        <v>908</v>
      </c>
      <c r="D50" s="1637" t="s">
        <v>909</v>
      </c>
    </row>
    <row r="51" ht="48.3" spans="1:4">
      <c r="A51" s="1644">
        <v>49</v>
      </c>
      <c r="B51" s="1645" t="s">
        <v>910</v>
      </c>
      <c r="C51" s="1646" t="s">
        <v>911</v>
      </c>
      <c r="D51" s="1646" t="s">
        <v>912</v>
      </c>
    </row>
    <row r="52" ht="16.35" spans="3:3">
      <c r="C52" s="156"/>
    </row>
    <row r="53" spans="3:3">
      <c r="C53" s="156"/>
    </row>
    <row r="54" spans="3:3">
      <c r="C54" s="156"/>
    </row>
  </sheetData>
  <customSheetViews>
    <customSheetView guid="{B9330FFD-B5EF-4680-A375-DB92D4738404}">
      <selection activeCell="A1" sqref="A1:B1"/>
      <pageMargins left="0.7" right="0.7" top="0.75" bottom="0.75" header="0.3" footer="0.3"/>
      <headerFooter/>
    </customSheetView>
  </customSheetViews>
  <mergeCells count="3">
    <mergeCell ref="A1:B1"/>
    <mergeCell ref="C1:D1"/>
    <mergeCell ref="E1:L1"/>
  </mergeCells>
  <hyperlinks>
    <hyperlink ref="A1:B1" location="目录!A1" display="目录!A1"/>
    <hyperlink ref="E1:L1" r:id="rId2" display="淘宝店铺链接"/>
  </hyperlink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2"/>
  <sheetViews>
    <sheetView topLeftCell="A70" workbookViewId="0">
      <selection activeCell="D3" sqref="D3"/>
    </sheetView>
  </sheetViews>
  <sheetFormatPr defaultColWidth="9" defaultRowHeight="12"/>
  <cols>
    <col min="1" max="1" width="20.625" style="1591" customWidth="1"/>
    <col min="2" max="2" width="9.5" style="323" customWidth="1"/>
    <col min="3" max="3" width="5.25" style="1591" customWidth="1"/>
    <col min="4" max="4" width="33.25" style="1592" customWidth="1"/>
    <col min="5" max="9" width="8.625" style="323" customWidth="1"/>
    <col min="10" max="10" width="9.625" style="1591" customWidth="1"/>
    <col min="11" max="16384" width="9" style="1591"/>
  </cols>
  <sheetData>
    <row r="1" s="323" customFormat="1" ht="15.95" customHeight="1" spans="1:10">
      <c r="A1" s="1593" t="s">
        <v>913</v>
      </c>
      <c r="B1" s="1593" t="s">
        <v>914</v>
      </c>
      <c r="C1" s="1593" t="s">
        <v>915</v>
      </c>
      <c r="D1" s="1594" t="s">
        <v>916</v>
      </c>
      <c r="E1" s="1594" t="s">
        <v>917</v>
      </c>
      <c r="F1" s="1595"/>
      <c r="G1" s="1595"/>
      <c r="H1" s="1595"/>
      <c r="I1" s="1617"/>
      <c r="J1" s="1593" t="s">
        <v>918</v>
      </c>
    </row>
    <row r="2" s="323" customFormat="1" ht="31.5" customHeight="1" spans="1:10">
      <c r="A2" s="1596"/>
      <c r="B2" s="1596"/>
      <c r="C2" s="1596"/>
      <c r="D2" s="1597"/>
      <c r="E2" s="1593" t="s">
        <v>919</v>
      </c>
      <c r="F2" s="1593" t="s">
        <v>920</v>
      </c>
      <c r="G2" s="1593" t="s">
        <v>921</v>
      </c>
      <c r="H2" s="1593" t="s">
        <v>922</v>
      </c>
      <c r="I2" s="1593" t="s">
        <v>923</v>
      </c>
      <c r="J2" s="1618" t="s">
        <v>88</v>
      </c>
    </row>
    <row r="3" ht="15.95" customHeight="1" spans="1:10">
      <c r="A3" s="1598" t="s">
        <v>924</v>
      </c>
      <c r="B3" s="1596" t="s">
        <v>925</v>
      </c>
      <c r="C3" s="1596"/>
      <c r="D3" s="1599"/>
      <c r="E3" s="1600">
        <v>1350</v>
      </c>
      <c r="F3" s="1600">
        <f t="shared" ref="F3:I4" si="0">E3</f>
        <v>1350</v>
      </c>
      <c r="G3" s="1600">
        <f t="shared" si="0"/>
        <v>1350</v>
      </c>
      <c r="H3" s="1600">
        <f t="shared" si="0"/>
        <v>1350</v>
      </c>
      <c r="I3" s="1600">
        <f t="shared" si="0"/>
        <v>1350</v>
      </c>
      <c r="J3" s="1598" t="s">
        <v>926</v>
      </c>
    </row>
    <row r="4" ht="15.95" customHeight="1" spans="1:10">
      <c r="A4" s="1598" t="s">
        <v>927</v>
      </c>
      <c r="B4" s="1596" t="s">
        <v>925</v>
      </c>
      <c r="C4" s="1596" t="s">
        <v>928</v>
      </c>
      <c r="D4" s="1597"/>
      <c r="E4" s="1600">
        <v>1350</v>
      </c>
      <c r="F4" s="1600">
        <f t="shared" si="0"/>
        <v>1350</v>
      </c>
      <c r="G4" s="1600">
        <f t="shared" si="0"/>
        <v>1350</v>
      </c>
      <c r="H4" s="1600">
        <f t="shared" si="0"/>
        <v>1350</v>
      </c>
      <c r="I4" s="1600">
        <f t="shared" si="0"/>
        <v>1350</v>
      </c>
      <c r="J4" s="1598" t="s">
        <v>926</v>
      </c>
    </row>
    <row r="5" ht="15.95" customHeight="1" spans="1:10">
      <c r="A5" s="1598" t="s">
        <v>929</v>
      </c>
      <c r="B5" s="1596" t="s">
        <v>930</v>
      </c>
      <c r="C5" s="1596" t="s">
        <v>931</v>
      </c>
      <c r="D5" s="1597"/>
      <c r="E5" s="1600">
        <v>0.10277</v>
      </c>
      <c r="F5" s="1600">
        <f>E5</f>
        <v>0.10277</v>
      </c>
      <c r="G5" s="1600">
        <v>0.10019</v>
      </c>
      <c r="H5" s="1600">
        <f>G5</f>
        <v>0.10019</v>
      </c>
      <c r="I5" s="1600">
        <v>0.10274</v>
      </c>
      <c r="J5" s="1598" t="s">
        <v>926</v>
      </c>
    </row>
    <row r="6" ht="15.95" customHeight="1" spans="1:10">
      <c r="A6" s="1598" t="s">
        <v>932</v>
      </c>
      <c r="B6" s="1593" t="s">
        <v>933</v>
      </c>
      <c r="C6" s="1596"/>
      <c r="D6" s="1597"/>
      <c r="E6" s="1600">
        <v>35</v>
      </c>
      <c r="F6" s="1600">
        <v>35</v>
      </c>
      <c r="G6" s="1600">
        <v>6</v>
      </c>
      <c r="H6" s="1600">
        <v>6</v>
      </c>
      <c r="I6" s="1600">
        <v>24</v>
      </c>
      <c r="J6" s="1598" t="s">
        <v>926</v>
      </c>
    </row>
    <row r="7" ht="15.95" customHeight="1" spans="1:10">
      <c r="A7" s="1598" t="s">
        <v>934</v>
      </c>
      <c r="B7" s="1596" t="s">
        <v>619</v>
      </c>
      <c r="C7" s="1596" t="s">
        <v>935</v>
      </c>
      <c r="D7" s="1597"/>
      <c r="E7" s="1600">
        <v>90</v>
      </c>
      <c r="F7" s="1600">
        <v>90</v>
      </c>
      <c r="G7" s="1600">
        <v>78</v>
      </c>
      <c r="H7" s="1600">
        <v>78</v>
      </c>
      <c r="I7" s="1600">
        <v>85</v>
      </c>
      <c r="J7" s="1598" t="s">
        <v>926</v>
      </c>
    </row>
    <row r="8" ht="15.95" customHeight="1" spans="1:10">
      <c r="A8" s="1598" t="s">
        <v>936</v>
      </c>
      <c r="B8" s="1596" t="s">
        <v>937</v>
      </c>
      <c r="C8" s="1596" t="s">
        <v>938</v>
      </c>
      <c r="D8" s="1597"/>
      <c r="E8" s="1600">
        <v>300</v>
      </c>
      <c r="F8" s="1600">
        <v>300</v>
      </c>
      <c r="G8" s="1600">
        <v>0</v>
      </c>
      <c r="H8" s="1600">
        <v>0</v>
      </c>
      <c r="I8" s="1600">
        <v>0</v>
      </c>
      <c r="J8" s="1598" t="s">
        <v>939</v>
      </c>
    </row>
    <row r="9" ht="15.95" customHeight="1" spans="1:10">
      <c r="A9" s="1598" t="s">
        <v>940</v>
      </c>
      <c r="B9" s="1596" t="s">
        <v>941</v>
      </c>
      <c r="C9" s="1596" t="s">
        <v>942</v>
      </c>
      <c r="D9" s="1597"/>
      <c r="E9" s="1600">
        <v>1.26</v>
      </c>
      <c r="F9" s="1600">
        <v>1</v>
      </c>
      <c r="G9" s="1600">
        <v>0.76</v>
      </c>
      <c r="H9" s="1600">
        <v>0.96</v>
      </c>
      <c r="I9" s="1600">
        <v>1.075</v>
      </c>
      <c r="J9" s="1598" t="s">
        <v>939</v>
      </c>
    </row>
    <row r="10" ht="15.95" customHeight="1" spans="1:10">
      <c r="A10" s="1598" t="s">
        <v>943</v>
      </c>
      <c r="B10" s="1596" t="s">
        <v>944</v>
      </c>
      <c r="C10" s="1596" t="s">
        <v>945</v>
      </c>
      <c r="D10" s="1597"/>
      <c r="E10" s="1600">
        <v>0.2</v>
      </c>
      <c r="F10" s="1600">
        <v>0.03</v>
      </c>
      <c r="G10" s="1600">
        <v>0.03</v>
      </c>
      <c r="H10" s="1600">
        <v>0.2</v>
      </c>
      <c r="I10" s="1600">
        <v>0.2</v>
      </c>
      <c r="J10" s="1598" t="s">
        <v>939</v>
      </c>
    </row>
    <row r="11" ht="15.95" customHeight="1" spans="1:10">
      <c r="A11" s="1598" t="s">
        <v>946</v>
      </c>
      <c r="B11" s="1596" t="s">
        <v>944</v>
      </c>
      <c r="C11" s="1593" t="s">
        <v>947</v>
      </c>
      <c r="D11" s="1597"/>
      <c r="E11" s="1600">
        <v>0.15</v>
      </c>
      <c r="F11" s="1600">
        <f t="shared" ref="F11:I12" si="1">E11</f>
        <v>0.15</v>
      </c>
      <c r="G11" s="1600">
        <f t="shared" si="1"/>
        <v>0.15</v>
      </c>
      <c r="H11" s="1600">
        <f t="shared" si="1"/>
        <v>0.15</v>
      </c>
      <c r="I11" s="1600">
        <f t="shared" si="1"/>
        <v>0.15</v>
      </c>
      <c r="J11" s="1598" t="s">
        <v>939</v>
      </c>
    </row>
    <row r="12" ht="15.95" customHeight="1" spans="1:10">
      <c r="A12" s="1598" t="s">
        <v>948</v>
      </c>
      <c r="B12" s="1596" t="s">
        <v>944</v>
      </c>
      <c r="C12" s="1593" t="s">
        <v>949</v>
      </c>
      <c r="D12" s="1597"/>
      <c r="E12" s="1600">
        <v>0.03</v>
      </c>
      <c r="F12" s="1600">
        <f t="shared" si="1"/>
        <v>0.03</v>
      </c>
      <c r="G12" s="1600">
        <f t="shared" si="1"/>
        <v>0.03</v>
      </c>
      <c r="H12" s="1600">
        <f t="shared" si="1"/>
        <v>0.03</v>
      </c>
      <c r="I12" s="1600">
        <f t="shared" si="1"/>
        <v>0.03</v>
      </c>
      <c r="J12" s="1598" t="s">
        <v>939</v>
      </c>
    </row>
    <row r="13" ht="15.95" customHeight="1" spans="1:10">
      <c r="A13" s="1598" t="s">
        <v>950</v>
      </c>
      <c r="B13" s="1596" t="s">
        <v>944</v>
      </c>
      <c r="C13" s="1596" t="s">
        <v>951</v>
      </c>
      <c r="D13" s="1597" t="s">
        <v>952</v>
      </c>
      <c r="E13" s="1596">
        <f>E10+E11+E12</f>
        <v>0.38</v>
      </c>
      <c r="F13" s="1596">
        <f>F10+F11+F12</f>
        <v>0.21</v>
      </c>
      <c r="G13" s="1596">
        <f>G10+G11+G12</f>
        <v>0.21</v>
      </c>
      <c r="H13" s="1596">
        <f>H10+H11+H12</f>
        <v>0.38</v>
      </c>
      <c r="I13" s="1596">
        <f>I10+I11+I12</f>
        <v>0.38</v>
      </c>
      <c r="J13" s="1619"/>
    </row>
    <row r="14" ht="15.95" customHeight="1" spans="1:10">
      <c r="A14" s="1598" t="s">
        <v>953</v>
      </c>
      <c r="B14" s="1596" t="s">
        <v>944</v>
      </c>
      <c r="C14" s="1593" t="s">
        <v>954</v>
      </c>
      <c r="D14" s="1597"/>
      <c r="E14" s="1600">
        <v>0.003</v>
      </c>
      <c r="F14" s="1600">
        <f>E14</f>
        <v>0.003</v>
      </c>
      <c r="G14" s="1600">
        <f>F14</f>
        <v>0.003</v>
      </c>
      <c r="H14" s="1600">
        <f>G14</f>
        <v>0.003</v>
      </c>
      <c r="I14" s="1600">
        <f>H14</f>
        <v>0.003</v>
      </c>
      <c r="J14" s="1619"/>
    </row>
    <row r="15" ht="15.95" customHeight="1" spans="1:10">
      <c r="A15" s="1598" t="s">
        <v>955</v>
      </c>
      <c r="B15" s="1596" t="s">
        <v>944</v>
      </c>
      <c r="C15" s="1596" t="s">
        <v>956</v>
      </c>
      <c r="D15" s="1597" t="s">
        <v>957</v>
      </c>
      <c r="E15" s="1596">
        <f>E5-E14</f>
        <v>0.09977</v>
      </c>
      <c r="F15" s="1596">
        <f>F5-F14</f>
        <v>0.09977</v>
      </c>
      <c r="G15" s="1596">
        <f>G5-G14</f>
        <v>0.09719</v>
      </c>
      <c r="H15" s="1596">
        <f>H5-H14</f>
        <v>0.09719</v>
      </c>
      <c r="I15" s="1596">
        <f>I5-I14</f>
        <v>0.09974</v>
      </c>
      <c r="J15" s="1619"/>
    </row>
    <row r="16" ht="15.95" customHeight="1" spans="1:10">
      <c r="A16" s="1598" t="s">
        <v>958</v>
      </c>
      <c r="B16" s="1596" t="s">
        <v>944</v>
      </c>
      <c r="C16" s="1596" t="s">
        <v>959</v>
      </c>
      <c r="D16" s="1597" t="s">
        <v>960</v>
      </c>
      <c r="E16" s="1596">
        <f>E13+E5</f>
        <v>0.48277</v>
      </c>
      <c r="F16" s="1596">
        <f>F13+F5</f>
        <v>0.31277</v>
      </c>
      <c r="G16" s="1596">
        <f>G13+G5</f>
        <v>0.31019</v>
      </c>
      <c r="H16" s="1596">
        <f>H13+H5</f>
        <v>0.48019</v>
      </c>
      <c r="I16" s="1596">
        <f>I13+I5</f>
        <v>0.48274</v>
      </c>
      <c r="J16" s="1619"/>
    </row>
    <row r="17" ht="15.95" customHeight="1" spans="1:10">
      <c r="A17" s="1598" t="s">
        <v>961</v>
      </c>
      <c r="B17" s="1596"/>
      <c r="C17" s="1596" t="s">
        <v>962</v>
      </c>
      <c r="D17" s="1597" t="s">
        <v>963</v>
      </c>
      <c r="E17" s="1596">
        <f>E16/E15</f>
        <v>4.83882930740704</v>
      </c>
      <c r="F17" s="1596">
        <f>F16/F15</f>
        <v>3.13491029367545</v>
      </c>
      <c r="G17" s="1596">
        <f>G16/G15</f>
        <v>3.19158349624447</v>
      </c>
      <c r="H17" s="1596">
        <f>H16/H15</f>
        <v>4.94073464348184</v>
      </c>
      <c r="I17" s="1596">
        <f>I16/I15</f>
        <v>4.83998395829156</v>
      </c>
      <c r="J17" s="1619"/>
    </row>
    <row r="18" ht="15.95" customHeight="1" spans="1:10">
      <c r="A18" s="1598" t="s">
        <v>964</v>
      </c>
      <c r="B18" s="1596" t="s">
        <v>965</v>
      </c>
      <c r="C18" s="1596" t="s">
        <v>206</v>
      </c>
      <c r="D18" s="1601" t="s">
        <v>966</v>
      </c>
      <c r="E18" s="1602">
        <v>2400</v>
      </c>
      <c r="F18" s="1602">
        <f>E18</f>
        <v>2400</v>
      </c>
      <c r="G18" s="1602">
        <f>F18</f>
        <v>2400</v>
      </c>
      <c r="H18" s="1602">
        <f>G18</f>
        <v>2400</v>
      </c>
      <c r="I18" s="1602">
        <v>2400</v>
      </c>
      <c r="J18" s="1598" t="s">
        <v>939</v>
      </c>
    </row>
    <row r="19" ht="15.95" customHeight="1" spans="1:10">
      <c r="A19" s="1598" t="s">
        <v>967</v>
      </c>
      <c r="B19" s="1596" t="s">
        <v>937</v>
      </c>
      <c r="C19" s="1596" t="s">
        <v>968</v>
      </c>
      <c r="D19" s="1597" t="s">
        <v>969</v>
      </c>
      <c r="E19" s="1603">
        <f>E4*E9*E18/1440</f>
        <v>2835</v>
      </c>
      <c r="F19" s="1603">
        <f>F4*F9*F18/1440</f>
        <v>2250</v>
      </c>
      <c r="G19" s="1603">
        <f>G4*G9*G18/1440</f>
        <v>1710</v>
      </c>
      <c r="H19" s="1603">
        <f>H4*H9*H18/1440</f>
        <v>2160</v>
      </c>
      <c r="I19" s="1603">
        <f>I4*I9*I18/1440</f>
        <v>2418.75</v>
      </c>
      <c r="J19" s="1619"/>
    </row>
    <row r="20" ht="15.95" customHeight="1" spans="1:10">
      <c r="A20" s="1598" t="s">
        <v>970</v>
      </c>
      <c r="B20" s="1596"/>
      <c r="C20" s="1596" t="s">
        <v>971</v>
      </c>
      <c r="D20" s="1597"/>
      <c r="E20" s="1600">
        <v>0.03</v>
      </c>
      <c r="F20" s="1600">
        <f>E20</f>
        <v>0.03</v>
      </c>
      <c r="G20" s="1600">
        <f>F20</f>
        <v>0.03</v>
      </c>
      <c r="H20" s="1600">
        <f>G20</f>
        <v>0.03</v>
      </c>
      <c r="I20" s="1600">
        <f>H20</f>
        <v>0.03</v>
      </c>
      <c r="J20" s="1598" t="s">
        <v>939</v>
      </c>
    </row>
    <row r="21" ht="15.95" customHeight="1" spans="1:10">
      <c r="A21" s="1598" t="s">
        <v>972</v>
      </c>
      <c r="B21" s="1596" t="s">
        <v>937</v>
      </c>
      <c r="C21" s="1596" t="s">
        <v>973</v>
      </c>
      <c r="D21" s="1597" t="s">
        <v>974</v>
      </c>
      <c r="E21" s="1603">
        <f>(1+E20)*E19</f>
        <v>2920.05</v>
      </c>
      <c r="F21" s="1603">
        <f>(1+F20)*F19</f>
        <v>2317.5</v>
      </c>
      <c r="G21" s="1603">
        <f>(1+G20)*G19</f>
        <v>1761.3</v>
      </c>
      <c r="H21" s="1603">
        <f>(1+H20)*H19</f>
        <v>2224.8</v>
      </c>
      <c r="I21" s="1603">
        <f>(1+I20)*I19</f>
        <v>2491.3125</v>
      </c>
      <c r="J21" s="1598" t="s">
        <v>975</v>
      </c>
    </row>
    <row r="22" ht="15.95" customHeight="1" spans="1:10">
      <c r="A22" s="1598" t="s">
        <v>976</v>
      </c>
      <c r="B22" s="1596" t="s">
        <v>937</v>
      </c>
      <c r="C22" s="1596" t="s">
        <v>977</v>
      </c>
      <c r="D22" s="1597" t="s">
        <v>978</v>
      </c>
      <c r="E22" s="1603">
        <f>E21+E8</f>
        <v>3220.05</v>
      </c>
      <c r="F22" s="1603">
        <f>F21+F8</f>
        <v>2617.5</v>
      </c>
      <c r="G22" s="1603"/>
      <c r="H22" s="1603"/>
      <c r="I22" s="1603"/>
      <c r="J22" s="1598" t="s">
        <v>979</v>
      </c>
    </row>
    <row r="23" ht="15.95" customHeight="1" spans="1:10">
      <c r="A23" s="1604" t="s">
        <v>980</v>
      </c>
      <c r="B23" s="1596"/>
      <c r="C23" s="1596"/>
      <c r="D23" s="1597"/>
      <c r="E23" s="1596"/>
      <c r="F23" s="1596"/>
      <c r="G23" s="1596"/>
      <c r="H23" s="1596"/>
      <c r="I23" s="1596"/>
      <c r="J23" s="1619"/>
    </row>
    <row r="24" ht="15.95" customHeight="1" spans="1:10">
      <c r="A24" s="1605" t="s">
        <v>981</v>
      </c>
      <c r="B24" s="1606" t="s">
        <v>933</v>
      </c>
      <c r="C24" s="1607" t="s">
        <v>982</v>
      </c>
      <c r="D24" s="1608"/>
      <c r="E24" s="1609">
        <f>E6</f>
        <v>35</v>
      </c>
      <c r="F24" s="1609">
        <f>F6</f>
        <v>35</v>
      </c>
      <c r="G24" s="1609">
        <f>G6</f>
        <v>6</v>
      </c>
      <c r="H24" s="1609">
        <f>H6</f>
        <v>6</v>
      </c>
      <c r="I24" s="1609">
        <f>I6</f>
        <v>24</v>
      </c>
      <c r="J24" s="1619"/>
    </row>
    <row r="25" ht="15.95" customHeight="1" spans="1:10">
      <c r="A25" s="1605" t="s">
        <v>983</v>
      </c>
      <c r="B25" s="1607" t="s">
        <v>155</v>
      </c>
      <c r="C25" s="1607" t="s">
        <v>984</v>
      </c>
      <c r="D25" s="1608"/>
      <c r="E25" s="1607">
        <v>273</v>
      </c>
      <c r="F25" s="1607">
        <v>273</v>
      </c>
      <c r="G25" s="1607">
        <v>273</v>
      </c>
      <c r="H25" s="1607">
        <v>273</v>
      </c>
      <c r="I25" s="1607">
        <v>273</v>
      </c>
      <c r="J25" s="1619"/>
    </row>
    <row r="26" ht="15.95" customHeight="1" spans="1:10">
      <c r="A26" s="1605" t="s">
        <v>985</v>
      </c>
      <c r="B26" s="1607" t="s">
        <v>155</v>
      </c>
      <c r="C26" s="1607" t="s">
        <v>986</v>
      </c>
      <c r="D26" s="1608" t="s">
        <v>987</v>
      </c>
      <c r="E26" s="1607">
        <f>273+E24</f>
        <v>308</v>
      </c>
      <c r="F26" s="1607">
        <f>273+F24</f>
        <v>308</v>
      </c>
      <c r="G26" s="1607">
        <f>273+G24</f>
        <v>279</v>
      </c>
      <c r="H26" s="1607">
        <f>273+H24</f>
        <v>279</v>
      </c>
      <c r="I26" s="1607">
        <f>273+I24</f>
        <v>297</v>
      </c>
      <c r="J26" s="1619"/>
    </row>
    <row r="27" ht="15.95" customHeight="1" spans="1:10">
      <c r="A27" s="1605" t="s">
        <v>988</v>
      </c>
      <c r="B27" s="1607" t="s">
        <v>930</v>
      </c>
      <c r="C27" s="1607" t="s">
        <v>931</v>
      </c>
      <c r="D27" s="1608"/>
      <c r="E27" s="1607">
        <v>0.1013232</v>
      </c>
      <c r="F27" s="1607">
        <v>0.1013232</v>
      </c>
      <c r="G27" s="1607">
        <v>0.1013232</v>
      </c>
      <c r="H27" s="1607">
        <v>0.1013232</v>
      </c>
      <c r="I27" s="1607">
        <v>0.1013232</v>
      </c>
      <c r="J27" s="1619"/>
    </row>
    <row r="28" ht="15.95" customHeight="1" spans="1:10">
      <c r="A28" s="1605" t="s">
        <v>989</v>
      </c>
      <c r="B28" s="1607" t="s">
        <v>930</v>
      </c>
      <c r="C28" s="1607" t="s">
        <v>990</v>
      </c>
      <c r="D28" s="1608"/>
      <c r="E28" s="1607">
        <f>E5</f>
        <v>0.10277</v>
      </c>
      <c r="F28" s="1607">
        <f>F5</f>
        <v>0.10277</v>
      </c>
      <c r="G28" s="1607">
        <f>G5</f>
        <v>0.10019</v>
      </c>
      <c r="H28" s="1607">
        <f>H5</f>
        <v>0.10019</v>
      </c>
      <c r="I28" s="1607">
        <f>I5</f>
        <v>0.10274</v>
      </c>
      <c r="J28" s="1619"/>
    </row>
    <row r="29" ht="15.95" customHeight="1" spans="1:10">
      <c r="A29" s="1605" t="s">
        <v>991</v>
      </c>
      <c r="B29" s="1607" t="s">
        <v>930</v>
      </c>
      <c r="C29" s="1607" t="s">
        <v>992</v>
      </c>
      <c r="D29" s="1608"/>
      <c r="E29" s="1607">
        <f>E14</f>
        <v>0.003</v>
      </c>
      <c r="F29" s="1607">
        <f>F14</f>
        <v>0.003</v>
      </c>
      <c r="G29" s="1607">
        <f>G14</f>
        <v>0.003</v>
      </c>
      <c r="H29" s="1607">
        <f>H14</f>
        <v>0.003</v>
      </c>
      <c r="I29" s="1607">
        <f>I14</f>
        <v>0.003</v>
      </c>
      <c r="J29" s="1619"/>
    </row>
    <row r="30" ht="15.95" customHeight="1" spans="1:10">
      <c r="A30" s="1605" t="s">
        <v>993</v>
      </c>
      <c r="B30" s="1607" t="s">
        <v>930</v>
      </c>
      <c r="C30" s="1607" t="s">
        <v>994</v>
      </c>
      <c r="D30" s="1608"/>
      <c r="E30" s="1607">
        <f>E28-E29</f>
        <v>0.09977</v>
      </c>
      <c r="F30" s="1607">
        <f>F28-F29</f>
        <v>0.09977</v>
      </c>
      <c r="G30" s="1607">
        <f>G28-G29</f>
        <v>0.09719</v>
      </c>
      <c r="H30" s="1607">
        <f>H28-H29</f>
        <v>0.09719</v>
      </c>
      <c r="I30" s="1607">
        <f>I28-I29</f>
        <v>0.09974</v>
      </c>
      <c r="J30" s="1619"/>
    </row>
    <row r="31" ht="15.95" customHeight="1" spans="1:10">
      <c r="A31" s="1605" t="s">
        <v>995</v>
      </c>
      <c r="B31" s="1607" t="s">
        <v>619</v>
      </c>
      <c r="C31" s="1607" t="s">
        <v>255</v>
      </c>
      <c r="D31" s="1608"/>
      <c r="E31" s="1607">
        <f>E7</f>
        <v>90</v>
      </c>
      <c r="F31" s="1607">
        <f>F7</f>
        <v>90</v>
      </c>
      <c r="G31" s="1607">
        <f>G7</f>
        <v>78</v>
      </c>
      <c r="H31" s="1607">
        <f>H7</f>
        <v>78</v>
      </c>
      <c r="I31" s="1607">
        <f>I7</f>
        <v>85</v>
      </c>
      <c r="J31" s="1619"/>
    </row>
    <row r="32" ht="15.95" customHeight="1" spans="1:10">
      <c r="A32" s="1605" t="s">
        <v>996</v>
      </c>
      <c r="B32" s="1607" t="s">
        <v>930</v>
      </c>
      <c r="C32" s="1607" t="s">
        <v>997</v>
      </c>
      <c r="D32" s="1610" t="s">
        <v>998</v>
      </c>
      <c r="E32" s="1611">
        <v>0.00573</v>
      </c>
      <c r="F32" s="1607">
        <f>E32</f>
        <v>0.00573</v>
      </c>
      <c r="G32" s="1607">
        <v>0.000272</v>
      </c>
      <c r="H32" s="1607">
        <f>G32</f>
        <v>0.000272</v>
      </c>
      <c r="I32" s="1620">
        <v>0.002982</v>
      </c>
      <c r="J32" s="1619"/>
    </row>
    <row r="33" ht="15.95" customHeight="1" spans="1:10">
      <c r="A33" s="1605" t="s">
        <v>999</v>
      </c>
      <c r="B33" s="1607" t="s">
        <v>930</v>
      </c>
      <c r="C33" s="1607" t="s">
        <v>1000</v>
      </c>
      <c r="D33" s="1608" t="s">
        <v>1001</v>
      </c>
      <c r="E33" s="1607">
        <f>E32*E31/100</f>
        <v>0.005157</v>
      </c>
      <c r="F33" s="1607">
        <f>F32*F31/100</f>
        <v>0.005157</v>
      </c>
      <c r="G33" s="1607">
        <f>G32*G31/100</f>
        <v>0.00021216</v>
      </c>
      <c r="H33" s="1607">
        <f>H32*H31/100</f>
        <v>0.00021216</v>
      </c>
      <c r="I33" s="1607">
        <f>I32*I31/100</f>
        <v>0.0025347</v>
      </c>
      <c r="J33" s="1619"/>
    </row>
    <row r="34" ht="15.95" customHeight="1" spans="1:10">
      <c r="A34" s="1605" t="s">
        <v>1002</v>
      </c>
      <c r="B34" s="1607"/>
      <c r="C34" s="1607" t="s">
        <v>1003</v>
      </c>
      <c r="D34" s="1608" t="s">
        <v>1004</v>
      </c>
      <c r="E34" s="1607">
        <f>E30/E27</f>
        <v>0.984670835504603</v>
      </c>
      <c r="F34" s="1607">
        <f>F30/F27</f>
        <v>0.984670835504603</v>
      </c>
      <c r="G34" s="1607">
        <f>G30/G27</f>
        <v>0.959207762881551</v>
      </c>
      <c r="H34" s="1607">
        <f>H30/H27</f>
        <v>0.959207762881551</v>
      </c>
      <c r="I34" s="1607">
        <f>I30/I27</f>
        <v>0.9843747532648</v>
      </c>
      <c r="J34" s="1619"/>
    </row>
    <row r="35" ht="15.95" customHeight="1" spans="1:10">
      <c r="A35" s="1605" t="s">
        <v>1005</v>
      </c>
      <c r="B35" s="1607"/>
      <c r="C35" s="1607" t="s">
        <v>1006</v>
      </c>
      <c r="D35" s="1608" t="s">
        <v>1007</v>
      </c>
      <c r="E35" s="1607">
        <f>E25/E26</f>
        <v>0.886363636363636</v>
      </c>
      <c r="F35" s="1607">
        <f>F25/F26</f>
        <v>0.886363636363636</v>
      </c>
      <c r="G35" s="1607">
        <f>G25/G26</f>
        <v>0.978494623655914</v>
      </c>
      <c r="H35" s="1607">
        <f>H25/H26</f>
        <v>0.978494623655914</v>
      </c>
      <c r="I35" s="1607">
        <f>I25/I26</f>
        <v>0.919191919191919</v>
      </c>
      <c r="J35" s="1619"/>
    </row>
    <row r="36" ht="15.95" customHeight="1" spans="1:10">
      <c r="A36" s="1605" t="s">
        <v>1008</v>
      </c>
      <c r="B36" s="1607"/>
      <c r="C36" s="1607" t="s">
        <v>1009</v>
      </c>
      <c r="D36" s="1608" t="s">
        <v>1010</v>
      </c>
      <c r="E36" s="1607">
        <f>1-E33/E28</f>
        <v>0.949819986377347</v>
      </c>
      <c r="F36" s="1607">
        <f>1-F33/F28</f>
        <v>0.949819986377347</v>
      </c>
      <c r="G36" s="1607">
        <f>1-G33/G28</f>
        <v>0.997882423395548</v>
      </c>
      <c r="H36" s="1607">
        <f>1-H33/H28</f>
        <v>0.997882423395548</v>
      </c>
      <c r="I36" s="1607">
        <f>1-I33/I28</f>
        <v>0.975328985789371</v>
      </c>
      <c r="J36" s="1619"/>
    </row>
    <row r="37" ht="15.95" customHeight="1" spans="1:10">
      <c r="A37" s="1605" t="s">
        <v>1011</v>
      </c>
      <c r="B37" s="1607"/>
      <c r="C37" s="1607" t="s">
        <v>155</v>
      </c>
      <c r="D37" s="1608" t="s">
        <v>1012</v>
      </c>
      <c r="E37" s="1607">
        <f>E34*E35*E36</f>
        <v>0.828980489614568</v>
      </c>
      <c r="F37" s="1607">
        <f>F34*F35*F36</f>
        <v>0.828980489614568</v>
      </c>
      <c r="G37" s="1607">
        <f>G34*G35*G36</f>
        <v>0.936592124663763</v>
      </c>
      <c r="H37" s="1607">
        <f>H34*H35*H36</f>
        <v>0.936592124663763</v>
      </c>
      <c r="I37" s="1607">
        <f>I34*I35*I36</f>
        <v>0.88250626167875</v>
      </c>
      <c r="J37" s="1619"/>
    </row>
    <row r="38" ht="15.95" customHeight="1" spans="1:10">
      <c r="A38" s="1605" t="s">
        <v>1013</v>
      </c>
      <c r="B38" s="1612"/>
      <c r="C38" s="1607" t="s">
        <v>935</v>
      </c>
      <c r="D38" s="1608" t="s">
        <v>1014</v>
      </c>
      <c r="E38" s="1607">
        <f>(622*E31*E32/100)/(E21-E31/100*E32)</f>
        <v>0.0010984947740407</v>
      </c>
      <c r="F38" s="1607">
        <f>(622*F31*F32/100)/(F21-F31/100*F32)</f>
        <v>0.00138410405084125</v>
      </c>
      <c r="G38" s="1607">
        <f>(622*G31*G32/100)/(G21-G31/100*G32)</f>
        <v>7.49239402122655e-5</v>
      </c>
      <c r="H38" s="1607">
        <f>(622*H31*H32/100)/(H21-H31/100*H32)</f>
        <v>5.93147845128662e-5</v>
      </c>
      <c r="I38" s="1607">
        <f>(622*I31*I32/100)/(I21-I31/100*I32)</f>
        <v>0.000632833096627601</v>
      </c>
      <c r="J38" s="1619"/>
    </row>
    <row r="39" ht="15.95" customHeight="1" spans="1:10">
      <c r="A39" s="1598" t="s">
        <v>1011</v>
      </c>
      <c r="B39" s="1596"/>
      <c r="C39" s="1596" t="s">
        <v>155</v>
      </c>
      <c r="D39" s="1597"/>
      <c r="E39" s="1596">
        <f>E37</f>
        <v>0.828980489614568</v>
      </c>
      <c r="F39" s="1596">
        <f>F37</f>
        <v>0.828980489614568</v>
      </c>
      <c r="G39" s="1596">
        <f>G37</f>
        <v>0.936592124663763</v>
      </c>
      <c r="H39" s="1596">
        <f>H37</f>
        <v>0.936592124663763</v>
      </c>
      <c r="I39" s="1596">
        <f>I37</f>
        <v>0.88250626167875</v>
      </c>
      <c r="J39" s="1619"/>
    </row>
    <row r="40" ht="15.95" customHeight="1" spans="1:10">
      <c r="A40" s="1598" t="s">
        <v>1015</v>
      </c>
      <c r="B40" s="1596" t="s">
        <v>1016</v>
      </c>
      <c r="C40" s="1596" t="s">
        <v>203</v>
      </c>
      <c r="D40" s="1597" t="s">
        <v>1017</v>
      </c>
      <c r="E40" s="1596">
        <f>E22/E39</f>
        <v>3884.34955989996</v>
      </c>
      <c r="F40" s="1596">
        <f>F22/F39</f>
        <v>3157.49288769993</v>
      </c>
      <c r="G40" s="1596"/>
      <c r="H40" s="1596"/>
      <c r="I40" s="1596"/>
      <c r="J40" s="1598" t="s">
        <v>979</v>
      </c>
    </row>
    <row r="41" ht="15.95" customHeight="1" spans="1:10">
      <c r="A41" s="1598" t="s">
        <v>1015</v>
      </c>
      <c r="B41" s="1596" t="s">
        <v>1016</v>
      </c>
      <c r="C41" s="1596" t="s">
        <v>1018</v>
      </c>
      <c r="D41" s="1597"/>
      <c r="E41" s="1596"/>
      <c r="F41" s="1596"/>
      <c r="G41" s="1596">
        <f>G21/G39</f>
        <v>1880.54111669187</v>
      </c>
      <c r="H41" s="1596">
        <f>H21/H39</f>
        <v>2375.42035792657</v>
      </c>
      <c r="I41" s="1596">
        <f>I21/I39</f>
        <v>2822.99696691205</v>
      </c>
      <c r="J41" s="1598" t="s">
        <v>975</v>
      </c>
    </row>
    <row r="42" ht="15.95" customHeight="1" spans="1:10">
      <c r="A42" s="1598" t="s">
        <v>1019</v>
      </c>
      <c r="B42" s="1596"/>
      <c r="C42" s="1596" t="s">
        <v>209</v>
      </c>
      <c r="D42" s="1597"/>
      <c r="E42" s="1596">
        <v>0</v>
      </c>
      <c r="F42" s="1596">
        <f>E42</f>
        <v>0</v>
      </c>
      <c r="G42" s="1596">
        <f>F42</f>
        <v>0</v>
      </c>
      <c r="H42" s="1596">
        <f>G42</f>
        <v>0</v>
      </c>
      <c r="I42" s="1596">
        <f>H42</f>
        <v>0</v>
      </c>
      <c r="J42" s="1619"/>
    </row>
    <row r="43" ht="15.95" customHeight="1" spans="1:10">
      <c r="A43" s="1598" t="s">
        <v>1020</v>
      </c>
      <c r="B43" s="1596"/>
      <c r="C43" s="1596" t="s">
        <v>1021</v>
      </c>
      <c r="D43" s="1597"/>
      <c r="E43" s="1596">
        <f>21/(E42+21)</f>
        <v>1</v>
      </c>
      <c r="F43" s="1596">
        <f>21/(F42+21)</f>
        <v>1</v>
      </c>
      <c r="G43" s="1596">
        <f>21/(G42+21)</f>
        <v>1</v>
      </c>
      <c r="H43" s="1596">
        <f>21/(H42+21)</f>
        <v>1</v>
      </c>
      <c r="I43" s="1596">
        <f>21/(I42+21)</f>
        <v>1</v>
      </c>
      <c r="J43" s="1619"/>
    </row>
    <row r="44" ht="15.95" customHeight="1" spans="1:10">
      <c r="A44" s="1613" t="s">
        <v>1022</v>
      </c>
      <c r="B44" s="1614"/>
      <c r="C44" s="1614"/>
      <c r="D44" s="1614"/>
      <c r="E44" s="1614"/>
      <c r="F44" s="1614"/>
      <c r="G44" s="1614"/>
      <c r="H44" s="1614"/>
      <c r="I44" s="1614"/>
      <c r="J44" s="1621"/>
    </row>
    <row r="45" ht="26.25" customHeight="1" spans="1:10">
      <c r="A45" s="1598" t="s">
        <v>1023</v>
      </c>
      <c r="B45" s="1596" t="s">
        <v>1016</v>
      </c>
      <c r="C45" s="1596"/>
      <c r="D45" s="1597"/>
      <c r="E45" s="1596">
        <f>E40*E43</f>
        <v>3884.34955989996</v>
      </c>
      <c r="F45" s="1596">
        <f>F40*F43</f>
        <v>3157.49288769993</v>
      </c>
      <c r="G45" s="1596">
        <f>G41*G43</f>
        <v>1880.54111669187</v>
      </c>
      <c r="H45" s="1596">
        <f>H41*H43</f>
        <v>2375.42035792657</v>
      </c>
      <c r="I45" s="1596">
        <f>I41*I43</f>
        <v>2822.99696691205</v>
      </c>
      <c r="J45" s="1619"/>
    </row>
    <row r="46" ht="15.95" customHeight="1" spans="1:10">
      <c r="A46" s="1598" t="s">
        <v>1024</v>
      </c>
      <c r="B46" s="1596" t="s">
        <v>1025</v>
      </c>
      <c r="C46" s="1596" t="s">
        <v>619</v>
      </c>
      <c r="D46" s="1597"/>
      <c r="E46" s="1596">
        <v>0.98</v>
      </c>
      <c r="F46" s="1596">
        <v>0.98</v>
      </c>
      <c r="G46" s="1596">
        <v>0.98</v>
      </c>
      <c r="H46" s="1596">
        <v>0.98</v>
      </c>
      <c r="I46" s="1596">
        <v>0.98</v>
      </c>
      <c r="J46" s="1619" t="s">
        <v>1026</v>
      </c>
    </row>
    <row r="47" ht="15.95" customHeight="1" spans="1:10">
      <c r="A47" s="1598" t="s">
        <v>1027</v>
      </c>
      <c r="B47" s="1596" t="s">
        <v>204</v>
      </c>
      <c r="C47" s="1596"/>
      <c r="D47" s="1597"/>
      <c r="E47" s="1596">
        <v>1.4</v>
      </c>
      <c r="F47" s="1596">
        <v>1.4</v>
      </c>
      <c r="G47" s="1596">
        <v>1.4</v>
      </c>
      <c r="H47" s="1596">
        <v>1.4</v>
      </c>
      <c r="I47" s="1596">
        <v>1.4</v>
      </c>
      <c r="J47" s="1619"/>
    </row>
    <row r="48" ht="15.95" customHeight="1" spans="1:10">
      <c r="A48" s="1598" t="s">
        <v>1028</v>
      </c>
      <c r="B48" s="1596" t="s">
        <v>1029</v>
      </c>
      <c r="C48" s="1596"/>
      <c r="D48" s="1597" t="s">
        <v>1030</v>
      </c>
      <c r="E48" s="1596">
        <f>E47/(E47-1)</f>
        <v>3.5</v>
      </c>
      <c r="F48" s="1596">
        <f>F47/(F47-1)</f>
        <v>3.5</v>
      </c>
      <c r="G48" s="1596">
        <f>G47/(G47-1)</f>
        <v>3.5</v>
      </c>
      <c r="H48" s="1596">
        <f>H47/(H47-1)</f>
        <v>3.5</v>
      </c>
      <c r="I48" s="1596">
        <f>I47/(I47-1)</f>
        <v>3.5</v>
      </c>
      <c r="J48" s="1619"/>
    </row>
    <row r="49" ht="15.95" customHeight="1" spans="1:10">
      <c r="A49" s="1598" t="s">
        <v>1031</v>
      </c>
      <c r="B49" s="1596" t="s">
        <v>1032</v>
      </c>
      <c r="C49" s="1596" t="s">
        <v>619</v>
      </c>
      <c r="D49" s="1597"/>
      <c r="E49" s="1596">
        <v>0.9</v>
      </c>
      <c r="F49" s="1596">
        <v>0.9</v>
      </c>
      <c r="G49" s="1596">
        <v>0.9</v>
      </c>
      <c r="H49" s="1596">
        <v>0.9</v>
      </c>
      <c r="I49" s="1596">
        <v>0.9</v>
      </c>
      <c r="J49" s="1619" t="s">
        <v>1033</v>
      </c>
    </row>
    <row r="50" ht="15.95" customHeight="1" spans="1:10">
      <c r="A50" s="1598" t="s">
        <v>1034</v>
      </c>
      <c r="B50" s="1596" t="s">
        <v>1035</v>
      </c>
      <c r="C50" s="1596"/>
      <c r="D50" s="1597" t="s">
        <v>1036</v>
      </c>
      <c r="E50" s="1596">
        <f>(E47*E49)/(E47-1)</f>
        <v>3.15</v>
      </c>
      <c r="F50" s="1596">
        <f>(F47*F49)/(F47-1)</f>
        <v>3.15</v>
      </c>
      <c r="G50" s="1596">
        <f>(G47*G49)/(G47-1)</f>
        <v>3.15</v>
      </c>
      <c r="H50" s="1596">
        <f>(H47*H49)/(H47-1)</f>
        <v>3.15</v>
      </c>
      <c r="I50" s="1596">
        <f>(I47*I49)/(I47-1)</f>
        <v>3.15</v>
      </c>
      <c r="J50" s="1619"/>
    </row>
    <row r="51" ht="15.95" customHeight="1" spans="1:10">
      <c r="A51" s="1598" t="s">
        <v>1037</v>
      </c>
      <c r="B51" s="1596" t="s">
        <v>1038</v>
      </c>
      <c r="C51" s="1596" t="s">
        <v>1039</v>
      </c>
      <c r="D51" s="1597" t="s">
        <v>1040</v>
      </c>
      <c r="E51" s="1596">
        <f>101937*E15*E45*E48*(E17^(1/E50)-1)/6120/E46</f>
        <v>14975.6169547062</v>
      </c>
      <c r="F51" s="1596">
        <f>101937*F15*F45*F48*(F17^(1/F48/F49)-1)/6120/F46</f>
        <v>8193.94059815802</v>
      </c>
      <c r="G51" s="1596">
        <f>101937*G15*G45*G48*(G17^(1/G48/G49)-1)/6120/G46</f>
        <v>4843.0861915049</v>
      </c>
      <c r="H51" s="1596">
        <f>101937*H15*H45*H48*(H17^(1/H48/H49)-1)/6120/H46</f>
        <v>9071.69507731364</v>
      </c>
      <c r="I51" s="1596">
        <f>101937*I15*I45*I48*(I17^(1/I48/I49)-1)/6120/I46</f>
        <v>10882.52691881</v>
      </c>
      <c r="J51" s="1619"/>
    </row>
    <row r="52" ht="15.95" customHeight="1" spans="1:10">
      <c r="A52" s="1598" t="s">
        <v>1041</v>
      </c>
      <c r="B52" s="1596" t="s">
        <v>1042</v>
      </c>
      <c r="C52" s="1596" t="s">
        <v>619</v>
      </c>
      <c r="D52" s="1597"/>
      <c r="E52" s="1596">
        <v>0.98</v>
      </c>
      <c r="F52" s="1596">
        <v>0.98</v>
      </c>
      <c r="G52" s="1596">
        <v>0.98</v>
      </c>
      <c r="H52" s="1596">
        <v>0.98</v>
      </c>
      <c r="I52" s="1596">
        <v>0.98</v>
      </c>
      <c r="J52" s="1597">
        <v>0.9</v>
      </c>
    </row>
    <row r="53" ht="15.95" customHeight="1" spans="1:10">
      <c r="A53" s="1598" t="s">
        <v>1043</v>
      </c>
      <c r="B53" s="1596" t="s">
        <v>1044</v>
      </c>
      <c r="C53" s="1596" t="s">
        <v>619</v>
      </c>
      <c r="D53" s="1601" t="s">
        <v>1045</v>
      </c>
      <c r="E53" s="1596">
        <v>1</v>
      </c>
      <c r="F53" s="1596">
        <v>1</v>
      </c>
      <c r="G53" s="1596">
        <v>1</v>
      </c>
      <c r="H53" s="1596">
        <v>1</v>
      </c>
      <c r="I53" s="1596">
        <v>1</v>
      </c>
      <c r="J53" s="1619" t="s">
        <v>1046</v>
      </c>
    </row>
    <row r="54" ht="15.75" customHeight="1" spans="1:10">
      <c r="A54" s="1598" t="s">
        <v>419</v>
      </c>
      <c r="B54" s="1596"/>
      <c r="C54" s="1596"/>
      <c r="D54" s="1597"/>
      <c r="E54" s="1596">
        <v>1.1</v>
      </c>
      <c r="F54" s="1596">
        <v>1.1</v>
      </c>
      <c r="G54" s="1596">
        <v>1.1</v>
      </c>
      <c r="H54" s="1596">
        <v>1.1</v>
      </c>
      <c r="I54" s="1596">
        <v>1.1</v>
      </c>
      <c r="J54" s="1619"/>
    </row>
    <row r="55" ht="15.95" customHeight="1" spans="1:10">
      <c r="A55" s="1598" t="s">
        <v>1047</v>
      </c>
      <c r="B55" s="1596" t="s">
        <v>1048</v>
      </c>
      <c r="C55" s="1596" t="s">
        <v>1039</v>
      </c>
      <c r="D55" s="1597"/>
      <c r="E55" s="1596">
        <f>E54*E51/(E52*E53)</f>
        <v>16809.3659695682</v>
      </c>
      <c r="F55" s="1596">
        <f>F54*F51/(F52*F53)</f>
        <v>9197.2802632386</v>
      </c>
      <c r="G55" s="1596">
        <f>G54*G51/(G52*G53)</f>
        <v>5436.11715372999</v>
      </c>
      <c r="H55" s="1596">
        <f>H54*H51/(H52*H53)</f>
        <v>10182.514882699</v>
      </c>
      <c r="I55" s="1596">
        <f>I54*I51/(I52*I53)</f>
        <v>12215.0812353989</v>
      </c>
      <c r="J55" s="1619"/>
    </row>
    <row r="56" ht="22.5" customHeight="1" spans="1:10">
      <c r="A56" s="1598" t="s">
        <v>1049</v>
      </c>
      <c r="B56" s="1596"/>
      <c r="C56" s="1596" t="s">
        <v>1050</v>
      </c>
      <c r="D56" s="1597"/>
      <c r="E56" s="1602">
        <v>4.2</v>
      </c>
      <c r="F56" s="1602">
        <f>E56</f>
        <v>4.2</v>
      </c>
      <c r="G56" s="1602">
        <f>F56</f>
        <v>4.2</v>
      </c>
      <c r="H56" s="1602">
        <f>G56</f>
        <v>4.2</v>
      </c>
      <c r="I56" s="1602">
        <f>H56</f>
        <v>4.2</v>
      </c>
      <c r="J56" s="1622"/>
    </row>
    <row r="57" ht="15.95" customHeight="1" spans="1:10">
      <c r="A57" s="1598" t="s">
        <v>1051</v>
      </c>
      <c r="B57" s="1596"/>
      <c r="C57" s="1596" t="s">
        <v>1052</v>
      </c>
      <c r="D57" s="1597"/>
      <c r="E57" s="1596">
        <f>E55*E56/1000</f>
        <v>70.5993370721866</v>
      </c>
      <c r="F57" s="1596">
        <f>F55*F56/1000</f>
        <v>38.6285771056021</v>
      </c>
      <c r="G57" s="1596">
        <f>G55*G56/1000</f>
        <v>22.831692045666</v>
      </c>
      <c r="H57" s="1596">
        <f>H55*H56/1000</f>
        <v>42.7665625073357</v>
      </c>
      <c r="I57" s="1596">
        <f>I55*I56/1000</f>
        <v>51.3033411886756</v>
      </c>
      <c r="J57" s="1622"/>
    </row>
    <row r="58" ht="15.75" customHeight="1" spans="1:1">
      <c r="A58" s="1591" t="s">
        <v>106</v>
      </c>
    </row>
    <row r="59" ht="15.75" customHeight="1"/>
    <row r="60" ht="15.75" customHeight="1" spans="1:10">
      <c r="A60" s="1615" t="s">
        <v>1053</v>
      </c>
      <c r="B60" s="1615"/>
      <c r="C60" s="1615"/>
      <c r="D60" s="1615"/>
      <c r="E60" s="1615"/>
      <c r="F60" s="1615"/>
      <c r="G60" s="1615"/>
      <c r="H60" s="1615"/>
      <c r="I60" s="1615"/>
      <c r="J60" s="1615"/>
    </row>
    <row r="61" ht="15.75" customHeight="1" spans="1:10">
      <c r="A61" s="1616"/>
      <c r="B61" s="1607"/>
      <c r="C61" s="1616"/>
      <c r="D61" s="1608"/>
      <c r="E61" s="1607" t="s">
        <v>632</v>
      </c>
      <c r="F61" s="1607" t="s">
        <v>1054</v>
      </c>
      <c r="G61" s="1607" t="s">
        <v>1055</v>
      </c>
      <c r="H61" s="1607" t="s">
        <v>1056</v>
      </c>
      <c r="I61" s="1607" t="s">
        <v>1057</v>
      </c>
      <c r="J61" s="1616"/>
    </row>
    <row r="62" ht="15.75" customHeight="1" spans="1:10">
      <c r="A62" s="1605" t="s">
        <v>1058</v>
      </c>
      <c r="B62" s="1596" t="s">
        <v>925</v>
      </c>
      <c r="C62" s="1616"/>
      <c r="D62" s="1608"/>
      <c r="E62" s="1607">
        <v>1350</v>
      </c>
      <c r="F62" s="1607">
        <f t="shared" ref="F62:I63" si="2">E62</f>
        <v>1350</v>
      </c>
      <c r="G62" s="1607">
        <f t="shared" si="2"/>
        <v>1350</v>
      </c>
      <c r="H62" s="1607">
        <f t="shared" si="2"/>
        <v>1350</v>
      </c>
      <c r="I62" s="1607">
        <f t="shared" si="2"/>
        <v>1350</v>
      </c>
      <c r="J62" s="1605" t="s">
        <v>926</v>
      </c>
    </row>
    <row r="63" ht="15.75" customHeight="1" spans="1:10">
      <c r="A63" s="1605" t="s">
        <v>1059</v>
      </c>
      <c r="B63" s="1596" t="s">
        <v>925</v>
      </c>
      <c r="C63" s="1607" t="s">
        <v>1060</v>
      </c>
      <c r="D63" s="1608"/>
      <c r="E63" s="1607">
        <v>1350</v>
      </c>
      <c r="F63" s="1607">
        <f t="shared" si="2"/>
        <v>1350</v>
      </c>
      <c r="G63" s="1607">
        <f t="shared" si="2"/>
        <v>1350</v>
      </c>
      <c r="H63" s="1607">
        <f t="shared" si="2"/>
        <v>1350</v>
      </c>
      <c r="I63" s="1607">
        <f t="shared" si="2"/>
        <v>1350</v>
      </c>
      <c r="J63" s="1605" t="s">
        <v>926</v>
      </c>
    </row>
    <row r="64" ht="15.75" customHeight="1" spans="1:10">
      <c r="A64" s="1605" t="s">
        <v>929</v>
      </c>
      <c r="B64" s="1607" t="s">
        <v>930</v>
      </c>
      <c r="C64" s="1607" t="s">
        <v>990</v>
      </c>
      <c r="D64" s="1608"/>
      <c r="E64" s="1609">
        <f t="shared" ref="E64:I66" si="3">E5</f>
        <v>0.10277</v>
      </c>
      <c r="F64" s="1609">
        <f t="shared" si="3"/>
        <v>0.10277</v>
      </c>
      <c r="G64" s="1609">
        <f t="shared" si="3"/>
        <v>0.10019</v>
      </c>
      <c r="H64" s="1609">
        <f t="shared" si="3"/>
        <v>0.10019</v>
      </c>
      <c r="I64" s="1609">
        <f t="shared" si="3"/>
        <v>0.10274</v>
      </c>
      <c r="J64" s="1605" t="s">
        <v>926</v>
      </c>
    </row>
    <row r="65" ht="15.75" customHeight="1" spans="1:10">
      <c r="A65" s="1605" t="s">
        <v>932</v>
      </c>
      <c r="B65" s="1606" t="s">
        <v>933</v>
      </c>
      <c r="C65" s="1607"/>
      <c r="D65" s="1608"/>
      <c r="E65" s="1600">
        <f t="shared" si="3"/>
        <v>35</v>
      </c>
      <c r="F65" s="1600">
        <f t="shared" si="3"/>
        <v>35</v>
      </c>
      <c r="G65" s="1600">
        <f t="shared" si="3"/>
        <v>6</v>
      </c>
      <c r="H65" s="1600">
        <f t="shared" si="3"/>
        <v>6</v>
      </c>
      <c r="I65" s="1600">
        <f t="shared" si="3"/>
        <v>24</v>
      </c>
      <c r="J65" s="1605" t="s">
        <v>926</v>
      </c>
    </row>
    <row r="66" ht="15.75" customHeight="1" spans="1:10">
      <c r="A66" s="1605" t="s">
        <v>934</v>
      </c>
      <c r="B66" s="1607" t="s">
        <v>619</v>
      </c>
      <c r="C66" s="1607"/>
      <c r="D66" s="1608"/>
      <c r="E66" s="1600">
        <f t="shared" si="3"/>
        <v>90</v>
      </c>
      <c r="F66" s="1600">
        <f t="shared" si="3"/>
        <v>90</v>
      </c>
      <c r="G66" s="1600">
        <f t="shared" si="3"/>
        <v>78</v>
      </c>
      <c r="H66" s="1600">
        <f t="shared" si="3"/>
        <v>78</v>
      </c>
      <c r="I66" s="1600">
        <f t="shared" si="3"/>
        <v>85</v>
      </c>
      <c r="J66" s="1605" t="s">
        <v>926</v>
      </c>
    </row>
    <row r="67" ht="15.75" customHeight="1" spans="1:10">
      <c r="A67" s="1605" t="s">
        <v>1061</v>
      </c>
      <c r="B67" s="1607" t="s">
        <v>1062</v>
      </c>
      <c r="C67" s="1607" t="s">
        <v>938</v>
      </c>
      <c r="D67" s="1608"/>
      <c r="E67" s="1609">
        <v>300</v>
      </c>
      <c r="F67" s="1609">
        <v>300</v>
      </c>
      <c r="G67" s="1623"/>
      <c r="H67" s="1623"/>
      <c r="I67" s="1626"/>
      <c r="J67" s="1605" t="s">
        <v>926</v>
      </c>
    </row>
    <row r="68" ht="15.75" customHeight="1" spans="1:10">
      <c r="A68" s="1605" t="s">
        <v>1063</v>
      </c>
      <c r="B68" s="1607" t="s">
        <v>1064</v>
      </c>
      <c r="C68" s="1607" t="s">
        <v>286</v>
      </c>
      <c r="D68" s="1608"/>
      <c r="E68" s="1609">
        <v>3375</v>
      </c>
      <c r="F68" s="1609">
        <v>7778</v>
      </c>
      <c r="G68" s="1609">
        <v>5700</v>
      </c>
      <c r="H68" s="1609">
        <v>6800</v>
      </c>
      <c r="I68" s="1609">
        <v>2903</v>
      </c>
      <c r="J68" s="1605" t="s">
        <v>926</v>
      </c>
    </row>
    <row r="69" ht="15.75" customHeight="1" spans="1:10">
      <c r="A69" s="1605" t="s">
        <v>1065</v>
      </c>
      <c r="B69" s="1607" t="s">
        <v>930</v>
      </c>
      <c r="C69" s="1607" t="s">
        <v>1066</v>
      </c>
      <c r="D69" s="1608"/>
      <c r="E69" s="1609">
        <v>0.2</v>
      </c>
      <c r="F69" s="1609">
        <v>0.03</v>
      </c>
      <c r="G69" s="1609">
        <v>0.03</v>
      </c>
      <c r="H69" s="1609">
        <v>0.2</v>
      </c>
      <c r="I69" s="1609">
        <v>0.2</v>
      </c>
      <c r="J69" s="1605" t="s">
        <v>926</v>
      </c>
    </row>
    <row r="70" ht="15.75" customHeight="1" spans="1:10">
      <c r="A70" s="1605" t="s">
        <v>1067</v>
      </c>
      <c r="B70" s="1607" t="s">
        <v>930</v>
      </c>
      <c r="C70" s="1606" t="s">
        <v>947</v>
      </c>
      <c r="D70" s="1608"/>
      <c r="E70" s="1609">
        <v>0.15</v>
      </c>
      <c r="F70" s="1609">
        <f>E70</f>
        <v>0.15</v>
      </c>
      <c r="G70" s="1609">
        <f>F70</f>
        <v>0.15</v>
      </c>
      <c r="H70" s="1609">
        <f>G70</f>
        <v>0.15</v>
      </c>
      <c r="I70" s="1609">
        <f>H70</f>
        <v>0.15</v>
      </c>
      <c r="J70" s="1605" t="s">
        <v>926</v>
      </c>
    </row>
    <row r="71" ht="15.75" customHeight="1" spans="1:10">
      <c r="A71" s="1605" t="s">
        <v>1068</v>
      </c>
      <c r="B71" s="1607" t="s">
        <v>930</v>
      </c>
      <c r="C71" s="1606" t="s">
        <v>949</v>
      </c>
      <c r="D71" s="1608"/>
      <c r="E71" s="1609">
        <v>0.035</v>
      </c>
      <c r="F71" s="1609">
        <v>0.035</v>
      </c>
      <c r="G71" s="1609">
        <v>0.035</v>
      </c>
      <c r="H71" s="1609">
        <v>0.035</v>
      </c>
      <c r="I71" s="1609">
        <v>0.035</v>
      </c>
      <c r="J71" s="1605" t="s">
        <v>1069</v>
      </c>
    </row>
    <row r="72" ht="15.75" customHeight="1" spans="1:10">
      <c r="A72" s="1605" t="s">
        <v>1070</v>
      </c>
      <c r="B72" s="1607" t="s">
        <v>930</v>
      </c>
      <c r="C72" s="1607" t="s">
        <v>1071</v>
      </c>
      <c r="D72" s="1608"/>
      <c r="E72" s="1624">
        <f>E69+E70+E71</f>
        <v>0.385</v>
      </c>
      <c r="F72" s="1624">
        <f>F69+F70+F71</f>
        <v>0.215</v>
      </c>
      <c r="G72" s="1624">
        <f>G69+G70+G71</f>
        <v>0.215</v>
      </c>
      <c r="H72" s="1624">
        <f>H69+H70+H71</f>
        <v>0.385</v>
      </c>
      <c r="I72" s="1624">
        <f>I69+I70+I71</f>
        <v>0.385</v>
      </c>
      <c r="J72" s="1616"/>
    </row>
    <row r="73" ht="15.75" customHeight="1" spans="1:10">
      <c r="A73" s="1605" t="s">
        <v>1072</v>
      </c>
      <c r="B73" s="1607"/>
      <c r="C73" s="1607" t="s">
        <v>155</v>
      </c>
      <c r="D73" s="1608"/>
      <c r="E73" s="1609">
        <v>2.6</v>
      </c>
      <c r="F73" s="1609">
        <v>2.6</v>
      </c>
      <c r="G73" s="1609">
        <v>2.6</v>
      </c>
      <c r="H73" s="1609">
        <v>2.6</v>
      </c>
      <c r="I73" s="1609">
        <v>2.6</v>
      </c>
      <c r="J73" s="1616"/>
    </row>
    <row r="74" ht="15.75" customHeight="1" spans="1:10">
      <c r="A74" s="1605" t="s">
        <v>1073</v>
      </c>
      <c r="B74" s="1607" t="s">
        <v>1074</v>
      </c>
      <c r="C74" s="1607" t="s">
        <v>1075</v>
      </c>
      <c r="D74" s="1608"/>
      <c r="E74" s="1609">
        <f>(((E72*10000+E64*10000)^2-(E69*10000+E64*10000)^2)/E73)^(1/1.7)</f>
        <v>9346.73942292686</v>
      </c>
      <c r="F74" s="1609">
        <f>(((F72*10000+F64*10000)^2-(F69*10000+F64*10000)^2)/F73)^(1/1.7)</f>
        <v>6714.57714271251</v>
      </c>
      <c r="G74" s="1609">
        <f>(((G72*10000+G64*10000)^2-(G69*10000+G64*10000)^2)/G73)^(1/1.7)</f>
        <v>6669.23370123879</v>
      </c>
      <c r="H74" s="1609">
        <f>(((H72*10000+H64*10000)^2-(H69*10000+H64*10000)^2)/H73)^(1/1.7)</f>
        <v>9310.80405544511</v>
      </c>
      <c r="I74" s="1609">
        <f>(((I72*10000+I64*10000)^2-(I69*10000+I64*10000)^2)/I73)^(1/1.7)</f>
        <v>9346.32212579356</v>
      </c>
      <c r="J74" s="1616"/>
    </row>
    <row r="75" ht="15.75" customHeight="1" spans="1:10">
      <c r="A75" s="1605" t="s">
        <v>1076</v>
      </c>
      <c r="B75" s="1607" t="s">
        <v>930</v>
      </c>
      <c r="C75" s="1607"/>
      <c r="D75" s="1608"/>
      <c r="E75" s="1609">
        <v>0</v>
      </c>
      <c r="F75" s="1609">
        <v>0</v>
      </c>
      <c r="G75" s="1609">
        <v>0</v>
      </c>
      <c r="H75" s="1609">
        <v>0</v>
      </c>
      <c r="I75" s="1609">
        <v>0</v>
      </c>
      <c r="J75" s="1616"/>
    </row>
    <row r="76" ht="15.75" customHeight="1" spans="1:10">
      <c r="A76" s="1605" t="s">
        <v>1077</v>
      </c>
      <c r="B76" s="1607" t="s">
        <v>930</v>
      </c>
      <c r="C76" s="1606" t="s">
        <v>954</v>
      </c>
      <c r="D76" s="1608"/>
      <c r="E76" s="1609"/>
      <c r="F76" s="1609"/>
      <c r="G76" s="1609">
        <v>0.0015</v>
      </c>
      <c r="H76" s="1609"/>
      <c r="I76" s="1609"/>
      <c r="J76" s="1605" t="s">
        <v>926</v>
      </c>
    </row>
    <row r="77" ht="15.75" customHeight="1" spans="1:10">
      <c r="A77" s="1605" t="s">
        <v>1078</v>
      </c>
      <c r="B77" s="1607" t="s">
        <v>930</v>
      </c>
      <c r="C77" s="1607" t="s">
        <v>951</v>
      </c>
      <c r="D77" s="1608"/>
      <c r="E77" s="1607">
        <f>E69+E70+E71+E75</f>
        <v>0.385</v>
      </c>
      <c r="F77" s="1607">
        <f>F69+F70+F71+F75</f>
        <v>0.215</v>
      </c>
      <c r="G77" s="1607">
        <f>G69+G70+G71+G75</f>
        <v>0.215</v>
      </c>
      <c r="H77" s="1607">
        <f>H69+H70+H71+H75</f>
        <v>0.385</v>
      </c>
      <c r="I77" s="1607">
        <f>I69+I70+I71+I75</f>
        <v>0.385</v>
      </c>
      <c r="J77" s="1616"/>
    </row>
    <row r="78" ht="15.75" customHeight="1" spans="1:10">
      <c r="A78" s="1605" t="s">
        <v>1079</v>
      </c>
      <c r="B78" s="1607" t="s">
        <v>930</v>
      </c>
      <c r="C78" s="1607" t="s">
        <v>956</v>
      </c>
      <c r="D78" s="1608"/>
      <c r="E78" s="1607">
        <f>E64-G76</f>
        <v>0.10127</v>
      </c>
      <c r="F78" s="1607">
        <f>F64-G76</f>
        <v>0.10127</v>
      </c>
      <c r="G78" s="1607">
        <f>G64-G76</f>
        <v>0.09869</v>
      </c>
      <c r="H78" s="1607">
        <f>H64-G76</f>
        <v>0.09869</v>
      </c>
      <c r="I78" s="1607">
        <f>I64-G76</f>
        <v>0.10124</v>
      </c>
      <c r="J78" s="1616"/>
    </row>
    <row r="79" ht="15.75" customHeight="1" spans="1:10">
      <c r="A79" s="1605" t="s">
        <v>1080</v>
      </c>
      <c r="B79" s="1607" t="s">
        <v>930</v>
      </c>
      <c r="C79" s="1607" t="s">
        <v>1081</v>
      </c>
      <c r="D79" s="1608"/>
      <c r="E79" s="1607">
        <f>E77+E64</f>
        <v>0.48777</v>
      </c>
      <c r="F79" s="1607">
        <f>F77+F64</f>
        <v>0.31777</v>
      </c>
      <c r="G79" s="1607">
        <f>G77+G64</f>
        <v>0.31519</v>
      </c>
      <c r="H79" s="1607">
        <f>H77+H64</f>
        <v>0.48519</v>
      </c>
      <c r="I79" s="1607">
        <f>I77+G64</f>
        <v>0.48519</v>
      </c>
      <c r="J79" s="1616"/>
    </row>
    <row r="80" ht="15.75" customHeight="1" spans="1:10">
      <c r="A80" s="1605" t="s">
        <v>1082</v>
      </c>
      <c r="B80" s="1607"/>
      <c r="C80" s="1607" t="s">
        <v>962</v>
      </c>
      <c r="D80" s="1608"/>
      <c r="E80" s="1607">
        <f>E79/E78</f>
        <v>4.81653006813469</v>
      </c>
      <c r="F80" s="1607">
        <f>F79/F78</f>
        <v>3.13784931371581</v>
      </c>
      <c r="G80" s="1607">
        <f>G79/G78</f>
        <v>3.19373796737258</v>
      </c>
      <c r="H80" s="1607">
        <f>H79/H78</f>
        <v>4.91630357685682</v>
      </c>
      <c r="I80" s="1607">
        <f>I79/I78</f>
        <v>4.79247333069933</v>
      </c>
      <c r="J80" s="1616"/>
    </row>
    <row r="81" ht="15.75" customHeight="1" spans="1:10">
      <c r="A81" s="1605" t="s">
        <v>1083</v>
      </c>
      <c r="B81" s="1607" t="s">
        <v>1084</v>
      </c>
      <c r="C81" s="1607" t="s">
        <v>1085</v>
      </c>
      <c r="D81" s="1608"/>
      <c r="E81" s="1607">
        <v>530</v>
      </c>
      <c r="F81" s="1607">
        <v>530</v>
      </c>
      <c r="G81" s="1607">
        <v>530</v>
      </c>
      <c r="H81" s="1607">
        <v>530</v>
      </c>
      <c r="I81" s="1607">
        <v>520</v>
      </c>
      <c r="J81" s="1605" t="s">
        <v>926</v>
      </c>
    </row>
    <row r="82" ht="15.75" customHeight="1" spans="1:10">
      <c r="A82" s="1605" t="s">
        <v>1086</v>
      </c>
      <c r="B82" s="1607" t="s">
        <v>1074</v>
      </c>
      <c r="C82" s="1607" t="s">
        <v>1087</v>
      </c>
      <c r="D82" s="1608"/>
      <c r="E82" s="1620">
        <v>1200</v>
      </c>
      <c r="F82" s="1607">
        <f>(2.4*F81+1285)*F81/1000</f>
        <v>1355.21</v>
      </c>
      <c r="G82" s="1607">
        <f>(2.4*G81+1285)*G81/1000</f>
        <v>1355.21</v>
      </c>
      <c r="H82" s="1607">
        <f>(2.4*H81+1285)*H81/1000</f>
        <v>1355.21</v>
      </c>
      <c r="I82" s="1607">
        <f>(2.4*I81+1285)*I81/1000</f>
        <v>1317.16</v>
      </c>
      <c r="J82" s="1616"/>
    </row>
    <row r="83" ht="15.75" customHeight="1" spans="1:10">
      <c r="A83" s="1605" t="s">
        <v>1088</v>
      </c>
      <c r="B83" s="1607" t="s">
        <v>1074</v>
      </c>
      <c r="C83" s="1607" t="s">
        <v>1089</v>
      </c>
      <c r="D83" s="1608"/>
      <c r="E83" s="1625">
        <f>E68*E82/1440</f>
        <v>2812.5</v>
      </c>
      <c r="F83" s="1625">
        <f>F68*F82/1440</f>
        <v>7320.01623611111</v>
      </c>
      <c r="G83" s="1625">
        <f>G68*G82/1440</f>
        <v>5364.37291666667</v>
      </c>
      <c r="H83" s="1625">
        <f>H68*H82/1440</f>
        <v>6399.60277777778</v>
      </c>
      <c r="I83" s="1625">
        <f>I68*I82/1440</f>
        <v>2655.35797222222</v>
      </c>
      <c r="J83" s="1616"/>
    </row>
    <row r="84" ht="15.75" customHeight="1" spans="1:10">
      <c r="A84" s="1605" t="s">
        <v>1090</v>
      </c>
      <c r="B84" s="1607"/>
      <c r="C84" s="1607" t="s">
        <v>971</v>
      </c>
      <c r="D84" s="1608"/>
      <c r="E84" s="1607"/>
      <c r="F84" s="1607"/>
      <c r="G84" s="1609">
        <v>0.015</v>
      </c>
      <c r="H84" s="1607"/>
      <c r="I84" s="1607"/>
      <c r="J84" s="1605" t="s">
        <v>926</v>
      </c>
    </row>
    <row r="85" ht="15.75" customHeight="1" spans="1:10">
      <c r="A85" s="1605" t="s">
        <v>1091</v>
      </c>
      <c r="B85" s="1607" t="s">
        <v>1074</v>
      </c>
      <c r="C85" s="1607" t="s">
        <v>973</v>
      </c>
      <c r="D85" s="1608"/>
      <c r="E85" s="1625">
        <f>(1+G84)*E83</f>
        <v>2854.6875</v>
      </c>
      <c r="F85" s="1625">
        <f>(1+G84)*F83</f>
        <v>7429.81647965278</v>
      </c>
      <c r="G85" s="1625">
        <f>(1+G84)*G83</f>
        <v>5444.83851041667</v>
      </c>
      <c r="H85" s="1625">
        <f>(1+G84)*H83</f>
        <v>6495.59681944444</v>
      </c>
      <c r="I85" s="1625">
        <f>(1+G84)*I83</f>
        <v>2695.18834180556</v>
      </c>
      <c r="J85" s="1616"/>
    </row>
    <row r="86" ht="15.75" customHeight="1" spans="1:10">
      <c r="A86" s="1605" t="s">
        <v>1092</v>
      </c>
      <c r="B86" s="1607" t="s">
        <v>1074</v>
      </c>
      <c r="C86" s="1607" t="s">
        <v>977</v>
      </c>
      <c r="D86" s="1608"/>
      <c r="E86" s="1625">
        <f>E85+E67</f>
        <v>3154.6875</v>
      </c>
      <c r="F86" s="1625">
        <f>F85+G67</f>
        <v>7429.81647965278</v>
      </c>
      <c r="G86" s="1625">
        <f>G85</f>
        <v>5444.83851041667</v>
      </c>
      <c r="H86" s="1625">
        <f>H85</f>
        <v>6495.59681944444</v>
      </c>
      <c r="I86" s="1625">
        <f>I85</f>
        <v>2695.18834180556</v>
      </c>
      <c r="J86" s="1616"/>
    </row>
    <row r="87" ht="15.75" customHeight="1" spans="1:10">
      <c r="A87" s="1605" t="s">
        <v>1093</v>
      </c>
      <c r="B87" s="1607"/>
      <c r="C87" s="1607" t="s">
        <v>204</v>
      </c>
      <c r="D87" s="1608"/>
      <c r="E87" s="1609">
        <f>E39</f>
        <v>0.828980489614568</v>
      </c>
      <c r="F87" s="1609">
        <f>F39</f>
        <v>0.828980489614568</v>
      </c>
      <c r="G87" s="1609">
        <f>G39</f>
        <v>0.936592124663763</v>
      </c>
      <c r="H87" s="1609">
        <f>H39</f>
        <v>0.936592124663763</v>
      </c>
      <c r="I87" s="1609">
        <f>I39</f>
        <v>0.88250626167875</v>
      </c>
      <c r="J87" s="1616"/>
    </row>
    <row r="88" ht="15.75" customHeight="1" spans="1:10">
      <c r="A88" s="1605" t="s">
        <v>1015</v>
      </c>
      <c r="B88" s="1607" t="s">
        <v>1016</v>
      </c>
      <c r="C88" s="1607"/>
      <c r="D88" s="1608"/>
      <c r="E88" s="1625">
        <f>E86/F87</f>
        <v>3805.50271028304</v>
      </c>
      <c r="F88" s="1625">
        <f>F86/F87</f>
        <v>8962.59510655945</v>
      </c>
      <c r="G88" s="1625"/>
      <c r="H88" s="1625"/>
      <c r="I88" s="1625"/>
      <c r="J88" s="1605" t="s">
        <v>979</v>
      </c>
    </row>
    <row r="89" ht="15.75" customHeight="1" spans="1:10">
      <c r="A89" s="1616" t="s">
        <v>106</v>
      </c>
      <c r="B89" s="1607"/>
      <c r="C89" s="1607"/>
      <c r="D89" s="1608"/>
      <c r="E89" s="1625"/>
      <c r="F89" s="1625"/>
      <c r="G89" s="1625">
        <f>G85/H87</f>
        <v>5813.45749877127</v>
      </c>
      <c r="H89" s="1625">
        <f>H85/H87</f>
        <v>6935.35280555169</v>
      </c>
      <c r="I89" s="1625">
        <f>I85/I87</f>
        <v>3054.01611165753</v>
      </c>
      <c r="J89" s="1605" t="s">
        <v>975</v>
      </c>
    </row>
    <row r="90" ht="15.75" customHeight="1" spans="1:10">
      <c r="A90" s="1605" t="s">
        <v>1094</v>
      </c>
      <c r="B90" s="1607"/>
      <c r="C90" s="1607" t="s">
        <v>209</v>
      </c>
      <c r="D90" s="1608"/>
      <c r="E90" s="1607">
        <v>0</v>
      </c>
      <c r="F90" s="1607">
        <v>0</v>
      </c>
      <c r="G90" s="1607">
        <v>0</v>
      </c>
      <c r="H90" s="1607">
        <v>0</v>
      </c>
      <c r="I90" s="1607">
        <v>0</v>
      </c>
      <c r="J90" s="1616"/>
    </row>
    <row r="91" ht="15.75" customHeight="1" spans="1:10">
      <c r="A91" s="1605" t="s">
        <v>1095</v>
      </c>
      <c r="B91" s="1607"/>
      <c r="C91" s="1607" t="s">
        <v>1021</v>
      </c>
      <c r="D91" s="1608"/>
      <c r="E91" s="1607">
        <f>21/(E90+21)</f>
        <v>1</v>
      </c>
      <c r="F91" s="1607">
        <f>21/(F90+21)</f>
        <v>1</v>
      </c>
      <c r="G91" s="1607">
        <f>21/(G90+21)</f>
        <v>1</v>
      </c>
      <c r="H91" s="1607">
        <f>21/(H90+21)</f>
        <v>1</v>
      </c>
      <c r="I91" s="1607">
        <f>21/(I90+21)</f>
        <v>1</v>
      </c>
      <c r="J91" s="1616"/>
    </row>
    <row r="92" ht="15.75" customHeight="1" spans="1:10">
      <c r="A92" s="1605" t="s">
        <v>1023</v>
      </c>
      <c r="B92" s="1607" t="s">
        <v>1016</v>
      </c>
      <c r="C92" s="1607"/>
      <c r="D92" s="1608"/>
      <c r="E92" s="1607">
        <f>E88*E91</f>
        <v>3805.50271028304</v>
      </c>
      <c r="F92" s="1607">
        <f>F88*F91</f>
        <v>8962.59510655945</v>
      </c>
      <c r="G92" s="1607">
        <f>G88*G91</f>
        <v>0</v>
      </c>
      <c r="H92" s="1607">
        <f>H88*H91</f>
        <v>0</v>
      </c>
      <c r="I92" s="1607">
        <f>I88*I91</f>
        <v>0</v>
      </c>
      <c r="J92" s="1616"/>
    </row>
    <row r="93" ht="15.75" customHeight="1" spans="1:10">
      <c r="A93" s="1605" t="s">
        <v>1024</v>
      </c>
      <c r="B93" s="1607" t="s">
        <v>619</v>
      </c>
      <c r="C93" s="1607" t="s">
        <v>1025</v>
      </c>
      <c r="D93" s="1608"/>
      <c r="E93" s="1607">
        <v>0.98</v>
      </c>
      <c r="F93" s="1607">
        <v>0.98</v>
      </c>
      <c r="G93" s="1607">
        <v>0.98</v>
      </c>
      <c r="H93" s="1607">
        <v>0.98</v>
      </c>
      <c r="I93" s="1607">
        <v>0.98</v>
      </c>
      <c r="J93" s="1616" t="s">
        <v>1026</v>
      </c>
    </row>
    <row r="94" ht="15.75" customHeight="1" spans="1:10">
      <c r="A94" s="1605" t="s">
        <v>1096</v>
      </c>
      <c r="B94" s="1607"/>
      <c r="C94" s="1607"/>
      <c r="D94" s="1608"/>
      <c r="E94" s="1607">
        <v>1.4</v>
      </c>
      <c r="F94" s="1607">
        <v>1.4</v>
      </c>
      <c r="G94" s="1607">
        <v>1.4</v>
      </c>
      <c r="H94" s="1607">
        <v>1.4</v>
      </c>
      <c r="I94" s="1607">
        <v>1.4</v>
      </c>
      <c r="J94" s="1616"/>
    </row>
    <row r="95" ht="15.75" customHeight="1" spans="1:10">
      <c r="A95" s="1605" t="s">
        <v>1097</v>
      </c>
      <c r="B95" s="1607"/>
      <c r="C95" s="1607"/>
      <c r="D95" s="1608"/>
      <c r="E95" s="1607">
        <f>E94/(E94-1)</f>
        <v>3.5</v>
      </c>
      <c r="F95" s="1607">
        <f>F94/(F94-1)</f>
        <v>3.5</v>
      </c>
      <c r="G95" s="1607">
        <f>G94/(G94-1)</f>
        <v>3.5</v>
      </c>
      <c r="H95" s="1607">
        <f>H94/(H94-1)</f>
        <v>3.5</v>
      </c>
      <c r="I95" s="1607">
        <f>I94/(I94-1)</f>
        <v>3.5</v>
      </c>
      <c r="J95" s="1616"/>
    </row>
    <row r="96" ht="15.75" customHeight="1" spans="1:10">
      <c r="A96" s="1605" t="s">
        <v>1098</v>
      </c>
      <c r="B96" s="1607" t="s">
        <v>619</v>
      </c>
      <c r="C96" s="1607" t="s">
        <v>1099</v>
      </c>
      <c r="D96" s="1608"/>
      <c r="E96" s="1607">
        <v>0.9</v>
      </c>
      <c r="F96" s="1607">
        <v>0.9</v>
      </c>
      <c r="G96" s="1607">
        <v>0.9</v>
      </c>
      <c r="H96" s="1607">
        <v>0.9</v>
      </c>
      <c r="I96" s="1607">
        <v>0.9</v>
      </c>
      <c r="J96" s="1616" t="s">
        <v>1033</v>
      </c>
    </row>
    <row r="97" ht="15.75" customHeight="1" spans="1:10">
      <c r="A97" s="1605" t="s">
        <v>1034</v>
      </c>
      <c r="B97" s="1607"/>
      <c r="C97" s="1607"/>
      <c r="D97" s="1608"/>
      <c r="E97" s="1607">
        <f>(E94-1)/(E94*E96)</f>
        <v>0.317460317460317</v>
      </c>
      <c r="F97" s="1607">
        <f>(F94-1)/(F94*F96)</f>
        <v>0.317460317460317</v>
      </c>
      <c r="G97" s="1607">
        <f>(G94-1)/(G94*G96)</f>
        <v>0.317460317460317</v>
      </c>
      <c r="H97" s="1607">
        <f>(H94-1)/(H94*H96)</f>
        <v>0.317460317460317</v>
      </c>
      <c r="I97" s="1607">
        <f>(I94-1)/(I94*I96)</f>
        <v>0.317460317460317</v>
      </c>
      <c r="J97" s="1616"/>
    </row>
    <row r="98" ht="15.75" customHeight="1" spans="1:10">
      <c r="A98" s="1605" t="s">
        <v>1100</v>
      </c>
      <c r="B98" s="1607" t="s">
        <v>1039</v>
      </c>
      <c r="C98" s="1607" t="s">
        <v>1038</v>
      </c>
      <c r="D98" s="1608"/>
      <c r="E98" s="1607">
        <f>E78*10.1937*E88*E95*(E80^E97-1)/(0.612*E93)</f>
        <v>14836.8011366263</v>
      </c>
      <c r="F98" s="1607">
        <f>F78*10.1937*F88*F95*(F80^F97-1)/(0.612*F93)</f>
        <v>23631.4064900482</v>
      </c>
      <c r="G98" s="1607">
        <f>G78*10.1937*G89*G95*(G80^G97-1)/(0.612*G93)</f>
        <v>15213.4343378907</v>
      </c>
      <c r="H98" s="1607">
        <f>H78*10.1937*H89*H95*(H80^H97-1)/(0.612*H93)</f>
        <v>26788.4722642911</v>
      </c>
      <c r="I98" s="1607">
        <f>I78*10.1937*I89*I95*(I80^I97-1)/(0.612*I93)</f>
        <v>11855.2768038633</v>
      </c>
      <c r="J98" s="1616"/>
    </row>
    <row r="99" ht="15.75" customHeight="1" spans="1:10">
      <c r="A99" s="1605" t="s">
        <v>1101</v>
      </c>
      <c r="B99" s="1607" t="s">
        <v>619</v>
      </c>
      <c r="C99" s="1607" t="s">
        <v>1042</v>
      </c>
      <c r="D99" s="1608"/>
      <c r="E99" s="1607">
        <v>0.98</v>
      </c>
      <c r="F99" s="1607">
        <v>0.98</v>
      </c>
      <c r="G99" s="1607">
        <v>0.98</v>
      </c>
      <c r="H99" s="1607">
        <v>0.98</v>
      </c>
      <c r="I99" s="1607">
        <v>0.98</v>
      </c>
      <c r="J99" s="1616"/>
    </row>
    <row r="100" ht="15.75" customHeight="1" spans="1:10">
      <c r="A100" s="1605" t="s">
        <v>1102</v>
      </c>
      <c r="B100" s="1607" t="s">
        <v>619</v>
      </c>
      <c r="C100" s="1607" t="s">
        <v>1044</v>
      </c>
      <c r="D100" s="1608"/>
      <c r="E100" s="1607">
        <v>0.97</v>
      </c>
      <c r="F100" s="1607">
        <v>0.97</v>
      </c>
      <c r="G100" s="1607">
        <v>0.97</v>
      </c>
      <c r="H100" s="1607">
        <v>0.97</v>
      </c>
      <c r="I100" s="1607">
        <v>0.97</v>
      </c>
      <c r="J100" s="1616" t="s">
        <v>1046</v>
      </c>
    </row>
    <row r="101" ht="15.75" customHeight="1" spans="1:10">
      <c r="A101" s="1605" t="s">
        <v>419</v>
      </c>
      <c r="B101" s="1607"/>
      <c r="C101" s="1607"/>
      <c r="D101" s="1608"/>
      <c r="E101" s="1607">
        <v>1.05</v>
      </c>
      <c r="F101" s="1607">
        <v>1.05</v>
      </c>
      <c r="G101" s="1607">
        <v>1.05</v>
      </c>
      <c r="H101" s="1607">
        <v>1.05</v>
      </c>
      <c r="I101" s="1607">
        <v>1.05</v>
      </c>
      <c r="J101" s="1616"/>
    </row>
    <row r="102" ht="15.75" customHeight="1" spans="1:10">
      <c r="A102" s="1605" t="s">
        <v>1103</v>
      </c>
      <c r="B102" s="1607" t="s">
        <v>1039</v>
      </c>
      <c r="C102" s="1607" t="s">
        <v>1104</v>
      </c>
      <c r="D102" s="1608"/>
      <c r="E102" s="1607">
        <f>E101*E98/(E99*E100)</f>
        <v>16388.2192230777</v>
      </c>
      <c r="F102" s="1607">
        <f>F101*F98/(F99*F100)</f>
        <v>26102.4372128662</v>
      </c>
      <c r="G102" s="1607">
        <f>G101*G98/(G99*G100)</f>
        <v>16804.2352774934</v>
      </c>
      <c r="H102" s="1607">
        <f>H101*H98/(H99*H100)</f>
        <v>29589.62326689</v>
      </c>
      <c r="I102" s="1607">
        <f>I101*I98/(I99*I100)</f>
        <v>13094.9301957253</v>
      </c>
      <c r="J102" s="1616"/>
    </row>
  </sheetData>
  <protectedRanges>
    <protectedRange password="8BC5" sqref="E$1:J$1048576" name="範圍1"/>
  </protectedRanges>
  <customSheetViews>
    <customSheetView guid="{B9330FFD-B5EF-4680-A375-DB92D4738404}" topLeftCell="A25">
      <selection activeCell="J2" sqref="J2"/>
      <pageMargins left="0.7" right="0.7" top="0.75" bottom="0.75" header="0.3" footer="0.3"/>
      <headerFooter/>
    </customSheetView>
  </customSheetViews>
  <mergeCells count="3">
    <mergeCell ref="E1:I1"/>
    <mergeCell ref="A44:J44"/>
    <mergeCell ref="A60:J60"/>
  </mergeCells>
  <hyperlinks>
    <hyperlink ref="J2" location="目录!A1" display="目录!A1"/>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3"/>
  <sheetViews>
    <sheetView workbookViewId="0">
      <selection activeCell="L3" sqref="L3"/>
    </sheetView>
  </sheetViews>
  <sheetFormatPr defaultColWidth="9" defaultRowHeight="15.6"/>
  <cols>
    <col min="1" max="1" width="0.125" style="289" customWidth="1"/>
    <col min="2" max="2" width="11.25" style="289" customWidth="1"/>
    <col min="3" max="3" width="12.625" style="289" customWidth="1"/>
    <col min="4" max="4" width="11" style="289" customWidth="1"/>
    <col min="5" max="5" width="13.625" style="289" customWidth="1"/>
    <col min="6" max="6" width="12.125" style="289" customWidth="1"/>
    <col min="7" max="7" width="14.5" style="289" customWidth="1"/>
    <col min="8" max="8" width="11.25" style="289" hidden="1" customWidth="1"/>
    <col min="9" max="11" width="9" style="168" hidden="1" customWidth="1"/>
    <col min="12" max="12" width="13.5" style="168" customWidth="1"/>
    <col min="13" max="16" width="9" style="168" hidden="1" customWidth="1"/>
    <col min="17" max="17" width="9.75" style="168" customWidth="1"/>
    <col min="18" max="18" width="10.375" style="168" customWidth="1"/>
    <col min="19" max="16384" width="9" style="168"/>
  </cols>
  <sheetData>
    <row r="1" ht="20.25" customHeight="1" spans="1:12">
      <c r="A1" s="1559" t="s">
        <v>1105</v>
      </c>
      <c r="B1" s="1559"/>
      <c r="C1" s="1559"/>
      <c r="D1" s="1559"/>
      <c r="E1" s="1559"/>
      <c r="F1" s="1559"/>
      <c r="G1" s="1559"/>
      <c r="J1" s="1936" t="s">
        <v>1106</v>
      </c>
      <c r="L1" s="155" t="s">
        <v>88</v>
      </c>
    </row>
    <row r="2" ht="27.75" customHeight="1" spans="2:12">
      <c r="B2" s="1560"/>
      <c r="C2" s="1560"/>
      <c r="D2" s="1560"/>
      <c r="E2" s="1560"/>
      <c r="F2" s="1560"/>
      <c r="G2" s="1560"/>
      <c r="J2" s="1936" t="s">
        <v>1107</v>
      </c>
      <c r="L2" s="155"/>
    </row>
    <row r="3" ht="20.1" customHeight="1" spans="1:16">
      <c r="A3" s="1561"/>
      <c r="B3" s="1562" t="s">
        <v>1108</v>
      </c>
      <c r="C3" s="1563">
        <v>16000</v>
      </c>
      <c r="D3" s="1564" t="s">
        <v>1109</v>
      </c>
      <c r="E3" s="1562" t="s">
        <v>1110</v>
      </c>
      <c r="F3" s="1565">
        <v>33</v>
      </c>
      <c r="G3" s="1566" t="s">
        <v>320</v>
      </c>
      <c r="J3" s="1936" t="s">
        <v>1111</v>
      </c>
      <c r="N3" s="1585" t="s">
        <v>1112</v>
      </c>
      <c r="O3" s="1586">
        <v>1.293</v>
      </c>
      <c r="P3" s="1587" t="s">
        <v>1113</v>
      </c>
    </row>
    <row r="4" ht="20.1" customHeight="1" spans="1:10">
      <c r="A4" s="1561"/>
      <c r="B4" s="1562" t="s">
        <v>1114</v>
      </c>
      <c r="C4" s="1563">
        <v>350</v>
      </c>
      <c r="D4" s="1564" t="s">
        <v>1115</v>
      </c>
      <c r="E4" s="1562" t="s">
        <v>1116</v>
      </c>
      <c r="F4" s="1567">
        <f>101325*(1-0.02257*F3/1000)^5.256</f>
        <v>100928.969037361</v>
      </c>
      <c r="G4" s="1564" t="s">
        <v>1115</v>
      </c>
      <c r="J4" s="1936" t="s">
        <v>1117</v>
      </c>
    </row>
    <row r="5" ht="20.1" customHeight="1" spans="1:10">
      <c r="A5" s="1561"/>
      <c r="B5" s="1562" t="s">
        <v>1118</v>
      </c>
      <c r="C5" s="1563">
        <v>0</v>
      </c>
      <c r="D5" s="1564" t="s">
        <v>1115</v>
      </c>
      <c r="E5" s="1562" t="s">
        <v>1119</v>
      </c>
      <c r="F5" s="1568">
        <f>(273/(273+C6)*(F4+C5)/101325)*O3</f>
        <v>1.0558838883748</v>
      </c>
      <c r="G5" s="1564" t="s">
        <v>1113</v>
      </c>
      <c r="J5" s="1936" t="s">
        <v>1120</v>
      </c>
    </row>
    <row r="6" ht="20.1" customHeight="1" spans="1:10">
      <c r="A6" s="1561"/>
      <c r="B6" s="1562" t="s">
        <v>1121</v>
      </c>
      <c r="C6" s="1563">
        <v>60</v>
      </c>
      <c r="D6" s="1569" t="s">
        <v>933</v>
      </c>
      <c r="E6" s="1562" t="s">
        <v>1122</v>
      </c>
      <c r="F6" s="1563">
        <v>420</v>
      </c>
      <c r="G6" s="1564" t="s">
        <v>1123</v>
      </c>
      <c r="J6" s="1936" t="s">
        <v>1124</v>
      </c>
    </row>
    <row r="7" ht="20.1" customHeight="1" spans="1:10">
      <c r="A7" s="1561"/>
      <c r="B7" s="1562" t="s">
        <v>1125</v>
      </c>
      <c r="C7" s="1570">
        <v>1.4</v>
      </c>
      <c r="D7" s="1564"/>
      <c r="E7" s="1562" t="s">
        <v>1126</v>
      </c>
      <c r="F7" s="1568">
        <f>(C7/(C7-1))*((1+C4/(F4+C5))^((C7-1)/C7)-1)*(C4/(F4+C5))^(-1)</f>
        <v>0.998763953663542</v>
      </c>
      <c r="G7" s="1564"/>
      <c r="H7" s="1571"/>
      <c r="J7" s="1936" t="s">
        <v>1127</v>
      </c>
    </row>
    <row r="8" ht="20.1" customHeight="1" spans="1:10">
      <c r="A8" s="1561"/>
      <c r="B8" s="1562" t="s">
        <v>1128</v>
      </c>
      <c r="C8" s="1572">
        <f>5.54*F6*(C3/3600)^0.5/(C4*1.2/F5)^0.75</f>
        <v>55.0735346425548</v>
      </c>
      <c r="D8" s="1564"/>
      <c r="E8" s="1562" t="s">
        <v>1129</v>
      </c>
      <c r="F8" s="1937" t="s">
        <v>1130</v>
      </c>
      <c r="G8" s="1564"/>
      <c r="J8" s="1936" t="s">
        <v>1131</v>
      </c>
    </row>
    <row r="9" ht="20.1" customHeight="1" spans="1:12">
      <c r="A9" s="1561"/>
      <c r="B9" s="1562" t="s">
        <v>1132</v>
      </c>
      <c r="C9" s="1573">
        <f>27/F6*(C4/2/F5/VLOOKUP(F8,[2]数据库!A$1:S$65536,14))^0.5</f>
        <v>1.2336133582797</v>
      </c>
      <c r="D9" s="1564" t="s">
        <v>320</v>
      </c>
      <c r="E9" s="1562" t="s">
        <v>1133</v>
      </c>
      <c r="F9" s="1574">
        <v>0.8</v>
      </c>
      <c r="G9" s="1564" t="s">
        <v>320</v>
      </c>
      <c r="H9" s="289">
        <f>F9*10</f>
        <v>8</v>
      </c>
      <c r="J9" s="1936" t="s">
        <v>1130</v>
      </c>
      <c r="L9" s="168"/>
    </row>
    <row r="10" ht="19.5" customHeight="1" spans="1:18">
      <c r="A10" s="1561"/>
      <c r="B10" s="204" t="s">
        <v>1134</v>
      </c>
      <c r="C10" s="1575" t="s">
        <v>1135</v>
      </c>
      <c r="D10" s="1575" t="str">
        <f>F8&amp;"№"&amp;F9*10</f>
        <v>4-68№8</v>
      </c>
      <c r="E10" s="1004" t="s">
        <v>1056</v>
      </c>
      <c r="F10" s="1576" t="s">
        <v>1136</v>
      </c>
      <c r="G10" s="1577">
        <f>PI()*F9*F6/60</f>
        <v>17.5929188601028</v>
      </c>
      <c r="J10" s="1584" t="s">
        <v>1137</v>
      </c>
      <c r="K10" s="168" t="s">
        <v>632</v>
      </c>
      <c r="L10" s="1588" t="s">
        <v>1138</v>
      </c>
      <c r="M10" s="1589"/>
      <c r="N10" s="205"/>
      <c r="O10" s="205"/>
      <c r="P10" s="205"/>
      <c r="Q10" s="1588" t="s">
        <v>1139</v>
      </c>
      <c r="R10" s="1588" t="s">
        <v>1140</v>
      </c>
    </row>
    <row r="11" ht="20.1" customHeight="1" spans="1:18">
      <c r="A11" s="1561"/>
      <c r="B11" s="1562" t="s">
        <v>8</v>
      </c>
      <c r="C11" s="1562" t="s">
        <v>1141</v>
      </c>
      <c r="D11" s="1562" t="s">
        <v>1142</v>
      </c>
      <c r="E11" s="1562" t="s">
        <v>1143</v>
      </c>
      <c r="F11" s="1562" t="s">
        <v>1144</v>
      </c>
      <c r="G11" s="1562" t="s">
        <v>1145</v>
      </c>
      <c r="J11" s="1936" t="s">
        <v>1146</v>
      </c>
      <c r="K11" s="168" t="s">
        <v>1054</v>
      </c>
      <c r="L11" s="1576"/>
      <c r="M11" s="205"/>
      <c r="N11" s="205"/>
      <c r="O11" s="205"/>
      <c r="P11" s="205"/>
      <c r="Q11" s="1576"/>
      <c r="R11" s="1576"/>
    </row>
    <row r="12" ht="20.1" customHeight="1" spans="1:18">
      <c r="A12" s="1561"/>
      <c r="B12" s="1563">
        <v>1</v>
      </c>
      <c r="C12" s="1578">
        <f>IF(B10="双吸",2*VLOOKUP(F8,[2]数据库!A$1:S$65536,2)*PI()/4*F9*F9*PI()*F9*F6/60*3600,VLOOKUP(F8,[2]数据库!A$1:S$65536,2)*PI()/4*F9*F9*PI()*F9*F6/60*3600)</f>
        <v>5252.84033276539</v>
      </c>
      <c r="D12" s="1578">
        <f>IF(F8="BB24",VLOOKUP(F8,[2]数据库!A$1:S$65536,11)*F5*(PI()*F9*F6/60)^2/F7*0.9784,IF(F8="BB50",VLOOKUP(F8,[2]数据库!A$1:S$65536,11)*F5*(PI()*F9*F6/60)^2/F7*0.9784,VLOOKUP(F8,[2]数据库!A$1:S$65536,11)*F5*(PI()*F9*F6/60)^2))</f>
        <v>162.773743598978</v>
      </c>
      <c r="E12" s="1563">
        <f>VLOOKUP(F8,[2]数据库!A$1:AC$65536,21)</f>
        <v>87.6</v>
      </c>
      <c r="F12" s="1579">
        <f>C12/3600*D12/E12/10</f>
        <v>0.271126485759743</v>
      </c>
      <c r="G12" s="1579">
        <f>IF(C6&lt;200,F12/0.98*1.15,F12/0.98*1.3)</f>
        <v>0.318158631248678</v>
      </c>
      <c r="H12" s="289" t="s">
        <v>1134</v>
      </c>
      <c r="J12" s="1936" t="s">
        <v>1147</v>
      </c>
      <c r="K12" s="168" t="s">
        <v>1055</v>
      </c>
      <c r="L12" s="1589" t="str">
        <f>[2]Sheet3!E2</f>
        <v/>
      </c>
      <c r="M12" s="1589"/>
      <c r="N12" s="1589"/>
      <c r="O12" s="1589"/>
      <c r="P12" s="1589"/>
      <c r="Q12" s="1589" t="str">
        <f>IF(G12&gt;185,[2]Sheet3!I3,"")</f>
        <v/>
      </c>
      <c r="R12" s="1589" t="str">
        <f>IF(G12&gt;=220,[2]Sheet3!K3,"")</f>
        <v/>
      </c>
    </row>
    <row r="13" ht="20.1" customHeight="1" spans="1:18">
      <c r="A13" s="1561"/>
      <c r="B13" s="1563">
        <v>2</v>
      </c>
      <c r="C13" s="1578">
        <f>IF(B10="双吸",2*VLOOKUP(F8,[2]数据库!A$1:S$65536,3)*PI()/4*F9^2*PI()*F9*F6/60*3600,VLOOKUP(F8,[2]数据库!A$1:S$65536,3)*PI()/4*F9^2*PI()*F9*F6/60*3600)</f>
        <v>5889.53777804319</v>
      </c>
      <c r="D13" s="1578">
        <f>IF(F8="BB24",VLOOKUP(F8,[2]数据库!A$1:S$65536,12)*F5*(PI()*F9*F6/60)^2/F7*0.9784,IF(F8="BB50",VLOOKUP(F8,[2]数据库!A$1:S$65536,12)*F5*(PI()*F9*F6/60)^2/F7*0.9784,VLOOKUP(F8,[2]数据库!A$1:S$65536,12)*F5*(PI()*F9*F6/60)^2))</f>
        <v>159.185299638453</v>
      </c>
      <c r="E13" s="1563">
        <f>VLOOKUP(F8,[2]数据库!A$1:AC$65536,22)</f>
        <v>90.3</v>
      </c>
      <c r="F13" s="1579">
        <f>C13/3600*D13/E13/10</f>
        <v>0.288399112812168</v>
      </c>
      <c r="G13" s="1579">
        <f>IF(C6&lt;200,F13/0.98*1.15,F13/0.98*1.3)</f>
        <v>0.338427530340809</v>
      </c>
      <c r="H13" s="289" t="s">
        <v>1148</v>
      </c>
      <c r="J13" s="1936" t="s">
        <v>1149</v>
      </c>
      <c r="K13" s="168" t="s">
        <v>1056</v>
      </c>
      <c r="L13" s="1589" t="str">
        <f>[2]Sheet3!E3</f>
        <v/>
      </c>
      <c r="M13" s="1589"/>
      <c r="N13" s="1589"/>
      <c r="O13" s="1589"/>
      <c r="P13" s="1589"/>
      <c r="Q13" s="1589" t="str">
        <f>IF(G13&gt;185,[2]Sheet3!I4,"")</f>
        <v/>
      </c>
      <c r="R13" s="1589" t="str">
        <f>IF(G13&gt;=220,[2]Sheet3!K4,"")</f>
        <v/>
      </c>
    </row>
    <row r="14" ht="20.1" customHeight="1" spans="1:18">
      <c r="A14" s="1561"/>
      <c r="B14" s="1563">
        <v>3</v>
      </c>
      <c r="C14" s="1580">
        <f>IF(B10="双吸",2*VLOOKUP(F8,[2]数据库!A$1:S$65536,4)*PI()/4*F9^2*PI()*F9*F6/60*3600,VLOOKUP(F8,[2]数据库!A$1:S$65536,4)*PI()/4*F9^2*PI()*F9*F6/60*3600)</f>
        <v>6526.24155856479</v>
      </c>
      <c r="D14" s="1580">
        <f>IF(F8="BB24",VLOOKUP(F8,[2]数据库!A$1:S$65536,13)*F5*(PI()*F9*F6/60)^2/F7*0.9784,IF(F8="BB50",VLOOKUP(F8,[2]数据库!A$1:S$65536,13)*F5*(PI()*F9*F6/60)^2/F7*0.9784,VLOOKUP(F8,[2]数据库!A$1:S$65536,13)*F5*(PI()*F9*F6/60)^2))</f>
        <v>154.279135315713</v>
      </c>
      <c r="E14" s="1581">
        <f>VLOOKUP(F8,[2]数据库!A$1:AC$65536,23)</f>
        <v>92.2</v>
      </c>
      <c r="F14" s="1582">
        <f>C14/3600*D14/E14/10</f>
        <v>0.303345054385649</v>
      </c>
      <c r="G14" s="1582">
        <f>IF(C6&lt;200,F14/0.98*1.15,F14/0.98*1.3)</f>
        <v>0.355966135248466</v>
      </c>
      <c r="J14" s="1936" t="s">
        <v>1150</v>
      </c>
      <c r="K14" s="168" t="s">
        <v>1057</v>
      </c>
      <c r="L14" s="1589" t="str">
        <f>[2]Sheet3!E4</f>
        <v/>
      </c>
      <c r="M14" s="1589"/>
      <c r="N14" s="1589"/>
      <c r="O14" s="1589"/>
      <c r="P14" s="1589"/>
      <c r="Q14" s="1589" t="str">
        <f>IF(G14&gt;185,[2]Sheet3!I5,"")</f>
        <v/>
      </c>
      <c r="R14" s="1589" t="str">
        <f>IF(G14&gt;=220,[2]Sheet3!K5,"")</f>
        <v/>
      </c>
    </row>
    <row r="15" ht="20.1" customHeight="1" spans="1:18">
      <c r="A15" s="1561"/>
      <c r="B15" s="1563">
        <v>4</v>
      </c>
      <c r="C15" s="1578">
        <f>IF(B10="双吸",2*VLOOKUP(F8,[2]数据库!A$1:S$65536,5)*PI()/4*F9^2*PI()*F9*F6/60*3600,VLOOKUP(F8,[2]数据库!A$1:S$65536,5)*PI()/4*F9^2*PI()*F9*F6/60*3600)</f>
        <v>7162.96409013461</v>
      </c>
      <c r="D15" s="1578">
        <f>IF(F8="BB24",VLOOKUP(F8,[2]数据库!A$1:S$65536,14)*F5*(PI()*F9*F6/60)^2/F7*0.9784,IF(F8="BB50",VLOOKUP(F8,[2]数据库!A$1:S$65536,14)*F5*(PI()*F9*F6/60)^2/F7*0.9784,VLOOKUP(F8,[2]数据库!A$1:S$65536,14)*F5*(PI()*F9*F6/60)^2))</f>
        <v>147.090515006824</v>
      </c>
      <c r="E15" s="1563">
        <f>VLOOKUP(F8,[2]数据库!A$1:AC$65536,24)</f>
        <v>93</v>
      </c>
      <c r="F15" s="1579">
        <f>C15/3600*D15/E15/10</f>
        <v>0.314696558241722</v>
      </c>
      <c r="G15" s="1579">
        <f>IF(C6&lt;200,F15/0.98*1.15,F15/0.98*1.3)</f>
        <v>0.369286777528552</v>
      </c>
      <c r="J15" s="1936" t="s">
        <v>1151</v>
      </c>
      <c r="K15" s="168" t="s">
        <v>1152</v>
      </c>
      <c r="L15" s="1589" t="str">
        <f>[2]Sheet3!E5</f>
        <v/>
      </c>
      <c r="M15" s="1589"/>
      <c r="N15" s="1589"/>
      <c r="O15" s="1589"/>
      <c r="P15" s="1589"/>
      <c r="Q15" s="1589" t="str">
        <f>IF(G15&gt;185,[2]Sheet3!I6,"")</f>
        <v/>
      </c>
      <c r="R15" s="1589" t="str">
        <f>IF(G15&gt;=220,[2]Sheet3!K6,"")</f>
        <v/>
      </c>
    </row>
    <row r="16" ht="20.1" customHeight="1" spans="1:18">
      <c r="A16" s="1561"/>
      <c r="B16" s="1563">
        <v>5</v>
      </c>
      <c r="C16" s="1578">
        <f>IF(B10="双吸",2*VLOOKUP(F8,[2]数据库!A$1:S$65536,6)*PI()/4*F9^2*PI()*F9*F6/60*3600,VLOOKUP(F8,[2]数据库!A$1:S$65536,6)*PI()/4*F9^2*PI()*F9*F6/60*3600)</f>
        <v>7799.67200925769</v>
      </c>
      <c r="D16" s="1578">
        <f>IF(F8="BB24",VLOOKUP(F8,[2]数据库!A$1:S$65536,15)*F5*(PI()*F9*F6/60)^2/F7*0.9784,IF(F8="BB50",VLOOKUP(F8,[2]数据库!A$1:S$65536,15)*F5*(PI()*F9*F6/60)^2/F7*0.9784,VLOOKUP(F8,[2]数据库!A$1:S$65536,15)*F5*(PI()*F9*F6/60)^2))</f>
        <v>137.937062882824</v>
      </c>
      <c r="E16" s="1563">
        <f>VLOOKUP(F8,[2]数据库!A$1:AC$65536,25)</f>
        <v>92</v>
      </c>
      <c r="F16" s="1579">
        <f>C16/3600*D16/E16/10</f>
        <v>0.324838118480187</v>
      </c>
      <c r="G16" s="1579">
        <f>IF(C6&lt;200,F16/0.98*1.15,F16/0.98*1.3)</f>
        <v>0.381187588012464</v>
      </c>
      <c r="J16" s="1936" t="s">
        <v>1153</v>
      </c>
      <c r="L16" s="1589" t="str">
        <f>[2]Sheet3!E6</f>
        <v/>
      </c>
      <c r="M16" s="1589"/>
      <c r="N16" s="1589"/>
      <c r="O16" s="1589"/>
      <c r="P16" s="1589"/>
      <c r="Q16" s="1589" t="str">
        <f>IF(G16&gt;185,[2]Sheet3!I7,"")</f>
        <v/>
      </c>
      <c r="R16" s="1589" t="str">
        <f>IF(G16&gt;=220,[2]Sheet3!K7,"")</f>
        <v/>
      </c>
    </row>
    <row r="17" ht="20.1" customHeight="1" spans="1:18">
      <c r="A17" s="1561"/>
      <c r="B17" s="1563">
        <f>IF(D17=0,"",6)</f>
        <v>6</v>
      </c>
      <c r="C17" s="1578">
        <f>IF(B10="双吸",2*VLOOKUP(F8,[2]数据库!A$1:S$65536,7)*PI()/4*F9^2*PI()*F9*F6/60*3600,VLOOKUP(F8,[2]数据库!A$1:S$65536,7)*PI()/4*F9^2*PI()*F9*F6/60*3600)</f>
        <v>8436.37992838077</v>
      </c>
      <c r="D17" s="1578">
        <f>IF(F8="BB24",VLOOKUP(F8,[2]数据库!A$1:S$65536,16)*F5*(PI()*F9*F6/60)^2/F7*0.9784,IF(F8="BB50",VLOOKUP(F8,[2]数据库!A$1:S$65536,16)*F5*(PI()*F9*F6/60)^2/F7*0.9784,VLOOKUP(F8,[2]数据库!A$1:S$65536,16)*F5*(PI()*F9*F6/60)^2))</f>
        <v>126.818811624458</v>
      </c>
      <c r="E17" s="1563">
        <f>VLOOKUP(F8,[2]数据库!A$1:AC$65536,26)</f>
        <v>88.5</v>
      </c>
      <c r="F17" s="1579">
        <f>IF(B17="","",C17/3600*D17/E17/10)</f>
        <v>0.335810319186968</v>
      </c>
      <c r="G17" s="1579">
        <f>IF(C6&lt;200,F17/0.98*1.15,F17/0.98*1.3)</f>
        <v>0.394063129658177</v>
      </c>
      <c r="J17" s="1936" t="s">
        <v>1154</v>
      </c>
      <c r="L17" s="1589" t="str">
        <f>[2]Sheet3!E7</f>
        <v/>
      </c>
      <c r="M17" s="1589"/>
      <c r="N17" s="1589"/>
      <c r="O17" s="1589"/>
      <c r="P17" s="1589"/>
      <c r="Q17" s="1589" t="str">
        <f>IF(G17&gt;185,[2]Sheet3!I8,"")</f>
        <v/>
      </c>
      <c r="R17" s="1589" t="str">
        <f>IF(G17&gt;=220,[2]Sheet3!K8,"")</f>
        <v/>
      </c>
    </row>
    <row r="18" ht="20.1" customHeight="1" spans="1:18">
      <c r="A18" s="1561"/>
      <c r="B18" s="1563">
        <f>IF(D18=0,"",7)</f>
        <v>7</v>
      </c>
      <c r="C18" s="1578">
        <f>IF(B10="双吸",2*VLOOKUP(F8,[2]数据库!A$1:S$65536,8)*PI()/4*F9^2*PI()*F9*F6/60*3600,VLOOKUP(F8,[2]数据库!A$1:S$65536,8)*PI()/4*F9^2*PI()*F9*F6/60*3600)</f>
        <v>9073.07520885165</v>
      </c>
      <c r="D18" s="1578">
        <f>IF(F8="BB24",VLOOKUP(F8,[2]数据库!A$1:S$65536,17)*F5*(PI()*F9*F6/60)^2/F7*0.9784,IF(F8="BB50",VLOOKUP(F8,[2]数据库!A$1:S$65536,17)*F5*(PI()*F9*F6/60)^2/F7*0.9784,VLOOKUP(F8,[2]数据库!A$1:S$65536,17)*F5*(PI()*F9*F6/60)^2))</f>
        <v>114.4063374603</v>
      </c>
      <c r="E18" s="1563">
        <f>VLOOKUP(F8,[2]数据库!A$1:AC$65536,27)</f>
        <v>84.7</v>
      </c>
      <c r="F18" s="1579">
        <f>IF(B17="","",C18/3600*D18/E18/10)</f>
        <v>0.340422833578172</v>
      </c>
      <c r="G18" s="1579">
        <f>IF(C6&lt;200,F18/0.98*1.15,F18/0.98*1.3)</f>
        <v>0.399475774096835</v>
      </c>
      <c r="J18" s="1584" t="s">
        <v>1155</v>
      </c>
      <c r="L18" s="1589" t="str">
        <f>[2]Sheet3!E8</f>
        <v/>
      </c>
      <c r="M18" s="1589"/>
      <c r="N18" s="1589"/>
      <c r="O18" s="1589"/>
      <c r="P18" s="1589"/>
      <c r="Q18" s="1589" t="str">
        <f>IF(G18&gt;185,Q17,"")</f>
        <v/>
      </c>
      <c r="R18" s="1589" t="str">
        <f>IF(G18&gt;=220,R17,"")</f>
        <v/>
      </c>
    </row>
    <row r="19" ht="9" customHeight="1" spans="2:10">
      <c r="B19" s="1561"/>
      <c r="C19" s="1561"/>
      <c r="D19" s="1561"/>
      <c r="E19" s="1561"/>
      <c r="F19" s="1561"/>
      <c r="G19" s="1561"/>
      <c r="J19" s="1936" t="s">
        <v>1156</v>
      </c>
    </row>
    <row r="20" ht="9" customHeight="1" spans="1:10">
      <c r="A20" s="1561"/>
      <c r="B20" s="1561"/>
      <c r="C20" s="1561"/>
      <c r="D20" s="1561"/>
      <c r="E20" s="1561"/>
      <c r="F20" s="1561"/>
      <c r="G20" s="1561"/>
      <c r="J20" s="1936" t="s">
        <v>1157</v>
      </c>
    </row>
    <row r="21" ht="8.25" customHeight="1" spans="1:10">
      <c r="A21" s="1561"/>
      <c r="B21" s="1561"/>
      <c r="C21" s="1561"/>
      <c r="D21" s="1561"/>
      <c r="E21" s="1561"/>
      <c r="F21" s="1561"/>
      <c r="G21" s="1561"/>
      <c r="J21" s="1936" t="s">
        <v>1158</v>
      </c>
    </row>
    <row r="22" ht="16.8" spans="1:10">
      <c r="A22" s="1561"/>
      <c r="B22" s="1561"/>
      <c r="C22" s="1561"/>
      <c r="D22" s="1561"/>
      <c r="E22" s="1561"/>
      <c r="F22" s="1561"/>
      <c r="G22" s="1561"/>
      <c r="J22" s="1936" t="s">
        <v>1159</v>
      </c>
    </row>
    <row r="23" ht="16.8" spans="1:10">
      <c r="A23" s="1561"/>
      <c r="B23" s="1561"/>
      <c r="C23" s="1561"/>
      <c r="D23" s="1561"/>
      <c r="E23" s="1561"/>
      <c r="F23" s="1561"/>
      <c r="G23" s="1561"/>
      <c r="H23" s="1583"/>
      <c r="J23" s="1936" t="s">
        <v>1160</v>
      </c>
    </row>
    <row r="24" spans="2:10">
      <c r="B24" s="1561"/>
      <c r="C24" s="1561"/>
      <c r="D24" s="1561"/>
      <c r="E24" s="1561"/>
      <c r="F24" s="1561"/>
      <c r="G24" s="1561"/>
      <c r="J24" s="1936" t="s">
        <v>1161</v>
      </c>
    </row>
    <row r="25" spans="2:10">
      <c r="B25" s="1561"/>
      <c r="C25" s="1561"/>
      <c r="D25" s="1561"/>
      <c r="E25" s="1561"/>
      <c r="F25" s="1561"/>
      <c r="G25" s="1561"/>
      <c r="J25" s="1936" t="s">
        <v>1162</v>
      </c>
    </row>
    <row r="26" spans="2:10">
      <c r="B26" s="1561"/>
      <c r="C26" s="1561"/>
      <c r="D26" s="1561"/>
      <c r="E26" s="1561"/>
      <c r="F26" s="1561"/>
      <c r="G26" s="1561"/>
      <c r="H26" s="1583"/>
      <c r="J26" s="1936" t="s">
        <v>1163</v>
      </c>
    </row>
    <row r="27" spans="2:10">
      <c r="B27" s="1561"/>
      <c r="C27" s="1561"/>
      <c r="D27" s="1561"/>
      <c r="E27" s="1561"/>
      <c r="F27" s="1561"/>
      <c r="G27" s="1561"/>
      <c r="J27" s="1584" t="s">
        <v>1164</v>
      </c>
    </row>
    <row r="28" spans="2:10">
      <c r="B28" s="1561"/>
      <c r="C28" s="1561"/>
      <c r="D28" s="1561"/>
      <c r="E28" s="1561"/>
      <c r="F28" s="1561"/>
      <c r="G28" s="1561"/>
      <c r="H28" s="1583"/>
      <c r="J28" s="1584" t="s">
        <v>1165</v>
      </c>
    </row>
    <row r="29" spans="2:10">
      <c r="B29" s="1561"/>
      <c r="C29" s="1561"/>
      <c r="D29" s="1561"/>
      <c r="E29" s="1561"/>
      <c r="F29" s="1561"/>
      <c r="G29" s="1561"/>
      <c r="J29" s="1936" t="s">
        <v>1166</v>
      </c>
    </row>
    <row r="30" spans="2:10">
      <c r="B30" s="1561"/>
      <c r="C30" s="1561"/>
      <c r="D30" s="1561"/>
      <c r="E30" s="1561"/>
      <c r="F30" s="1561"/>
      <c r="G30" s="1561"/>
      <c r="J30" s="1936" t="s">
        <v>1167</v>
      </c>
    </row>
    <row r="31" spans="2:10">
      <c r="B31" s="1561"/>
      <c r="C31" s="1561"/>
      <c r="D31" s="1561"/>
      <c r="E31" s="1561"/>
      <c r="F31" s="1561"/>
      <c r="G31" s="1561"/>
      <c r="J31" s="1936" t="s">
        <v>1168</v>
      </c>
    </row>
    <row r="32" spans="2:10">
      <c r="B32" s="1561"/>
      <c r="C32" s="1561"/>
      <c r="D32" s="1561"/>
      <c r="E32" s="1561"/>
      <c r="F32" s="1561"/>
      <c r="G32" s="1561"/>
      <c r="J32" s="1936" t="s">
        <v>1169</v>
      </c>
    </row>
    <row r="33" spans="2:10">
      <c r="B33" s="1561"/>
      <c r="C33" s="1561"/>
      <c r="D33" s="1561"/>
      <c r="E33" s="1561"/>
      <c r="F33" s="1561"/>
      <c r="G33" s="1561"/>
      <c r="J33" s="1936" t="s">
        <v>1170</v>
      </c>
    </row>
    <row r="34" spans="2:10">
      <c r="B34" s="1561"/>
      <c r="C34" s="1561"/>
      <c r="D34" s="1561"/>
      <c r="E34" s="1561"/>
      <c r="F34" s="1561"/>
      <c r="G34" s="1561"/>
      <c r="J34" s="1936" t="s">
        <v>1171</v>
      </c>
    </row>
    <row r="35" spans="2:10">
      <c r="B35" s="1561"/>
      <c r="C35" s="1561"/>
      <c r="D35" s="1561"/>
      <c r="E35" s="1561"/>
      <c r="F35" s="1561"/>
      <c r="G35" s="1561"/>
      <c r="J35" s="1936" t="s">
        <v>1172</v>
      </c>
    </row>
    <row r="36" spans="2:10">
      <c r="B36" s="1561"/>
      <c r="C36" s="1561"/>
      <c r="D36" s="1561"/>
      <c r="E36" s="1561"/>
      <c r="F36" s="1561"/>
      <c r="G36" s="1561"/>
      <c r="J36" s="1936" t="s">
        <v>1173</v>
      </c>
    </row>
    <row r="37" spans="2:10">
      <c r="B37" s="1561"/>
      <c r="C37" s="1561"/>
      <c r="D37" s="1561"/>
      <c r="E37" s="1561"/>
      <c r="F37" s="1561"/>
      <c r="G37" s="1561"/>
      <c r="J37" s="1936" t="s">
        <v>1174</v>
      </c>
    </row>
    <row r="38" ht="23.25" customHeight="1" spans="1:10">
      <c r="A38" s="634"/>
      <c r="B38" s="1561"/>
      <c r="C38" s="1561"/>
      <c r="D38" s="1561"/>
      <c r="E38" s="1561"/>
      <c r="F38" s="1561"/>
      <c r="G38" s="1561"/>
      <c r="J38" s="1936" t="s">
        <v>1175</v>
      </c>
    </row>
    <row r="39" ht="32.25" customHeight="1" spans="2:10">
      <c r="B39" s="948" t="s">
        <v>106</v>
      </c>
      <c r="J39" s="1584" t="s">
        <v>1176</v>
      </c>
    </row>
    <row r="40" spans="8:10">
      <c r="H40" s="1583"/>
      <c r="J40" s="1584" t="s">
        <v>1177</v>
      </c>
    </row>
    <row r="41" spans="10:10">
      <c r="J41" s="1584" t="s">
        <v>1178</v>
      </c>
    </row>
    <row r="42" spans="8:10">
      <c r="H42" s="1583"/>
      <c r="J42" s="1936" t="s">
        <v>1179</v>
      </c>
    </row>
    <row r="43" spans="10:10">
      <c r="J43" s="1936" t="s">
        <v>1180</v>
      </c>
    </row>
    <row r="44" spans="10:10">
      <c r="J44" s="1584" t="s">
        <v>1181</v>
      </c>
    </row>
    <row r="45" spans="10:10">
      <c r="J45" s="1936" t="s">
        <v>1182</v>
      </c>
    </row>
    <row r="46" spans="10:10">
      <c r="J46" s="1936" t="s">
        <v>1183</v>
      </c>
    </row>
    <row r="47" spans="10:10">
      <c r="J47" s="1936" t="s">
        <v>1184</v>
      </c>
    </row>
    <row r="48" spans="10:10">
      <c r="J48" s="1936" t="s">
        <v>1185</v>
      </c>
    </row>
    <row r="49" spans="10:10">
      <c r="J49" s="1936" t="s">
        <v>1186</v>
      </c>
    </row>
    <row r="50" spans="10:10">
      <c r="J50" s="1936" t="s">
        <v>1187</v>
      </c>
    </row>
    <row r="51" spans="10:10">
      <c r="J51" s="1936" t="s">
        <v>1188</v>
      </c>
    </row>
    <row r="52" spans="10:10">
      <c r="J52" s="1936" t="s">
        <v>1189</v>
      </c>
    </row>
    <row r="53" spans="10:10">
      <c r="J53" s="1936" t="s">
        <v>1190</v>
      </c>
    </row>
    <row r="54" spans="10:10">
      <c r="J54" s="1936" t="s">
        <v>1191</v>
      </c>
    </row>
    <row r="55" spans="10:10">
      <c r="J55" s="1936" t="s">
        <v>1192</v>
      </c>
    </row>
    <row r="56" spans="10:10">
      <c r="J56" s="1584" t="s">
        <v>1193</v>
      </c>
    </row>
    <row r="57" spans="10:10">
      <c r="J57" s="1590" t="s">
        <v>1194</v>
      </c>
    </row>
    <row r="58" spans="10:10">
      <c r="J58" s="1590" t="s">
        <v>1195</v>
      </c>
    </row>
    <row r="59" spans="10:10">
      <c r="J59" s="1938" t="s">
        <v>1196</v>
      </c>
    </row>
    <row r="60" spans="10:10">
      <c r="J60" s="1938" t="s">
        <v>1197</v>
      </c>
    </row>
    <row r="61" spans="10:10">
      <c r="J61" s="1938" t="s">
        <v>1198</v>
      </c>
    </row>
    <row r="62" spans="10:10">
      <c r="J62" s="1938" t="s">
        <v>1199</v>
      </c>
    </row>
    <row r="63" spans="10:10">
      <c r="J63" s="1938" t="s">
        <v>1200</v>
      </c>
    </row>
  </sheetData>
  <protectedRanges>
    <protectedRange password="8BC5" sqref="B3:G9" name="範圍1"/>
  </protectedRanges>
  <customSheetViews>
    <customSheetView guid="{B9330FFD-B5EF-4680-A375-DB92D4738404}" hiddenColumns="1">
      <selection activeCell="L29" sqref="L29"/>
      <pageMargins left="0.7" right="0.7" top="0.75" bottom="0.75" header="0.3" footer="0.3"/>
      <headerFooter/>
    </customSheetView>
  </customSheetViews>
  <mergeCells count="8">
    <mergeCell ref="A1:G1"/>
    <mergeCell ref="B2:G2"/>
    <mergeCell ref="B39:G39"/>
    <mergeCell ref="L1:L2"/>
    <mergeCell ref="L10:L11"/>
    <mergeCell ref="Q10:Q11"/>
    <mergeCell ref="R10:R11"/>
    <mergeCell ref="B19:G38"/>
  </mergeCells>
  <dataValidations count="3">
    <dataValidation type="list" allowBlank="1" showInputMessage="1" showErrorMessage="1" sqref="F8">
      <formula1>$J$1:$J$63</formula1>
    </dataValidation>
    <dataValidation type="list" allowBlank="1" showInputMessage="1" showErrorMessage="1" sqref="B10">
      <formula1>$H$12:$H$13</formula1>
    </dataValidation>
    <dataValidation type="list" allowBlank="1" showInputMessage="1" showErrorMessage="1" sqref="E10">
      <formula1>$K$10:$K$15</formula1>
    </dataValidation>
  </dataValidations>
  <hyperlinks>
    <hyperlink ref="L1:L2" location="目录!A1" display="目录!A1"/>
  </hyperlinks>
  <pageMargins left="0.7" right="0.7" top="0.75" bottom="0.75" header="0.3" footer="0.3"/>
  <headerFooter/>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95"/>
  <sheetViews>
    <sheetView topLeftCell="A30" workbookViewId="0">
      <selection activeCell="F5" sqref="F5"/>
    </sheetView>
  </sheetViews>
  <sheetFormatPr defaultColWidth="9" defaultRowHeight="17.4" outlineLevelCol="6"/>
  <cols>
    <col min="1" max="1" width="5.125" style="1524" customWidth="1"/>
    <col min="2" max="2" width="16.375" style="1524" customWidth="1"/>
    <col min="3" max="3" width="16" style="1524" customWidth="1"/>
    <col min="4" max="4" width="11.125" style="1524" customWidth="1"/>
    <col min="5" max="5" width="13.375" style="1524" customWidth="1"/>
    <col min="6" max="6" width="12.125" customWidth="1"/>
    <col min="7" max="7" width="9.5" customWidth="1"/>
  </cols>
  <sheetData>
    <row r="1" s="1522" customFormat="1" ht="31.5" customHeight="1" spans="1:6">
      <c r="A1" s="1525" t="s">
        <v>1201</v>
      </c>
      <c r="B1" s="1525"/>
      <c r="C1" s="1525"/>
      <c r="D1" s="1525"/>
      <c r="E1" s="1525"/>
      <c r="F1" s="1525"/>
    </row>
    <row r="2" ht="16.5" customHeight="1"/>
    <row r="3" s="1523" customFormat="1" ht="44.25" customHeight="1" spans="1:6">
      <c r="A3" s="1526" t="s">
        <v>1202</v>
      </c>
      <c r="B3" s="1526"/>
      <c r="C3" s="1526"/>
      <c r="D3" s="1526"/>
      <c r="E3" s="1526"/>
      <c r="F3" s="1526"/>
    </row>
    <row r="4" ht="16.5" customHeight="1"/>
    <row r="5" ht="33.75" customHeight="1" spans="2:6">
      <c r="B5" s="1527" t="s">
        <v>1203</v>
      </c>
      <c r="C5" s="1527"/>
      <c r="D5" s="1527"/>
      <c r="E5" s="1527"/>
      <c r="F5" s="155" t="s">
        <v>88</v>
      </c>
    </row>
    <row r="6" customFormat="1" spans="1:5">
      <c r="A6" s="1524"/>
      <c r="B6" s="1524"/>
      <c r="C6" s="1524" t="s">
        <v>106</v>
      </c>
      <c r="D6" s="1524"/>
      <c r="E6" s="1524"/>
    </row>
    <row r="7" spans="1:1">
      <c r="A7" s="1528" t="s">
        <v>1204</v>
      </c>
    </row>
    <row r="8" spans="1:5">
      <c r="A8" s="1529"/>
      <c r="B8" s="1530" t="s">
        <v>1205</v>
      </c>
      <c r="C8" s="1530"/>
      <c r="D8" s="1530"/>
      <c r="E8" s="1530"/>
    </row>
    <row r="9" spans="1:5">
      <c r="A9" s="1531"/>
      <c r="B9" s="1532" t="s">
        <v>1206</v>
      </c>
      <c r="C9" s="1532" t="s">
        <v>915</v>
      </c>
      <c r="D9" s="1532" t="s">
        <v>914</v>
      </c>
      <c r="E9" s="1532" t="s">
        <v>1207</v>
      </c>
    </row>
    <row r="10" spans="2:5">
      <c r="B10" s="1532" t="s">
        <v>1208</v>
      </c>
      <c r="C10" s="1532" t="s">
        <v>1209</v>
      </c>
      <c r="D10" s="1532" t="s">
        <v>1210</v>
      </c>
      <c r="E10" s="1533">
        <v>43.83</v>
      </c>
    </row>
    <row r="11" spans="2:5">
      <c r="B11" s="1532" t="s">
        <v>1211</v>
      </c>
      <c r="C11" s="1532" t="s">
        <v>1212</v>
      </c>
      <c r="D11" s="1532" t="s">
        <v>1210</v>
      </c>
      <c r="E11" s="1533">
        <v>21.51</v>
      </c>
    </row>
    <row r="12" spans="2:5">
      <c r="B12" s="1532" t="s">
        <v>1213</v>
      </c>
      <c r="C12" s="1532" t="s">
        <v>1214</v>
      </c>
      <c r="D12" s="1532" t="s">
        <v>1210</v>
      </c>
      <c r="E12" s="1533">
        <v>4.39</v>
      </c>
    </row>
    <row r="13" spans="2:5">
      <c r="B13" s="1532" t="s">
        <v>1215</v>
      </c>
      <c r="C13" s="1532" t="s">
        <v>1216</v>
      </c>
      <c r="D13" s="1532" t="s">
        <v>1210</v>
      </c>
      <c r="E13" s="1533">
        <v>0.72</v>
      </c>
    </row>
    <row r="14" spans="2:5">
      <c r="B14" s="1532" t="s">
        <v>1217</v>
      </c>
      <c r="C14" s="1532" t="s">
        <v>1218</v>
      </c>
      <c r="D14" s="1532" t="s">
        <v>1210</v>
      </c>
      <c r="E14" s="1533">
        <v>5.35</v>
      </c>
    </row>
    <row r="15" spans="2:5">
      <c r="B15" s="1532" t="s">
        <v>1219</v>
      </c>
      <c r="C15" s="1532" t="s">
        <v>1220</v>
      </c>
      <c r="D15" s="1532" t="s">
        <v>1210</v>
      </c>
      <c r="E15" s="1533">
        <v>24.02</v>
      </c>
    </row>
    <row r="16" spans="2:5">
      <c r="B16" s="1532" t="s">
        <v>1221</v>
      </c>
      <c r="C16" s="1532" t="s">
        <v>1222</v>
      </c>
      <c r="D16" s="1532" t="s">
        <v>1210</v>
      </c>
      <c r="E16" s="1533">
        <v>0.18</v>
      </c>
    </row>
    <row r="17" spans="2:5">
      <c r="B17" s="1532" t="s">
        <v>1223</v>
      </c>
      <c r="C17" s="1532" t="s">
        <v>1224</v>
      </c>
      <c r="D17" s="1532" t="s">
        <v>1210</v>
      </c>
      <c r="E17" s="1533">
        <v>51.95</v>
      </c>
    </row>
    <row r="18" ht="18" spans="2:5">
      <c r="B18" s="1532" t="s">
        <v>1225</v>
      </c>
      <c r="C18" s="1532" t="s">
        <v>1226</v>
      </c>
      <c r="D18" s="1534" t="s">
        <v>1227</v>
      </c>
      <c r="E18" s="1533">
        <v>16929</v>
      </c>
    </row>
    <row r="19" spans="2:5">
      <c r="B19" s="1532" t="s">
        <v>1228</v>
      </c>
      <c r="C19" s="1535"/>
      <c r="D19" s="1535"/>
      <c r="E19" s="1532"/>
    </row>
    <row r="20" spans="2:5">
      <c r="B20" s="1535" t="s">
        <v>106</v>
      </c>
      <c r="C20" s="1535"/>
      <c r="D20" s="1535"/>
      <c r="E20" s="1535"/>
    </row>
    <row r="22" ht="18" spans="1:2">
      <c r="A22" s="1536" t="s">
        <v>1229</v>
      </c>
      <c r="B22" s="1536"/>
    </row>
    <row r="23" ht="18" spans="1:5">
      <c r="A23" s="1537" t="s">
        <v>1230</v>
      </c>
      <c r="B23" s="1538" t="s">
        <v>1231</v>
      </c>
      <c r="C23" s="1538"/>
      <c r="D23" s="1538"/>
      <c r="E23" s="1538"/>
    </row>
    <row r="24" ht="18" spans="2:5">
      <c r="B24" s="1539" t="s">
        <v>396</v>
      </c>
      <c r="C24" s="1540">
        <f>0.0889*(E10+0.375*E16)+0.265*E12-0.033*E11</f>
        <v>4.35600775</v>
      </c>
      <c r="D24" s="1541"/>
      <c r="E24" s="1539" t="s">
        <v>1232</v>
      </c>
    </row>
    <row r="25" ht="18" spans="2:5">
      <c r="B25" s="1539" t="s">
        <v>106</v>
      </c>
      <c r="C25" s="1540"/>
      <c r="D25" s="1541"/>
      <c r="E25" s="1542"/>
    </row>
    <row r="26" ht="18" spans="1:1">
      <c r="A26" s="1539" t="s">
        <v>1233</v>
      </c>
    </row>
    <row r="27" ht="18" spans="1:1">
      <c r="A27" s="1539" t="s">
        <v>1234</v>
      </c>
    </row>
    <row r="28" ht="18" spans="2:3">
      <c r="B28" s="1537" t="s">
        <v>1235</v>
      </c>
      <c r="C28" s="1539" t="s">
        <v>1236</v>
      </c>
    </row>
    <row r="29" ht="18" spans="2:3">
      <c r="B29" s="1537" t="s">
        <v>396</v>
      </c>
      <c r="C29" s="1539" t="s">
        <v>1237</v>
      </c>
    </row>
    <row r="30" ht="18" spans="2:5">
      <c r="B30" s="1537" t="s">
        <v>396</v>
      </c>
      <c r="C30" s="1542">
        <f>1.866*E10/100+0.7*E16/100</f>
        <v>0.8191278</v>
      </c>
      <c r="D30" s="1539" t="s">
        <v>1238</v>
      </c>
      <c r="E30" s="1539" t="s">
        <v>1232</v>
      </c>
    </row>
    <row r="31" ht="18" spans="2:5">
      <c r="B31" s="1537"/>
      <c r="C31" s="1542"/>
      <c r="D31" s="1539"/>
      <c r="E31" s="1542"/>
    </row>
    <row r="32" ht="18" spans="1:1">
      <c r="A32" s="1539" t="s">
        <v>1239</v>
      </c>
    </row>
    <row r="33" ht="18" spans="2:3">
      <c r="B33" s="1537" t="s">
        <v>1240</v>
      </c>
      <c r="C33" s="1539" t="s">
        <v>1241</v>
      </c>
    </row>
    <row r="34" ht="18" spans="2:5">
      <c r="B34" s="1537" t="s">
        <v>396</v>
      </c>
      <c r="C34" s="1543">
        <f>0.8*E13/100+0.79*C24</f>
        <v>3.4470061225</v>
      </c>
      <c r="D34" s="1539" t="s">
        <v>1238</v>
      </c>
      <c r="E34" s="1539" t="s">
        <v>1232</v>
      </c>
    </row>
    <row r="35" ht="18" spans="2:5">
      <c r="B35" s="1537"/>
      <c r="C35" s="1543"/>
      <c r="D35" s="1539"/>
      <c r="E35" s="1542"/>
    </row>
    <row r="36" ht="18" spans="1:1">
      <c r="A36" s="1539" t="s">
        <v>1242</v>
      </c>
    </row>
    <row r="37" ht="18" spans="2:3">
      <c r="B37" s="1537" t="s">
        <v>1243</v>
      </c>
      <c r="C37" s="1539" t="s">
        <v>1244</v>
      </c>
    </row>
    <row r="38" ht="18" spans="2:5">
      <c r="B38" s="1537" t="s">
        <v>396</v>
      </c>
      <c r="C38" s="1542">
        <f>0.0124*E14+0.111*E12+0.00161*10*C24</f>
        <v>0.623761724775</v>
      </c>
      <c r="D38" s="1539" t="s">
        <v>1238</v>
      </c>
      <c r="E38" s="1539" t="s">
        <v>1232</v>
      </c>
    </row>
    <row r="39" ht="18" spans="2:5">
      <c r="B39" s="1537"/>
      <c r="C39" s="1542"/>
      <c r="D39" s="1539"/>
      <c r="E39" s="1542"/>
    </row>
    <row r="40" ht="18" spans="2:5">
      <c r="B40" s="1537"/>
      <c r="C40" s="1542"/>
      <c r="D40" s="1539"/>
      <c r="E40" s="1542"/>
    </row>
    <row r="41" ht="18" spans="2:5">
      <c r="B41" s="1537"/>
      <c r="C41" s="1542"/>
      <c r="D41" s="1539"/>
      <c r="E41" s="1542"/>
    </row>
    <row r="42" ht="18" spans="1:3">
      <c r="A42" s="1539" t="s">
        <v>1245</v>
      </c>
      <c r="C42" s="1524" t="s">
        <v>106</v>
      </c>
    </row>
    <row r="43" ht="18" spans="2:3">
      <c r="B43" s="1537" t="s">
        <v>1246</v>
      </c>
      <c r="C43" s="1539" t="s">
        <v>1247</v>
      </c>
    </row>
    <row r="44" ht="18" spans="2:5">
      <c r="B44" s="1537" t="s">
        <v>396</v>
      </c>
      <c r="C44" s="1543">
        <f>C30+C34+C38</f>
        <v>4.889895647275</v>
      </c>
      <c r="D44" s="1539" t="s">
        <v>1238</v>
      </c>
      <c r="E44" s="1539" t="s">
        <v>1232</v>
      </c>
    </row>
    <row r="45" ht="18" spans="2:4">
      <c r="B45" s="1537"/>
      <c r="D45" s="1539"/>
    </row>
    <row r="46" ht="18" spans="1:1">
      <c r="A46" s="1539" t="s">
        <v>1248</v>
      </c>
    </row>
    <row r="47" ht="18" spans="2:5">
      <c r="B47" s="1544" t="s">
        <v>1249</v>
      </c>
      <c r="C47" s="1544"/>
      <c r="D47" s="1544"/>
      <c r="E47" s="1545">
        <v>1.2</v>
      </c>
    </row>
    <row r="48" spans="2:4">
      <c r="B48" s="1544"/>
      <c r="C48" s="1544"/>
      <c r="D48" s="1544"/>
    </row>
    <row r="49" ht="18" spans="1:1">
      <c r="A49" s="1539" t="s">
        <v>1250</v>
      </c>
    </row>
    <row r="50" ht="18" spans="2:3">
      <c r="B50" s="1537" t="s">
        <v>1251</v>
      </c>
      <c r="C50" s="1539" t="s">
        <v>1252</v>
      </c>
    </row>
    <row r="51" ht="18" spans="2:5">
      <c r="B51" s="1546" t="s">
        <v>93</v>
      </c>
      <c r="C51" s="1542">
        <f>0.79*(E47-1)*C24</f>
        <v>0.6882492245</v>
      </c>
      <c r="D51" s="1539" t="s">
        <v>1238</v>
      </c>
      <c r="E51" s="1539" t="s">
        <v>1232</v>
      </c>
    </row>
    <row r="52" ht="18" spans="2:3">
      <c r="B52" s="1537" t="s">
        <v>1253</v>
      </c>
      <c r="C52" s="1539" t="s">
        <v>1254</v>
      </c>
    </row>
    <row r="53" ht="18" spans="2:5">
      <c r="B53" s="1546" t="s">
        <v>93</v>
      </c>
      <c r="C53" s="1543">
        <f>0.21*(E47-1)*C24</f>
        <v>0.1829523255</v>
      </c>
      <c r="D53" s="1539" t="s">
        <v>1238</v>
      </c>
      <c r="E53" s="1539" t="s">
        <v>1232</v>
      </c>
    </row>
    <row r="54" ht="18" spans="4:4">
      <c r="D54" s="1539"/>
    </row>
    <row r="55" ht="18" spans="1:1">
      <c r="A55" s="1539" t="s">
        <v>1255</v>
      </c>
    </row>
    <row r="56" ht="18" spans="2:3">
      <c r="B56" s="1539" t="s">
        <v>1256</v>
      </c>
      <c r="C56" s="1539" t="s">
        <v>1257</v>
      </c>
    </row>
    <row r="57" ht="18" spans="2:5">
      <c r="B57" s="1537" t="s">
        <v>396</v>
      </c>
      <c r="C57" s="1539">
        <f>0.00161*10*(E47-1)*C24</f>
        <v>0.014026344955</v>
      </c>
      <c r="D57" s="1539" t="s">
        <v>1238</v>
      </c>
      <c r="E57" s="1539" t="s">
        <v>1232</v>
      </c>
    </row>
    <row r="58" ht="18" spans="2:5">
      <c r="B58" s="1539"/>
      <c r="C58" s="1539"/>
      <c r="D58" s="1539"/>
      <c r="E58" s="1539"/>
    </row>
    <row r="59" ht="18" spans="1:1">
      <c r="A59" s="1539" t="s">
        <v>1258</v>
      </c>
    </row>
    <row r="60" ht="18" spans="2:3">
      <c r="B60" s="1537" t="s">
        <v>1259</v>
      </c>
      <c r="C60" s="1539" t="s">
        <v>1260</v>
      </c>
    </row>
    <row r="61" ht="18" spans="2:5">
      <c r="B61" s="1537" t="s">
        <v>396</v>
      </c>
      <c r="C61" s="1543">
        <f>C44+C53+C51+C57</f>
        <v>5.77512354223</v>
      </c>
      <c r="D61" s="1539" t="s">
        <v>1238</v>
      </c>
      <c r="E61" s="1539" t="s">
        <v>1232</v>
      </c>
    </row>
    <row r="62" ht="18" spans="2:5">
      <c r="B62" s="1537"/>
      <c r="C62" s="1543"/>
      <c r="D62" s="1539"/>
      <c r="E62" s="1543"/>
    </row>
    <row r="63" ht="18" spans="1:1">
      <c r="A63" s="1539" t="s">
        <v>1261</v>
      </c>
    </row>
    <row r="64" ht="18" spans="2:3">
      <c r="B64" s="1537" t="s">
        <v>1262</v>
      </c>
      <c r="C64" s="1539" t="s">
        <v>1263</v>
      </c>
    </row>
    <row r="65" ht="18" spans="2:5">
      <c r="B65" s="1537" t="s">
        <v>396</v>
      </c>
      <c r="C65" s="1547">
        <f>(C66*(C68-E67)+C66*E66*(E68-E67))/(C67*E18)</f>
        <v>15.3150666929496</v>
      </c>
      <c r="D65" s="1539" t="s">
        <v>1238</v>
      </c>
      <c r="E65" s="1548" t="s">
        <v>1052</v>
      </c>
    </row>
    <row r="66" spans="2:5">
      <c r="B66" s="1524" t="s">
        <v>1264</v>
      </c>
      <c r="C66" s="1549">
        <v>90</v>
      </c>
      <c r="D66" s="1524" t="s">
        <v>1265</v>
      </c>
      <c r="E66" s="1549">
        <v>0.02</v>
      </c>
    </row>
    <row r="67" spans="2:5">
      <c r="B67" s="1524" t="s">
        <v>1266</v>
      </c>
      <c r="C67" s="1549">
        <v>0.89</v>
      </c>
      <c r="D67" s="1524" t="s">
        <v>1267</v>
      </c>
      <c r="E67" s="1549">
        <v>947</v>
      </c>
    </row>
    <row r="68" spans="2:5">
      <c r="B68" s="1524" t="s">
        <v>1268</v>
      </c>
      <c r="C68" s="1549">
        <v>3500</v>
      </c>
      <c r="D68" s="1524" t="s">
        <v>1269</v>
      </c>
      <c r="E68" s="1549">
        <v>1491</v>
      </c>
    </row>
    <row r="69" ht="18" spans="2:4">
      <c r="B69" s="1524" t="s">
        <v>1270</v>
      </c>
      <c r="C69" s="1524">
        <f>C65*10</f>
        <v>153.150666929496</v>
      </c>
      <c r="D69" s="1539" t="s">
        <v>579</v>
      </c>
    </row>
    <row r="70" ht="18" spans="1:3">
      <c r="A70" s="1539" t="s">
        <v>1271</v>
      </c>
      <c r="C70" s="1524" t="s">
        <v>106</v>
      </c>
    </row>
    <row r="71" ht="18" spans="2:3">
      <c r="B71" s="1537" t="s">
        <v>1272</v>
      </c>
      <c r="C71" s="1539" t="s">
        <v>1273</v>
      </c>
    </row>
    <row r="72" ht="18" spans="2:5">
      <c r="B72" s="1537" t="s">
        <v>396</v>
      </c>
      <c r="C72" s="1547">
        <f>C65*(100-3.68)/100</f>
        <v>14.7514722386491</v>
      </c>
      <c r="D72" s="1539" t="s">
        <v>1238</v>
      </c>
      <c r="E72" s="1548" t="s">
        <v>1052</v>
      </c>
    </row>
    <row r="73" ht="18" spans="2:2">
      <c r="B73" s="1537"/>
    </row>
    <row r="74" ht="18" spans="2:5">
      <c r="B74" s="1546" t="s">
        <v>1274</v>
      </c>
      <c r="C74" s="1524">
        <f>0.00735*C72*220/32</f>
        <v>0.745410331559235</v>
      </c>
      <c r="E74" s="1548" t="s">
        <v>1052</v>
      </c>
    </row>
    <row r="75" ht="18" spans="2:2">
      <c r="B75" s="1537"/>
    </row>
    <row r="76" ht="18" spans="1:1">
      <c r="A76" s="1539" t="s">
        <v>1275</v>
      </c>
    </row>
    <row r="77" ht="18" spans="2:3">
      <c r="B77" s="1537" t="s">
        <v>1276</v>
      </c>
      <c r="C77" s="1539" t="s">
        <v>1277</v>
      </c>
    </row>
    <row r="78" ht="18" spans="2:5">
      <c r="B78" s="1537" t="s">
        <v>396</v>
      </c>
      <c r="C78" s="1547">
        <f>C65*(E15/100+(0.02*E18)/(100*8100*4.186))</f>
        <v>3.68020833113184</v>
      </c>
      <c r="D78" s="1539" t="s">
        <v>1238</v>
      </c>
      <c r="E78" s="1548" t="s">
        <v>1052</v>
      </c>
    </row>
    <row r="79" ht="18" spans="2:5">
      <c r="B79" s="1546" t="s">
        <v>1278</v>
      </c>
      <c r="C79" s="1547">
        <f>C78+C74</f>
        <v>4.42561866269107</v>
      </c>
      <c r="D79" s="1539"/>
      <c r="E79" s="1548" t="s">
        <v>1052</v>
      </c>
    </row>
    <row r="80" ht="18" spans="1:1">
      <c r="A80" s="1539" t="s">
        <v>1279</v>
      </c>
    </row>
    <row r="81" ht="18" spans="2:3">
      <c r="B81" s="1537" t="s">
        <v>1280</v>
      </c>
      <c r="C81" s="1549">
        <v>0.42</v>
      </c>
    </row>
    <row r="82" ht="18" spans="2:3">
      <c r="B82" s="1537" t="s">
        <v>1281</v>
      </c>
      <c r="C82" s="1539" t="s">
        <v>1282</v>
      </c>
    </row>
    <row r="83" ht="18" spans="2:5">
      <c r="B83" s="1537" t="s">
        <v>396</v>
      </c>
      <c r="C83" s="1547">
        <f>C72*C81*E15/100</f>
        <v>1.48818752532387</v>
      </c>
      <c r="D83" s="1539" t="s">
        <v>1238</v>
      </c>
      <c r="E83" s="1548" t="s">
        <v>1052</v>
      </c>
    </row>
    <row r="84" ht="18" spans="2:5">
      <c r="B84" s="1546" t="s">
        <v>1278</v>
      </c>
      <c r="C84" s="1548">
        <f>C83+C74*C81</f>
        <v>1.80125986457875</v>
      </c>
      <c r="D84" s="1539"/>
      <c r="E84" s="1548" t="s">
        <v>1052</v>
      </c>
    </row>
    <row r="85" ht="18" spans="1:1">
      <c r="A85" s="1539" t="s">
        <v>1283</v>
      </c>
    </row>
    <row r="86" ht="18" spans="1:3">
      <c r="A86" s="1539" t="s">
        <v>395</v>
      </c>
      <c r="B86" s="1537" t="s">
        <v>1284</v>
      </c>
      <c r="C86" s="1539" t="s">
        <v>1285</v>
      </c>
    </row>
    <row r="87" ht="18" spans="2:5">
      <c r="B87" s="1537" t="s">
        <v>396</v>
      </c>
      <c r="C87" s="1547">
        <f>C78-C83</f>
        <v>2.19202080580797</v>
      </c>
      <c r="D87" s="1539" t="s">
        <v>1238</v>
      </c>
      <c r="E87" s="1548" t="s">
        <v>1052</v>
      </c>
    </row>
    <row r="88" ht="18" spans="2:5">
      <c r="B88" s="1546" t="s">
        <v>1278</v>
      </c>
      <c r="C88" s="1548">
        <f>C87+C74*(1-C81)</f>
        <v>2.62435879811232</v>
      </c>
      <c r="D88" s="1539"/>
      <c r="E88" s="1548" t="s">
        <v>1052</v>
      </c>
    </row>
    <row r="89" ht="18" spans="1:4">
      <c r="A89" s="1539" t="s">
        <v>1286</v>
      </c>
      <c r="D89" s="1524" t="s">
        <v>106</v>
      </c>
    </row>
    <row r="90" ht="18" spans="2:6">
      <c r="B90" s="1524" t="s">
        <v>929</v>
      </c>
      <c r="C90" s="1545">
        <v>89.515</v>
      </c>
      <c r="D90" s="1539" t="s">
        <v>1287</v>
      </c>
      <c r="F90" s="1524"/>
    </row>
    <row r="91" ht="18" spans="1:6">
      <c r="A91" s="1539"/>
      <c r="B91" s="1544" t="s">
        <v>1288</v>
      </c>
      <c r="C91" s="1544"/>
      <c r="D91" s="1549">
        <v>1.15</v>
      </c>
      <c r="F91" s="1524"/>
    </row>
    <row r="92" ht="18" spans="2:6">
      <c r="B92" s="1537" t="s">
        <v>1289</v>
      </c>
      <c r="C92" s="1539" t="s">
        <v>1290</v>
      </c>
      <c r="F92" s="1524"/>
    </row>
    <row r="93" ht="18" spans="2:6">
      <c r="B93" s="1537" t="s">
        <v>396</v>
      </c>
      <c r="C93" s="1550">
        <f>D91*C72*1000*E47*C24*(273+20)*101/(273*89.515)</f>
        <v>107382.528900054</v>
      </c>
      <c r="E93" s="1539" t="s">
        <v>1291</v>
      </c>
      <c r="F93" s="1524"/>
    </row>
    <row r="94" ht="18" spans="2:5">
      <c r="B94" s="1551" t="s">
        <v>1292</v>
      </c>
      <c r="C94" s="1552">
        <f>C93*0.6</f>
        <v>64429.5173400325</v>
      </c>
      <c r="E94" s="1539" t="s">
        <v>1291</v>
      </c>
    </row>
    <row r="95" ht="18" spans="1:6">
      <c r="A95" s="1539"/>
      <c r="B95" s="1551" t="s">
        <v>1293</v>
      </c>
      <c r="C95" s="1552">
        <f>C93*0.4</f>
        <v>42953.0115600217</v>
      </c>
      <c r="E95" s="1539" t="s">
        <v>1291</v>
      </c>
      <c r="F95" s="1524"/>
    </row>
    <row r="96" ht="18" spans="2:6">
      <c r="B96" s="1544" t="s">
        <v>1294</v>
      </c>
      <c r="C96" s="1544"/>
      <c r="D96" s="1549">
        <v>107383</v>
      </c>
      <c r="E96" s="1538" t="s">
        <v>1295</v>
      </c>
      <c r="F96" s="1524"/>
    </row>
    <row r="97" ht="18" spans="2:6">
      <c r="B97" s="1544" t="s">
        <v>1296</v>
      </c>
      <c r="C97" s="1544"/>
      <c r="D97" s="1553">
        <f>1.15*D96*293*101/(273*101)</f>
        <v>132537.369413919</v>
      </c>
      <c r="E97" s="1539" t="s">
        <v>1291</v>
      </c>
      <c r="F97" s="1524"/>
    </row>
    <row r="98" spans="2:6">
      <c r="B98" s="1544" t="s">
        <v>1297</v>
      </c>
      <c r="C98" s="1544"/>
      <c r="F98" s="1524"/>
    </row>
    <row r="99" ht="18" spans="2:6">
      <c r="B99" s="1546"/>
      <c r="C99" s="1554">
        <v>0.6</v>
      </c>
      <c r="D99" s="1546" t="s">
        <v>1298</v>
      </c>
      <c r="E99" s="1524">
        <f>D97*C99</f>
        <v>79522.4216483517</v>
      </c>
      <c r="F99" s="1537" t="s">
        <v>1291</v>
      </c>
    </row>
    <row r="100" ht="18" spans="2:6">
      <c r="B100" s="1546"/>
      <c r="C100" s="1554">
        <v>0.4</v>
      </c>
      <c r="D100" s="1546" t="s">
        <v>1299</v>
      </c>
      <c r="E100" s="1524">
        <f>D97*C100</f>
        <v>53014.9477655678</v>
      </c>
      <c r="F100" s="1537" t="s">
        <v>1291</v>
      </c>
    </row>
    <row r="101" ht="18" spans="2:4">
      <c r="B101" s="1546"/>
      <c r="D101" s="1539"/>
    </row>
    <row r="102" ht="18" spans="1:6">
      <c r="A102" s="1539"/>
      <c r="B102" s="1544" t="s">
        <v>1297</v>
      </c>
      <c r="C102" s="1544"/>
      <c r="F102" s="1524"/>
    </row>
    <row r="103" ht="18" spans="2:6">
      <c r="B103" s="1551">
        <v>56668</v>
      </c>
      <c r="C103" s="1537" t="s">
        <v>1295</v>
      </c>
      <c r="D103" s="1546" t="s">
        <v>1298</v>
      </c>
      <c r="E103" s="1549">
        <f>1.15*B103*293*101/(273*89.515)</f>
        <v>78916.2166980834</v>
      </c>
      <c r="F103" s="1537" t="s">
        <v>1291</v>
      </c>
    </row>
    <row r="104" ht="18" spans="2:6">
      <c r="B104" s="1551">
        <v>36834</v>
      </c>
      <c r="C104" s="1537" t="s">
        <v>1295</v>
      </c>
      <c r="D104" s="1546" t="s">
        <v>1299</v>
      </c>
      <c r="E104" s="1549">
        <f>1.15*B104*293*101/(273*89.515)</f>
        <v>51295.262332484</v>
      </c>
      <c r="F104" s="1537" t="s">
        <v>1291</v>
      </c>
    </row>
    <row r="105" ht="18" spans="1:4">
      <c r="A105" s="1524" t="s">
        <v>1300</v>
      </c>
      <c r="B105" s="1546" t="s">
        <v>1298</v>
      </c>
      <c r="C105" s="1524">
        <v>80700</v>
      </c>
      <c r="D105" s="1537" t="s">
        <v>1291</v>
      </c>
    </row>
    <row r="106" ht="18" spans="1:6">
      <c r="A106" s="1539"/>
      <c r="B106" s="1546" t="s">
        <v>1299</v>
      </c>
      <c r="C106" s="1524">
        <v>54300</v>
      </c>
      <c r="D106" s="1537" t="s">
        <v>1291</v>
      </c>
      <c r="F106" s="1524"/>
    </row>
    <row r="107" ht="18" spans="2:6">
      <c r="B107" s="1544"/>
      <c r="C107" s="1544"/>
      <c r="E107" s="1539"/>
      <c r="F107" s="1524"/>
    </row>
    <row r="108" ht="18" spans="1:6">
      <c r="A108" s="1539" t="s">
        <v>1301</v>
      </c>
      <c r="D108" s="1524" t="s">
        <v>106</v>
      </c>
      <c r="F108" s="1524"/>
    </row>
    <row r="109" ht="18" spans="2:6">
      <c r="B109" s="1544" t="s">
        <v>1302</v>
      </c>
      <c r="C109" s="1544"/>
      <c r="E109" s="1539"/>
      <c r="F109" s="1524"/>
    </row>
    <row r="110" ht="18" spans="2:6">
      <c r="B110" s="1544" t="s">
        <v>1303</v>
      </c>
      <c r="C110" s="1544"/>
      <c r="D110" s="1549">
        <f>15100</f>
        <v>15100</v>
      </c>
      <c r="E110" s="1539" t="s">
        <v>1115</v>
      </c>
      <c r="F110" s="1524"/>
    </row>
    <row r="111" ht="18" spans="2:6">
      <c r="B111" s="1544" t="s">
        <v>1304</v>
      </c>
      <c r="C111" s="1544"/>
      <c r="D111" s="1549">
        <v>1000</v>
      </c>
      <c r="E111" s="1539" t="s">
        <v>1115</v>
      </c>
      <c r="F111" s="1524"/>
    </row>
    <row r="112" spans="2:6">
      <c r="B112" s="1544" t="s">
        <v>1305</v>
      </c>
      <c r="C112" s="1544"/>
      <c r="D112" s="1549">
        <v>1.2</v>
      </c>
      <c r="F112" s="1524"/>
    </row>
    <row r="113" ht="18" spans="2:6">
      <c r="B113" s="1537" t="s">
        <v>1306</v>
      </c>
      <c r="C113" s="1539" t="s">
        <v>1307</v>
      </c>
      <c r="F113" s="1524"/>
    </row>
    <row r="114" ht="18" spans="2:6">
      <c r="B114" s="1537" t="s">
        <v>396</v>
      </c>
      <c r="C114" s="1524">
        <f>D112*(D110+D111)*(273+20)/(273+20)*(101/101)*(1.293/1.293)</f>
        <v>19320</v>
      </c>
      <c r="D114" s="1539" t="s">
        <v>1115</v>
      </c>
      <c r="F114" s="1524"/>
    </row>
    <row r="115" ht="18" spans="1:4">
      <c r="A115" s="1539"/>
      <c r="B115" s="1524" t="s">
        <v>1308</v>
      </c>
      <c r="C115" s="1549">
        <f>19320*(273+20)/(273+20)*(101/101)*(1.293/1.293)</f>
        <v>19320</v>
      </c>
      <c r="D115" s="1539" t="s">
        <v>1115</v>
      </c>
    </row>
    <row r="116" ht="18" spans="1:1">
      <c r="A116" s="1539"/>
    </row>
    <row r="117" ht="18" spans="2:6">
      <c r="B117" s="1544" t="s">
        <v>1309</v>
      </c>
      <c r="C117" s="1544"/>
      <c r="E117" s="1539"/>
      <c r="F117" s="1524"/>
    </row>
    <row r="118" ht="18" spans="2:6">
      <c r="B118" s="1544" t="s">
        <v>1303</v>
      </c>
      <c r="C118" s="1544"/>
      <c r="D118" s="1549">
        <f>7315</f>
        <v>7315</v>
      </c>
      <c r="E118" s="1539" t="s">
        <v>1115</v>
      </c>
      <c r="F118" s="1524"/>
    </row>
    <row r="119" ht="18" spans="2:6">
      <c r="B119" s="1544" t="s">
        <v>1304</v>
      </c>
      <c r="C119" s="1544"/>
      <c r="D119" s="1524">
        <v>1000</v>
      </c>
      <c r="E119" s="1539" t="s">
        <v>1115</v>
      </c>
      <c r="F119" s="1524"/>
    </row>
    <row r="120" spans="2:6">
      <c r="B120" s="1544" t="s">
        <v>1305</v>
      </c>
      <c r="C120" s="1544"/>
      <c r="D120" s="1549">
        <v>1.25</v>
      </c>
      <c r="F120" s="1524"/>
    </row>
    <row r="121" ht="18" spans="2:6">
      <c r="B121" s="1537" t="s">
        <v>1306</v>
      </c>
      <c r="C121" s="1539" t="s">
        <v>1307</v>
      </c>
      <c r="F121" s="1524"/>
    </row>
    <row r="122" ht="18" spans="2:6">
      <c r="B122" s="1537" t="s">
        <v>396</v>
      </c>
      <c r="C122" s="1524">
        <f>D120*(D118+D119)*(273+20)/(273+20)*(101/101)*(1.293/1.293)</f>
        <v>10393.75</v>
      </c>
      <c r="D122" s="1539" t="s">
        <v>1115</v>
      </c>
      <c r="F122" s="1524"/>
    </row>
    <row r="123" ht="18" spans="1:4">
      <c r="A123" s="1539"/>
      <c r="B123" s="1524" t="s">
        <v>1308</v>
      </c>
      <c r="C123" s="1524">
        <f>10390*(273+20)/(273+20)*(101/C90)*(1.293/1.293)</f>
        <v>11723.0631737698</v>
      </c>
      <c r="D123" s="1539" t="s">
        <v>1115</v>
      </c>
    </row>
    <row r="124" ht="18" spans="2:5">
      <c r="B124" s="1546"/>
      <c r="C124" s="1546"/>
      <c r="E124" s="1539"/>
    </row>
    <row r="125" ht="18" spans="1:6">
      <c r="A125" s="1539" t="s">
        <v>1310</v>
      </c>
      <c r="C125" s="1524" t="s">
        <v>106</v>
      </c>
      <c r="F125" s="1524"/>
    </row>
    <row r="126" spans="2:6">
      <c r="B126" s="1546" t="s">
        <v>1311</v>
      </c>
      <c r="C126" s="1549">
        <v>1</v>
      </c>
      <c r="D126" s="1524" t="s">
        <v>1312</v>
      </c>
      <c r="F126" s="1524"/>
    </row>
    <row r="127" ht="18" spans="2:6">
      <c r="B127" s="1546" t="s">
        <v>1313</v>
      </c>
      <c r="C127" s="1524">
        <f>C105</f>
        <v>80700</v>
      </c>
      <c r="D127" s="1539" t="s">
        <v>1291</v>
      </c>
      <c r="F127" s="1524"/>
    </row>
    <row r="128" ht="18" spans="2:6">
      <c r="B128" s="1546" t="s">
        <v>1314</v>
      </c>
      <c r="C128" s="1524">
        <f>C114</f>
        <v>19320</v>
      </c>
      <c r="D128" s="1539" t="s">
        <v>1115</v>
      </c>
      <c r="F128" s="1524"/>
    </row>
    <row r="129" spans="2:6">
      <c r="B129" s="1528" t="s">
        <v>1315</v>
      </c>
      <c r="C129" s="1528"/>
      <c r="F129" s="1524"/>
    </row>
    <row r="130" ht="18" spans="2:6">
      <c r="B130" s="1546" t="s">
        <v>1316</v>
      </c>
      <c r="C130" s="1555">
        <v>0.85</v>
      </c>
      <c r="F130" s="1524"/>
    </row>
    <row r="131" ht="18" spans="2:6">
      <c r="B131" s="1546" t="s">
        <v>1317</v>
      </c>
      <c r="C131" s="1555">
        <v>0.98</v>
      </c>
      <c r="F131" s="1524"/>
    </row>
    <row r="132" ht="18" spans="2:6">
      <c r="B132" s="1546" t="s">
        <v>1318</v>
      </c>
      <c r="C132" s="1555">
        <v>0.9</v>
      </c>
      <c r="F132" s="1524"/>
    </row>
    <row r="133" spans="2:6">
      <c r="B133" s="1546"/>
      <c r="C133" s="1544"/>
      <c r="F133" s="1524"/>
    </row>
    <row r="134" spans="2:6">
      <c r="B134" s="1544" t="s">
        <v>1319</v>
      </c>
      <c r="C134" s="1555">
        <v>1.1</v>
      </c>
      <c r="F134" s="1524"/>
    </row>
    <row r="135" ht="18" spans="2:6">
      <c r="B135" s="1537" t="s">
        <v>1320</v>
      </c>
      <c r="C135" s="1539" t="s">
        <v>1321</v>
      </c>
      <c r="F135" s="1524"/>
    </row>
    <row r="136" ht="18" spans="2:6">
      <c r="B136" s="1546" t="s">
        <v>93</v>
      </c>
      <c r="C136" s="1547">
        <f>C134*C127*C128/(3600*9.81*102*C130*C131*C132)</f>
        <v>635.059111156872</v>
      </c>
      <c r="D136" s="1539" t="s">
        <v>596</v>
      </c>
      <c r="F136" s="1524"/>
    </row>
    <row r="137" spans="2:3">
      <c r="B137" s="1528"/>
      <c r="C137" s="1528"/>
    </row>
    <row r="138" spans="2:6">
      <c r="B138" s="1546" t="s">
        <v>1322</v>
      </c>
      <c r="C138" s="1549">
        <v>1</v>
      </c>
      <c r="D138" s="1524" t="s">
        <v>1312</v>
      </c>
      <c r="F138" s="1524"/>
    </row>
    <row r="139" ht="18" spans="2:6">
      <c r="B139" s="1546" t="s">
        <v>1313</v>
      </c>
      <c r="C139" s="1524">
        <f>C106</f>
        <v>54300</v>
      </c>
      <c r="D139" s="1539" t="s">
        <v>1291</v>
      </c>
      <c r="F139" s="1524"/>
    </row>
    <row r="140" ht="18" spans="2:6">
      <c r="B140" s="1546" t="s">
        <v>1314</v>
      </c>
      <c r="C140" s="1524">
        <f>C123</f>
        <v>11723.0631737698</v>
      </c>
      <c r="D140" s="1539" t="s">
        <v>1115</v>
      </c>
      <c r="F140" s="1524"/>
    </row>
    <row r="141" spans="2:6">
      <c r="B141" s="1528" t="s">
        <v>1315</v>
      </c>
      <c r="C141" s="1528"/>
      <c r="F141" s="1524"/>
    </row>
    <row r="142" ht="18" spans="2:6">
      <c r="B142" s="1546" t="s">
        <v>1316</v>
      </c>
      <c r="C142" s="1555">
        <v>0.85</v>
      </c>
      <c r="F142" s="1524"/>
    </row>
    <row r="143" ht="18" spans="2:6">
      <c r="B143" s="1546" t="s">
        <v>1317</v>
      </c>
      <c r="C143" s="1555">
        <v>0.98</v>
      </c>
      <c r="F143" s="1524"/>
    </row>
    <row r="144" ht="18" spans="2:6">
      <c r="B144" s="1546" t="s">
        <v>1318</v>
      </c>
      <c r="C144" s="1555">
        <v>0.9</v>
      </c>
      <c r="F144" s="1524"/>
    </row>
    <row r="145" spans="2:6">
      <c r="B145" s="1546"/>
      <c r="C145" s="1555"/>
      <c r="F145" s="1524"/>
    </row>
    <row r="146" spans="2:6">
      <c r="B146" s="1544" t="s">
        <v>1319</v>
      </c>
      <c r="C146" s="1555">
        <v>1.1</v>
      </c>
      <c r="F146" s="1524"/>
    </row>
    <row r="147" ht="18" spans="2:6">
      <c r="B147" s="1537" t="s">
        <v>1320</v>
      </c>
      <c r="C147" s="1539" t="s">
        <v>1321</v>
      </c>
      <c r="F147" s="1524"/>
    </row>
    <row r="148" ht="18" spans="2:6">
      <c r="B148" s="1546" t="s">
        <v>93</v>
      </c>
      <c r="C148" s="1547">
        <f>C146*C139*C140/(3600*9.81*102*C142*C143*C144)</f>
        <v>259.283230646783</v>
      </c>
      <c r="D148" s="1539" t="s">
        <v>596</v>
      </c>
      <c r="F148" s="1524"/>
    </row>
    <row r="149" ht="18" spans="2:5">
      <c r="B149" s="1537"/>
      <c r="C149" s="1556"/>
      <c r="E149" s="1557"/>
    </row>
    <row r="150" ht="18" spans="2:5">
      <c r="B150" s="1546"/>
      <c r="C150" s="1556"/>
      <c r="E150" s="1557"/>
    </row>
    <row r="151" ht="18" spans="1:6">
      <c r="A151" s="1539" t="s">
        <v>1323</v>
      </c>
      <c r="C151" s="1524" t="s">
        <v>106</v>
      </c>
      <c r="F151" s="1524"/>
    </row>
    <row r="152" ht="18" spans="1:6">
      <c r="A152" s="1539" t="s">
        <v>1324</v>
      </c>
      <c r="F152" s="1524"/>
    </row>
    <row r="153" ht="18" spans="1:6">
      <c r="A153" s="1539"/>
      <c r="B153" s="1546" t="s">
        <v>1325</v>
      </c>
      <c r="C153" s="1546"/>
      <c r="D153" s="1549">
        <v>1.2</v>
      </c>
      <c r="F153" s="1524"/>
    </row>
    <row r="154" ht="18" spans="1:6">
      <c r="A154" s="1539"/>
      <c r="B154" s="1546" t="s">
        <v>1326</v>
      </c>
      <c r="C154" s="1546"/>
      <c r="D154" s="1549">
        <v>0.3</v>
      </c>
      <c r="F154" s="1524"/>
    </row>
    <row r="155" ht="18" spans="1:6">
      <c r="A155" s="1539"/>
      <c r="B155" s="1546" t="s">
        <v>1327</v>
      </c>
      <c r="C155" s="1546"/>
      <c r="D155" s="1549">
        <v>130</v>
      </c>
      <c r="E155" s="1524" t="s">
        <v>933</v>
      </c>
      <c r="F155" s="1524"/>
    </row>
    <row r="156" ht="18" spans="2:6">
      <c r="B156" s="1537" t="s">
        <v>1259</v>
      </c>
      <c r="C156" s="1539" t="s">
        <v>1328</v>
      </c>
      <c r="F156" s="1524"/>
    </row>
    <row r="157" ht="18" spans="2:6">
      <c r="B157" s="1537" t="s">
        <v>396</v>
      </c>
      <c r="C157" s="1552">
        <f>D153*C72*(C61+D154*C24)*(273+D155)*101*1000/(273*101)</f>
        <v>185059.075292859</v>
      </c>
      <c r="D157" s="1539" t="s">
        <v>1291</v>
      </c>
      <c r="F157" s="1524"/>
    </row>
    <row r="158" ht="18" spans="2:6">
      <c r="B158" s="1537"/>
      <c r="F158" s="1524"/>
    </row>
    <row r="159" spans="1:6">
      <c r="A159" s="1524" t="s">
        <v>1329</v>
      </c>
      <c r="F159" s="1524"/>
    </row>
    <row r="160" ht="18" spans="1:6">
      <c r="A160" s="1539"/>
      <c r="B160" s="1524" t="s">
        <v>1330</v>
      </c>
      <c r="C160" s="1549">
        <v>146055</v>
      </c>
      <c r="D160" s="1537" t="s">
        <v>1295</v>
      </c>
      <c r="F160" s="1524"/>
    </row>
    <row r="161" ht="18" spans="1:6">
      <c r="A161" s="1539"/>
      <c r="B161" s="1524" t="s">
        <v>1296</v>
      </c>
      <c r="C161" s="1550">
        <f>D153*C160*(1+C154)*(273+D155)*101/(403*101)*1.1</f>
        <v>192792.6</v>
      </c>
      <c r="D161" s="1539" t="s">
        <v>1291</v>
      </c>
      <c r="F161" s="1524"/>
    </row>
    <row r="162" ht="18" spans="1:6">
      <c r="A162" s="1524" t="s">
        <v>1300</v>
      </c>
      <c r="C162" s="1552">
        <f>C161</f>
        <v>192792.6</v>
      </c>
      <c r="D162" s="1539" t="s">
        <v>1291</v>
      </c>
      <c r="F162" s="1524"/>
    </row>
    <row r="163" ht="18" spans="2:6">
      <c r="B163" s="1546"/>
      <c r="C163" s="1546"/>
      <c r="E163" s="1539"/>
      <c r="F163" s="1524"/>
    </row>
    <row r="164" ht="18" spans="1:6">
      <c r="A164" s="1539"/>
      <c r="B164" s="1546" t="s">
        <v>1331</v>
      </c>
      <c r="C164" s="1549">
        <v>120</v>
      </c>
      <c r="D164" s="1524" t="s">
        <v>1332</v>
      </c>
      <c r="F164" s="1524"/>
    </row>
    <row r="165" ht="18" spans="2:6">
      <c r="B165" s="1546" t="s">
        <v>1333</v>
      </c>
      <c r="C165" s="1549">
        <v>27</v>
      </c>
      <c r="D165" s="1539" t="s">
        <v>359</v>
      </c>
      <c r="E165" s="1539"/>
      <c r="F165" s="1524"/>
    </row>
    <row r="166" ht="18" spans="2:6">
      <c r="B166" s="1546"/>
      <c r="C166" s="1546"/>
      <c r="E166" s="1539"/>
      <c r="F166" s="1524"/>
    </row>
    <row r="167" ht="18" spans="1:6">
      <c r="A167" s="1539" t="s">
        <v>1334</v>
      </c>
      <c r="F167" s="1524"/>
    </row>
    <row r="168" ht="18" spans="2:6">
      <c r="B168" s="1546" t="s">
        <v>1335</v>
      </c>
      <c r="C168" s="1546"/>
      <c r="D168" s="1549">
        <v>2661</v>
      </c>
      <c r="E168" s="1539" t="s">
        <v>1115</v>
      </c>
      <c r="F168" s="1524"/>
    </row>
    <row r="169" ht="18" spans="2:6">
      <c r="B169" s="1546" t="s">
        <v>1336</v>
      </c>
      <c r="C169" s="1546"/>
      <c r="D169" s="1549">
        <v>1500</v>
      </c>
      <c r="E169" s="1539" t="s">
        <v>1115</v>
      </c>
      <c r="F169" s="1524"/>
    </row>
    <row r="170" ht="18" spans="2:6">
      <c r="B170" s="1546" t="s">
        <v>1337</v>
      </c>
      <c r="C170" s="1546"/>
      <c r="D170" s="1549">
        <v>1000</v>
      </c>
      <c r="E170" s="1539" t="s">
        <v>1115</v>
      </c>
      <c r="F170" s="1524"/>
    </row>
    <row r="171" ht="18" spans="2:6">
      <c r="B171" s="1546" t="s">
        <v>1338</v>
      </c>
      <c r="C171" s="1546"/>
      <c r="D171" s="1524">
        <f>1.3*C165*C165/2</f>
        <v>473.85</v>
      </c>
      <c r="E171" s="1539" t="s">
        <v>1115</v>
      </c>
      <c r="F171" s="1524"/>
    </row>
    <row r="172" ht="18" spans="2:7">
      <c r="B172" s="1546" t="s">
        <v>1339</v>
      </c>
      <c r="C172" s="1546"/>
      <c r="D172" s="1524">
        <f>(C164-10)*(1.293-0.98)*9.81</f>
        <v>337.7583</v>
      </c>
      <c r="E172" s="1539" t="s">
        <v>1115</v>
      </c>
      <c r="F172" s="1524"/>
      <c r="G172" s="826"/>
    </row>
    <row r="173" ht="18" spans="2:7">
      <c r="B173" s="1546" t="s">
        <v>1340</v>
      </c>
      <c r="C173" s="1546"/>
      <c r="D173" s="1549">
        <v>1.3</v>
      </c>
      <c r="F173" s="1524"/>
      <c r="G173" s="1539"/>
    </row>
    <row r="174" ht="18" spans="2:6">
      <c r="B174" s="1537" t="s">
        <v>1341</v>
      </c>
      <c r="C174" s="1539" t="s">
        <v>1342</v>
      </c>
      <c r="F174" s="1524"/>
    </row>
    <row r="175" ht="18" spans="2:6">
      <c r="B175" s="1537" t="s">
        <v>396</v>
      </c>
      <c r="C175" s="1552">
        <f>D173*(D168+D169+D170+D171-D172)*((273+D155)/(273+200))*(101/C90)</f>
        <v>6619.88289263838</v>
      </c>
      <c r="D175" s="1539" t="s">
        <v>1115</v>
      </c>
      <c r="F175" s="1524"/>
    </row>
    <row r="176" ht="18" spans="2:6">
      <c r="B176" s="1537"/>
      <c r="C176" s="1552"/>
      <c r="D176" s="1539"/>
      <c r="F176" s="1524"/>
    </row>
    <row r="177" ht="18" spans="1:6">
      <c r="A177" s="1539" t="s">
        <v>1343</v>
      </c>
      <c r="F177" s="1524"/>
    </row>
    <row r="178" spans="2:6">
      <c r="B178" s="1546" t="s">
        <v>1344</v>
      </c>
      <c r="C178" s="1549">
        <v>1</v>
      </c>
      <c r="D178" s="1524" t="s">
        <v>1312</v>
      </c>
      <c r="F178" s="1524"/>
    </row>
    <row r="179" ht="18" spans="2:6">
      <c r="B179" s="1546" t="s">
        <v>1313</v>
      </c>
      <c r="C179" s="1524">
        <f>C162/C178</f>
        <v>192792.6</v>
      </c>
      <c r="D179" s="1539" t="s">
        <v>1291</v>
      </c>
      <c r="F179" s="1524"/>
    </row>
    <row r="180" ht="18" spans="2:6">
      <c r="B180" s="1546" t="s">
        <v>1314</v>
      </c>
      <c r="C180" s="1524">
        <f>C175</f>
        <v>6619.88289263838</v>
      </c>
      <c r="D180" s="1539" t="s">
        <v>1115</v>
      </c>
      <c r="F180" s="1524"/>
    </row>
    <row r="181" spans="2:6">
      <c r="B181" s="1528" t="s">
        <v>1315</v>
      </c>
      <c r="C181" s="1528"/>
      <c r="F181" s="1524"/>
    </row>
    <row r="182" ht="18" spans="2:6">
      <c r="B182" s="1546" t="s">
        <v>1316</v>
      </c>
      <c r="C182" s="1555">
        <v>0.85</v>
      </c>
      <c r="F182" s="1524"/>
    </row>
    <row r="183" ht="18" spans="2:6">
      <c r="B183" s="1546" t="s">
        <v>1317</v>
      </c>
      <c r="C183" s="1555">
        <v>0.98</v>
      </c>
      <c r="F183" s="1524"/>
    </row>
    <row r="184" ht="18" spans="2:6">
      <c r="B184" s="1546" t="s">
        <v>1318</v>
      </c>
      <c r="C184" s="1555">
        <v>0.9</v>
      </c>
      <c r="F184" s="1524"/>
    </row>
    <row r="185" spans="2:6">
      <c r="B185" s="1546" t="s">
        <v>1319</v>
      </c>
      <c r="C185" s="1555">
        <v>1.15</v>
      </c>
      <c r="F185" s="1524"/>
    </row>
    <row r="186" ht="18" spans="2:6">
      <c r="B186" s="1537" t="s">
        <v>1345</v>
      </c>
      <c r="C186" s="1539" t="s">
        <v>1346</v>
      </c>
      <c r="F186" s="1524"/>
    </row>
    <row r="187" ht="18" spans="2:6">
      <c r="B187" s="1537" t="s">
        <v>396</v>
      </c>
      <c r="C187" s="1556">
        <f>C185*C179*C180/(3600*9.81*102*C182*C183*C184)</f>
        <v>543.474681371214</v>
      </c>
      <c r="D187" s="1539" t="s">
        <v>1039</v>
      </c>
      <c r="F187" s="1524"/>
    </row>
    <row r="188" ht="18" spans="3:3">
      <c r="C188" s="1539"/>
    </row>
    <row r="189" ht="18" spans="1:4">
      <c r="A189" s="1539"/>
      <c r="C189" s="1547"/>
      <c r="D189" s="1539"/>
    </row>
    <row r="190" ht="18" spans="1:4">
      <c r="A190" s="1539"/>
      <c r="D190" s="1539"/>
    </row>
    <row r="191" ht="18" spans="1:6">
      <c r="A191" s="1539"/>
      <c r="B191" s="1551"/>
      <c r="C191" s="1537"/>
      <c r="D191" s="1546"/>
      <c r="F191" s="1537"/>
    </row>
    <row r="192" ht="18" spans="2:6">
      <c r="B192" s="1551"/>
      <c r="C192" s="1537"/>
      <c r="D192" s="1546"/>
      <c r="F192" s="1537"/>
    </row>
    <row r="193" ht="18" spans="3:4">
      <c r="C193" s="1552"/>
      <c r="D193" s="1539"/>
    </row>
    <row r="194" ht="18" spans="4:4">
      <c r="D194" s="1537"/>
    </row>
    <row r="196" ht="18" spans="3:4">
      <c r="C196" s="1547"/>
      <c r="D196" s="1539"/>
    </row>
    <row r="197" ht="18" spans="1:4">
      <c r="A197" s="1539"/>
      <c r="C197" s="1547"/>
      <c r="D197" s="1539"/>
    </row>
    <row r="198" ht="18" spans="4:5">
      <c r="D198" s="1549"/>
      <c r="E198" s="1539"/>
    </row>
    <row r="199" ht="18" spans="3:5">
      <c r="C199" s="1539"/>
      <c r="D199" s="1545"/>
      <c r="E199" s="1539"/>
    </row>
    <row r="200" spans="2:6">
      <c r="B200" s="1544"/>
      <c r="C200" s="1544"/>
      <c r="D200" s="1549"/>
      <c r="F200" s="1524"/>
    </row>
    <row r="201" ht="18" spans="2:6">
      <c r="B201" s="1537"/>
      <c r="C201" s="1539"/>
      <c r="F201" s="1524"/>
    </row>
    <row r="202" ht="18" spans="2:6">
      <c r="B202" s="1537"/>
      <c r="D202" s="1539"/>
      <c r="F202" s="1524"/>
    </row>
    <row r="203" ht="18" spans="4:4">
      <c r="D203" s="1539"/>
    </row>
    <row r="205" ht="18" spans="5:5">
      <c r="E205" s="1539"/>
    </row>
    <row r="207" ht="18" spans="2:4">
      <c r="B207" s="1539"/>
      <c r="C207" s="1547"/>
      <c r="D207" s="1539"/>
    </row>
    <row r="208" ht="18" spans="1:3">
      <c r="A208" s="1539"/>
      <c r="C208" s="1539"/>
    </row>
    <row r="209" ht="18" spans="1:4">
      <c r="A209" s="1539"/>
      <c r="D209" s="1539"/>
    </row>
    <row r="210" ht="18" spans="1:6">
      <c r="A210" s="1539"/>
      <c r="D210" s="1546"/>
      <c r="E210" s="1537"/>
      <c r="F210" s="1537"/>
    </row>
    <row r="211" ht="18" spans="2:6">
      <c r="B211" s="1546"/>
      <c r="C211" s="1546"/>
      <c r="F211" s="1537"/>
    </row>
    <row r="212" spans="2:3">
      <c r="B212" s="1546"/>
      <c r="C212" s="1546"/>
    </row>
    <row r="213" spans="3:3">
      <c r="C213" s="1552"/>
    </row>
    <row r="214" ht="18" spans="4:4">
      <c r="D214" s="1539"/>
    </row>
    <row r="215" ht="18" spans="2:3">
      <c r="B215" s="1537"/>
      <c r="C215" s="1539"/>
    </row>
    <row r="216" ht="18" spans="2:4">
      <c r="B216" s="1537"/>
      <c r="C216" s="1552"/>
      <c r="D216" s="1539"/>
    </row>
    <row r="217" ht="18" spans="3:4">
      <c r="C217" s="1547"/>
      <c r="D217" s="1539"/>
    </row>
    <row r="218" ht="18" spans="1:1">
      <c r="A218" s="1539"/>
    </row>
    <row r="219" ht="18" spans="2:5">
      <c r="B219" s="1544"/>
      <c r="C219" s="1544"/>
      <c r="E219" s="1539"/>
    </row>
    <row r="220" ht="18" spans="2:5">
      <c r="B220" s="1544"/>
      <c r="C220" s="1544"/>
      <c r="E220" s="1539"/>
    </row>
    <row r="221" spans="2:3">
      <c r="B221" s="1544"/>
      <c r="C221" s="1544"/>
    </row>
    <row r="222" ht="18" spans="3:4">
      <c r="C222" s="1547"/>
      <c r="D222" s="1539"/>
    </row>
    <row r="223" ht="18" spans="3:4">
      <c r="C223" s="1547"/>
      <c r="D223" s="1539"/>
    </row>
    <row r="224" ht="18" spans="2:6">
      <c r="B224" s="1537"/>
      <c r="C224" s="1539"/>
      <c r="F224" s="1524"/>
    </row>
    <row r="225" ht="18" spans="2:6">
      <c r="B225" s="1537"/>
      <c r="D225" s="1539"/>
      <c r="F225" s="1524"/>
    </row>
    <row r="228" ht="18" spans="2:6">
      <c r="B228" s="1537"/>
      <c r="C228" s="1539"/>
      <c r="F228" s="1524"/>
    </row>
    <row r="229" ht="18" spans="2:6">
      <c r="B229" s="1537"/>
      <c r="D229" s="1539"/>
      <c r="F229" s="1524"/>
    </row>
    <row r="234" ht="18" spans="1:6">
      <c r="A234" s="1539"/>
      <c r="F234" s="1524"/>
    </row>
    <row r="235" ht="18" spans="1:6">
      <c r="A235" s="1539"/>
      <c r="B235" s="1544"/>
      <c r="F235" s="1524"/>
    </row>
    <row r="236" spans="1:6">
      <c r="A236" s="1546"/>
      <c r="B236" s="1546"/>
      <c r="C236" s="1549"/>
      <c r="F236" s="1524"/>
    </row>
    <row r="237" ht="18" spans="2:6">
      <c r="B237" s="1537"/>
      <c r="C237" s="1539"/>
      <c r="F237" s="1524"/>
    </row>
    <row r="238" ht="18" spans="2:6">
      <c r="B238" s="1537"/>
      <c r="C238" s="1556"/>
      <c r="E238" s="1539"/>
      <c r="F238" s="1539"/>
    </row>
    <row r="239" ht="18" spans="2:6">
      <c r="B239" s="1546"/>
      <c r="C239" s="1556"/>
      <c r="E239" s="1557"/>
      <c r="F239" s="1539"/>
    </row>
    <row r="240" ht="18" spans="1:6">
      <c r="A240" s="1539"/>
      <c r="F240" s="1524"/>
    </row>
    <row r="241" ht="18" spans="2:6">
      <c r="B241" s="1549"/>
      <c r="C241" s="1539"/>
      <c r="F241" s="1524"/>
    </row>
    <row r="242" ht="18" spans="3:6">
      <c r="C242" s="1539"/>
      <c r="F242" s="1524"/>
    </row>
    <row r="243" ht="18" spans="1:6">
      <c r="A243" s="1539"/>
      <c r="F243" s="1524"/>
    </row>
    <row r="244" ht="18" spans="2:6">
      <c r="B244" s="1546"/>
      <c r="C244" s="1547"/>
      <c r="E244" s="1547"/>
      <c r="F244" s="1539"/>
    </row>
    <row r="245" ht="18" spans="2:6">
      <c r="B245" s="1546"/>
      <c r="C245" s="1547"/>
      <c r="E245" s="1547"/>
      <c r="F245" s="1539"/>
    </row>
    <row r="248" ht="18" spans="1:6">
      <c r="A248" s="1539"/>
      <c r="F248" s="1524"/>
    </row>
    <row r="249" ht="18" spans="1:6">
      <c r="A249" s="1539"/>
      <c r="F249" s="1524"/>
    </row>
    <row r="250" ht="18" spans="4:6">
      <c r="D250" s="1552"/>
      <c r="E250" s="1539"/>
      <c r="F250" s="1524"/>
    </row>
    <row r="251" ht="18" spans="4:6">
      <c r="D251" s="1549"/>
      <c r="E251" s="1539"/>
      <c r="F251" s="1524"/>
    </row>
    <row r="252" ht="18" spans="4:6">
      <c r="D252" s="1549"/>
      <c r="E252" s="1539"/>
      <c r="F252" s="1524"/>
    </row>
    <row r="253" spans="6:6">
      <c r="F253" s="1524"/>
    </row>
    <row r="254" spans="6:6">
      <c r="F254" s="1524"/>
    </row>
    <row r="255" ht="18" spans="2:6">
      <c r="B255" s="1539"/>
      <c r="C255" s="1547"/>
      <c r="D255" s="1539"/>
      <c r="F255" s="1524"/>
    </row>
    <row r="256" spans="3:3">
      <c r="C256" s="1558"/>
    </row>
    <row r="257" ht="18" spans="3:4">
      <c r="C257" s="1547"/>
      <c r="D257" s="1539"/>
    </row>
    <row r="260" ht="18" spans="2:4">
      <c r="B260" s="1539"/>
      <c r="C260" s="1547"/>
      <c r="D260" s="1539"/>
    </row>
    <row r="261" spans="3:3">
      <c r="C261" s="1558"/>
    </row>
    <row r="262" ht="18" spans="3:5">
      <c r="C262" s="1547"/>
      <c r="D262" s="1539"/>
      <c r="E262" s="1539"/>
    </row>
    <row r="263" ht="18" spans="5:5">
      <c r="E263" s="1539"/>
    </row>
    <row r="264" ht="18" spans="1:1">
      <c r="A264" s="1539"/>
    </row>
    <row r="265" ht="18" spans="1:1">
      <c r="A265" s="1539"/>
    </row>
    <row r="266" ht="18" spans="4:5">
      <c r="D266" s="1552"/>
      <c r="E266" s="1539"/>
    </row>
    <row r="267" ht="18" spans="4:5">
      <c r="D267" s="1549"/>
      <c r="E267" s="1539"/>
    </row>
    <row r="268" ht="18" spans="4:5">
      <c r="D268" s="1549"/>
      <c r="E268" s="1539"/>
    </row>
    <row r="271" ht="18" spans="2:4">
      <c r="B271" s="1539"/>
      <c r="C271" s="1547"/>
      <c r="D271" s="1539"/>
    </row>
    <row r="272" spans="3:3">
      <c r="C272" s="1558"/>
    </row>
    <row r="273" ht="18" spans="3:4">
      <c r="C273" s="1547"/>
      <c r="D273" s="1539"/>
    </row>
    <row r="276" ht="18" spans="2:4">
      <c r="B276" s="1539"/>
      <c r="C276" s="1547"/>
      <c r="D276" s="1539"/>
    </row>
    <row r="277" spans="3:3">
      <c r="C277" s="1558"/>
    </row>
    <row r="278" ht="18" spans="3:5">
      <c r="C278" s="1547"/>
      <c r="D278" s="1539"/>
      <c r="E278" s="1539"/>
    </row>
    <row r="282" ht="18" spans="1:1">
      <c r="A282" s="1539"/>
    </row>
    <row r="283" ht="18" spans="4:5">
      <c r="D283" s="1552"/>
      <c r="E283" s="1539"/>
    </row>
    <row r="284" ht="18" spans="4:5">
      <c r="D284" s="1549"/>
      <c r="E284" s="1539"/>
    </row>
    <row r="286" ht="18" spans="2:4">
      <c r="B286" s="1539"/>
      <c r="C286" s="1547"/>
      <c r="D286" s="1539"/>
    </row>
    <row r="287" spans="3:3">
      <c r="C287" s="1558"/>
    </row>
    <row r="288" ht="18" spans="3:4">
      <c r="C288" s="1547"/>
      <c r="D288" s="1539"/>
    </row>
    <row r="293" ht="18" spans="2:4">
      <c r="B293" s="1539"/>
      <c r="C293" s="1547"/>
      <c r="D293" s="1539"/>
    </row>
    <row r="294" spans="3:3">
      <c r="C294" s="1558"/>
    </row>
    <row r="295" ht="18" spans="3:4">
      <c r="C295" s="1547"/>
      <c r="D295" s="1539"/>
    </row>
  </sheetData>
  <sheetProtection selectLockedCells="1" selectUnlockedCells="1" deleteColumns="0" deleteRows="0"/>
  <protectedRanges>
    <protectedRange password="8BC5" sqref="A4:E8" name="範圍1"/>
  </protectedRanges>
  <customSheetViews>
    <customSheetView guid="{B9330FFD-B5EF-4680-A375-DB92D4738404}">
      <selection activeCell="G13" sqref="G13"/>
      <pageMargins left="0.7" right="0.7" top="0.75" bottom="0.75" header="0.3" footer="0.3"/>
      <headerFooter/>
    </customSheetView>
  </customSheetViews>
  <mergeCells count="27">
    <mergeCell ref="A1:F1"/>
    <mergeCell ref="A3:F3"/>
    <mergeCell ref="B5:E5"/>
    <mergeCell ref="B8:E8"/>
    <mergeCell ref="A22:B22"/>
    <mergeCell ref="B23:E23"/>
    <mergeCell ref="B47:D47"/>
    <mergeCell ref="B91:C91"/>
    <mergeCell ref="B96:C96"/>
    <mergeCell ref="B97:C97"/>
    <mergeCell ref="B98:C98"/>
    <mergeCell ref="B102:C102"/>
    <mergeCell ref="B107:C107"/>
    <mergeCell ref="B109:C109"/>
    <mergeCell ref="B117:C117"/>
    <mergeCell ref="B124:C124"/>
    <mergeCell ref="B129:C129"/>
    <mergeCell ref="B137:C137"/>
    <mergeCell ref="B141:C141"/>
    <mergeCell ref="B153:C153"/>
    <mergeCell ref="B154:C154"/>
    <mergeCell ref="B155:C155"/>
    <mergeCell ref="B163:C163"/>
    <mergeCell ref="B168:C168"/>
    <mergeCell ref="B211:C211"/>
    <mergeCell ref="B212:C212"/>
    <mergeCell ref="A236:B236"/>
  </mergeCells>
  <hyperlinks>
    <hyperlink ref="F5" location="目录!A1" display="目录!A1"/>
  </hyperlink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84"/>
  <sheetViews>
    <sheetView topLeftCell="A42" workbookViewId="0">
      <selection activeCell="E46" sqref="E46"/>
    </sheetView>
  </sheetViews>
  <sheetFormatPr defaultColWidth="9" defaultRowHeight="15.6"/>
  <cols>
    <col min="1" max="1" width="44.375" style="168" customWidth="1"/>
    <col min="2" max="2" width="15" style="168" customWidth="1"/>
    <col min="3" max="3" width="16" style="168" customWidth="1"/>
    <col min="4" max="4" width="36.375" style="168" customWidth="1"/>
    <col min="5" max="5" width="22.25" style="168" customWidth="1"/>
    <col min="6" max="16384" width="9" style="168"/>
  </cols>
  <sheetData>
    <row r="1" s="1429" customFormat="1" ht="19.15" customHeight="1" spans="1:6">
      <c r="A1" s="1430" t="s">
        <v>1347</v>
      </c>
      <c r="B1" s="1430" t="s">
        <v>1348</v>
      </c>
      <c r="C1" s="1430" t="s">
        <v>916</v>
      </c>
      <c r="D1" s="1430" t="s">
        <v>918</v>
      </c>
      <c r="E1" s="1430"/>
      <c r="F1" s="1430"/>
    </row>
    <row r="2" s="1429" customFormat="1" ht="19.15" customHeight="1" spans="1:2">
      <c r="A2" s="1431" t="s">
        <v>1349</v>
      </c>
      <c r="B2" s="1432">
        <v>2000</v>
      </c>
    </row>
    <row r="3" s="1429" customFormat="1" ht="19.15" customHeight="1" spans="1:2">
      <c r="A3" s="1431" t="s">
        <v>1350</v>
      </c>
      <c r="B3" s="1432">
        <v>50</v>
      </c>
    </row>
    <row r="4" s="1429" customFormat="1" ht="19.15" customHeight="1" spans="1:2">
      <c r="A4" s="1431" t="s">
        <v>1351</v>
      </c>
      <c r="B4" s="1432">
        <v>1</v>
      </c>
    </row>
    <row r="5" s="1429" customFormat="1" ht="19.15" customHeight="1" spans="1:256">
      <c r="A5" s="1431" t="s">
        <v>1352</v>
      </c>
      <c r="B5" s="1432">
        <v>10</v>
      </c>
      <c r="C5" s="1431"/>
      <c r="D5" s="1431"/>
      <c r="E5" s="1431"/>
      <c r="F5" s="1431"/>
      <c r="G5" s="1431"/>
      <c r="H5" s="1431"/>
      <c r="I5" s="1431"/>
      <c r="J5" s="1431"/>
      <c r="K5" s="1431"/>
      <c r="L5" s="1431"/>
      <c r="M5" s="1431"/>
      <c r="N5" s="1431"/>
      <c r="O5" s="1431"/>
      <c r="P5" s="1431"/>
      <c r="Q5" s="1431"/>
      <c r="R5" s="1431"/>
      <c r="S5" s="1431"/>
      <c r="T5" s="1431"/>
      <c r="U5" s="1431"/>
      <c r="V5" s="1431"/>
      <c r="W5" s="1431"/>
      <c r="X5" s="1431"/>
      <c r="Y5" s="1431"/>
      <c r="Z5" s="1431"/>
      <c r="AA5" s="1431"/>
      <c r="AB5" s="1431"/>
      <c r="AC5" s="1431"/>
      <c r="AD5" s="1431"/>
      <c r="AE5" s="1431"/>
      <c r="AF5" s="1431"/>
      <c r="AG5" s="1431"/>
      <c r="AH5" s="1431"/>
      <c r="AI5" s="1431"/>
      <c r="AJ5" s="1431"/>
      <c r="AK5" s="1431"/>
      <c r="AL5" s="1431"/>
      <c r="AM5" s="1431"/>
      <c r="AN5" s="1431"/>
      <c r="AO5" s="1431"/>
      <c r="AP5" s="1431"/>
      <c r="AQ5" s="1431"/>
      <c r="AR5" s="1431"/>
      <c r="AS5" s="1431"/>
      <c r="AT5" s="1431"/>
      <c r="AU5" s="1431"/>
      <c r="AV5" s="1431"/>
      <c r="AW5" s="1431"/>
      <c r="AX5" s="1431"/>
      <c r="AY5" s="1431"/>
      <c r="AZ5" s="1431"/>
      <c r="BA5" s="1431"/>
      <c r="BB5" s="1431"/>
      <c r="BC5" s="1431"/>
      <c r="BD5" s="1431"/>
      <c r="BE5" s="1431"/>
      <c r="BF5" s="1431"/>
      <c r="BG5" s="1431"/>
      <c r="BH5" s="1431"/>
      <c r="BI5" s="1431"/>
      <c r="BJ5" s="1431"/>
      <c r="BK5" s="1431"/>
      <c r="BL5" s="1431"/>
      <c r="BM5" s="1431"/>
      <c r="BN5" s="1431"/>
      <c r="BO5" s="1431"/>
      <c r="BP5" s="1431"/>
      <c r="BQ5" s="1431"/>
      <c r="BR5" s="1431"/>
      <c r="BS5" s="1431"/>
      <c r="BT5" s="1431"/>
      <c r="BU5" s="1431"/>
      <c r="BV5" s="1431"/>
      <c r="BW5" s="1431"/>
      <c r="BX5" s="1431"/>
      <c r="BY5" s="1431"/>
      <c r="BZ5" s="1431"/>
      <c r="CA5" s="1431"/>
      <c r="CB5" s="1431"/>
      <c r="CC5" s="1431"/>
      <c r="CD5" s="1431"/>
      <c r="CE5" s="1431"/>
      <c r="CF5" s="1431"/>
      <c r="CG5" s="1431"/>
      <c r="CH5" s="1431"/>
      <c r="CI5" s="1431"/>
      <c r="CJ5" s="1431"/>
      <c r="CK5" s="1431"/>
      <c r="CL5" s="1431"/>
      <c r="CM5" s="1431"/>
      <c r="CN5" s="1431"/>
      <c r="CO5" s="1431"/>
      <c r="CP5" s="1431"/>
      <c r="CQ5" s="1431"/>
      <c r="CR5" s="1431"/>
      <c r="CS5" s="1431"/>
      <c r="CT5" s="1431"/>
      <c r="CU5" s="1431"/>
      <c r="CV5" s="1431"/>
      <c r="CW5" s="1431"/>
      <c r="CX5" s="1431"/>
      <c r="CY5" s="1431"/>
      <c r="CZ5" s="1431"/>
      <c r="DA5" s="1431"/>
      <c r="DB5" s="1431"/>
      <c r="DC5" s="1431"/>
      <c r="DD5" s="1431"/>
      <c r="DE5" s="1431"/>
      <c r="DF5" s="1431"/>
      <c r="DG5" s="1431"/>
      <c r="DH5" s="1431"/>
      <c r="DI5" s="1431"/>
      <c r="DJ5" s="1431"/>
      <c r="DK5" s="1431"/>
      <c r="DL5" s="1431"/>
      <c r="DM5" s="1431"/>
      <c r="DN5" s="1431"/>
      <c r="DO5" s="1431"/>
      <c r="DP5" s="1431"/>
      <c r="DQ5" s="1431"/>
      <c r="DR5" s="1431"/>
      <c r="DS5" s="1431"/>
      <c r="DT5" s="1431"/>
      <c r="DU5" s="1431"/>
      <c r="DV5" s="1431"/>
      <c r="DW5" s="1431"/>
      <c r="DX5" s="1431"/>
      <c r="DY5" s="1431"/>
      <c r="DZ5" s="1431"/>
      <c r="EA5" s="1431"/>
      <c r="EB5" s="1431"/>
      <c r="EC5" s="1431"/>
      <c r="ED5" s="1431"/>
      <c r="EE5" s="1431"/>
      <c r="EF5" s="1431"/>
      <c r="EG5" s="1431"/>
      <c r="EH5" s="1431"/>
      <c r="EI5" s="1431"/>
      <c r="EJ5" s="1431"/>
      <c r="EK5" s="1431"/>
      <c r="EL5" s="1431"/>
      <c r="EM5" s="1431"/>
      <c r="EN5" s="1431"/>
      <c r="EO5" s="1431"/>
      <c r="EP5" s="1431"/>
      <c r="EQ5" s="1431"/>
      <c r="ER5" s="1431"/>
      <c r="ES5" s="1431"/>
      <c r="ET5" s="1431"/>
      <c r="EU5" s="1431"/>
      <c r="EV5" s="1431"/>
      <c r="EW5" s="1431"/>
      <c r="EX5" s="1431"/>
      <c r="EY5" s="1431"/>
      <c r="EZ5" s="1431"/>
      <c r="FA5" s="1431"/>
      <c r="FB5" s="1431"/>
      <c r="FC5" s="1431"/>
      <c r="FD5" s="1431"/>
      <c r="FE5" s="1431"/>
      <c r="FF5" s="1431"/>
      <c r="FG5" s="1431"/>
      <c r="FH5" s="1431"/>
      <c r="FI5" s="1431"/>
      <c r="FJ5" s="1431"/>
      <c r="FK5" s="1431"/>
      <c r="FL5" s="1431"/>
      <c r="FM5" s="1431"/>
      <c r="FN5" s="1431"/>
      <c r="FO5" s="1431"/>
      <c r="FP5" s="1431"/>
      <c r="FQ5" s="1431"/>
      <c r="FR5" s="1431"/>
      <c r="FS5" s="1431"/>
      <c r="FT5" s="1431"/>
      <c r="FU5" s="1431"/>
      <c r="FV5" s="1431"/>
      <c r="FW5" s="1431"/>
      <c r="FX5" s="1431"/>
      <c r="FY5" s="1431"/>
      <c r="FZ5" s="1431"/>
      <c r="GA5" s="1431"/>
      <c r="GB5" s="1431"/>
      <c r="GC5" s="1431"/>
      <c r="GD5" s="1431"/>
      <c r="GE5" s="1431"/>
      <c r="GF5" s="1431"/>
      <c r="GG5" s="1431"/>
      <c r="GH5" s="1431"/>
      <c r="GI5" s="1431"/>
      <c r="GJ5" s="1431"/>
      <c r="GK5" s="1431"/>
      <c r="GL5" s="1431"/>
      <c r="GM5" s="1431"/>
      <c r="GN5" s="1431"/>
      <c r="GO5" s="1431"/>
      <c r="GP5" s="1431"/>
      <c r="GQ5" s="1431"/>
      <c r="GR5" s="1431"/>
      <c r="GS5" s="1431"/>
      <c r="GT5" s="1431"/>
      <c r="GU5" s="1431"/>
      <c r="GV5" s="1431"/>
      <c r="GW5" s="1431"/>
      <c r="GX5" s="1431"/>
      <c r="GY5" s="1431"/>
      <c r="GZ5" s="1431"/>
      <c r="HA5" s="1431"/>
      <c r="HB5" s="1431"/>
      <c r="HC5" s="1431"/>
      <c r="HD5" s="1431"/>
      <c r="HE5" s="1431"/>
      <c r="HF5" s="1431"/>
      <c r="HG5" s="1431"/>
      <c r="HH5" s="1431"/>
      <c r="HI5" s="1431"/>
      <c r="HJ5" s="1431"/>
      <c r="HK5" s="1431"/>
      <c r="HL5" s="1431"/>
      <c r="HM5" s="1431"/>
      <c r="HN5" s="1431"/>
      <c r="HO5" s="1431"/>
      <c r="HP5" s="1431"/>
      <c r="HQ5" s="1431"/>
      <c r="HR5" s="1431"/>
      <c r="HS5" s="1431"/>
      <c r="HT5" s="1431"/>
      <c r="HU5" s="1431"/>
      <c r="HV5" s="1431"/>
      <c r="HW5" s="1431"/>
      <c r="HX5" s="1431"/>
      <c r="HY5" s="1431"/>
      <c r="HZ5" s="1431"/>
      <c r="IA5" s="1431"/>
      <c r="IB5" s="1431"/>
      <c r="IC5" s="1431"/>
      <c r="ID5" s="1431"/>
      <c r="IE5" s="1431"/>
      <c r="IF5" s="1431"/>
      <c r="IG5" s="1431"/>
      <c r="IH5" s="1431"/>
      <c r="II5" s="1431"/>
      <c r="IJ5" s="1431"/>
      <c r="IK5" s="1431"/>
      <c r="IL5" s="1431"/>
      <c r="IM5" s="1431"/>
      <c r="IN5" s="1431"/>
      <c r="IO5" s="1431"/>
      <c r="IP5" s="1431"/>
      <c r="IQ5" s="1431"/>
      <c r="IR5" s="1431"/>
      <c r="IS5" s="1431"/>
      <c r="IT5" s="1431"/>
      <c r="IU5" s="1431"/>
      <c r="IV5" s="1431"/>
    </row>
    <row r="6" s="1429" customFormat="1" ht="19.15" customHeight="1" spans="1:2">
      <c r="A6" s="1431" t="s">
        <v>1353</v>
      </c>
      <c r="B6" s="1432"/>
    </row>
    <row r="7" s="1429" customFormat="1" ht="19.15" customHeight="1" spans="1:2">
      <c r="A7" s="1431" t="s">
        <v>1354</v>
      </c>
      <c r="B7" s="1432">
        <v>0</v>
      </c>
    </row>
    <row r="8" s="1429" customFormat="1" ht="19.15" customHeight="1" spans="1:4">
      <c r="A8" s="1431" t="s">
        <v>1355</v>
      </c>
      <c r="B8" s="1432">
        <v>0.1</v>
      </c>
      <c r="D8" s="1433"/>
    </row>
    <row r="9" s="1429" customFormat="1" ht="19.15" customHeight="1" spans="1:2">
      <c r="A9" s="1431" t="s">
        <v>1356</v>
      </c>
      <c r="B9" s="1432">
        <v>3</v>
      </c>
    </row>
    <row r="10" s="1429" customFormat="1" ht="19.15" customHeight="1" spans="1:2">
      <c r="A10" s="1431" t="s">
        <v>1357</v>
      </c>
      <c r="B10" s="1432">
        <v>20</v>
      </c>
    </row>
    <row r="11" s="1429" customFormat="1" ht="19.15" customHeight="1" spans="1:2">
      <c r="A11" s="1431" t="s">
        <v>1358</v>
      </c>
      <c r="B11" s="1434">
        <v>0.032</v>
      </c>
    </row>
    <row r="12" s="1429" customFormat="1" ht="19.15" customHeight="1" spans="1:2">
      <c r="A12" s="1431" t="s">
        <v>1359</v>
      </c>
      <c r="B12" s="1435">
        <v>0.06048</v>
      </c>
    </row>
    <row r="13" s="1429" customFormat="1" ht="19.15" customHeight="1" spans="1:4">
      <c r="A13" s="1431" t="s">
        <v>1360</v>
      </c>
      <c r="B13" s="1432">
        <v>20</v>
      </c>
      <c r="D13" s="155" t="s">
        <v>88</v>
      </c>
    </row>
    <row r="14" s="1429" customFormat="1" ht="19.15" customHeight="1" spans="1:4">
      <c r="A14" s="1431" t="s">
        <v>1361</v>
      </c>
      <c r="B14" s="1432">
        <v>0.98</v>
      </c>
      <c r="D14" s="155"/>
    </row>
    <row r="15" s="1429" customFormat="1" ht="19.15" customHeight="1" spans="1:4">
      <c r="A15" s="1431" t="s">
        <v>1362</v>
      </c>
      <c r="B15" s="1432">
        <v>15.5</v>
      </c>
      <c r="D15" s="1436"/>
    </row>
    <row r="16" s="1429" customFormat="1" ht="19.15" customHeight="1" spans="1:4">
      <c r="A16" s="1431" t="s">
        <v>1363</v>
      </c>
      <c r="B16" s="1437" t="s">
        <v>1364</v>
      </c>
      <c r="D16" s="1436"/>
    </row>
    <row r="17" s="1429" customFormat="1" ht="19.15" customHeight="1" spans="1:4">
      <c r="A17" s="1431" t="s">
        <v>1365</v>
      </c>
      <c r="B17" s="1437">
        <v>9.8</v>
      </c>
      <c r="D17" s="1436"/>
    </row>
    <row r="18" s="1429" customFormat="1" ht="19.15" customHeight="1" spans="1:4">
      <c r="A18" s="1431" t="s">
        <v>106</v>
      </c>
      <c r="B18" s="1437"/>
      <c r="D18" s="1436"/>
    </row>
    <row r="19" s="1429" customFormat="1" ht="21" customHeight="1" spans="1:2">
      <c r="A19" s="1438" t="s">
        <v>1366</v>
      </c>
      <c r="B19" s="1439"/>
    </row>
    <row r="20" s="1429" customFormat="1" ht="21" customHeight="1" spans="1:4">
      <c r="A20" s="1440" t="s">
        <v>1367</v>
      </c>
      <c r="B20" s="1441">
        <f>B2*B5</f>
        <v>20000</v>
      </c>
      <c r="C20" s="1442"/>
      <c r="D20" s="1443"/>
    </row>
    <row r="21" s="1429" customFormat="1" ht="21.75" customHeight="1" spans="1:4">
      <c r="A21" s="1444" t="s">
        <v>1368</v>
      </c>
      <c r="B21" s="1445">
        <f>B2*9.8*B8</f>
        <v>1960</v>
      </c>
      <c r="C21" s="1446"/>
      <c r="D21" s="1447"/>
    </row>
    <row r="22" s="1429" customFormat="1" ht="36.75" customHeight="1" spans="1:4">
      <c r="A22" s="1444" t="s">
        <v>1369</v>
      </c>
      <c r="B22" s="1448">
        <f>B20+B21</f>
        <v>21960</v>
      </c>
      <c r="C22" s="1446"/>
      <c r="D22" s="1449"/>
    </row>
    <row r="23" s="1429" customFormat="1" ht="41.25" customHeight="1" spans="1:4">
      <c r="A23" s="1444" t="s">
        <v>1370</v>
      </c>
      <c r="B23" s="1448">
        <f>B3/3.14/B12</f>
        <v>263.286489401139</v>
      </c>
      <c r="C23" s="1446"/>
      <c r="D23" s="1449"/>
    </row>
    <row r="24" s="1429" customFormat="1" ht="42" customHeight="1" spans="1:4">
      <c r="A24" s="1444" t="s">
        <v>1371</v>
      </c>
      <c r="B24" s="1448">
        <f>B23*6.28/60/B4</f>
        <v>27.5573192239859</v>
      </c>
      <c r="C24" s="1446"/>
      <c r="D24" s="1449"/>
    </row>
    <row r="25" s="1429" customFormat="1" ht="39" customHeight="1" spans="1:4">
      <c r="A25" s="1444" t="s">
        <v>1372</v>
      </c>
      <c r="B25" s="1450">
        <v>0</v>
      </c>
      <c r="C25" s="1446"/>
      <c r="D25" s="1449"/>
    </row>
    <row r="26" s="1429" customFormat="1" ht="27" customHeight="1" spans="1:4">
      <c r="A26" s="1444" t="s">
        <v>1373</v>
      </c>
      <c r="B26" s="1448">
        <f>B24*B25</f>
        <v>0</v>
      </c>
      <c r="C26" s="1446"/>
      <c r="D26" s="1449"/>
    </row>
    <row r="27" s="1429" customFormat="1" ht="43.9" customHeight="1" spans="1:4">
      <c r="A27" s="1451" t="s">
        <v>1374</v>
      </c>
      <c r="B27" s="1445">
        <f>B22*B12/2/B14+B26</f>
        <v>677.622857142857</v>
      </c>
      <c r="C27" s="1446"/>
      <c r="D27" s="1449"/>
    </row>
    <row r="28" spans="1:5">
      <c r="A28" s="1444" t="s">
        <v>1375</v>
      </c>
      <c r="B28" s="1452">
        <v>16</v>
      </c>
      <c r="C28" s="274"/>
      <c r="D28" s="1453" t="s">
        <v>1376</v>
      </c>
      <c r="E28" s="1436"/>
    </row>
    <row r="29" ht="15" customHeight="1" spans="1:5">
      <c r="A29" s="1444" t="s">
        <v>1377</v>
      </c>
      <c r="B29" s="1454">
        <v>0.8</v>
      </c>
      <c r="C29" s="274"/>
      <c r="D29" s="1455"/>
      <c r="E29" s="1436"/>
    </row>
    <row r="30" ht="36.75" customHeight="1" spans="1:5">
      <c r="A30" s="1444" t="s">
        <v>1378</v>
      </c>
      <c r="B30" s="1456">
        <f>B27/B28/B29</f>
        <v>52.9392857142857</v>
      </c>
      <c r="C30" s="1457"/>
      <c r="D30" s="1453" t="s">
        <v>1379</v>
      </c>
      <c r="E30" s="1436"/>
    </row>
    <row r="31" ht="17.4" spans="1:4">
      <c r="A31" s="1444" t="s">
        <v>1380</v>
      </c>
      <c r="B31" s="1458">
        <v>0.0036</v>
      </c>
      <c r="C31" s="274"/>
      <c r="D31" s="1455" t="s">
        <v>1381</v>
      </c>
    </row>
    <row r="32" ht="16.5" customHeight="1" spans="1:5">
      <c r="A32" s="1444" t="s">
        <v>1382</v>
      </c>
      <c r="B32" s="1459">
        <f>B23*B28</f>
        <v>4212.58383041823</v>
      </c>
      <c r="C32" s="1457"/>
      <c r="D32" s="1453" t="s">
        <v>1383</v>
      </c>
      <c r="E32" s="1436"/>
    </row>
    <row r="33" ht="17.4" spans="1:5">
      <c r="A33" s="1444" t="s">
        <v>1384</v>
      </c>
      <c r="B33" s="1456">
        <f>B24*B28</f>
        <v>440.917107583774</v>
      </c>
      <c r="C33" s="1457"/>
      <c r="D33" s="1453" t="s">
        <v>1383</v>
      </c>
      <c r="E33" s="1436"/>
    </row>
    <row r="34" ht="18.75" customHeight="1" spans="1:5">
      <c r="A34" s="1444" t="s">
        <v>1385</v>
      </c>
      <c r="B34" s="1456">
        <f>B31*B33</f>
        <v>1.58730158730159</v>
      </c>
      <c r="C34" s="1457"/>
      <c r="D34" s="1453" t="s">
        <v>1386</v>
      </c>
      <c r="E34" s="1436"/>
    </row>
    <row r="35" ht="15.75" customHeight="1" spans="1:5">
      <c r="A35" s="1460" t="s">
        <v>1387</v>
      </c>
      <c r="B35" s="1461">
        <f>B30+B34</f>
        <v>54.5265873015873</v>
      </c>
      <c r="C35" s="1462"/>
      <c r="D35" s="1463" t="s">
        <v>1388</v>
      </c>
      <c r="E35" s="1436"/>
    </row>
    <row r="36" s="1429" customFormat="1" ht="16.35" spans="1:3">
      <c r="A36" s="1431"/>
      <c r="B36" s="1439"/>
      <c r="C36" s="1464"/>
    </row>
    <row r="37" s="1429" customFormat="1" ht="16.35" spans="1:3">
      <c r="A37" s="1438" t="s">
        <v>1389</v>
      </c>
      <c r="B37" s="1439"/>
      <c r="C37" s="1464"/>
    </row>
    <row r="38" s="1429" customFormat="1" ht="20.25" customHeight="1" spans="1:4">
      <c r="A38" s="1440" t="s">
        <v>1390</v>
      </c>
      <c r="B38" s="1441">
        <f>B6</f>
        <v>0</v>
      </c>
      <c r="C38" s="1465"/>
      <c r="D38" s="1466"/>
    </row>
    <row r="39" s="1429" customFormat="1" ht="21.75" customHeight="1" spans="1:4">
      <c r="A39" s="1444" t="s">
        <v>1391</v>
      </c>
      <c r="B39" s="1445">
        <f>B21</f>
        <v>1960</v>
      </c>
      <c r="C39" s="1446"/>
      <c r="D39" s="1447" t="s">
        <v>106</v>
      </c>
    </row>
    <row r="40" s="1429" customFormat="1" ht="24.75" customHeight="1" spans="1:4">
      <c r="A40" s="1444" t="s">
        <v>1369</v>
      </c>
      <c r="B40" s="1448">
        <f>B38+B39</f>
        <v>1960</v>
      </c>
      <c r="C40" s="1446"/>
      <c r="D40" s="1449"/>
    </row>
    <row r="41" s="1429" customFormat="1" ht="43.9" customHeight="1" spans="1:4">
      <c r="A41" s="1451" t="s">
        <v>1392</v>
      </c>
      <c r="B41" s="1445">
        <f>B40*B12/2/B14</f>
        <v>60.48</v>
      </c>
      <c r="C41" s="1446"/>
      <c r="D41" s="1449"/>
    </row>
    <row r="42" ht="36" customHeight="1" spans="1:5">
      <c r="A42" s="1467" t="s">
        <v>1393</v>
      </c>
      <c r="B42" s="1456">
        <f>B41/B28/B29</f>
        <v>4.725</v>
      </c>
      <c r="C42" s="1457"/>
      <c r="D42" s="1436" t="s">
        <v>1379</v>
      </c>
      <c r="E42" s="1436"/>
    </row>
    <row r="43" ht="28.5" customHeight="1" spans="1:5">
      <c r="A43" s="1467" t="s">
        <v>1394</v>
      </c>
      <c r="B43" s="1456">
        <f>B7/3.14/B12</f>
        <v>0</v>
      </c>
      <c r="C43" s="274"/>
      <c r="D43" s="1455"/>
      <c r="E43" s="1436"/>
    </row>
    <row r="44" ht="18.75" customHeight="1" spans="1:5">
      <c r="A44" s="1468" t="s">
        <v>1395</v>
      </c>
      <c r="B44" s="1461">
        <f>B43*B28</f>
        <v>0</v>
      </c>
      <c r="C44" s="1469"/>
      <c r="D44" s="1470"/>
      <c r="E44" s="1436"/>
    </row>
    <row r="45" s="1429" customFormat="1" ht="30" customHeight="1" spans="1:3">
      <c r="A45" s="1438" t="s">
        <v>1396</v>
      </c>
      <c r="B45" s="1439"/>
      <c r="C45" s="1464"/>
    </row>
    <row r="46" s="1429" customFormat="1" ht="19.95" spans="1:4">
      <c r="A46" s="1471" t="s">
        <v>1397</v>
      </c>
      <c r="B46" s="1441">
        <f>B22</f>
        <v>21960</v>
      </c>
      <c r="C46" s="1442"/>
      <c r="D46" s="1466"/>
    </row>
    <row r="47" s="1429" customFormat="1" ht="22.5" customHeight="1" spans="1:4">
      <c r="A47" s="1467" t="s">
        <v>1398</v>
      </c>
      <c r="B47" s="1472">
        <v>21.116</v>
      </c>
      <c r="C47" s="1473" t="s">
        <v>1399</v>
      </c>
      <c r="D47" s="1449"/>
    </row>
    <row r="48" s="1429" customFormat="1" ht="22.5" customHeight="1" spans="1:4">
      <c r="A48" s="1474" t="s">
        <v>1400</v>
      </c>
      <c r="B48" s="1448">
        <f>B46/0.93285</f>
        <v>23540.7621804149</v>
      </c>
      <c r="C48" s="1475"/>
      <c r="D48" s="1449"/>
    </row>
    <row r="49" s="1429" customFormat="1" ht="19.15" customHeight="1" spans="1:4">
      <c r="A49" s="1467" t="s">
        <v>1401</v>
      </c>
      <c r="B49" s="1476">
        <v>19.5283</v>
      </c>
      <c r="C49" s="1473" t="s">
        <v>1402</v>
      </c>
      <c r="D49" s="1449"/>
    </row>
    <row r="50" s="1429" customFormat="1" ht="22.5" customHeight="1" spans="1:4">
      <c r="A50" s="1474" t="s">
        <v>1403</v>
      </c>
      <c r="B50" s="1448">
        <f>B46*0.35467</f>
        <v>7788.5532</v>
      </c>
      <c r="C50" s="1446"/>
      <c r="D50" s="1449"/>
    </row>
    <row r="51" s="1429" customFormat="1" ht="19.15" customHeight="1" spans="1:4">
      <c r="A51" s="1474" t="s">
        <v>1404</v>
      </c>
      <c r="B51" s="1477">
        <v>0.0812</v>
      </c>
      <c r="C51" s="1473" t="s">
        <v>1405</v>
      </c>
      <c r="D51" s="1478"/>
    </row>
    <row r="52" s="1429" customFormat="1" ht="19.15" customHeight="1" spans="1:4">
      <c r="A52" s="1474" t="s">
        <v>1406</v>
      </c>
      <c r="B52" s="1476">
        <f>B15/1000</f>
        <v>0.0155</v>
      </c>
      <c r="C52" s="1473" t="s">
        <v>1407</v>
      </c>
      <c r="D52" s="1478"/>
    </row>
    <row r="53" s="1429" customFormat="1" ht="19.15" customHeight="1" spans="1:4">
      <c r="A53" s="1474" t="s">
        <v>1408</v>
      </c>
      <c r="B53" s="1476">
        <v>0.089127</v>
      </c>
      <c r="C53" s="1473" t="s">
        <v>1409</v>
      </c>
      <c r="D53" s="1478"/>
    </row>
    <row r="54" s="1429" customFormat="1" ht="24" customHeight="1" spans="1:4">
      <c r="A54" s="1479" t="s">
        <v>1410</v>
      </c>
      <c r="B54" s="1480">
        <f>B51*B48+B52*B48+B50*B53</f>
        <v>2970.56208390252</v>
      </c>
      <c r="C54" s="1481"/>
      <c r="D54" s="1482"/>
    </row>
    <row r="55" s="1429" customFormat="1" ht="18.15" spans="1:3">
      <c r="A55" s="1483"/>
      <c r="B55" s="1484"/>
      <c r="C55" s="1464"/>
    </row>
    <row r="56" s="1429" customFormat="1" ht="16.35" spans="1:4">
      <c r="A56" s="1438" t="s">
        <v>1411</v>
      </c>
      <c r="B56" s="1485" t="s">
        <v>1412</v>
      </c>
      <c r="C56" s="1486" t="s">
        <v>1413</v>
      </c>
      <c r="D56" s="1486" t="s">
        <v>1414</v>
      </c>
    </row>
    <row r="57" s="1429" customFormat="1" ht="18" customHeight="1" spans="1:4">
      <c r="A57" s="1487" t="s">
        <v>1415</v>
      </c>
      <c r="B57" s="1488" t="s">
        <v>1416</v>
      </c>
      <c r="C57" s="1489"/>
      <c r="D57" s="1490"/>
    </row>
    <row r="58" s="1429" customFormat="1" spans="1:4">
      <c r="A58" s="1451" t="s">
        <v>1417</v>
      </c>
      <c r="B58" s="1448">
        <f>B27</f>
        <v>677.622857142857</v>
      </c>
      <c r="C58" s="1491">
        <v>600</v>
      </c>
      <c r="D58" s="1492">
        <f>B58/C58</f>
        <v>1.12937142857143</v>
      </c>
    </row>
    <row r="59" s="1429" customFormat="1" spans="1:4">
      <c r="A59" s="1444" t="s">
        <v>1418</v>
      </c>
      <c r="B59" s="1448">
        <f>B41</f>
        <v>60.48</v>
      </c>
      <c r="C59" s="1491">
        <v>240</v>
      </c>
      <c r="D59" s="1492">
        <f t="shared" ref="D59:D64" si="0">B59/C59</f>
        <v>0.252</v>
      </c>
    </row>
    <row r="60" s="1429" customFormat="1" ht="19.15" customHeight="1" spans="1:4">
      <c r="A60" s="1444" t="s">
        <v>1419</v>
      </c>
      <c r="B60" s="1448">
        <f>B54</f>
        <v>2970.56208390252</v>
      </c>
      <c r="C60" s="1491">
        <v>1335</v>
      </c>
      <c r="D60" s="1493">
        <f t="shared" si="0"/>
        <v>2.22514013775469</v>
      </c>
    </row>
    <row r="61" s="1429" customFormat="1" ht="19.15" customHeight="1" spans="1:4">
      <c r="A61" s="1444" t="s">
        <v>1420</v>
      </c>
      <c r="B61" s="1448">
        <f>B50</f>
        <v>7788.5532</v>
      </c>
      <c r="C61" s="1491">
        <v>6130</v>
      </c>
      <c r="D61" s="1492">
        <f t="shared" si="0"/>
        <v>1.2705633278956</v>
      </c>
    </row>
    <row r="62" s="1429" customFormat="1" ht="19.15" customHeight="1" spans="1:4">
      <c r="A62" s="1444" t="s">
        <v>1421</v>
      </c>
      <c r="B62" s="1448">
        <f>B48</f>
        <v>23540.7621804149</v>
      </c>
      <c r="C62" s="1491"/>
      <c r="D62" s="1492"/>
    </row>
    <row r="63" s="1429" customFormat="1" ht="19.15" customHeight="1" spans="1:4">
      <c r="A63" s="1444" t="s">
        <v>1422</v>
      </c>
      <c r="B63" s="1494">
        <f>B32</f>
        <v>4212.58383041823</v>
      </c>
      <c r="C63" s="1491">
        <v>4500</v>
      </c>
      <c r="D63" s="1492">
        <f t="shared" si="0"/>
        <v>0.936129740092939</v>
      </c>
    </row>
    <row r="64" s="1429" customFormat="1" ht="19.15" customHeight="1" spans="1:4">
      <c r="A64" s="1460" t="s">
        <v>1423</v>
      </c>
      <c r="B64" s="1495">
        <f>B44</f>
        <v>0</v>
      </c>
      <c r="C64" s="1496">
        <v>2100</v>
      </c>
      <c r="D64" s="1497">
        <f t="shared" si="0"/>
        <v>0</v>
      </c>
    </row>
    <row r="65" s="1429" customFormat="1" ht="19.15" customHeight="1" spans="1:5">
      <c r="A65" s="1438" t="s">
        <v>1424</v>
      </c>
      <c r="B65" s="1498"/>
      <c r="C65" s="168"/>
      <c r="D65" s="168"/>
      <c r="E65" s="168"/>
    </row>
    <row r="66" s="1429" customFormat="1" ht="19.15" customHeight="1" spans="1:5">
      <c r="A66" s="1499" t="s">
        <v>1425</v>
      </c>
      <c r="B66" s="1488" t="s">
        <v>1426</v>
      </c>
      <c r="C66" s="1489"/>
      <c r="D66" s="1490"/>
      <c r="E66" s="168"/>
    </row>
    <row r="67" s="1429" customFormat="1" ht="19.15" customHeight="1" spans="1:5">
      <c r="A67" s="1500" t="s">
        <v>106</v>
      </c>
      <c r="B67" s="1501" t="s">
        <v>1427</v>
      </c>
      <c r="C67" s="205" t="s">
        <v>1413</v>
      </c>
      <c r="D67" s="1502" t="s">
        <v>1428</v>
      </c>
      <c r="E67" s="168"/>
    </row>
    <row r="68" s="1429" customFormat="1" ht="19.15" customHeight="1" spans="1:5">
      <c r="A68" s="1500" t="s">
        <v>1429</v>
      </c>
      <c r="B68" s="1501">
        <f>B35</f>
        <v>54.5265873015873</v>
      </c>
      <c r="C68" s="205">
        <v>86</v>
      </c>
      <c r="D68" s="1503">
        <f>B68/C68</f>
        <v>0.634030084902178</v>
      </c>
      <c r="E68" s="168"/>
    </row>
    <row r="69" s="1429" customFormat="1" ht="19.15" customHeight="1" spans="1:5">
      <c r="A69" s="1504" t="s">
        <v>1418</v>
      </c>
      <c r="B69" s="1501">
        <f>B42</f>
        <v>4.725</v>
      </c>
      <c r="C69" s="205">
        <v>25</v>
      </c>
      <c r="D69" s="1503">
        <f>B69/C69</f>
        <v>0.189</v>
      </c>
      <c r="E69" s="1436"/>
    </row>
    <row r="70" s="1429" customFormat="1" ht="19.15" customHeight="1" spans="1:5">
      <c r="A70" s="1504" t="s">
        <v>1430</v>
      </c>
      <c r="B70" s="1501">
        <f>B32</f>
        <v>4212.58383041823</v>
      </c>
      <c r="C70" s="205">
        <v>3300</v>
      </c>
      <c r="D70" s="1503">
        <f>B70/C70</f>
        <v>1.27654055467219</v>
      </c>
      <c r="E70" s="168"/>
    </row>
    <row r="71" s="1429" customFormat="1" ht="19.15" customHeight="1" spans="1:5">
      <c r="A71" s="1505" t="s">
        <v>1431</v>
      </c>
      <c r="B71" s="1506">
        <f>B44</f>
        <v>0</v>
      </c>
      <c r="C71" s="1507">
        <v>3000</v>
      </c>
      <c r="D71" s="1508">
        <f>B71/C71</f>
        <v>0</v>
      </c>
      <c r="E71" s="168"/>
    </row>
    <row r="72" s="1429" customFormat="1" ht="19.15" customHeight="1" spans="1:5">
      <c r="A72" s="1509"/>
      <c r="B72" s="1510"/>
      <c r="C72" s="274"/>
      <c r="D72" s="1511"/>
      <c r="E72" s="168"/>
    </row>
    <row r="73" s="1429" customFormat="1" ht="19.15" customHeight="1" spans="1:5">
      <c r="A73" s="168"/>
      <c r="B73" s="1498"/>
      <c r="C73" s="168"/>
      <c r="D73" s="168"/>
      <c r="E73" s="168"/>
    </row>
    <row r="74" s="1429" customFormat="1" ht="19.15" customHeight="1" spans="1:5">
      <c r="A74" s="1438" t="s">
        <v>1432</v>
      </c>
      <c r="B74" s="1498"/>
      <c r="C74" s="168"/>
      <c r="D74" s="168"/>
      <c r="E74" s="168"/>
    </row>
    <row r="75" s="1429" customFormat="1" ht="39" customHeight="1" spans="1:5">
      <c r="A75" s="1487" t="s">
        <v>1433</v>
      </c>
      <c r="B75" s="1512">
        <f>B2*B12*B12/4</f>
        <v>1.8289152</v>
      </c>
      <c r="C75" s="1513"/>
      <c r="D75" s="1514"/>
      <c r="E75" s="168"/>
    </row>
    <row r="76" s="1429" customFormat="1" ht="27.75" customHeight="1" spans="1:5">
      <c r="A76" s="1451" t="s">
        <v>1434</v>
      </c>
      <c r="B76" s="1515">
        <v>0</v>
      </c>
      <c r="C76" s="274"/>
      <c r="D76" s="1455"/>
      <c r="E76" s="168"/>
    </row>
    <row r="77" s="1429" customFormat="1" ht="24.75" customHeight="1" spans="1:5">
      <c r="A77" s="1451" t="s">
        <v>1435</v>
      </c>
      <c r="B77" s="1516">
        <f>B75/B79/B79+B76/B79/B79</f>
        <v>0.0071442</v>
      </c>
      <c r="C77" s="274"/>
      <c r="D77" s="1455"/>
      <c r="E77" s="168"/>
    </row>
    <row r="78" s="1429" customFormat="1" ht="24" customHeight="1" spans="1:5">
      <c r="A78" s="1451" t="s">
        <v>1436</v>
      </c>
      <c r="B78" s="1515">
        <v>0.0006</v>
      </c>
      <c r="C78" s="274" t="s">
        <v>1405</v>
      </c>
      <c r="D78" s="1455"/>
      <c r="E78" s="168"/>
    </row>
    <row r="79" s="1429" customFormat="1" ht="19.15" customHeight="1" spans="1:5">
      <c r="A79" s="1451" t="s">
        <v>1375</v>
      </c>
      <c r="B79" s="1517">
        <f>B28</f>
        <v>16</v>
      </c>
      <c r="C79" s="274"/>
      <c r="D79" s="1455"/>
      <c r="E79" s="168"/>
    </row>
    <row r="80" s="1429" customFormat="1" ht="19.15" customHeight="1" spans="1:5">
      <c r="A80" s="1451" t="s">
        <v>1437</v>
      </c>
      <c r="B80" s="1518">
        <f>B77+B78</f>
        <v>0.0077442</v>
      </c>
      <c r="C80" s="274"/>
      <c r="D80" s="1455"/>
      <c r="E80" s="168"/>
    </row>
    <row r="81" s="1429" customFormat="1" ht="19.15" customHeight="1" spans="1:5">
      <c r="A81" s="1451" t="s">
        <v>1438</v>
      </c>
      <c r="B81" s="1518">
        <v>0.0061</v>
      </c>
      <c r="C81" s="242" t="s">
        <v>1439</v>
      </c>
      <c r="D81" s="1455"/>
      <c r="E81" s="168"/>
    </row>
    <row r="82" s="1429" customFormat="1" ht="22.5" customHeight="1" spans="1:5">
      <c r="A82" s="1519" t="s">
        <v>1440</v>
      </c>
      <c r="B82" s="1520">
        <f>B80/B81</f>
        <v>1.26954098360656</v>
      </c>
      <c r="C82" s="1469"/>
      <c r="D82" s="1470"/>
      <c r="E82" s="168"/>
    </row>
    <row r="83" ht="16.35" spans="1:5">
      <c r="A83" s="1521"/>
      <c r="B83" s="1484"/>
      <c r="C83" s="1464"/>
      <c r="D83" s="1429"/>
      <c r="E83" s="1429"/>
    </row>
    <row r="84" spans="1:5">
      <c r="A84" s="1521"/>
      <c r="B84" s="1484"/>
      <c r="C84" s="1464"/>
      <c r="D84" s="1429"/>
      <c r="E84" s="1429"/>
    </row>
  </sheetData>
  <protectedRanges>
    <protectedRange sqref="B28:B29 B31" name="区域1"/>
    <protectedRange sqref="B66 C68:C72" name="区域1_1"/>
  </protectedRanges>
  <customSheetViews>
    <customSheetView guid="{B9330FFD-B5EF-4680-A375-DB92D4738404}">
      <selection activeCell="C9" sqref="C9"/>
      <pageMargins left="0.7" right="0.7" top="0.75" bottom="0.75" header="0.3" footer="0.3"/>
      <headerFooter/>
    </customSheetView>
  </customSheetViews>
  <mergeCells count="3">
    <mergeCell ref="B57:D57"/>
    <mergeCell ref="B66:D66"/>
    <mergeCell ref="D13:D14"/>
  </mergeCells>
  <hyperlinks>
    <hyperlink ref="D13:D14" location="目录!A1" display="目录!A1"/>
  </hyperlinks>
  <pageMargins left="0.7" right="0.7" top="0.75" bottom="0.75" header="0.3" footer="0.3"/>
  <headerFooter/>
  <drawing r:id="rId2"/>
  <legacyDrawing r:id="rId3"/>
  <oleObjects>
    <mc:AlternateContent xmlns:mc="http://schemas.openxmlformats.org/markup-compatibility/2006">
      <mc:Choice Requires="x14">
        <oleObject shapeId="117761" progId="Equation.DSMT4" r:id="rId4">
          <objectPr defaultSize="0" r:id="rId5">
            <anchor moveWithCells="1">
              <from>
                <xdr:col>2</xdr:col>
                <xdr:colOff>0</xdr:colOff>
                <xdr:row>20</xdr:row>
                <xdr:rowOff>0</xdr:rowOff>
              </from>
              <to>
                <xdr:col>2</xdr:col>
                <xdr:colOff>647700</xdr:colOff>
                <xdr:row>21</xdr:row>
                <xdr:rowOff>0</xdr:rowOff>
              </to>
            </anchor>
          </objectPr>
        </oleObject>
      </mc:Choice>
      <mc:Fallback>
        <oleObject shapeId="117761" progId="Equation.DSMT4" r:id="rId4"/>
      </mc:Fallback>
    </mc:AlternateContent>
    <mc:AlternateContent xmlns:mc="http://schemas.openxmlformats.org/markup-compatibility/2006">
      <mc:Choice Requires="x14">
        <oleObject shapeId="117762" progId="Equation.DSMT4" r:id="rId6">
          <objectPr defaultSize="0" r:id="rId7">
            <anchor moveWithCells="1">
              <from>
                <xdr:col>2</xdr:col>
                <xdr:colOff>19050</xdr:colOff>
                <xdr:row>19</xdr:row>
                <xdr:rowOff>38100</xdr:rowOff>
              </from>
              <to>
                <xdr:col>2</xdr:col>
                <xdr:colOff>581025</xdr:colOff>
                <xdr:row>20</xdr:row>
                <xdr:rowOff>0</xdr:rowOff>
              </to>
            </anchor>
          </objectPr>
        </oleObject>
      </mc:Choice>
      <mc:Fallback>
        <oleObject shapeId="117762" progId="Equation.DSMT4" r:id="rId6"/>
      </mc:Fallback>
    </mc:AlternateContent>
    <mc:AlternateContent xmlns:mc="http://schemas.openxmlformats.org/markup-compatibility/2006">
      <mc:Choice Requires="x14">
        <oleObject shapeId="117763" progId="Equation.DSMT4" r:id="rId8">
          <objectPr defaultSize="0" r:id="rId9">
            <anchor moveWithCells="1">
              <from>
                <xdr:col>2</xdr:col>
                <xdr:colOff>38100</xdr:colOff>
                <xdr:row>22</xdr:row>
                <xdr:rowOff>47625</xdr:rowOff>
              </from>
              <to>
                <xdr:col>2</xdr:col>
                <xdr:colOff>590550</xdr:colOff>
                <xdr:row>23</xdr:row>
                <xdr:rowOff>0</xdr:rowOff>
              </to>
            </anchor>
          </objectPr>
        </oleObject>
      </mc:Choice>
      <mc:Fallback>
        <oleObject shapeId="117763" progId="Equation.DSMT4" r:id="rId8"/>
      </mc:Fallback>
    </mc:AlternateContent>
    <mc:AlternateContent xmlns:mc="http://schemas.openxmlformats.org/markup-compatibility/2006">
      <mc:Choice Requires="x14">
        <oleObject shapeId="117764" progId="Equation.DSMT4" r:id="rId10">
          <objectPr defaultSize="0" r:id="rId11">
            <anchor moveWithCells="1">
              <from>
                <xdr:col>2</xdr:col>
                <xdr:colOff>38100</xdr:colOff>
                <xdr:row>23</xdr:row>
                <xdr:rowOff>47625</xdr:rowOff>
              </from>
              <to>
                <xdr:col>2</xdr:col>
                <xdr:colOff>685800</xdr:colOff>
                <xdr:row>24</xdr:row>
                <xdr:rowOff>0</xdr:rowOff>
              </to>
            </anchor>
          </objectPr>
        </oleObject>
      </mc:Choice>
      <mc:Fallback>
        <oleObject shapeId="117764" progId="Equation.DSMT4" r:id="rId10"/>
      </mc:Fallback>
    </mc:AlternateContent>
    <mc:AlternateContent xmlns:mc="http://schemas.openxmlformats.org/markup-compatibility/2006">
      <mc:Choice Requires="x14">
        <oleObject shapeId="117765" progId="Equation.DSMT4" r:id="rId12">
          <objectPr defaultSize="0" r:id="rId13">
            <anchor moveWithCells="1">
              <from>
                <xdr:col>2</xdr:col>
                <xdr:colOff>28575</xdr:colOff>
                <xdr:row>24</xdr:row>
                <xdr:rowOff>57150</xdr:rowOff>
              </from>
              <to>
                <xdr:col>2</xdr:col>
                <xdr:colOff>685800</xdr:colOff>
                <xdr:row>25</xdr:row>
                <xdr:rowOff>0</xdr:rowOff>
              </to>
            </anchor>
          </objectPr>
        </oleObject>
      </mc:Choice>
      <mc:Fallback>
        <oleObject shapeId="117765" progId="Equation.DSMT4" r:id="rId12"/>
      </mc:Fallback>
    </mc:AlternateContent>
    <mc:AlternateContent xmlns:mc="http://schemas.openxmlformats.org/markup-compatibility/2006">
      <mc:Choice Requires="x14">
        <oleObject shapeId="117766" progId="Equation.DSMT4" r:id="rId14">
          <objectPr defaultSize="0" r:id="rId15">
            <anchor moveWithCells="1">
              <from>
                <xdr:col>2</xdr:col>
                <xdr:colOff>47625</xdr:colOff>
                <xdr:row>25</xdr:row>
                <xdr:rowOff>47625</xdr:rowOff>
              </from>
              <to>
                <xdr:col>2</xdr:col>
                <xdr:colOff>685800</xdr:colOff>
                <xdr:row>26</xdr:row>
                <xdr:rowOff>0</xdr:rowOff>
              </to>
            </anchor>
          </objectPr>
        </oleObject>
      </mc:Choice>
      <mc:Fallback>
        <oleObject shapeId="117766" progId="Equation.DSMT4" r:id="rId14"/>
      </mc:Fallback>
    </mc:AlternateContent>
    <mc:AlternateContent xmlns:mc="http://schemas.openxmlformats.org/markup-compatibility/2006">
      <mc:Choice Requires="x14">
        <oleObject shapeId="117767" progId="Equation.DSMT4" r:id="rId16">
          <objectPr defaultSize="0" r:id="rId17">
            <anchor moveWithCells="1">
              <from>
                <xdr:col>2</xdr:col>
                <xdr:colOff>19050</xdr:colOff>
                <xdr:row>21</xdr:row>
                <xdr:rowOff>114300</xdr:rowOff>
              </from>
              <to>
                <xdr:col>2</xdr:col>
                <xdr:colOff>685800</xdr:colOff>
                <xdr:row>22</xdr:row>
                <xdr:rowOff>0</xdr:rowOff>
              </to>
            </anchor>
          </objectPr>
        </oleObject>
      </mc:Choice>
      <mc:Fallback>
        <oleObject shapeId="117767" progId="Equation.DSMT4" r:id="rId16"/>
      </mc:Fallback>
    </mc:AlternateContent>
    <mc:AlternateContent xmlns:mc="http://schemas.openxmlformats.org/markup-compatibility/2006">
      <mc:Choice Requires="x14">
        <oleObject shapeId="117768" progId="Equation.DSMT4" r:id="rId18">
          <objectPr defaultSize="0" r:id="rId19">
            <anchor moveWithCells="1">
              <from>
                <xdr:col>2</xdr:col>
                <xdr:colOff>38100</xdr:colOff>
                <xdr:row>26</xdr:row>
                <xdr:rowOff>57150</xdr:rowOff>
              </from>
              <to>
                <xdr:col>2</xdr:col>
                <xdr:colOff>685800</xdr:colOff>
                <xdr:row>27</xdr:row>
                <xdr:rowOff>0</xdr:rowOff>
              </to>
            </anchor>
          </objectPr>
        </oleObject>
      </mc:Choice>
      <mc:Fallback>
        <oleObject shapeId="117768" progId="Equation.DSMT4" r:id="rId18"/>
      </mc:Fallback>
    </mc:AlternateContent>
    <mc:AlternateContent xmlns:mc="http://schemas.openxmlformats.org/markup-compatibility/2006">
      <mc:Choice Requires="x14">
        <oleObject shapeId="117769" progId="Equation.DSMT4" r:id="rId20">
          <objectPr defaultSize="0" r:id="rId5">
            <anchor moveWithCells="1">
              <from>
                <xdr:col>2</xdr:col>
                <xdr:colOff>38100</xdr:colOff>
                <xdr:row>38</xdr:row>
                <xdr:rowOff>38100</xdr:rowOff>
              </from>
              <to>
                <xdr:col>2</xdr:col>
                <xdr:colOff>685800</xdr:colOff>
                <xdr:row>39</xdr:row>
                <xdr:rowOff>0</xdr:rowOff>
              </to>
            </anchor>
          </objectPr>
        </oleObject>
      </mc:Choice>
      <mc:Fallback>
        <oleObject shapeId="117769" progId="Equation.DSMT4" r:id="rId20"/>
      </mc:Fallback>
    </mc:AlternateContent>
    <mc:AlternateContent xmlns:mc="http://schemas.openxmlformats.org/markup-compatibility/2006">
      <mc:Choice Requires="x14">
        <oleObject shapeId="117770" progId="Equation.DSMT4" r:id="rId21">
          <objectPr defaultSize="0" r:id="rId22">
            <anchor moveWithCells="1">
              <from>
                <xdr:col>2</xdr:col>
                <xdr:colOff>57150</xdr:colOff>
                <xdr:row>39</xdr:row>
                <xdr:rowOff>57150</xdr:rowOff>
              </from>
              <to>
                <xdr:col>2</xdr:col>
                <xdr:colOff>685800</xdr:colOff>
                <xdr:row>40</xdr:row>
                <xdr:rowOff>0</xdr:rowOff>
              </to>
            </anchor>
          </objectPr>
        </oleObject>
      </mc:Choice>
      <mc:Fallback>
        <oleObject shapeId="117770" progId="Equation.DSMT4" r:id="rId21"/>
      </mc:Fallback>
    </mc:AlternateContent>
    <mc:AlternateContent xmlns:mc="http://schemas.openxmlformats.org/markup-compatibility/2006">
      <mc:Choice Requires="x14">
        <oleObject shapeId="117771" progId="Equation.DSMT4" r:id="rId23">
          <objectPr defaultSize="0" r:id="rId24">
            <anchor moveWithCells="1">
              <from>
                <xdr:col>2</xdr:col>
                <xdr:colOff>38100</xdr:colOff>
                <xdr:row>40</xdr:row>
                <xdr:rowOff>28575</xdr:rowOff>
              </from>
              <to>
                <xdr:col>2</xdr:col>
                <xdr:colOff>685800</xdr:colOff>
                <xdr:row>41</xdr:row>
                <xdr:rowOff>0</xdr:rowOff>
              </to>
            </anchor>
          </objectPr>
        </oleObject>
      </mc:Choice>
      <mc:Fallback>
        <oleObject shapeId="117771" progId="Equation.DSMT4" r:id="rId23"/>
      </mc:Fallback>
    </mc:AlternateContent>
    <mc:AlternateContent xmlns:mc="http://schemas.openxmlformats.org/markup-compatibility/2006">
      <mc:Choice Requires="x14">
        <oleObject shapeId="117772" progId="Equation.DSMT4" r:id="rId25">
          <objectPr defaultSize="0" r:id="rId26">
            <anchor moveWithCells="1">
              <from>
                <xdr:col>2</xdr:col>
                <xdr:colOff>28575</xdr:colOff>
                <xdr:row>31</xdr:row>
                <xdr:rowOff>19050</xdr:rowOff>
              </from>
              <to>
                <xdr:col>2</xdr:col>
                <xdr:colOff>676275</xdr:colOff>
                <xdr:row>32</xdr:row>
                <xdr:rowOff>0</xdr:rowOff>
              </to>
            </anchor>
          </objectPr>
        </oleObject>
      </mc:Choice>
      <mc:Fallback>
        <oleObject shapeId="117772" progId="Equation.DSMT4" r:id="rId25"/>
      </mc:Fallback>
    </mc:AlternateContent>
    <mc:AlternateContent xmlns:mc="http://schemas.openxmlformats.org/markup-compatibility/2006">
      <mc:Choice Requires="x14">
        <oleObject shapeId="117773" progId="Equation.DSMT4" r:id="rId27">
          <objectPr defaultSize="0" r:id="rId28">
            <anchor moveWithCells="1">
              <from>
                <xdr:col>2</xdr:col>
                <xdr:colOff>28575</xdr:colOff>
                <xdr:row>33</xdr:row>
                <xdr:rowOff>28575</xdr:rowOff>
              </from>
              <to>
                <xdr:col>2</xdr:col>
                <xdr:colOff>685800</xdr:colOff>
                <xdr:row>34</xdr:row>
                <xdr:rowOff>0</xdr:rowOff>
              </to>
            </anchor>
          </objectPr>
        </oleObject>
      </mc:Choice>
      <mc:Fallback>
        <oleObject shapeId="117773" progId="Equation.DSMT4" r:id="rId27"/>
      </mc:Fallback>
    </mc:AlternateContent>
    <mc:AlternateContent xmlns:mc="http://schemas.openxmlformats.org/markup-compatibility/2006">
      <mc:Choice Requires="x14">
        <oleObject shapeId="117774" progId="Equation.DSMT4" r:id="rId29">
          <objectPr defaultSize="0" r:id="rId30">
            <anchor moveWithCells="1">
              <from>
                <xdr:col>2</xdr:col>
                <xdr:colOff>28575</xdr:colOff>
                <xdr:row>34</xdr:row>
                <xdr:rowOff>9525</xdr:rowOff>
              </from>
              <to>
                <xdr:col>2</xdr:col>
                <xdr:colOff>685800</xdr:colOff>
                <xdr:row>35</xdr:row>
                <xdr:rowOff>0</xdr:rowOff>
              </to>
            </anchor>
          </objectPr>
        </oleObject>
      </mc:Choice>
      <mc:Fallback>
        <oleObject shapeId="117774" progId="Equation.DSMT4" r:id="rId29"/>
      </mc:Fallback>
    </mc:AlternateContent>
    <mc:AlternateContent xmlns:mc="http://schemas.openxmlformats.org/markup-compatibility/2006">
      <mc:Choice Requires="x14">
        <oleObject shapeId="117775" progId="Equation.DSMT4" r:id="rId31">
          <objectPr defaultSize="0" r:id="rId32">
            <anchor moveWithCells="1">
              <from>
                <xdr:col>2</xdr:col>
                <xdr:colOff>0</xdr:colOff>
                <xdr:row>29</xdr:row>
                <xdr:rowOff>0</xdr:rowOff>
              </from>
              <to>
                <xdr:col>2</xdr:col>
                <xdr:colOff>685800</xdr:colOff>
                <xdr:row>30</xdr:row>
                <xdr:rowOff>0</xdr:rowOff>
              </to>
            </anchor>
          </objectPr>
        </oleObject>
      </mc:Choice>
      <mc:Fallback>
        <oleObject shapeId="117775" progId="Equation.DSMT4" r:id="rId31"/>
      </mc:Fallback>
    </mc:AlternateContent>
    <mc:AlternateContent xmlns:mc="http://schemas.openxmlformats.org/markup-compatibility/2006">
      <mc:Choice Requires="x14">
        <oleObject shapeId="117776" progId="Equation.DSMT4" r:id="rId33">
          <objectPr defaultSize="0" r:id="rId34">
            <anchor moveWithCells="1">
              <from>
                <xdr:col>2</xdr:col>
                <xdr:colOff>0</xdr:colOff>
                <xdr:row>32</xdr:row>
                <xdr:rowOff>0</xdr:rowOff>
              </from>
              <to>
                <xdr:col>2</xdr:col>
                <xdr:colOff>685800</xdr:colOff>
                <xdr:row>33</xdr:row>
                <xdr:rowOff>28575</xdr:rowOff>
              </to>
            </anchor>
          </objectPr>
        </oleObject>
      </mc:Choice>
      <mc:Fallback>
        <oleObject shapeId="117776" progId="Equation.DSMT4" r:id="rId33"/>
      </mc:Fallback>
    </mc:AlternateContent>
    <mc:AlternateContent xmlns:mc="http://schemas.openxmlformats.org/markup-compatibility/2006">
      <mc:Choice Requires="x14">
        <oleObject shapeId="117777" progId="Equation.DSMT4" r:id="rId35">
          <objectPr defaultSize="0" r:id="rId36">
            <anchor moveWithCells="1">
              <from>
                <xdr:col>2</xdr:col>
                <xdr:colOff>0</xdr:colOff>
                <xdr:row>41</xdr:row>
                <xdr:rowOff>0</xdr:rowOff>
              </from>
              <to>
                <xdr:col>2</xdr:col>
                <xdr:colOff>685800</xdr:colOff>
                <xdr:row>42</xdr:row>
                <xdr:rowOff>0</xdr:rowOff>
              </to>
            </anchor>
          </objectPr>
        </oleObject>
      </mc:Choice>
      <mc:Fallback>
        <oleObject shapeId="117777" progId="Equation.DSMT4" r:id="rId35"/>
      </mc:Fallback>
    </mc:AlternateContent>
    <mc:AlternateContent xmlns:mc="http://schemas.openxmlformats.org/markup-compatibility/2006">
      <mc:Choice Requires="x14">
        <oleObject shapeId="117778" progId="Equation.DSMT4" r:id="rId37">
          <objectPr defaultSize="0" r:id="rId38">
            <anchor moveWithCells="1">
              <from>
                <xdr:col>2</xdr:col>
                <xdr:colOff>38100</xdr:colOff>
                <xdr:row>81</xdr:row>
                <xdr:rowOff>57150</xdr:rowOff>
              </from>
              <to>
                <xdr:col>2</xdr:col>
                <xdr:colOff>685800</xdr:colOff>
                <xdr:row>82</xdr:row>
                <xdr:rowOff>0</xdr:rowOff>
              </to>
            </anchor>
          </objectPr>
        </oleObject>
      </mc:Choice>
      <mc:Fallback>
        <oleObject shapeId="117778" progId="Equation.DSMT4" r:id="rId37"/>
      </mc:Fallback>
    </mc:AlternateContent>
    <mc:AlternateContent xmlns:mc="http://schemas.openxmlformats.org/markup-compatibility/2006">
      <mc:Choice Requires="x14">
        <oleObject shapeId="117779" progId="Equation.DSMT4" r:id="rId39">
          <objectPr defaultSize="0" r:id="rId40">
            <anchor moveWithCells="1">
              <from>
                <xdr:col>0</xdr:col>
                <xdr:colOff>2352675</xdr:colOff>
                <xdr:row>45</xdr:row>
                <xdr:rowOff>47625</xdr:rowOff>
              </from>
              <to>
                <xdr:col>0</xdr:col>
                <xdr:colOff>2352675</xdr:colOff>
                <xdr:row>45</xdr:row>
                <xdr:rowOff>247650</xdr:rowOff>
              </to>
            </anchor>
          </objectPr>
        </oleObject>
      </mc:Choice>
      <mc:Fallback>
        <oleObject shapeId="117779" progId="Equation.DSMT4" r:id="rId39"/>
      </mc:Fallback>
    </mc:AlternateContent>
    <mc:AlternateContent xmlns:mc="http://schemas.openxmlformats.org/markup-compatibility/2006">
      <mc:Choice Requires="x14">
        <oleObject shapeId="117780" progId="Equation.DSMT4" r:id="rId41">
          <objectPr defaultSize="0" r:id="rId42">
            <anchor moveWithCells="1">
              <from>
                <xdr:col>2</xdr:col>
                <xdr:colOff>66675</xdr:colOff>
                <xdr:row>74</xdr:row>
                <xdr:rowOff>76200</xdr:rowOff>
              </from>
              <to>
                <xdr:col>2</xdr:col>
                <xdr:colOff>685800</xdr:colOff>
                <xdr:row>75</xdr:row>
                <xdr:rowOff>0</xdr:rowOff>
              </to>
            </anchor>
          </objectPr>
        </oleObject>
      </mc:Choice>
      <mc:Fallback>
        <oleObject shapeId="117780" progId="Equation.DSMT4" r:id="rId41"/>
      </mc:Fallback>
    </mc:AlternateContent>
    <mc:AlternateContent xmlns:mc="http://schemas.openxmlformats.org/markup-compatibility/2006">
      <mc:Choice Requires="x14">
        <oleObject shapeId="117781" progId="Equation.DSMT4" r:id="rId43">
          <objectPr defaultSize="0" r:id="rId44">
            <anchor moveWithCells="1">
              <from>
                <xdr:col>2</xdr:col>
                <xdr:colOff>38100</xdr:colOff>
                <xdr:row>76</xdr:row>
                <xdr:rowOff>38100</xdr:rowOff>
              </from>
              <to>
                <xdr:col>2</xdr:col>
                <xdr:colOff>685800</xdr:colOff>
                <xdr:row>77</xdr:row>
                <xdr:rowOff>0</xdr:rowOff>
              </to>
            </anchor>
          </objectPr>
        </oleObject>
      </mc:Choice>
      <mc:Fallback>
        <oleObject shapeId="117781" progId="Equation.DSMT4" r:id="rId43"/>
      </mc:Fallback>
    </mc:AlternateContent>
    <mc:AlternateContent xmlns:mc="http://schemas.openxmlformats.org/markup-compatibility/2006">
      <mc:Choice Requires="x14">
        <oleObject shapeId="117782" progId="Equation.DSMT4" r:id="rId45">
          <objectPr defaultSize="0" r:id="rId46">
            <anchor moveWithCells="1">
              <from>
                <xdr:col>2</xdr:col>
                <xdr:colOff>19050</xdr:colOff>
                <xdr:row>79</xdr:row>
                <xdr:rowOff>28575</xdr:rowOff>
              </from>
              <to>
                <xdr:col>2</xdr:col>
                <xdr:colOff>685800</xdr:colOff>
                <xdr:row>80</xdr:row>
                <xdr:rowOff>0</xdr:rowOff>
              </to>
            </anchor>
          </objectPr>
        </oleObject>
      </mc:Choice>
      <mc:Fallback>
        <oleObject shapeId="117782" progId="Equation.DSMT4" r:id="rId45"/>
      </mc:Fallback>
    </mc:AlternateContent>
    <mc:AlternateContent xmlns:mc="http://schemas.openxmlformats.org/markup-compatibility/2006">
      <mc:Choice Requires="x14">
        <oleObject shapeId="117783" progId="Equation.DSMT4" r:id="rId47">
          <objectPr defaultSize="0" r:id="rId48">
            <anchor moveWithCells="1">
              <from>
                <xdr:col>2</xdr:col>
                <xdr:colOff>38100</xdr:colOff>
                <xdr:row>45</xdr:row>
                <xdr:rowOff>38100</xdr:rowOff>
              </from>
              <to>
                <xdr:col>2</xdr:col>
                <xdr:colOff>266700</xdr:colOff>
                <xdr:row>45</xdr:row>
                <xdr:rowOff>247650</xdr:rowOff>
              </to>
            </anchor>
          </objectPr>
        </oleObject>
      </mc:Choice>
      <mc:Fallback>
        <oleObject shapeId="117783" progId="Equation.DSMT4" r:id="rId47"/>
      </mc:Fallback>
    </mc:AlternateContent>
    <mc:AlternateContent xmlns:mc="http://schemas.openxmlformats.org/markup-compatibility/2006">
      <mc:Choice Requires="x14">
        <oleObject shapeId="117784" progId="Equation.DSMT4" r:id="rId49">
          <objectPr defaultSize="0" r:id="rId50">
            <anchor moveWithCells="1">
              <from>
                <xdr:col>2</xdr:col>
                <xdr:colOff>28575</xdr:colOff>
                <xdr:row>47</xdr:row>
                <xdr:rowOff>28575</xdr:rowOff>
              </from>
              <to>
                <xdr:col>2</xdr:col>
                <xdr:colOff>704850</xdr:colOff>
                <xdr:row>48</xdr:row>
                <xdr:rowOff>0</xdr:rowOff>
              </to>
            </anchor>
          </objectPr>
        </oleObject>
      </mc:Choice>
      <mc:Fallback>
        <oleObject shapeId="117784" progId="Equation.DSMT4" r:id="rId49"/>
      </mc:Fallback>
    </mc:AlternateContent>
    <mc:AlternateContent xmlns:mc="http://schemas.openxmlformats.org/markup-compatibility/2006">
      <mc:Choice Requires="x14">
        <oleObject shapeId="117785" progId="Equation.DSMT4" r:id="rId51">
          <objectPr defaultSize="0" r:id="rId52">
            <anchor moveWithCells="1">
              <from>
                <xdr:col>2</xdr:col>
                <xdr:colOff>38100</xdr:colOff>
                <xdr:row>49</xdr:row>
                <xdr:rowOff>28575</xdr:rowOff>
              </from>
              <to>
                <xdr:col>2</xdr:col>
                <xdr:colOff>685800</xdr:colOff>
                <xdr:row>50</xdr:row>
                <xdr:rowOff>0</xdr:rowOff>
              </to>
            </anchor>
          </objectPr>
        </oleObject>
      </mc:Choice>
      <mc:Fallback>
        <oleObject shapeId="117785" progId="Equation.DSMT4" r:id="rId51"/>
      </mc:Fallback>
    </mc:AlternateContent>
    <mc:AlternateContent xmlns:mc="http://schemas.openxmlformats.org/markup-compatibility/2006">
      <mc:Choice Requires="x14">
        <oleObject shapeId="117786" progId="Equation.DSMT4" r:id="rId53">
          <objectPr defaultSize="0" r:id="rId54">
            <anchor moveWithCells="1">
              <from>
                <xdr:col>2</xdr:col>
                <xdr:colOff>47625</xdr:colOff>
                <xdr:row>53</xdr:row>
                <xdr:rowOff>38100</xdr:rowOff>
              </from>
              <to>
                <xdr:col>3</xdr:col>
                <xdr:colOff>152400</xdr:colOff>
                <xdr:row>54</xdr:row>
                <xdr:rowOff>0</xdr:rowOff>
              </to>
            </anchor>
          </objectPr>
        </oleObject>
      </mc:Choice>
      <mc:Fallback>
        <oleObject shapeId="117786" progId="Equation.DSMT4" r:id="rId53"/>
      </mc:Fallback>
    </mc:AlternateContent>
  </oleObjec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3"/>
  <sheetViews>
    <sheetView topLeftCell="A13" workbookViewId="0">
      <selection activeCell="J6" sqref="J6"/>
    </sheetView>
  </sheetViews>
  <sheetFormatPr defaultColWidth="9" defaultRowHeight="15.6" outlineLevelCol="6"/>
  <cols>
    <col min="1" max="1" width="12.25" style="168" customWidth="1"/>
    <col min="2" max="2" width="9.25" style="168" customWidth="1"/>
    <col min="3" max="3" width="28.875" style="168" customWidth="1"/>
    <col min="4" max="4" width="9" style="168"/>
    <col min="5" max="5" width="14.25" style="168" customWidth="1"/>
    <col min="6" max="6" width="9.625" style="168" customWidth="1"/>
    <col min="7" max="7" width="33.375" style="168" customWidth="1"/>
    <col min="8" max="16384" width="9" style="168"/>
  </cols>
  <sheetData>
    <row r="1" spans="1:7">
      <c r="A1" s="626" t="s">
        <v>1441</v>
      </c>
      <c r="B1" s="626"/>
      <c r="C1" s="626"/>
      <c r="E1" s="626" t="s">
        <v>1442</v>
      </c>
      <c r="F1" s="626"/>
      <c r="G1" s="626"/>
    </row>
    <row r="2" spans="1:7">
      <c r="A2" s="205" t="s">
        <v>1443</v>
      </c>
      <c r="B2" s="1418">
        <v>11</v>
      </c>
      <c r="C2" s="205" t="s">
        <v>1444</v>
      </c>
      <c r="E2" s="205" t="s">
        <v>1443</v>
      </c>
      <c r="F2" s="1419">
        <v>5</v>
      </c>
      <c r="G2" s="205" t="s">
        <v>1444</v>
      </c>
    </row>
    <row r="3" spans="1:7">
      <c r="A3" s="205" t="s">
        <v>1445</v>
      </c>
      <c r="B3" s="1418">
        <v>80</v>
      </c>
      <c r="C3" s="205" t="s">
        <v>1446</v>
      </c>
      <c r="E3" s="205" t="s">
        <v>1445</v>
      </c>
      <c r="F3" s="1419">
        <v>15</v>
      </c>
      <c r="G3" s="205" t="s">
        <v>1446</v>
      </c>
    </row>
    <row r="4" spans="1:7">
      <c r="A4" s="205" t="s">
        <v>1447</v>
      </c>
      <c r="B4" s="1418">
        <v>700</v>
      </c>
      <c r="C4" s="205" t="s">
        <v>1448</v>
      </c>
      <c r="E4" s="205" t="s">
        <v>1447</v>
      </c>
      <c r="F4" s="1419">
        <v>50</v>
      </c>
      <c r="G4" s="205" t="s">
        <v>1448</v>
      </c>
    </row>
    <row r="5" spans="1:7">
      <c r="A5" s="205" t="s">
        <v>1449</v>
      </c>
      <c r="B5" s="1418">
        <v>300</v>
      </c>
      <c r="C5" s="205" t="s">
        <v>1450</v>
      </c>
      <c r="E5" s="205" t="s">
        <v>1449</v>
      </c>
      <c r="F5" s="1419">
        <v>150</v>
      </c>
      <c r="G5" s="205" t="s">
        <v>1450</v>
      </c>
    </row>
    <row r="6" spans="1:7">
      <c r="A6" s="205" t="s">
        <v>1451</v>
      </c>
      <c r="B6" s="1418">
        <v>20</v>
      </c>
      <c r="C6" s="205" t="s">
        <v>1452</v>
      </c>
      <c r="E6" s="205" t="s">
        <v>1451</v>
      </c>
      <c r="F6" s="1419">
        <v>0</v>
      </c>
      <c r="G6" s="205" t="s">
        <v>1452</v>
      </c>
    </row>
    <row r="7" spans="1:7">
      <c r="A7" s="205" t="s">
        <v>1453</v>
      </c>
      <c r="B7" s="1418">
        <v>0.2</v>
      </c>
      <c r="C7" s="205" t="s">
        <v>1454</v>
      </c>
      <c r="E7" s="205" t="s">
        <v>1453</v>
      </c>
      <c r="F7" s="1419">
        <v>1</v>
      </c>
      <c r="G7" s="205" t="s">
        <v>1454</v>
      </c>
    </row>
    <row r="8" spans="1:7">
      <c r="A8" s="274"/>
      <c r="B8" s="274"/>
      <c r="C8" s="274"/>
      <c r="E8" s="205" t="s">
        <v>101</v>
      </c>
      <c r="F8" s="1419">
        <v>0.9</v>
      </c>
      <c r="G8" s="205" t="s">
        <v>1455</v>
      </c>
    </row>
    <row r="9" spans="5:7">
      <c r="E9" s="205" t="s">
        <v>1456</v>
      </c>
      <c r="F9" s="1419">
        <v>5</v>
      </c>
      <c r="G9" s="205" t="s">
        <v>1457</v>
      </c>
    </row>
    <row r="10" spans="1:7">
      <c r="A10" s="205" t="s">
        <v>1458</v>
      </c>
      <c r="B10" s="205">
        <f>(B6+B5)*B2+(B6+B5)*9.8*B7</f>
        <v>4147.2</v>
      </c>
      <c r="C10" s="205" t="s">
        <v>1459</v>
      </c>
      <c r="E10" s="205" t="s">
        <v>1460</v>
      </c>
      <c r="F10" s="1419">
        <v>20</v>
      </c>
      <c r="G10" s="205" t="s">
        <v>1461</v>
      </c>
    </row>
    <row r="11" spans="1:7">
      <c r="A11" s="205" t="s">
        <v>1462</v>
      </c>
      <c r="B11" s="205">
        <f>(B6+B5)*9.8*B7</f>
        <v>627.2</v>
      </c>
      <c r="C11" s="205" t="s">
        <v>1463</v>
      </c>
      <c r="E11" s="205" t="s">
        <v>1464</v>
      </c>
      <c r="F11" s="1419">
        <v>0.64</v>
      </c>
      <c r="G11" s="205" t="s">
        <v>1465</v>
      </c>
    </row>
    <row r="12" spans="1:3">
      <c r="A12" s="205" t="s">
        <v>1466</v>
      </c>
      <c r="B12" s="205">
        <f>B3/B2/60</f>
        <v>0.121212121212121</v>
      </c>
      <c r="C12" s="205" t="s">
        <v>533</v>
      </c>
    </row>
    <row r="13" spans="1:3">
      <c r="A13" s="205" t="s">
        <v>1467</v>
      </c>
      <c r="B13" s="205">
        <f>(B4-B2*B12*B12)/B3*60+0.012</f>
        <v>524.890787878788</v>
      </c>
      <c r="C13" s="205" t="s">
        <v>1468</v>
      </c>
    </row>
    <row r="14" spans="5:7">
      <c r="E14" s="205" t="s">
        <v>1469</v>
      </c>
      <c r="F14" s="1420">
        <f>(F5+F6)*(F9/10/2/3.14)*(F9/10/2/3.14)</f>
        <v>0.950849933060165</v>
      </c>
      <c r="G14" s="205" t="s">
        <v>1470</v>
      </c>
    </row>
    <row r="15" spans="2:7">
      <c r="B15" s="155" t="s">
        <v>88</v>
      </c>
      <c r="E15" s="205" t="s">
        <v>1471</v>
      </c>
      <c r="F15" s="1420">
        <f>F11*F10/10*F10/10/8</f>
        <v>0.32</v>
      </c>
      <c r="G15" s="205" t="s">
        <v>1472</v>
      </c>
    </row>
    <row r="16" spans="2:7">
      <c r="B16" s="155"/>
      <c r="E16" s="205" t="s">
        <v>387</v>
      </c>
      <c r="F16" s="1420">
        <f>F3/F9*1000</f>
        <v>3000</v>
      </c>
      <c r="G16" s="205" t="s">
        <v>1473</v>
      </c>
    </row>
    <row r="17" spans="5:7">
      <c r="E17" s="205" t="s">
        <v>1466</v>
      </c>
      <c r="F17" s="1420">
        <f>F3/60/F2</f>
        <v>0.05</v>
      </c>
      <c r="G17" s="205" t="s">
        <v>533</v>
      </c>
    </row>
    <row r="18" spans="5:7">
      <c r="E18" s="205" t="s">
        <v>1467</v>
      </c>
      <c r="F18" s="1420">
        <f>(F4/1000-F2*F17*F17)/F3*60+0.02</f>
        <v>0.17</v>
      </c>
      <c r="G18" s="205" t="s">
        <v>1474</v>
      </c>
    </row>
    <row r="19" spans="1:7">
      <c r="A19" s="626" t="s">
        <v>1475</v>
      </c>
      <c r="B19" s="626"/>
      <c r="C19" s="626"/>
      <c r="E19" s="205" t="s">
        <v>1476</v>
      </c>
      <c r="F19" s="1420">
        <f>(((F5+F6)*F2*F9/2/3.14/F8/1000))+((F15*(F16*2*3.14/60/F17)/F8))/10000</f>
        <v>0.886770842179759</v>
      </c>
      <c r="G19" s="205" t="s">
        <v>1477</v>
      </c>
    </row>
    <row r="20" spans="1:7">
      <c r="A20" s="205" t="s">
        <v>1478</v>
      </c>
      <c r="B20" s="1421">
        <f>((B6+B5)*B2+(B6+B5)*9.8*B7)*1.2</f>
        <v>4976.64</v>
      </c>
      <c r="C20" s="205" t="s">
        <v>1479</v>
      </c>
      <c r="E20" s="205" t="s">
        <v>1480</v>
      </c>
      <c r="F20" s="1420">
        <f>(F5+F6)*9.8*F7*F9/1000/2/3.14/F8</f>
        <v>1.30042462845011</v>
      </c>
      <c r="G20" s="205" t="s">
        <v>1481</v>
      </c>
    </row>
    <row r="21" spans="1:7">
      <c r="A21" s="205" t="s">
        <v>1482</v>
      </c>
      <c r="B21" s="1421">
        <f>(SQRT((B10*B10*B12+B11*B11*B13+B10*B10*B12)/(B12+B12+B13)))*1.2</f>
        <v>760.025630539722</v>
      </c>
      <c r="C21" s="205" t="s">
        <v>1483</v>
      </c>
      <c r="E21" s="205" t="s">
        <v>1484</v>
      </c>
      <c r="F21" s="1420">
        <f>F19-F20</f>
        <v>-0.413653786270347</v>
      </c>
      <c r="G21" s="205" t="s">
        <v>1485</v>
      </c>
    </row>
    <row r="22" spans="1:3">
      <c r="A22" s="205" t="s">
        <v>1486</v>
      </c>
      <c r="B22" s="1421">
        <f>250/B3*60</f>
        <v>187.5</v>
      </c>
      <c r="C22" s="205" t="s">
        <v>1487</v>
      </c>
    </row>
    <row r="23" spans="1:3">
      <c r="A23" s="205" t="s">
        <v>1488</v>
      </c>
      <c r="B23" s="944" t="s">
        <v>1489</v>
      </c>
      <c r="C23" s="205" t="s">
        <v>1490</v>
      </c>
    </row>
    <row r="24" spans="1:7">
      <c r="A24" s="205" t="s">
        <v>1491</v>
      </c>
      <c r="B24" s="944"/>
      <c r="C24" s="205" t="s">
        <v>641</v>
      </c>
      <c r="E24" s="1422" t="s">
        <v>1492</v>
      </c>
      <c r="F24" s="1422"/>
      <c r="G24" s="1422"/>
    </row>
    <row r="25" spans="5:7">
      <c r="E25" s="1423" t="s">
        <v>1123</v>
      </c>
      <c r="F25" s="1424">
        <f>F3/F9*1000</f>
        <v>3000</v>
      </c>
      <c r="G25" s="1423" t="s">
        <v>654</v>
      </c>
    </row>
    <row r="26" spans="5:7">
      <c r="E26" s="1420" t="s">
        <v>1493</v>
      </c>
      <c r="F26" s="1421">
        <f>(F19+F20)*1.2</f>
        <v>2.62463456475584</v>
      </c>
      <c r="G26" s="1423" t="s">
        <v>1494</v>
      </c>
    </row>
    <row r="27" spans="1:7">
      <c r="A27" s="1425" t="s">
        <v>761</v>
      </c>
      <c r="C27" s="1426" t="s">
        <v>1495</v>
      </c>
      <c r="E27" s="1420" t="s">
        <v>1496</v>
      </c>
      <c r="F27" s="1421">
        <f>SQRT((F19*F19*F17+F20*F20*F18+F21*F21*F17)/(F17+F17+F18))</f>
        <v>1.11448595607743</v>
      </c>
      <c r="G27" s="1420" t="s">
        <v>1497</v>
      </c>
    </row>
    <row r="28" spans="1:7">
      <c r="A28" s="1425"/>
      <c r="C28" s="1426"/>
      <c r="E28" s="1423" t="s">
        <v>1498</v>
      </c>
      <c r="F28" s="1424">
        <f>F20*2</f>
        <v>2.60084925690021</v>
      </c>
      <c r="G28" s="1423" t="s">
        <v>1499</v>
      </c>
    </row>
    <row r="29" spans="1:7">
      <c r="A29" s="1425"/>
      <c r="C29" s="1426"/>
      <c r="E29" s="1420" t="s">
        <v>1500</v>
      </c>
      <c r="F29" s="1421">
        <f>(F14+F15)/5</f>
        <v>0.254169986612033</v>
      </c>
      <c r="G29" s="1420" t="s">
        <v>1501</v>
      </c>
    </row>
    <row r="30" spans="1:7">
      <c r="A30" s="1425"/>
      <c r="C30" s="1426"/>
      <c r="E30" s="1423" t="s">
        <v>1488</v>
      </c>
      <c r="F30" s="1427" t="s">
        <v>1489</v>
      </c>
      <c r="G30" s="1423" t="s">
        <v>1502</v>
      </c>
    </row>
    <row r="31" spans="1:7">
      <c r="A31" s="1425"/>
      <c r="C31" s="1426"/>
      <c r="E31" s="1423" t="s">
        <v>1491</v>
      </c>
      <c r="F31" s="1427"/>
      <c r="G31" s="1423" t="s">
        <v>641</v>
      </c>
    </row>
    <row r="33" spans="1:1">
      <c r="A33" s="1428" t="s">
        <v>1503</v>
      </c>
    </row>
  </sheetData>
  <customSheetViews>
    <customSheetView guid="{B9330FFD-B5EF-4680-A375-DB92D4738404}">
      <selection activeCell="I18" sqref="I18"/>
      <pageMargins left="0.7" right="0.7" top="0.75" bottom="0.75" header="0.3" footer="0.3"/>
      <headerFooter/>
    </customSheetView>
  </customSheetViews>
  <mergeCells count="9">
    <mergeCell ref="A1:C1"/>
    <mergeCell ref="E1:G1"/>
    <mergeCell ref="A19:C19"/>
    <mergeCell ref="E24:G24"/>
    <mergeCell ref="A27:A31"/>
    <mergeCell ref="B15:B16"/>
    <mergeCell ref="B23:B24"/>
    <mergeCell ref="C27:C31"/>
    <mergeCell ref="F30:F31"/>
  </mergeCells>
  <hyperlinks>
    <hyperlink ref="B15:B16" location="目录!A1" display="目录!A1"/>
  </hyperlinks>
  <pageMargins left="0.7" right="0.7" top="0.75" bottom="0.75" header="0.3" footer="0.3"/>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0"/>
  <sheetViews>
    <sheetView topLeftCell="A33" workbookViewId="0">
      <selection activeCell="A4" sqref="A4"/>
    </sheetView>
  </sheetViews>
  <sheetFormatPr defaultColWidth="8.75" defaultRowHeight="12"/>
  <cols>
    <col min="1" max="1" width="77.5" style="1377" customWidth="1"/>
    <col min="2" max="2" width="20.25" style="1378" customWidth="1"/>
    <col min="3" max="3" width="7.125" style="1377" customWidth="1"/>
    <col min="4" max="4" width="9.625" style="1377" customWidth="1"/>
    <col min="5" max="7" width="9.625" style="1377" hidden="1" customWidth="1"/>
    <col min="8" max="8" width="43.375" style="1377" customWidth="1"/>
    <col min="9" max="10" width="8.75" style="1377"/>
    <col min="11" max="11" width="8.75" style="1377" hidden="1" customWidth="1"/>
    <col min="12" max="16384" width="8.75" style="1377"/>
  </cols>
  <sheetData>
    <row r="1" ht="24.95" customHeight="1" spans="2:8">
      <c r="B1" s="1379" t="s">
        <v>1504</v>
      </c>
      <c r="C1" s="1379"/>
      <c r="D1" s="155" t="s">
        <v>88</v>
      </c>
      <c r="E1" s="1379"/>
      <c r="F1" s="1379"/>
      <c r="G1" s="1379"/>
      <c r="H1" s="1379"/>
    </row>
    <row r="2" ht="21.6" customHeight="1" spans="1:8">
      <c r="A2" s="1380" t="s">
        <v>1505</v>
      </c>
      <c r="B2" s="1381" t="s">
        <v>1506</v>
      </c>
      <c r="C2" s="1382"/>
      <c r="D2" s="1382"/>
      <c r="E2" s="1382"/>
      <c r="F2" s="1382"/>
      <c r="G2" s="1382"/>
      <c r="H2" s="1383"/>
    </row>
    <row r="3" ht="21.6" customHeight="1" spans="1:11">
      <c r="A3" s="1380"/>
      <c r="B3" s="1384" t="s">
        <v>1507</v>
      </c>
      <c r="C3" s="1385" t="s">
        <v>1508</v>
      </c>
      <c r="D3" s="1385"/>
      <c r="E3" s="1385"/>
      <c r="F3" s="1385"/>
      <c r="G3" s="1385"/>
      <c r="H3" s="1386"/>
      <c r="K3" s="1377" t="s">
        <v>1508</v>
      </c>
    </row>
    <row r="4" ht="21.6" customHeight="1" spans="1:8">
      <c r="A4" s="1387"/>
      <c r="B4" s="1384" t="s">
        <v>1509</v>
      </c>
      <c r="C4" s="1385" t="s">
        <v>1510</v>
      </c>
      <c r="D4" s="1385"/>
      <c r="E4" s="1385"/>
      <c r="F4" s="1385"/>
      <c r="G4" s="1385"/>
      <c r="H4" s="1386"/>
    </row>
    <row r="5" ht="21.6" customHeight="1" spans="1:11">
      <c r="A5" s="1387"/>
      <c r="B5" s="1388" t="s">
        <v>1511</v>
      </c>
      <c r="C5" s="1385" t="s">
        <v>914</v>
      </c>
      <c r="D5" s="1385" t="s">
        <v>1512</v>
      </c>
      <c r="E5" s="1385"/>
      <c r="F5" s="1385"/>
      <c r="G5" s="1385"/>
      <c r="H5" s="1386" t="s">
        <v>1513</v>
      </c>
      <c r="K5" s="1377" t="s">
        <v>1514</v>
      </c>
    </row>
    <row r="6" ht="21.6" customHeight="1" spans="1:11">
      <c r="A6" s="1387"/>
      <c r="B6" s="1384" t="s">
        <v>1515</v>
      </c>
      <c r="C6" s="1385" t="s">
        <v>357</v>
      </c>
      <c r="D6" s="1389">
        <v>500</v>
      </c>
      <c r="E6" s="1385"/>
      <c r="F6" s="1385"/>
      <c r="G6" s="1385"/>
      <c r="H6" s="1390" t="s">
        <v>1516</v>
      </c>
      <c r="K6" s="1377" t="s">
        <v>1517</v>
      </c>
    </row>
    <row r="7" ht="21.6" customHeight="1" spans="1:8">
      <c r="A7" s="1387"/>
      <c r="B7" s="1384" t="s">
        <v>1518</v>
      </c>
      <c r="C7" s="1385" t="s">
        <v>357</v>
      </c>
      <c r="D7" s="1389">
        <v>0</v>
      </c>
      <c r="E7" s="1385"/>
      <c r="F7" s="1385"/>
      <c r="G7" s="1385"/>
      <c r="H7" s="1390"/>
    </row>
    <row r="8" ht="21.6" customHeight="1" spans="1:8">
      <c r="A8" s="1387"/>
      <c r="B8" s="1384" t="s">
        <v>1519</v>
      </c>
      <c r="C8" s="1385" t="s">
        <v>387</v>
      </c>
      <c r="D8" s="1389">
        <v>0</v>
      </c>
      <c r="E8" s="1385"/>
      <c r="F8" s="1385"/>
      <c r="G8" s="1385"/>
      <c r="H8" s="1391"/>
    </row>
    <row r="9" ht="21.6" customHeight="1" spans="1:8">
      <c r="A9" s="1387"/>
      <c r="B9" s="1384" t="s">
        <v>1520</v>
      </c>
      <c r="C9" s="1385" t="s">
        <v>598</v>
      </c>
      <c r="D9" s="1389">
        <v>40</v>
      </c>
      <c r="E9" s="1385">
        <f>D9/1000</f>
        <v>0.04</v>
      </c>
      <c r="F9" s="1385"/>
      <c r="G9" s="1385"/>
      <c r="H9" s="1390"/>
    </row>
    <row r="10" ht="21.6" customHeight="1" spans="1:8">
      <c r="A10" s="1387"/>
      <c r="B10" s="1384" t="s">
        <v>1521</v>
      </c>
      <c r="C10" s="1385" t="s">
        <v>1522</v>
      </c>
      <c r="D10" s="1389">
        <v>6</v>
      </c>
      <c r="E10" s="1385">
        <f>D10/1000</f>
        <v>0.006</v>
      </c>
      <c r="F10" s="1385"/>
      <c r="G10" s="1385"/>
      <c r="H10" s="1390" t="s">
        <v>1523</v>
      </c>
    </row>
    <row r="11" ht="21.6" customHeight="1" spans="1:8">
      <c r="A11" s="1387"/>
      <c r="B11" s="1384" t="s">
        <v>1524</v>
      </c>
      <c r="C11" s="1385" t="s">
        <v>598</v>
      </c>
      <c r="D11" s="1389">
        <v>500</v>
      </c>
      <c r="E11" s="1385">
        <f>D11/1000</f>
        <v>0.5</v>
      </c>
      <c r="F11" s="1385"/>
      <c r="G11" s="1385"/>
      <c r="H11" s="1390"/>
    </row>
    <row r="12" ht="21.6" customHeight="1" spans="1:8">
      <c r="A12" s="1387"/>
      <c r="B12" s="1384" t="s">
        <v>1525</v>
      </c>
      <c r="C12" s="1385" t="s">
        <v>1526</v>
      </c>
      <c r="D12" s="1389">
        <v>1</v>
      </c>
      <c r="E12" s="1385"/>
      <c r="F12" s="1385"/>
      <c r="G12" s="1385"/>
      <c r="H12" s="1390"/>
    </row>
    <row r="13" ht="21.6" customHeight="1" spans="1:8">
      <c r="A13" s="1387"/>
      <c r="B13" s="1384" t="s">
        <v>1527</v>
      </c>
      <c r="C13" s="1385" t="s">
        <v>1528</v>
      </c>
      <c r="D13" s="1389">
        <v>0</v>
      </c>
      <c r="E13" s="1385"/>
      <c r="F13" s="1385"/>
      <c r="G13" s="1385"/>
      <c r="H13" s="1390" t="s">
        <v>1529</v>
      </c>
    </row>
    <row r="14" ht="21.6" customHeight="1" spans="1:8">
      <c r="A14" s="1387"/>
      <c r="B14" s="1384" t="s">
        <v>1530</v>
      </c>
      <c r="C14" s="1385" t="s">
        <v>1531</v>
      </c>
      <c r="D14" s="1389">
        <v>0.1</v>
      </c>
      <c r="E14" s="1385"/>
      <c r="F14" s="1385"/>
      <c r="G14" s="1385"/>
      <c r="H14" s="1390" t="s">
        <v>1532</v>
      </c>
    </row>
    <row r="15" ht="21.6" customHeight="1" spans="1:8">
      <c r="A15" s="1387"/>
      <c r="B15" s="1384" t="s">
        <v>1533</v>
      </c>
      <c r="C15" s="1385" t="s">
        <v>387</v>
      </c>
      <c r="D15" s="1389"/>
      <c r="E15" s="1385"/>
      <c r="F15" s="1385"/>
      <c r="G15" s="1385"/>
      <c r="H15" s="1390" t="s">
        <v>1534</v>
      </c>
    </row>
    <row r="16" ht="21.6" customHeight="1" spans="1:8">
      <c r="A16" s="1377" t="s">
        <v>106</v>
      </c>
      <c r="B16" s="1384" t="s">
        <v>1535</v>
      </c>
      <c r="C16" s="1385" t="s">
        <v>1531</v>
      </c>
      <c r="D16" s="1389">
        <v>0.9</v>
      </c>
      <c r="E16" s="1385"/>
      <c r="F16" s="1385"/>
      <c r="G16" s="1385"/>
      <c r="H16" s="1390" t="s">
        <v>1536</v>
      </c>
    </row>
    <row r="17" ht="21.6" customHeight="1" spans="2:8">
      <c r="B17" s="1384" t="s">
        <v>1537</v>
      </c>
      <c r="C17" s="1385" t="s">
        <v>390</v>
      </c>
      <c r="D17" s="1389">
        <v>0</v>
      </c>
      <c r="E17" s="1385"/>
      <c r="F17" s="1385"/>
      <c r="G17" s="1385"/>
      <c r="H17" s="1390"/>
    </row>
    <row r="18" ht="21.6" customHeight="1" spans="2:8">
      <c r="B18" s="1384" t="s">
        <v>1538</v>
      </c>
      <c r="C18" s="1385" t="s">
        <v>353</v>
      </c>
      <c r="D18" s="1389">
        <v>8</v>
      </c>
      <c r="E18" s="1385"/>
      <c r="F18" s="1385"/>
      <c r="G18" s="1385"/>
      <c r="H18" s="1390"/>
    </row>
    <row r="19" ht="21.6" customHeight="1" spans="2:8">
      <c r="B19" s="1392" t="s">
        <v>1539</v>
      </c>
      <c r="C19" s="1393" t="s">
        <v>1540</v>
      </c>
      <c r="D19" s="1394">
        <v>5</v>
      </c>
      <c r="E19" s="1393"/>
      <c r="F19" s="1393"/>
      <c r="G19" s="1393"/>
      <c r="H19" s="1395" t="s">
        <v>1541</v>
      </c>
    </row>
    <row r="20" ht="21.6" customHeight="1"/>
    <row r="21" ht="21.6" customHeight="1" spans="2:8">
      <c r="B21" s="1381" t="s">
        <v>1542</v>
      </c>
      <c r="C21" s="1382"/>
      <c r="D21" s="1382"/>
      <c r="E21" s="1382"/>
      <c r="F21" s="1382"/>
      <c r="G21" s="1382"/>
      <c r="H21" s="1383"/>
    </row>
    <row r="22" ht="21.6" customHeight="1" spans="2:8">
      <c r="B22" s="1388" t="s">
        <v>1511</v>
      </c>
      <c r="C22" s="1385" t="s">
        <v>914</v>
      </c>
      <c r="D22" s="1385" t="s">
        <v>1512</v>
      </c>
      <c r="E22" s="1385"/>
      <c r="F22" s="1385"/>
      <c r="G22" s="1385"/>
      <c r="H22" s="1386" t="s">
        <v>1513</v>
      </c>
    </row>
    <row r="23" ht="21.6" customHeight="1" spans="2:8">
      <c r="B23" s="1384" t="s">
        <v>1543</v>
      </c>
      <c r="C23" s="1385" t="s">
        <v>1544</v>
      </c>
      <c r="D23" s="1396">
        <f>IFERROR(E10*(1/D12),"")</f>
        <v>0.006</v>
      </c>
      <c r="E23" s="1385"/>
      <c r="F23" s="1385"/>
      <c r="G23" s="1385"/>
      <c r="H23" s="1386"/>
    </row>
    <row r="24" ht="21.6" customHeight="1" spans="2:8">
      <c r="B24" s="1384" t="s">
        <v>1545</v>
      </c>
      <c r="C24" s="1385" t="s">
        <v>1546</v>
      </c>
      <c r="D24" s="1396">
        <f>IFERROR(ROUND(D18/D23,0),"")</f>
        <v>1333</v>
      </c>
      <c r="E24" s="1385"/>
      <c r="F24" s="1385"/>
      <c r="G24" s="1385"/>
      <c r="H24" s="1386"/>
    </row>
    <row r="25" ht="21.6" customHeight="1" spans="2:8">
      <c r="B25" s="1384" t="s">
        <v>1547</v>
      </c>
      <c r="C25" s="1385" t="s">
        <v>1528</v>
      </c>
      <c r="D25" s="1396">
        <f>IFERROR(ROUND(D6*POWER(D23/(2*PI()),2),5)+ROUND(D7*POWER(D23/(2*PI()),2),5),"")</f>
        <v>0.00046</v>
      </c>
      <c r="E25" s="1385"/>
      <c r="F25" s="1385"/>
      <c r="G25" s="1385"/>
      <c r="H25" s="1386"/>
    </row>
    <row r="26" ht="21.6" customHeight="1" spans="2:8">
      <c r="B26" s="1384" t="s">
        <v>1548</v>
      </c>
      <c r="C26" s="1385" t="s">
        <v>1528</v>
      </c>
      <c r="D26" s="1396">
        <f>IFERROR(ROUND((PI()*7800)/32*POWER(E9,4)*E11*POWER(1/D12,2),4),"")</f>
        <v>0.001</v>
      </c>
      <c r="E26" s="1385"/>
      <c r="F26" s="1385"/>
      <c r="G26" s="1385"/>
      <c r="H26" s="1390" t="s">
        <v>1549</v>
      </c>
    </row>
    <row r="27" ht="21.6" customHeight="1" spans="2:8">
      <c r="B27" s="1384" t="s">
        <v>1527</v>
      </c>
      <c r="C27" s="1385" t="s">
        <v>1528</v>
      </c>
      <c r="D27" s="1396">
        <f>IF(D13="","",D13)</f>
        <v>0</v>
      </c>
      <c r="E27" s="1385"/>
      <c r="F27" s="1385"/>
      <c r="G27" s="1385"/>
      <c r="H27" s="1386"/>
    </row>
    <row r="28" ht="21.6" customHeight="1" spans="2:8">
      <c r="B28" s="1384" t="s">
        <v>1550</v>
      </c>
      <c r="C28" s="1385" t="s">
        <v>1528</v>
      </c>
      <c r="D28" s="1396">
        <f>IFERROR(D25+D26+D27,"")</f>
        <v>0.00146</v>
      </c>
      <c r="E28" s="1385"/>
      <c r="F28" s="1385"/>
      <c r="G28" s="1385"/>
      <c r="H28" s="1386"/>
    </row>
    <row r="29" ht="21.6" customHeight="1" spans="2:8">
      <c r="B29" s="1384" t="s">
        <v>1551</v>
      </c>
      <c r="C29" s="1385" t="s">
        <v>405</v>
      </c>
      <c r="D29" s="1396">
        <f>IFERROR(IF($C$3="水平轴",E29,IF($C$3="倾斜轴",F29,0)),"")</f>
        <v>0.5199</v>
      </c>
      <c r="E29" s="1385">
        <f>ROUND((D14*D6*9.8*D23)/(2*PI()*D16),4)</f>
        <v>0.5199</v>
      </c>
      <c r="F29" s="1385">
        <f>ROUND(D14*D6*9.8*COS(D17*PI()/180)*D23/(2*PI()*D16),5)</f>
        <v>0.51991</v>
      </c>
      <c r="G29" s="1385"/>
      <c r="H29" s="1386"/>
    </row>
    <row r="30" ht="21.6" customHeight="1" spans="2:8">
      <c r="B30" s="1384" t="s">
        <v>1552</v>
      </c>
      <c r="C30" s="1385" t="s">
        <v>405</v>
      </c>
      <c r="D30" s="1396">
        <f>IFERROR(IF($C$3="重力轴",E30,IF($C$3="倾斜轴",F30,0)),"")</f>
        <v>0</v>
      </c>
      <c r="E30" s="1385">
        <f>ROUND((D6*9.8-D8)*D23/(2*PI()*D16),4)</f>
        <v>5.1991</v>
      </c>
      <c r="F30" s="1385">
        <f>ROUND((D6*9.8*SIN(D17*PI()/180)-D8)*D23/(2*PI()*D16),5)</f>
        <v>0</v>
      </c>
      <c r="G30" s="1385"/>
      <c r="H30" s="1386"/>
    </row>
    <row r="31" ht="21.6" customHeight="1" spans="2:8">
      <c r="B31" s="1384" t="s">
        <v>1553</v>
      </c>
      <c r="C31" s="1385" t="s">
        <v>405</v>
      </c>
      <c r="D31" s="1396">
        <f>IFERROR(D29+D30,"")</f>
        <v>0.5199</v>
      </c>
      <c r="E31" s="1385"/>
      <c r="F31" s="1385"/>
      <c r="G31" s="1385"/>
      <c r="H31" s="1386"/>
    </row>
    <row r="32" ht="21.6" customHeight="1" spans="2:8">
      <c r="B32" s="1384" t="s">
        <v>1554</v>
      </c>
      <c r="C32" s="1385" t="s">
        <v>405</v>
      </c>
      <c r="D32" s="1396">
        <f>IFERROR(ROUND(D15*D23/(2*PI()*D16),4),"")</f>
        <v>0</v>
      </c>
      <c r="E32" s="1385"/>
      <c r="F32" s="1385"/>
      <c r="G32" s="1385"/>
      <c r="H32" s="1386"/>
    </row>
    <row r="33" ht="21.6" customHeight="1" spans="2:8">
      <c r="B33" s="1384" t="s">
        <v>1555</v>
      </c>
      <c r="C33" s="1385" t="s">
        <v>405</v>
      </c>
      <c r="D33" s="1396">
        <f>IFERROR(D31+D32,"")</f>
        <v>0.5199</v>
      </c>
      <c r="E33" s="1385"/>
      <c r="F33" s="1385"/>
      <c r="G33" s="1385"/>
      <c r="H33" s="1386"/>
    </row>
    <row r="34" ht="21.6" customHeight="1" spans="2:8">
      <c r="B34" s="1392" t="s">
        <v>1556</v>
      </c>
      <c r="C34" s="1393" t="s">
        <v>405</v>
      </c>
      <c r="D34" s="1397">
        <f>IFERROR(IF($C$3="水平轴",E34,IF($C$3="重力轴",F34,G34)),"")</f>
        <v>7.6445</v>
      </c>
      <c r="E34" s="1393">
        <f>ROUND(D28*2*PI()*D19/D23,4)</f>
        <v>7.6445</v>
      </c>
      <c r="F34" s="1393">
        <f>ROUND(D28*2*PI()*D19/D23+D6*9.8*D23/(2*PI()*D16),4)</f>
        <v>12.8436</v>
      </c>
      <c r="G34" s="1393">
        <f>ROUND(D28*2*PI()*D19/D23+(D6*9.8*SIN(D17*PI()/180)*D23/(2*PI()*D16)),4)</f>
        <v>7.6445</v>
      </c>
      <c r="H34" s="1398"/>
    </row>
    <row r="35" ht="21.6" customHeight="1"/>
    <row r="36" ht="21.6" customHeight="1" spans="2:4">
      <c r="B36" s="1399" t="s">
        <v>1557</v>
      </c>
      <c r="C36" s="1400"/>
      <c r="D36" s="1401"/>
    </row>
    <row r="37" ht="21.6" customHeight="1" spans="2:4">
      <c r="B37" s="1388" t="s">
        <v>1558</v>
      </c>
      <c r="C37" s="1402" t="s">
        <v>1559</v>
      </c>
      <c r="D37" s="1403"/>
    </row>
    <row r="38" ht="21.6" customHeight="1" spans="2:4">
      <c r="B38" s="1388" t="s">
        <v>1560</v>
      </c>
      <c r="C38" s="1385" t="s">
        <v>914</v>
      </c>
      <c r="D38" s="1386" t="s">
        <v>1512</v>
      </c>
    </row>
    <row r="39" ht="21.6" customHeight="1" spans="2:8">
      <c r="B39" s="1384" t="s">
        <v>1561</v>
      </c>
      <c r="C39" s="1385" t="s">
        <v>1528</v>
      </c>
      <c r="D39" s="1404">
        <v>0.0023</v>
      </c>
      <c r="H39" s="1405" t="str">
        <f>IF(D39="","请输入电机参数","")</f>
        <v/>
      </c>
    </row>
    <row r="40" ht="21.6" customHeight="1" spans="2:8">
      <c r="B40" s="1384" t="s">
        <v>1562</v>
      </c>
      <c r="C40" s="1385" t="s">
        <v>405</v>
      </c>
      <c r="D40" s="1404">
        <v>11</v>
      </c>
      <c r="H40" s="1405" t="str">
        <f>IF(D40="","请输入电机参数","")</f>
        <v/>
      </c>
    </row>
    <row r="41" ht="21.6" customHeight="1" spans="2:8">
      <c r="B41" s="1384" t="s">
        <v>644</v>
      </c>
      <c r="C41" s="1385" t="s">
        <v>405</v>
      </c>
      <c r="D41" s="1404">
        <v>15</v>
      </c>
      <c r="H41" s="1405" t="str">
        <f>IF(D41="","请输入电机参数","")</f>
        <v/>
      </c>
    </row>
    <row r="42" ht="21.6" customHeight="1" spans="2:8">
      <c r="B42" s="1392" t="s">
        <v>1563</v>
      </c>
      <c r="C42" s="1393" t="s">
        <v>1546</v>
      </c>
      <c r="D42" s="1406">
        <v>3000</v>
      </c>
      <c r="H42" s="1405" t="str">
        <f>IF(D42="","请输入电机参数","")</f>
        <v/>
      </c>
    </row>
    <row r="43" ht="21.6" customHeight="1"/>
    <row r="44" ht="21.6" customHeight="1" spans="2:8">
      <c r="B44" s="1381" t="s">
        <v>1564</v>
      </c>
      <c r="C44" s="1382"/>
      <c r="D44" s="1382"/>
      <c r="E44" s="1382"/>
      <c r="F44" s="1382"/>
      <c r="G44" s="1382"/>
      <c r="H44" s="1383" t="s">
        <v>106</v>
      </c>
    </row>
    <row r="45" ht="21.6" customHeight="1" spans="2:8">
      <c r="B45" s="1407" t="s">
        <v>1560</v>
      </c>
      <c r="C45" s="1408" t="s">
        <v>914</v>
      </c>
      <c r="D45" s="1408" t="s">
        <v>1512</v>
      </c>
      <c r="E45" s="1409"/>
      <c r="F45" s="1409"/>
      <c r="G45" s="1409"/>
      <c r="H45" s="1410" t="s">
        <v>1565</v>
      </c>
    </row>
    <row r="46" ht="21.6" customHeight="1" spans="2:8">
      <c r="B46" s="1384" t="s">
        <v>1566</v>
      </c>
      <c r="C46" s="1385" t="s">
        <v>619</v>
      </c>
      <c r="D46" s="1411">
        <f>IFERROR(D28/D39*100%,"")</f>
        <v>0.634782608695652</v>
      </c>
      <c r="E46" s="1412"/>
      <c r="F46" s="1412"/>
      <c r="G46" s="1412"/>
      <c r="H46" s="1413" t="str">
        <f>IF(D39="","电机参数未输入",IF(D46&gt;500%,"不能满足零件加工设备的要求",IF(D46&gt;300%,"不能满足模具加工或有频繁加减速的设备运动要求","满足条件")))</f>
        <v>满足条件</v>
      </c>
    </row>
    <row r="47" ht="21.6" customHeight="1" spans="2:8">
      <c r="B47" s="1384" t="s">
        <v>1567</v>
      </c>
      <c r="C47" s="1385" t="s">
        <v>619</v>
      </c>
      <c r="D47" s="1411">
        <f>IFERROR(D31/D40,"")</f>
        <v>0.0472636363636364</v>
      </c>
      <c r="E47" s="1412"/>
      <c r="F47" s="1412"/>
      <c r="G47" s="1412"/>
      <c r="H47" s="1413" t="str">
        <f>IF(D40="","电机参数未输入",IF(D47&gt;30%,"扭矩不能满足要求","满足条件"))</f>
        <v>满足条件</v>
      </c>
    </row>
    <row r="48" ht="21.6" customHeight="1" spans="2:8">
      <c r="B48" s="1384" t="s">
        <v>1568</v>
      </c>
      <c r="C48" s="1385" t="s">
        <v>619</v>
      </c>
      <c r="D48" s="1411">
        <f>IFERROR(D33/D40,"")</f>
        <v>0.0472636363636364</v>
      </c>
      <c r="E48" s="1412"/>
      <c r="F48" s="1412"/>
      <c r="G48" s="1412"/>
      <c r="H48" s="1413" t="str">
        <f>IF(D40="","电机参数未输入",IF(D48&gt;85%,"扭矩不能满足要求","满足条件"))</f>
        <v>满足条件</v>
      </c>
    </row>
    <row r="49" ht="21.6" customHeight="1" spans="2:8">
      <c r="B49" s="1384" t="s">
        <v>657</v>
      </c>
      <c r="C49" s="1385" t="s">
        <v>1546</v>
      </c>
      <c r="D49" s="1414"/>
      <c r="E49" s="1412"/>
      <c r="F49" s="1412"/>
      <c r="G49" s="1412"/>
      <c r="H49" s="1413" t="str">
        <f>IF(D42="","电机参数未输入",IF(D24&gt;D42,"电机转速不能满足要求，超出电机最高转速","满足条件"))</f>
        <v>满足条件</v>
      </c>
    </row>
    <row r="50" ht="21.6" customHeight="1" spans="2:8">
      <c r="B50" s="1392" t="s">
        <v>1569</v>
      </c>
      <c r="C50" s="1393" t="s">
        <v>405</v>
      </c>
      <c r="D50" s="1415"/>
      <c r="E50" s="1416"/>
      <c r="F50" s="1416"/>
      <c r="G50" s="1416"/>
      <c r="H50" s="1417" t="str">
        <f>IF(D41="","电机参数未输入",IF(D34/D41&gt;85%,"扭矩不能满足要求","满足条件"))</f>
        <v>满足条件</v>
      </c>
    </row>
  </sheetData>
  <customSheetViews>
    <customSheetView guid="{B9330FFD-B5EF-4680-A375-DB92D4738404}" hiddenColumns="1" topLeftCell="A13">
      <selection activeCell="D29" sqref="D29"/>
      <pageMargins left="0.7" right="0.7" top="0.75" bottom="0.75" header="0.3" footer="0.3"/>
      <pageSetup paperSize="9" orientation="portrait"/>
      <headerFooter/>
    </customSheetView>
  </customSheetViews>
  <conditionalFormatting sqref="H39:H42">
    <cfRule type="containsText" dxfId="0" priority="2" operator="between" text="请输入">
      <formula>NOT(ISERROR(SEARCH("请输入",H39)))</formula>
    </cfRule>
  </conditionalFormatting>
  <conditionalFormatting sqref="H46:H50">
    <cfRule type="containsText" dxfId="1" priority="1" operator="between" text="参数未输入">
      <formula>NOT(ISERROR(SEARCH("参数未输入",H46)))</formula>
    </cfRule>
    <cfRule type="containsText" dxfId="0" priority="3" operator="between" text="不能满足">
      <formula>NOT(ISERROR(SEARCH("不能满足",H46)))</formula>
    </cfRule>
    <cfRule type="containsText" dxfId="2" priority="4" operator="between" text="满足条件">
      <formula>NOT(ISERROR(SEARCH("满足条件",H46)))</formula>
    </cfRule>
  </conditionalFormatting>
  <dataValidations count="2">
    <dataValidation type="list" allowBlank="1" showInputMessage="1" showErrorMessage="1" sqref="C3:D3">
      <formula1>$K$3:$K$6</formula1>
    </dataValidation>
    <dataValidation type="list" allowBlank="1" showInputMessage="1" showErrorMessage="1" sqref="E3:G4">
      <formula1>$K$3:$K$5</formula1>
    </dataValidation>
  </dataValidations>
  <hyperlinks>
    <hyperlink ref="D1" location="目录!A1" display="目录!A1"/>
  </hyperlinks>
  <pageMargins left="0.7" right="0.7" top="0.75" bottom="0.75" header="0.3" footer="0.3"/>
  <pageSetup paperSize="9" orientation="portrait"/>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0"/>
  <sheetViews>
    <sheetView topLeftCell="A16" workbookViewId="0">
      <selection activeCell="E33" sqref="E33"/>
    </sheetView>
  </sheetViews>
  <sheetFormatPr defaultColWidth="9" defaultRowHeight="15.6"/>
  <cols>
    <col min="1" max="1" width="19.75" style="1300" customWidth="1"/>
    <col min="2" max="2" width="14.875" style="1300" customWidth="1"/>
    <col min="3" max="3" width="17.375" style="1301" customWidth="1"/>
    <col min="4" max="4" width="19" style="1302" customWidth="1"/>
    <col min="5" max="5" width="14.125" style="1303" customWidth="1"/>
    <col min="6" max="11" width="10.625" style="1302" customWidth="1"/>
    <col min="12" max="12" width="5.5" style="1302" customWidth="1"/>
  </cols>
  <sheetData>
    <row r="1" ht="28.5" customHeight="1" spans="1:14">
      <c r="A1" s="1304" t="s">
        <v>1570</v>
      </c>
      <c r="B1" s="1305"/>
      <c r="C1" s="1305"/>
      <c r="D1" s="1305"/>
      <c r="E1" s="1305"/>
      <c r="F1" s="1305"/>
      <c r="G1" s="1305"/>
      <c r="H1" s="1305"/>
      <c r="I1" s="1305"/>
      <c r="J1" s="1305"/>
      <c r="K1" s="1365" t="s">
        <v>88</v>
      </c>
      <c r="L1" s="1366" t="s">
        <v>1571</v>
      </c>
      <c r="M1" s="204">
        <v>4096</v>
      </c>
      <c r="N1" s="204" t="s">
        <v>1572</v>
      </c>
    </row>
    <row r="2" spans="1:14">
      <c r="A2" s="1306" t="s">
        <v>1573</v>
      </c>
      <c r="B2" s="1307"/>
      <c r="C2" s="1308">
        <f>M6</f>
        <v>10000</v>
      </c>
      <c r="D2" s="1309" t="s">
        <v>1574</v>
      </c>
      <c r="E2" s="1310">
        <v>75</v>
      </c>
      <c r="F2" s="1311" t="s">
        <v>1575</v>
      </c>
      <c r="G2" s="1312"/>
      <c r="H2" s="1312"/>
      <c r="I2" s="1312"/>
      <c r="J2" s="1312"/>
      <c r="K2" s="1312"/>
      <c r="L2" s="1366"/>
      <c r="M2" s="204">
        <v>8192</v>
      </c>
      <c r="N2" s="204" t="s">
        <v>1576</v>
      </c>
    </row>
    <row r="3" ht="21" customHeight="1" spans="1:14">
      <c r="A3" s="1313" t="s">
        <v>1577</v>
      </c>
      <c r="B3" s="1307"/>
      <c r="C3" s="1314">
        <v>0.01</v>
      </c>
      <c r="D3" s="1309" t="s">
        <v>1578</v>
      </c>
      <c r="E3" s="1315">
        <f>PI()*E2</f>
        <v>235.619449019234</v>
      </c>
      <c r="F3" s="1316"/>
      <c r="G3" s="1317"/>
      <c r="H3" s="1317"/>
      <c r="I3" s="1317"/>
      <c r="J3" s="1317"/>
      <c r="K3" s="1317"/>
      <c r="L3" s="1366"/>
      <c r="M3" s="204">
        <v>16384</v>
      </c>
      <c r="N3" s="204" t="s">
        <v>1579</v>
      </c>
    </row>
    <row r="4" ht="30" customHeight="1" spans="1:14">
      <c r="A4" s="1318" t="s">
        <v>1580</v>
      </c>
      <c r="B4" s="1319"/>
      <c r="C4" s="1320">
        <v>235</v>
      </c>
      <c r="D4" s="1321" t="s">
        <v>1581</v>
      </c>
      <c r="E4" s="1315">
        <f>INT(E3)</f>
        <v>235</v>
      </c>
      <c r="F4" s="1322"/>
      <c r="G4" s="1323"/>
      <c r="H4" s="1323"/>
      <c r="I4" s="1323"/>
      <c r="J4" s="1323"/>
      <c r="K4" s="1323"/>
      <c r="L4" s="1366"/>
      <c r="M4" s="204">
        <v>32768</v>
      </c>
      <c r="N4" s="204" t="s">
        <v>1582</v>
      </c>
    </row>
    <row r="5" ht="21" customHeight="1" spans="1:14">
      <c r="A5" s="1324" t="s">
        <v>1583</v>
      </c>
      <c r="B5" s="1325" t="s">
        <v>1584</v>
      </c>
      <c r="C5" s="1320">
        <v>1</v>
      </c>
      <c r="D5" s="1321" t="s">
        <v>1585</v>
      </c>
      <c r="E5" s="1326" t="s">
        <v>1586</v>
      </c>
      <c r="F5" s="1327"/>
      <c r="G5" s="1327"/>
      <c r="H5" s="1327"/>
      <c r="I5" s="1327"/>
      <c r="J5" s="1327"/>
      <c r="K5" s="1327"/>
      <c r="L5" s="1366"/>
      <c r="M5" s="204">
        <v>65536</v>
      </c>
      <c r="N5" s="204" t="s">
        <v>1587</v>
      </c>
    </row>
    <row r="6" ht="21" customHeight="1" spans="1:14">
      <c r="A6" s="1324"/>
      <c r="B6" s="1325" t="s">
        <v>1588</v>
      </c>
      <c r="C6" s="1328">
        <v>4</v>
      </c>
      <c r="D6" s="1329" t="str">
        <f>IF(AND(C9&lt;=C2,C9&gt;=1/C2),"OK","NG")</f>
        <v>OK</v>
      </c>
      <c r="E6" s="1330"/>
      <c r="F6" s="1331"/>
      <c r="G6" s="1331"/>
      <c r="H6" s="1331"/>
      <c r="I6" s="1331"/>
      <c r="J6" s="1331"/>
      <c r="K6" s="1331"/>
      <c r="L6" s="1366"/>
      <c r="M6" s="204">
        <v>10000</v>
      </c>
      <c r="N6" s="204"/>
    </row>
    <row r="7" ht="21" customHeight="1" spans="1:14">
      <c r="A7" s="1306" t="s">
        <v>1589</v>
      </c>
      <c r="B7" s="1307" t="s">
        <v>1590</v>
      </c>
      <c r="C7" s="1332">
        <f>C2*C3*10^3*C6/C5</f>
        <v>400000</v>
      </c>
      <c r="D7" s="1309">
        <f>IF(C7=C8,1,IF(AND(MOD(C7,1000)=0,MOD(C8,1000)=0),C7/1000,IF(AND(MOD(C7,100)=0,MOD(C8,100)=0),C7/100,IF(AND(MOD(C7,10)=0,MOD(C8,10)=0),C7/10,IF(AND(MOD(C7,5)=0,MOD(C8,5)=0),C7/5,IF(AND(MOD(C7,2)=0,MOD(C8,2)=0),C7/2,"奇数"))))))</f>
        <v>400</v>
      </c>
      <c r="E7" s="1309" t="str">
        <f>IF(D7=D8,1,IF(AND(MOD(D7,10)=0,MOD(D8,10)=0),D7/10,IF(AND(MOD(D7,9)=0,MOD(D8,9)=0),D7/9,IF(AND(MOD(D7,8)=0,MOD(D8,8)=0),D7/8,IF(AND(MOD(D7,7)=0,MOD(D8,7)=0),D7/7,IF(AND(MOD(D7,2)=0,MOD(D8,2)=0),D7/2,"奇数"))))))</f>
        <v>奇数</v>
      </c>
      <c r="F7" s="1309">
        <f>IF(E7=E8,1,IF(AND(MOD(E7,10)=0,MOD(E8,10)=0),E7/10,IF(AND(MOD(E7,9)=0,MOD(E8,9)=0),E7/9,IF(AND(MOD(E7,8)=0,MOD(E8,8)=0),E7/8,IF(AND(MOD(E7,7)=0,MOD(E8,7)=0),E7/7,IF(AND(MOD(E7,2)=0,MOD(E8,2)=0),E7/2,"奇数"))))))</f>
        <v>1</v>
      </c>
      <c r="G7" s="1309">
        <f>IF(AND(F7=F8,F7&lt;&gt;"奇数"),1,IF(AND(MOD(F7,2)=0,MOD(F8,2)=0),F7/2,"奇数"))</f>
        <v>1</v>
      </c>
      <c r="H7" s="1309">
        <f>IF(AND(G7=G8,G7&lt;&gt;"奇数"),1,IF(AND(MOD(G7,2)=0,MOD(G8,2)=0),G7/2,"奇数"))</f>
        <v>1</v>
      </c>
      <c r="I7" s="1309">
        <f>IF(AND(H7=H8,H7&lt;&gt;"奇数"),1,IF(AND(MOD(H7,2)=0,MOD(H8,2)=0),H7/2,"奇数"))</f>
        <v>1</v>
      </c>
      <c r="J7" s="1309">
        <f>IF(AND(I7=I8,I7&lt;&gt;"奇数"),1,IF(AND(MOD(I7,2)=0,MOD(I8,2)=0),I7/2,"奇数"))</f>
        <v>1</v>
      </c>
      <c r="K7" s="1351"/>
      <c r="L7" s="1366"/>
      <c r="M7" s="204">
        <v>131072</v>
      </c>
      <c r="N7" s="204" t="s">
        <v>1591</v>
      </c>
    </row>
    <row r="8" ht="21" customHeight="1" spans="1:14">
      <c r="A8" s="1313"/>
      <c r="B8" s="1307" t="s">
        <v>1592</v>
      </c>
      <c r="C8" s="1333">
        <f>C4*10^3</f>
        <v>235000</v>
      </c>
      <c r="D8" s="1309">
        <f>IF(C7=C8,1,IF(AND(MOD(C7,1000)=0,MOD(C8,1000)=0),C8/1000,IF(AND(MOD(C7,100)=0,MOD(C8,100)=0),C8/100,IF(AND(MOD(C7,10)=0,MOD(C8,10)=0),C8/10,IF(AND(MOD(C7,5)=0,MOD(C8,5)=0),C8/5,IF(AND(MOD(C7,2)=0,MOD(C8,2)=0),C8/2,"奇数"))))))</f>
        <v>235</v>
      </c>
      <c r="E8" s="1309" t="str">
        <f>IF(D7=D8,1,IF(AND(MOD(D7,10)=0,MOD(D8,10)=0),D8/10,IF(AND(MOD(D7,9)=0,MOD(D8,9)=0),D8/9,IF(AND(MOD(D7,8)=0,MOD(D8,8)=0),D8/8,IF(AND(MOD(D7,7)=0,MOD(D8,7)=0),D8/7,IF(AND(MOD(D7,2)=0,MOD(D8,2)=0),D8/2,"奇数"))))))</f>
        <v>奇数</v>
      </c>
      <c r="F8" s="1309">
        <f>IF(E7=E8,1,IF(AND(MOD(E7,10)=0,MOD(E8,10)=0),E8/10,IF(AND(MOD(E7,9)=0,MOD(E8,9)=0),E8/9,IF(AND(MOD(E7,8)=0,MOD(E8,8)=0),E8/8,IF(AND(MOD(E7,7)=0,MOD(E8,7)=0),E8/7,IF(AND(MOD(E7,2)=0,MOD(E8,2)=0),E8/2,"奇数"))))))</f>
        <v>1</v>
      </c>
      <c r="G8" s="1309">
        <f>IF(AND(F7=F8,F8&lt;&gt;"奇数"),1,IF(AND(MOD(F7,2)=0,MOD(F8,2)=0),F8/2,"奇数"))</f>
        <v>1</v>
      </c>
      <c r="H8" s="1309">
        <f>IF(AND(G7=G8,G8&lt;&gt;"奇数"),1,IF(AND(MOD(G7,2)=0,MOD(G8,2)=0),G8/2,"奇数"))</f>
        <v>1</v>
      </c>
      <c r="I8" s="1309">
        <f>IF(AND(H7=H8,H8&lt;&gt;"奇数"),1,IF(AND(MOD(H7,2)=0,MOD(H8,2)=0),H8/2,"奇数"))</f>
        <v>1</v>
      </c>
      <c r="J8" s="1309">
        <f>IF(AND(I7=I8,I8&lt;&gt;"奇数"),1,IF(AND(MOD(I7,2)=0,MOD(I8,2)=0),I8/2,"奇数"))</f>
        <v>1</v>
      </c>
      <c r="K8" s="1351"/>
      <c r="L8" s="1366"/>
      <c r="M8" s="204">
        <v>1048576</v>
      </c>
      <c r="N8" s="204" t="s">
        <v>1593</v>
      </c>
    </row>
    <row r="9" ht="21" customHeight="1" spans="1:14">
      <c r="A9" s="1313"/>
      <c r="B9" s="1307" t="s">
        <v>1594</v>
      </c>
      <c r="C9" s="1334">
        <f>C7/C8</f>
        <v>1.70212765957447</v>
      </c>
      <c r="D9" s="1335" t="s">
        <v>1595</v>
      </c>
      <c r="E9" s="1939" t="s">
        <v>1596</v>
      </c>
      <c r="F9" s="1336"/>
      <c r="G9" s="1336"/>
      <c r="H9" s="1336"/>
      <c r="I9" s="1336"/>
      <c r="J9" s="1336"/>
      <c r="K9" s="1336"/>
      <c r="L9" s="1366"/>
      <c r="M9" s="204">
        <v>4194304</v>
      </c>
      <c r="N9" s="204" t="s">
        <v>1597</v>
      </c>
    </row>
    <row r="10" ht="21" customHeight="1" spans="1:11">
      <c r="A10" s="1324" t="s">
        <v>1598</v>
      </c>
      <c r="B10" s="1325"/>
      <c r="C10" s="1333">
        <f>1/C3</f>
        <v>100</v>
      </c>
      <c r="D10" s="1337"/>
      <c r="E10" s="1338"/>
      <c r="F10" s="1339"/>
      <c r="G10" s="1339"/>
      <c r="H10" s="1339"/>
      <c r="I10" s="1339"/>
      <c r="J10" s="1339"/>
      <c r="K10" s="1367"/>
    </row>
    <row r="11" ht="21" customHeight="1" spans="1:11">
      <c r="A11" s="1324" t="s">
        <v>1599</v>
      </c>
      <c r="B11" s="1325"/>
      <c r="C11" s="1314">
        <f>200*10^3</f>
        <v>200000</v>
      </c>
      <c r="D11" s="1335" t="s">
        <v>1600</v>
      </c>
      <c r="E11" s="1939" t="s">
        <v>1601</v>
      </c>
      <c r="F11" s="1336"/>
      <c r="G11" s="1336"/>
      <c r="H11" s="1336"/>
      <c r="I11" s="1336"/>
      <c r="J11" s="1336"/>
      <c r="K11" s="1368"/>
    </row>
    <row r="12" ht="21" customHeight="1" spans="1:11">
      <c r="A12" s="1340" t="s">
        <v>1602</v>
      </c>
      <c r="B12" s="1325"/>
      <c r="C12" s="1314">
        <v>2500</v>
      </c>
      <c r="D12" s="1337"/>
      <c r="E12" s="1338"/>
      <c r="F12" s="1339"/>
      <c r="G12" s="1339"/>
      <c r="H12" s="1339"/>
      <c r="I12" s="1339"/>
      <c r="J12" s="1339"/>
      <c r="K12" s="1367"/>
    </row>
    <row r="13" ht="12.75" customHeight="1" spans="1:11">
      <c r="A13" s="1341"/>
      <c r="B13" s="1341"/>
      <c r="C13" s="1341"/>
      <c r="D13" s="1341"/>
      <c r="E13" s="1341"/>
      <c r="F13" s="1341"/>
      <c r="G13" s="1341"/>
      <c r="H13" s="1341"/>
      <c r="I13" s="1341"/>
      <c r="J13" s="1341"/>
      <c r="K13" s="1341"/>
    </row>
    <row r="14" ht="21" customHeight="1" spans="1:11">
      <c r="A14" s="1340" t="s">
        <v>1603</v>
      </c>
      <c r="B14" s="1325"/>
      <c r="C14" s="1314">
        <v>200</v>
      </c>
      <c r="D14" s="1309"/>
      <c r="E14" s="1342" t="s">
        <v>1604</v>
      </c>
      <c r="F14" s="1343"/>
      <c r="G14" s="1343"/>
      <c r="H14" s="1343"/>
      <c r="I14" s="1343"/>
      <c r="J14" s="1343"/>
      <c r="K14" s="1369"/>
    </row>
    <row r="15" ht="21" customHeight="1" spans="1:11">
      <c r="A15" s="1340" t="s">
        <v>1605</v>
      </c>
      <c r="B15" s="1325"/>
      <c r="C15" s="1332">
        <f>C14*C10</f>
        <v>20000</v>
      </c>
      <c r="D15" s="1309"/>
      <c r="E15" s="1344"/>
      <c r="F15" s="1345"/>
      <c r="G15" s="1345"/>
      <c r="H15" s="1345"/>
      <c r="I15" s="1345"/>
      <c r="J15" s="1345"/>
      <c r="K15" s="1370"/>
    </row>
    <row r="16" ht="21" customHeight="1" spans="1:11">
      <c r="A16" s="1340" t="s">
        <v>1606</v>
      </c>
      <c r="B16" s="1325"/>
      <c r="C16" s="1332">
        <f>2^32</f>
        <v>4294967296</v>
      </c>
      <c r="D16" s="1309"/>
      <c r="E16" s="1344"/>
      <c r="F16" s="1345"/>
      <c r="G16" s="1345"/>
      <c r="H16" s="1345"/>
      <c r="I16" s="1345"/>
      <c r="J16" s="1345"/>
      <c r="K16" s="1370"/>
    </row>
    <row r="17" ht="21" customHeight="1" spans="1:11">
      <c r="A17" s="1340" t="s">
        <v>1607</v>
      </c>
      <c r="B17" s="1325"/>
      <c r="C17" s="1329" t="str">
        <f>IF(C15&lt;=C16,"OK","NG")</f>
        <v>OK</v>
      </c>
      <c r="D17" s="1309"/>
      <c r="E17" s="1346"/>
      <c r="F17" s="1347"/>
      <c r="G17" s="1347"/>
      <c r="H17" s="1347"/>
      <c r="I17" s="1347"/>
      <c r="J17" s="1347"/>
      <c r="K17" s="1371"/>
    </row>
    <row r="18" ht="12.75" customHeight="1" spans="1:11">
      <c r="A18" s="1341"/>
      <c r="B18" s="1341"/>
      <c r="C18" s="1341"/>
      <c r="D18" s="1341"/>
      <c r="E18" s="1341"/>
      <c r="F18" s="1341"/>
      <c r="G18" s="1341"/>
      <c r="H18" s="1341"/>
      <c r="I18" s="1341"/>
      <c r="J18" s="1341"/>
      <c r="K18" s="1341"/>
    </row>
    <row r="19" ht="21" customHeight="1" spans="1:11">
      <c r="A19" s="1340" t="s">
        <v>1608</v>
      </c>
      <c r="B19" s="1325"/>
      <c r="C19" s="1314">
        <v>2000</v>
      </c>
      <c r="D19" s="1309"/>
      <c r="E19" s="1342" t="s">
        <v>1609</v>
      </c>
      <c r="F19" s="1343"/>
      <c r="G19" s="1343"/>
      <c r="H19" s="1343"/>
      <c r="I19" s="1343"/>
      <c r="J19" s="1343"/>
      <c r="K19" s="1369"/>
    </row>
    <row r="20" ht="21" customHeight="1" spans="1:11">
      <c r="A20" s="1340" t="s">
        <v>1610</v>
      </c>
      <c r="B20" s="1325"/>
      <c r="C20" s="1332">
        <f>C19*C10</f>
        <v>200000</v>
      </c>
      <c r="D20" s="1309"/>
      <c r="E20" s="1344"/>
      <c r="F20" s="1345"/>
      <c r="G20" s="1345"/>
      <c r="H20" s="1345"/>
      <c r="I20" s="1345"/>
      <c r="J20" s="1345"/>
      <c r="K20" s="1370"/>
    </row>
    <row r="21" ht="21" customHeight="1" spans="1:11">
      <c r="A21" s="1340" t="s">
        <v>1611</v>
      </c>
      <c r="B21" s="1325"/>
      <c r="C21" s="1332">
        <f>C19/C4*C6*60</f>
        <v>2042.55319148936</v>
      </c>
      <c r="D21" s="1309"/>
      <c r="E21" s="1344"/>
      <c r="F21" s="1345"/>
      <c r="G21" s="1345"/>
      <c r="H21" s="1345"/>
      <c r="I21" s="1345"/>
      <c r="J21" s="1345"/>
      <c r="K21" s="1370"/>
    </row>
    <row r="22" ht="21" customHeight="1" spans="1:11">
      <c r="A22" s="1340" t="s">
        <v>1612</v>
      </c>
      <c r="B22" s="1325"/>
      <c r="C22" s="1329" t="str">
        <f>IF(C20&lt;=C11,"OK","NG")</f>
        <v>OK</v>
      </c>
      <c r="D22" s="1309"/>
      <c r="E22" s="1344"/>
      <c r="F22" s="1345"/>
      <c r="G22" s="1345"/>
      <c r="H22" s="1345"/>
      <c r="I22" s="1345"/>
      <c r="J22" s="1345"/>
      <c r="K22" s="1370"/>
    </row>
    <row r="23" ht="21" customHeight="1" spans="1:11">
      <c r="A23" s="1340" t="s">
        <v>1613</v>
      </c>
      <c r="B23" s="1325"/>
      <c r="C23" s="1329" t="str">
        <f>IF(C21&lt;=C12,"OK","NG")</f>
        <v>OK</v>
      </c>
      <c r="D23" s="1309"/>
      <c r="E23" s="1346"/>
      <c r="F23" s="1347"/>
      <c r="G23" s="1347"/>
      <c r="H23" s="1347"/>
      <c r="I23" s="1347"/>
      <c r="J23" s="1347"/>
      <c r="K23" s="1371"/>
    </row>
    <row r="24" ht="27" customHeight="1" spans="1:11">
      <c r="A24" s="1348" t="s">
        <v>1614</v>
      </c>
      <c r="B24" s="1349"/>
      <c r="C24" s="1332">
        <f>C11/C10</f>
        <v>2000</v>
      </c>
      <c r="D24" s="1309" t="s">
        <v>1615</v>
      </c>
      <c r="E24" s="1315">
        <f>C24*60</f>
        <v>120000</v>
      </c>
      <c r="F24" s="1309" t="s">
        <v>1616</v>
      </c>
      <c r="G24" s="1350">
        <f>E24/10^3</f>
        <v>120</v>
      </c>
      <c r="H24" s="1351"/>
      <c r="I24" s="1351"/>
      <c r="J24" s="1351"/>
      <c r="K24" s="1372"/>
    </row>
    <row r="25" ht="30.75" customHeight="1" spans="1:11">
      <c r="A25" s="1348" t="s">
        <v>1617</v>
      </c>
      <c r="B25" s="1349"/>
      <c r="C25" s="1332">
        <f>C12/60*C4/C6</f>
        <v>2447.91666666667</v>
      </c>
      <c r="D25" s="1309" t="s">
        <v>1615</v>
      </c>
      <c r="E25" s="1315">
        <f>C25*60</f>
        <v>146875</v>
      </c>
      <c r="F25" s="1309" t="s">
        <v>1616</v>
      </c>
      <c r="G25" s="1350">
        <f>E25/10^3</f>
        <v>146.875</v>
      </c>
      <c r="H25" s="1352" t="s">
        <v>1618</v>
      </c>
      <c r="I25" s="1373">
        <v>2000</v>
      </c>
      <c r="J25" s="1351"/>
      <c r="K25" s="1372"/>
    </row>
    <row r="26" ht="12.75" customHeight="1" spans="1:11">
      <c r="A26" s="1341"/>
      <c r="B26" s="1341"/>
      <c r="C26" s="1341"/>
      <c r="D26" s="1341"/>
      <c r="E26" s="1341"/>
      <c r="F26" s="1341"/>
      <c r="G26" s="1341"/>
      <c r="H26" s="1341"/>
      <c r="I26" s="1341"/>
      <c r="J26" s="1341"/>
      <c r="K26" s="1341"/>
    </row>
    <row r="27" ht="21" customHeight="1" spans="1:11">
      <c r="A27" s="1353" t="s">
        <v>1619</v>
      </c>
      <c r="B27" s="1307" t="s">
        <v>1590</v>
      </c>
      <c r="C27" s="1354">
        <f>C11</f>
        <v>200000</v>
      </c>
      <c r="D27" s="1355"/>
      <c r="E27" s="1356" t="s">
        <v>1620</v>
      </c>
      <c r="F27" s="1357"/>
      <c r="G27" s="1357"/>
      <c r="H27" s="1357"/>
      <c r="I27" s="1357"/>
      <c r="J27" s="1357"/>
      <c r="K27" s="1374"/>
    </row>
    <row r="28" ht="21" customHeight="1" spans="1:11">
      <c r="A28" s="1358"/>
      <c r="B28" s="1307" t="s">
        <v>1592</v>
      </c>
      <c r="C28" s="1354">
        <f>C2*C12/60</f>
        <v>416666.666666667</v>
      </c>
      <c r="D28" s="1355"/>
      <c r="E28" s="1359"/>
      <c r="F28" s="1360"/>
      <c r="G28" s="1360"/>
      <c r="H28" s="1360"/>
      <c r="I28" s="1360"/>
      <c r="J28" s="1360"/>
      <c r="K28" s="1375"/>
    </row>
    <row r="29" ht="21" customHeight="1" spans="1:11">
      <c r="A29" s="1361"/>
      <c r="B29" s="1307" t="s">
        <v>1594</v>
      </c>
      <c r="C29" s="1354">
        <f>C27/C28</f>
        <v>0.48</v>
      </c>
      <c r="D29" s="1355"/>
      <c r="E29" s="1359"/>
      <c r="F29" s="1360"/>
      <c r="G29" s="1360"/>
      <c r="H29" s="1360"/>
      <c r="I29" s="1360"/>
      <c r="J29" s="1360"/>
      <c r="K29" s="1375"/>
    </row>
    <row r="30" ht="21" customHeight="1" spans="1:11">
      <c r="A30" s="1318" t="s">
        <v>1621</v>
      </c>
      <c r="B30" s="1362"/>
      <c r="C30" s="1332">
        <f>C4/C2*C28/C27/C6</f>
        <v>0.0122395833333333</v>
      </c>
      <c r="D30" s="1309"/>
      <c r="E30" s="1363"/>
      <c r="F30" s="1364"/>
      <c r="G30" s="1364"/>
      <c r="H30" s="1364"/>
      <c r="I30" s="1364"/>
      <c r="J30" s="1364"/>
      <c r="K30" s="1376"/>
    </row>
  </sheetData>
  <customSheetViews>
    <customSheetView guid="{B9330FFD-B5EF-4680-A375-DB92D4738404}">
      <selection activeCell="E14" sqref="E14:K17"/>
      <pageMargins left="0.7" right="0.7" top="0.75" bottom="0.75" header="0.3" footer="0.3"/>
      <pageSetup paperSize="9" orientation="portrait"/>
      <headerFooter/>
    </customSheetView>
  </customSheetViews>
  <mergeCells count="35">
    <mergeCell ref="A1:J1"/>
    <mergeCell ref="A2:B2"/>
    <mergeCell ref="A3:B3"/>
    <mergeCell ref="A4:B4"/>
    <mergeCell ref="A10:B10"/>
    <mergeCell ref="A11:B11"/>
    <mergeCell ref="A12:B12"/>
    <mergeCell ref="A13:K13"/>
    <mergeCell ref="A14:B14"/>
    <mergeCell ref="A15:B15"/>
    <mergeCell ref="A16:B16"/>
    <mergeCell ref="A17:B17"/>
    <mergeCell ref="A18:K18"/>
    <mergeCell ref="A19:B19"/>
    <mergeCell ref="A20:B20"/>
    <mergeCell ref="A21:B21"/>
    <mergeCell ref="A22:B22"/>
    <mergeCell ref="A23:B23"/>
    <mergeCell ref="A24:B24"/>
    <mergeCell ref="A25:B25"/>
    <mergeCell ref="A26:K26"/>
    <mergeCell ref="A30:B30"/>
    <mergeCell ref="A5:A6"/>
    <mergeCell ref="A7:A9"/>
    <mergeCell ref="A27:A29"/>
    <mergeCell ref="D9:D10"/>
    <mergeCell ref="D11:D12"/>
    <mergeCell ref="L1:L9"/>
    <mergeCell ref="E11:K12"/>
    <mergeCell ref="F2:K4"/>
    <mergeCell ref="E5:K6"/>
    <mergeCell ref="E9:K10"/>
    <mergeCell ref="E14:K17"/>
    <mergeCell ref="E19:K23"/>
    <mergeCell ref="E27:K30"/>
  </mergeCells>
  <conditionalFormatting sqref="D6">
    <cfRule type="cellIs" dxfId="3" priority="1" stopIfTrue="1" operator="equal">
      <formula>"NG"</formula>
    </cfRule>
    <cfRule type="cellIs" dxfId="4" priority="2" stopIfTrue="1" operator="equal">
      <formula>"OK"</formula>
    </cfRule>
    <cfRule type="cellIs" dxfId="5" priority="3" stopIfTrue="1" operator="equal">
      <formula>"OK"</formula>
    </cfRule>
    <cfRule type="cellIs" dxfId="6" priority="4" stopIfTrue="1" operator="equal">
      <formula>"NG"</formula>
    </cfRule>
  </conditionalFormatting>
  <conditionalFormatting sqref="C17 C22:C23">
    <cfRule type="cellIs" dxfId="5" priority="5" stopIfTrue="1" operator="equal">
      <formula>"OK"</formula>
    </cfRule>
    <cfRule type="cellIs" dxfId="6" priority="6" stopIfTrue="1" operator="equal">
      <formula>"NG"</formula>
    </cfRule>
  </conditionalFormatting>
  <dataValidations count="2">
    <dataValidation allowBlank="1" showInputMessage="1" showErrorMessage="1" sqref="C2"/>
    <dataValidation type="custom" allowBlank="1" showInputMessage="1" showErrorMessage="1" sqref="C10" errorStyle="warning">
      <formula1>1/C3</formula1>
    </dataValidation>
  </dataValidations>
  <hyperlinks>
    <hyperlink ref="K1" location="目录!A1" display="目录!A1"/>
  </hyperlinks>
  <pageMargins left="0.7" right="0.7" top="0.75" bottom="0.75" header="0.3" footer="0.3"/>
  <pageSetup paperSize="9" orientation="portrait"/>
  <headerFooter/>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68"/>
  <sheetViews>
    <sheetView zoomScale="75" zoomScaleNormal="75" topLeftCell="A19" workbookViewId="0">
      <selection activeCell="G46" sqref="G46"/>
    </sheetView>
  </sheetViews>
  <sheetFormatPr defaultColWidth="9" defaultRowHeight="15.6"/>
  <cols>
    <col min="1" max="1" width="9" style="168"/>
    <col min="2" max="2" width="30.5" style="168" customWidth="1"/>
    <col min="3" max="3" width="16.5" style="168" customWidth="1"/>
    <col min="4" max="4" width="23.75" style="168" customWidth="1"/>
    <col min="5" max="5" width="8.875" style="168" customWidth="1"/>
    <col min="6" max="6" width="9.75" style="168" customWidth="1"/>
    <col min="7" max="7" width="8.625" style="168" customWidth="1"/>
    <col min="8" max="8" width="12.375" style="168" customWidth="1"/>
    <col min="9" max="9" width="20.75" style="168" customWidth="1"/>
    <col min="10" max="10" width="5.375" style="168" customWidth="1"/>
    <col min="11" max="11" width="4.375" style="168" customWidth="1"/>
    <col min="12" max="12" width="4.75" style="168" customWidth="1"/>
    <col min="13" max="13" width="15.125" style="168" customWidth="1"/>
    <col min="14" max="14" width="11.375" style="168" customWidth="1"/>
    <col min="15" max="15" width="4.75" style="168" customWidth="1"/>
    <col min="16" max="16" width="10.625" style="168" customWidth="1"/>
    <col min="17" max="17" width="9.5" style="168" customWidth="1"/>
    <col min="18" max="16384" width="9" style="168"/>
  </cols>
  <sheetData>
    <row r="1" spans="5:6">
      <c r="E1" s="155" t="s">
        <v>88</v>
      </c>
      <c r="F1" s="155"/>
    </row>
    <row r="2" ht="18.75" customHeight="1" spans="1:19">
      <c r="A2" s="1253" t="s">
        <v>1622</v>
      </c>
      <c r="B2" s="1254"/>
      <c r="C2" s="1254"/>
      <c r="D2" s="1254"/>
      <c r="E2" s="525"/>
      <c r="F2" s="525"/>
      <c r="G2" s="1254"/>
      <c r="H2" s="1254"/>
      <c r="I2" s="1254"/>
      <c r="J2" s="1254"/>
      <c r="K2" s="1254"/>
      <c r="L2" s="1254"/>
      <c r="M2" s="1254"/>
      <c r="N2" s="1254"/>
      <c r="O2" s="1254"/>
      <c r="P2" s="1254"/>
      <c r="Q2" s="1254"/>
      <c r="R2" s="1254"/>
      <c r="S2" s="1254"/>
    </row>
    <row r="3" ht="25.8" spans="1:19">
      <c r="A3" s="1255"/>
      <c r="B3" s="1256" t="s">
        <v>1623</v>
      </c>
      <c r="C3" s="1256"/>
      <c r="D3" s="1257">
        <v>10</v>
      </c>
      <c r="E3" s="1256"/>
      <c r="F3" s="1256"/>
      <c r="G3" s="1256"/>
      <c r="H3" s="1256"/>
      <c r="I3" s="1256"/>
      <c r="J3" s="1256"/>
      <c r="K3" s="1256"/>
      <c r="L3" s="1256"/>
      <c r="M3" s="1256"/>
      <c r="N3" s="1256"/>
      <c r="O3" s="1287"/>
      <c r="P3" s="1254"/>
      <c r="Q3" s="1254"/>
      <c r="R3" s="1254"/>
      <c r="S3" s="1254"/>
    </row>
    <row r="4" ht="25.8" spans="1:19">
      <c r="A4" s="1258"/>
      <c r="B4" s="1259" t="s">
        <v>1624</v>
      </c>
      <c r="C4" s="1259"/>
      <c r="D4" s="1260">
        <v>5</v>
      </c>
      <c r="E4" s="1259"/>
      <c r="F4" s="1259"/>
      <c r="G4" s="1259"/>
      <c r="H4" s="1259"/>
      <c r="I4" s="1259"/>
      <c r="J4" s="1259"/>
      <c r="K4" s="1259"/>
      <c r="L4" s="1259"/>
      <c r="M4" s="1259"/>
      <c r="N4" s="1259"/>
      <c r="O4" s="1288"/>
      <c r="P4" s="1254"/>
      <c r="Q4" s="1254"/>
      <c r="R4" s="1254"/>
      <c r="S4" s="1254"/>
    </row>
    <row r="5" ht="25.8" spans="1:19">
      <c r="A5" s="1258"/>
      <c r="B5" s="1259" t="s">
        <v>1625</v>
      </c>
      <c r="C5" s="1259"/>
      <c r="D5" s="1260">
        <v>10</v>
      </c>
      <c r="E5" s="1259"/>
      <c r="F5" s="1259"/>
      <c r="G5" s="1259"/>
      <c r="H5" s="1259"/>
      <c r="I5" s="1259"/>
      <c r="J5" s="1259"/>
      <c r="K5" s="1259"/>
      <c r="L5" s="1259"/>
      <c r="M5" s="1259"/>
      <c r="N5" s="1259"/>
      <c r="O5" s="1288"/>
      <c r="P5" s="1254"/>
      <c r="Q5" s="1254"/>
      <c r="R5" s="1254"/>
      <c r="S5" s="1254"/>
    </row>
    <row r="6" ht="25.8" spans="1:19">
      <c r="A6" s="1258"/>
      <c r="B6" s="1259" t="s">
        <v>1626</v>
      </c>
      <c r="C6" s="1259"/>
      <c r="D6" s="1260">
        <v>1</v>
      </c>
      <c r="E6" s="1259"/>
      <c r="F6" s="1259"/>
      <c r="G6" s="1254"/>
      <c r="H6" s="1259"/>
      <c r="I6" s="1259"/>
      <c r="J6" s="1259"/>
      <c r="K6" s="1259"/>
      <c r="L6" s="1259"/>
      <c r="M6" s="1259"/>
      <c r="N6" s="1259"/>
      <c r="O6" s="1288"/>
      <c r="P6" s="1254"/>
      <c r="Q6" s="1254"/>
      <c r="R6" s="1254"/>
      <c r="S6" s="1254"/>
    </row>
    <row r="7" ht="25.8" spans="1:19">
      <c r="A7" s="1258"/>
      <c r="B7" s="1259" t="s">
        <v>1627</v>
      </c>
      <c r="C7" s="1259"/>
      <c r="D7" s="1260">
        <v>0.1</v>
      </c>
      <c r="E7" s="1259"/>
      <c r="F7" s="1259"/>
      <c r="G7" s="1259"/>
      <c r="H7" s="1259"/>
      <c r="I7" s="1259"/>
      <c r="J7" s="1259"/>
      <c r="K7" s="1259"/>
      <c r="L7" s="1259"/>
      <c r="M7" s="1259"/>
      <c r="N7" s="1259"/>
      <c r="O7" s="1288"/>
      <c r="P7" s="1254"/>
      <c r="Q7" s="1254"/>
      <c r="R7" s="1254"/>
      <c r="S7" s="1254"/>
    </row>
    <row r="8" ht="25.8" spans="1:19">
      <c r="A8" s="1258"/>
      <c r="B8" s="1259" t="s">
        <v>1628</v>
      </c>
      <c r="C8" s="1259"/>
      <c r="D8" s="1260">
        <v>1</v>
      </c>
      <c r="E8" s="1259"/>
      <c r="F8" s="1259"/>
      <c r="G8" s="1259"/>
      <c r="H8" s="1259"/>
      <c r="I8" s="1259"/>
      <c r="J8" s="1259"/>
      <c r="K8" s="1259"/>
      <c r="L8" s="1259"/>
      <c r="M8" s="1259"/>
      <c r="N8" s="1259"/>
      <c r="O8" s="1288"/>
      <c r="P8" s="1254"/>
      <c r="Q8" s="1254"/>
      <c r="R8" s="1254"/>
      <c r="S8" s="1254"/>
    </row>
    <row r="9" ht="25.8" spans="1:19">
      <c r="A9" s="1258"/>
      <c r="B9" s="1259" t="s">
        <v>106</v>
      </c>
      <c r="C9" s="1259"/>
      <c r="D9" s="1260"/>
      <c r="E9" s="1259"/>
      <c r="F9" s="1259"/>
      <c r="G9" s="1259"/>
      <c r="H9" s="1259"/>
      <c r="I9" s="1259"/>
      <c r="J9" s="1259"/>
      <c r="K9" s="1259"/>
      <c r="L9" s="1259"/>
      <c r="M9" s="1259"/>
      <c r="N9" s="1259"/>
      <c r="O9" s="1288"/>
      <c r="P9" s="1254"/>
      <c r="Q9" s="1254"/>
      <c r="R9" s="1254"/>
      <c r="S9" s="1254"/>
    </row>
    <row r="10" ht="25.8" spans="1:19">
      <c r="A10" s="1261"/>
      <c r="B10" s="1262"/>
      <c r="C10" s="1262"/>
      <c r="D10" s="1263"/>
      <c r="E10" s="1262"/>
      <c r="F10" s="1262"/>
      <c r="G10" s="1262"/>
      <c r="H10" s="1262"/>
      <c r="I10" s="1262"/>
      <c r="J10" s="1262"/>
      <c r="K10" s="1262"/>
      <c r="L10" s="1262"/>
      <c r="M10" s="1262"/>
      <c r="N10" s="1262"/>
      <c r="O10" s="1289"/>
      <c r="P10" s="1254"/>
      <c r="Q10" s="1254"/>
      <c r="R10" s="1254"/>
      <c r="S10" s="1254"/>
    </row>
    <row r="11" ht="25.8" spans="1:19">
      <c r="A11" s="1254"/>
      <c r="B11" s="1254"/>
      <c r="C11" s="1254"/>
      <c r="D11" s="1264"/>
      <c r="E11" s="1254"/>
      <c r="F11" s="1254"/>
      <c r="G11" s="1254"/>
      <c r="H11" s="1254"/>
      <c r="I11" s="1254"/>
      <c r="J11" s="1254"/>
      <c r="K11" s="1254"/>
      <c r="L11" s="1254"/>
      <c r="M11" s="1254"/>
      <c r="N11" s="1254"/>
      <c r="O11" s="1254"/>
      <c r="P11" s="1254"/>
      <c r="Q11" s="1254"/>
      <c r="R11" s="1254"/>
      <c r="S11" s="1254"/>
    </row>
    <row r="12" ht="25.8" spans="1:19">
      <c r="A12" s="1253" t="s">
        <v>1629</v>
      </c>
      <c r="B12" s="1254"/>
      <c r="C12" s="1254"/>
      <c r="D12" s="1264"/>
      <c r="E12" s="1254"/>
      <c r="F12" s="1254"/>
      <c r="G12" s="1254"/>
      <c r="H12" s="1254"/>
      <c r="I12" s="1254"/>
      <c r="J12" s="1254"/>
      <c r="K12" s="1254"/>
      <c r="L12" s="1254"/>
      <c r="M12" s="1254"/>
      <c r="N12" s="1254"/>
      <c r="O12" s="1254"/>
      <c r="P12" s="1254"/>
      <c r="Q12" s="1254"/>
      <c r="R12" s="1254"/>
      <c r="S12" s="1254"/>
    </row>
    <row r="13" ht="25.8" spans="1:19">
      <c r="A13" s="1255"/>
      <c r="B13" s="1256"/>
      <c r="C13" s="1256"/>
      <c r="D13" s="1257"/>
      <c r="E13" s="1256" t="s">
        <v>1630</v>
      </c>
      <c r="F13" s="1256"/>
      <c r="G13" s="1256"/>
      <c r="H13" s="1256"/>
      <c r="I13" s="1256"/>
      <c r="J13" s="1256"/>
      <c r="K13" s="1256"/>
      <c r="L13" s="1256"/>
      <c r="M13" s="1256"/>
      <c r="N13" s="1256"/>
      <c r="O13" s="1287"/>
      <c r="P13" s="1254"/>
      <c r="Q13" s="1254"/>
      <c r="R13" s="1254"/>
      <c r="S13" s="1254"/>
    </row>
    <row r="14" ht="25.8" spans="1:19">
      <c r="A14" s="1258"/>
      <c r="B14" s="1259" t="s">
        <v>1631</v>
      </c>
      <c r="C14" s="1259"/>
      <c r="D14" s="1260"/>
      <c r="E14" s="1259"/>
      <c r="F14" s="1259">
        <v>300</v>
      </c>
      <c r="G14" s="1259"/>
      <c r="H14" s="1259"/>
      <c r="I14" s="1259"/>
      <c r="J14" s="1259"/>
      <c r="K14" s="1259"/>
      <c r="L14" s="1259"/>
      <c r="M14" s="1259"/>
      <c r="N14" s="1259"/>
      <c r="O14" s="1288"/>
      <c r="P14" s="1254"/>
      <c r="Q14" s="1254"/>
      <c r="R14" s="1254"/>
      <c r="S14" s="1254"/>
    </row>
    <row r="15" ht="25.8" spans="1:19">
      <c r="A15" s="1258"/>
      <c r="B15" s="1259" t="s">
        <v>1632</v>
      </c>
      <c r="C15" s="1259"/>
      <c r="D15" s="1260">
        <v>200</v>
      </c>
      <c r="E15" s="1259"/>
      <c r="F15" s="1259"/>
      <c r="G15" s="1259"/>
      <c r="H15" s="1259"/>
      <c r="I15" s="1259"/>
      <c r="J15" s="1259"/>
      <c r="K15" s="1259"/>
      <c r="L15" s="1259"/>
      <c r="M15" s="1259"/>
      <c r="N15" s="1259"/>
      <c r="O15" s="1288"/>
      <c r="P15" s="1254"/>
      <c r="Q15" s="1254"/>
      <c r="R15" s="1254"/>
      <c r="S15" s="1254"/>
    </row>
    <row r="16" ht="25.8" spans="1:19">
      <c r="A16" s="1258"/>
      <c r="B16" s="1259" t="s">
        <v>1633</v>
      </c>
      <c r="C16" s="1259"/>
      <c r="D16" s="1260">
        <v>400</v>
      </c>
      <c r="E16" s="1259"/>
      <c r="F16" s="1259"/>
      <c r="G16" s="1259"/>
      <c r="H16" s="1259"/>
      <c r="I16" s="1259"/>
      <c r="J16" s="1259"/>
      <c r="K16" s="1259"/>
      <c r="L16" s="1259"/>
      <c r="M16" s="1259"/>
      <c r="N16" s="1259"/>
      <c r="O16" s="1288"/>
      <c r="P16" s="1254"/>
      <c r="Q16" s="1254"/>
      <c r="R16" s="1254"/>
      <c r="S16" s="1254"/>
    </row>
    <row r="17" ht="25.8" spans="1:19">
      <c r="A17" s="1258"/>
      <c r="B17" s="1259" t="s">
        <v>1634</v>
      </c>
      <c r="C17" s="1259"/>
      <c r="D17" s="1260">
        <v>1.4</v>
      </c>
      <c r="E17" s="1259"/>
      <c r="F17" s="1259"/>
      <c r="G17" s="1259"/>
      <c r="H17" s="1259"/>
      <c r="I17" s="1259"/>
      <c r="J17" s="1259"/>
      <c r="K17" s="1259"/>
      <c r="L17" s="1259"/>
      <c r="M17" s="1259"/>
      <c r="N17" s="1259"/>
      <c r="O17" s="1288"/>
      <c r="P17" s="1254"/>
      <c r="Q17" s="1254"/>
      <c r="R17" s="1254"/>
      <c r="S17" s="1254"/>
    </row>
    <row r="18" ht="25.8" spans="1:19">
      <c r="A18" s="1258"/>
      <c r="B18" s="1259" t="s">
        <v>1635</v>
      </c>
      <c r="C18" s="1259"/>
      <c r="D18" s="1260">
        <v>0.2</v>
      </c>
      <c r="E18" s="1259"/>
      <c r="F18" s="1259">
        <v>0</v>
      </c>
      <c r="G18" s="1259"/>
      <c r="H18" s="1259"/>
      <c r="I18" s="1259"/>
      <c r="J18" s="1259"/>
      <c r="K18" s="1259"/>
      <c r="L18" s="1259"/>
      <c r="M18" s="1259"/>
      <c r="N18" s="1259"/>
      <c r="O18" s="1288"/>
      <c r="P18" s="1254"/>
      <c r="Q18" s="1254"/>
      <c r="R18" s="1254"/>
      <c r="S18" s="1254"/>
    </row>
    <row r="19" ht="25.8" spans="1:19">
      <c r="A19" s="1258"/>
      <c r="B19" s="1259" t="s">
        <v>1636</v>
      </c>
      <c r="C19" s="1259"/>
      <c r="D19" s="1260">
        <v>0.01</v>
      </c>
      <c r="E19" s="1259"/>
      <c r="F19" s="1259"/>
      <c r="G19" s="1259"/>
      <c r="H19" s="1265">
        <v>0.2</v>
      </c>
      <c r="I19" s="1290">
        <v>1</v>
      </c>
      <c r="J19" s="1265">
        <v>0.2</v>
      </c>
      <c r="K19" s="1265">
        <v>0.2</v>
      </c>
      <c r="L19" s="1259"/>
      <c r="M19" s="1291"/>
      <c r="N19" s="1288" t="s">
        <v>1637</v>
      </c>
      <c r="O19" s="1288"/>
      <c r="P19" s="1254"/>
      <c r="Q19" s="1254"/>
      <c r="R19" s="1254"/>
      <c r="S19" s="1254"/>
    </row>
    <row r="20" ht="25.8" spans="1:19">
      <c r="A20" s="1258"/>
      <c r="B20" s="1259" t="s">
        <v>106</v>
      </c>
      <c r="C20" s="1259"/>
      <c r="D20" s="1266"/>
      <c r="E20" s="1259"/>
      <c r="F20" s="1259"/>
      <c r="G20" s="1259"/>
      <c r="H20" s="1259"/>
      <c r="I20" s="1259"/>
      <c r="J20" s="1259"/>
      <c r="K20" s="1259"/>
      <c r="L20" s="1259"/>
      <c r="M20" s="1259"/>
      <c r="N20" s="1259"/>
      <c r="O20" s="1288"/>
      <c r="P20" s="1254"/>
      <c r="Q20" s="1254"/>
      <c r="R20" s="1254"/>
      <c r="S20" s="1254"/>
    </row>
    <row r="21" ht="25.8" spans="1:19">
      <c r="A21" s="1261"/>
      <c r="B21" s="1262"/>
      <c r="C21" s="1262"/>
      <c r="D21" s="1267"/>
      <c r="E21" s="1262"/>
      <c r="F21" s="1262"/>
      <c r="G21" s="1262"/>
      <c r="H21" s="1262"/>
      <c r="I21" s="1262"/>
      <c r="J21" s="1262"/>
      <c r="K21" s="1262"/>
      <c r="L21" s="1262"/>
      <c r="M21" s="1262"/>
      <c r="N21" s="1262"/>
      <c r="O21" s="1289"/>
      <c r="P21" s="1254"/>
      <c r="Q21" s="1254"/>
      <c r="R21" s="1254"/>
      <c r="S21" s="1254"/>
    </row>
    <row r="22" ht="25.8" spans="1:19">
      <c r="A22" s="1254"/>
      <c r="B22" s="1254"/>
      <c r="C22" s="1254"/>
      <c r="D22" s="1254"/>
      <c r="E22" s="1254"/>
      <c r="F22" s="1254"/>
      <c r="G22" s="1254"/>
      <c r="H22" s="1254"/>
      <c r="I22" s="1254"/>
      <c r="J22" s="1254"/>
      <c r="K22" s="1254"/>
      <c r="L22" s="1254"/>
      <c r="M22" s="1254"/>
      <c r="N22" s="1254"/>
      <c r="O22" s="1254"/>
      <c r="P22" s="1254"/>
      <c r="Q22" s="1254"/>
      <c r="R22" s="1254"/>
      <c r="S22" s="1254"/>
    </row>
    <row r="23" ht="25.8" spans="1:19">
      <c r="A23" s="1253" t="s">
        <v>1638</v>
      </c>
      <c r="B23" s="1254"/>
      <c r="C23" s="1254"/>
      <c r="D23" s="1254"/>
      <c r="E23" s="1254"/>
      <c r="F23" s="1254"/>
      <c r="G23" s="1254"/>
      <c r="H23" s="1254"/>
      <c r="I23" s="1254"/>
      <c r="J23" s="1254"/>
      <c r="K23" s="1254"/>
      <c r="L23" s="1254"/>
      <c r="M23" s="1254"/>
      <c r="N23" s="1254"/>
      <c r="O23" s="1254"/>
      <c r="P23" s="1254"/>
      <c r="Q23" s="1254"/>
      <c r="R23" s="1254"/>
      <c r="S23" s="1254"/>
    </row>
    <row r="24" ht="42" customHeight="1" spans="1:19">
      <c r="A24" s="1255"/>
      <c r="B24" s="1256" t="s">
        <v>1639</v>
      </c>
      <c r="C24" s="1256"/>
      <c r="D24" s="1268">
        <f>D6*D5*D5/8*0.000001</f>
        <v>1.25e-5</v>
      </c>
      <c r="E24" s="1256" t="s">
        <v>1640</v>
      </c>
      <c r="F24" s="1256"/>
      <c r="G24" s="1256"/>
      <c r="H24" s="1256"/>
      <c r="I24" s="1256"/>
      <c r="J24" s="1256"/>
      <c r="K24" s="1256"/>
      <c r="L24" s="1256"/>
      <c r="M24" s="1256"/>
      <c r="N24" s="1256"/>
      <c r="O24" s="1256"/>
      <c r="P24" s="1287"/>
      <c r="Q24" s="1254"/>
      <c r="R24" s="1254"/>
      <c r="S24" s="1254"/>
    </row>
    <row r="25" ht="42" customHeight="1" spans="1:19">
      <c r="A25" s="1258"/>
      <c r="B25" s="1259" t="s">
        <v>1641</v>
      </c>
      <c r="C25" s="1259"/>
      <c r="D25" s="1269">
        <f>D3*(D4/(2*3.14))*(D4/(2*3.14))*0.000001+D24</f>
        <v>1.88389995537344e-5</v>
      </c>
      <c r="E25" s="1259" t="s">
        <v>1640</v>
      </c>
      <c r="F25" s="1270"/>
      <c r="G25" s="1259"/>
      <c r="H25" s="1259"/>
      <c r="I25" s="1259"/>
      <c r="J25" s="1259"/>
      <c r="K25" s="1259"/>
      <c r="L25" s="1259"/>
      <c r="M25" s="1259"/>
      <c r="N25" s="1259"/>
      <c r="O25" s="1259"/>
      <c r="P25" s="1288"/>
      <c r="Q25" s="1254"/>
      <c r="R25" s="1254"/>
      <c r="S25" s="1254"/>
    </row>
    <row r="26" ht="42" customHeight="1" spans="1:19">
      <c r="A26" s="1261"/>
      <c r="B26" s="1262" t="s">
        <v>1642</v>
      </c>
      <c r="C26" s="1262" t="s">
        <v>1643</v>
      </c>
      <c r="D26" s="1271">
        <f>D25</f>
        <v>1.88389995537344e-5</v>
      </c>
      <c r="E26" s="1262" t="s">
        <v>1640</v>
      </c>
      <c r="F26" s="1272"/>
      <c r="G26" s="1262"/>
      <c r="H26" s="1262"/>
      <c r="I26" s="1262"/>
      <c r="J26" s="1262"/>
      <c r="K26" s="1262"/>
      <c r="L26" s="1262"/>
      <c r="M26" s="1262"/>
      <c r="N26" s="1262"/>
      <c r="O26" s="1262"/>
      <c r="P26" s="1289"/>
      <c r="Q26" s="1254"/>
      <c r="R26" s="1254"/>
      <c r="S26" s="1254"/>
    </row>
    <row r="27" ht="25.8" spans="1:19">
      <c r="A27" s="1254"/>
      <c r="B27" s="1254"/>
      <c r="C27" s="1254"/>
      <c r="D27" s="1254"/>
      <c r="E27" s="1254"/>
      <c r="F27" s="1254"/>
      <c r="G27" s="1254"/>
      <c r="H27" s="1254"/>
      <c r="I27" s="1254"/>
      <c r="J27" s="1254"/>
      <c r="K27" s="1254"/>
      <c r="L27" s="1254"/>
      <c r="M27" s="1292"/>
      <c r="N27" s="1292"/>
      <c r="O27" s="1292"/>
      <c r="P27" s="1254"/>
      <c r="Q27" s="1254"/>
      <c r="R27" s="1254"/>
      <c r="S27" s="1254"/>
    </row>
    <row r="28" ht="25.8" spans="1:19">
      <c r="A28" s="1253" t="s">
        <v>1644</v>
      </c>
      <c r="B28" s="1254"/>
      <c r="C28" s="1254"/>
      <c r="D28" s="1254"/>
      <c r="E28" s="1254"/>
      <c r="F28" s="1254"/>
      <c r="G28" s="1254"/>
      <c r="H28" s="1254"/>
      <c r="I28" s="1254"/>
      <c r="J28" s="1254"/>
      <c r="K28" s="1254"/>
      <c r="L28" s="1254"/>
      <c r="M28" s="1254"/>
      <c r="N28" s="1254"/>
      <c r="O28" s="1254"/>
      <c r="P28" s="1254"/>
      <c r="Q28" s="1254"/>
      <c r="R28" s="1254"/>
      <c r="S28" s="1254"/>
    </row>
    <row r="29" ht="34.5" customHeight="1" spans="1:19">
      <c r="A29" s="1255"/>
      <c r="B29" s="1256" t="s">
        <v>1645</v>
      </c>
      <c r="C29" s="1256"/>
      <c r="D29" s="1268">
        <f>D7*D3*9.8*10/(2*3.14)*0.001</f>
        <v>0.0156050955414013</v>
      </c>
      <c r="E29" s="1256" t="s">
        <v>1646</v>
      </c>
      <c r="F29" s="1256"/>
      <c r="G29" s="1256"/>
      <c r="H29" s="1256"/>
      <c r="I29" s="1256"/>
      <c r="J29" s="1256"/>
      <c r="K29" s="1256"/>
      <c r="L29" s="1256"/>
      <c r="M29" s="1256"/>
      <c r="N29" s="1256"/>
      <c r="O29" s="1256"/>
      <c r="P29" s="1287"/>
      <c r="Q29" s="1254"/>
      <c r="R29" s="1254"/>
      <c r="S29" s="1254"/>
    </row>
    <row r="30" ht="34.5" customHeight="1" spans="1:19">
      <c r="A30" s="1261"/>
      <c r="B30" s="1262" t="s">
        <v>1647</v>
      </c>
      <c r="C30" s="1262"/>
      <c r="D30" s="1271">
        <f>D29</f>
        <v>0.0156050955414013</v>
      </c>
      <c r="E30" s="1262" t="s">
        <v>1646</v>
      </c>
      <c r="F30" s="1262"/>
      <c r="G30" s="1262"/>
      <c r="H30" s="1262"/>
      <c r="I30" s="1262"/>
      <c r="J30" s="1262"/>
      <c r="K30" s="1262"/>
      <c r="L30" s="1262"/>
      <c r="M30" s="1262"/>
      <c r="N30" s="1262"/>
      <c r="O30" s="1262"/>
      <c r="P30" s="1289"/>
      <c r="Q30" s="1254"/>
      <c r="R30" s="1254"/>
      <c r="S30" s="1254"/>
    </row>
    <row r="31" ht="25.8" spans="1:19">
      <c r="A31" s="1254"/>
      <c r="B31" s="1254" t="s">
        <v>106</v>
      </c>
      <c r="C31" s="1254"/>
      <c r="D31" s="1254"/>
      <c r="E31" s="1254"/>
      <c r="F31" s="1254"/>
      <c r="G31" s="1254"/>
      <c r="H31" s="1254"/>
      <c r="I31" s="1254"/>
      <c r="J31" s="1254"/>
      <c r="K31" s="1254"/>
      <c r="L31" s="1254"/>
      <c r="M31" s="1254"/>
      <c r="N31" s="1254"/>
      <c r="O31" s="1254"/>
      <c r="P31" s="1254"/>
      <c r="Q31" s="1254"/>
      <c r="R31" s="1254"/>
      <c r="S31" s="1254"/>
    </row>
    <row r="32" ht="25.8" spans="1:19">
      <c r="A32" s="1253" t="s">
        <v>1648</v>
      </c>
      <c r="B32" s="1254"/>
      <c r="C32" s="1254"/>
      <c r="D32" s="1254"/>
      <c r="E32" s="1254"/>
      <c r="F32" s="1254"/>
      <c r="G32" s="1254"/>
      <c r="H32" s="1254"/>
      <c r="I32" s="1254"/>
      <c r="J32" s="1254"/>
      <c r="K32" s="1254"/>
      <c r="L32" s="1254"/>
      <c r="M32" s="1254"/>
      <c r="N32" s="1254"/>
      <c r="O32" s="1254"/>
      <c r="P32" s="1254"/>
      <c r="Q32" s="1254"/>
      <c r="R32" s="1254"/>
      <c r="S32" s="1254"/>
    </row>
    <row r="33" ht="25.8" spans="1:19">
      <c r="A33" s="1273"/>
      <c r="B33" s="1274" t="s">
        <v>1649</v>
      </c>
      <c r="C33" s="1274" t="s">
        <v>1650</v>
      </c>
      <c r="D33" s="1275">
        <f>60*D15/(D4*D8)</f>
        <v>2400</v>
      </c>
      <c r="E33" s="1274" t="s">
        <v>1123</v>
      </c>
      <c r="F33" s="1274"/>
      <c r="G33" s="1274"/>
      <c r="H33" s="1274"/>
      <c r="I33" s="1274"/>
      <c r="J33" s="1274"/>
      <c r="K33" s="1274"/>
      <c r="L33" s="1274"/>
      <c r="M33" s="1274"/>
      <c r="N33" s="1274"/>
      <c r="O33" s="1274"/>
      <c r="P33" s="1293"/>
      <c r="Q33" s="1254"/>
      <c r="R33" s="1254"/>
      <c r="S33" s="1254"/>
    </row>
    <row r="34" ht="25.8" spans="1:19">
      <c r="A34" s="1254"/>
      <c r="B34" s="1254"/>
      <c r="C34" s="1254"/>
      <c r="D34" s="1254"/>
      <c r="E34" s="1254"/>
      <c r="F34" s="1254"/>
      <c r="G34" s="1254"/>
      <c r="H34" s="1254"/>
      <c r="I34" s="1254"/>
      <c r="J34" s="1254"/>
      <c r="K34" s="1254"/>
      <c r="L34" s="1254"/>
      <c r="M34" s="1254"/>
      <c r="N34" s="1254"/>
      <c r="O34" s="1254"/>
      <c r="P34" s="1254"/>
      <c r="Q34" s="1254"/>
      <c r="R34" s="1254"/>
      <c r="S34" s="1254"/>
    </row>
    <row r="35" ht="25.8" spans="1:19">
      <c r="A35" s="1253" t="s">
        <v>1651</v>
      </c>
      <c r="B35" s="1254"/>
      <c r="C35" s="1254"/>
      <c r="D35" s="1254"/>
      <c r="E35" s="1254"/>
      <c r="F35" s="1254"/>
      <c r="G35" s="1254"/>
      <c r="H35" s="1254"/>
      <c r="I35" s="1254"/>
      <c r="J35" s="1254"/>
      <c r="K35" s="1254"/>
      <c r="L35" s="1254"/>
      <c r="M35" s="1254"/>
      <c r="N35" s="1254"/>
      <c r="O35" s="1254"/>
      <c r="P35" s="1254"/>
      <c r="Q35" s="1254"/>
      <c r="R35" s="1254"/>
      <c r="S35" s="1254"/>
    </row>
    <row r="36" ht="77.4" spans="1:19">
      <c r="A36" s="1255"/>
      <c r="B36" s="1276" t="s">
        <v>1652</v>
      </c>
      <c r="C36" s="1276" t="s">
        <v>1653</v>
      </c>
      <c r="D36" s="1268">
        <f>D26/30</f>
        <v>6.27966651791148e-7</v>
      </c>
      <c r="E36" s="1256" t="s">
        <v>1654</v>
      </c>
      <c r="F36" s="1277"/>
      <c r="G36" s="1277"/>
      <c r="H36" s="1278" t="s">
        <v>1655</v>
      </c>
      <c r="I36" s="1278"/>
      <c r="J36" s="1278"/>
      <c r="K36" s="1278"/>
      <c r="L36" s="1256"/>
      <c r="M36" s="1294">
        <v>1.23e-5</v>
      </c>
      <c r="N36" s="1294"/>
      <c r="O36" s="1256"/>
      <c r="P36" s="1287"/>
      <c r="Q36" s="1259"/>
      <c r="R36" s="1254"/>
      <c r="S36" s="1254"/>
    </row>
    <row r="37" ht="129" spans="1:19">
      <c r="A37" s="1261"/>
      <c r="B37" s="1279" t="s">
        <v>1656</v>
      </c>
      <c r="C37" s="1279" t="s">
        <v>1657</v>
      </c>
      <c r="D37" s="1280">
        <f>0.637*0.8</f>
        <v>0.5096</v>
      </c>
      <c r="E37" s="1281" t="s">
        <v>1658</v>
      </c>
      <c r="F37" s="1282">
        <f>D30</f>
        <v>0.0156050955414013</v>
      </c>
      <c r="G37" s="1282"/>
      <c r="H37" s="1283" t="s">
        <v>1659</v>
      </c>
      <c r="I37" s="1283"/>
      <c r="J37" s="1283"/>
      <c r="K37" s="1283"/>
      <c r="L37" s="1262"/>
      <c r="M37" s="1281">
        <v>0.637</v>
      </c>
      <c r="N37" s="1281"/>
      <c r="O37" s="1262" t="s">
        <v>1660</v>
      </c>
      <c r="P37" s="1289"/>
      <c r="Q37" s="1254"/>
      <c r="R37" s="1254"/>
      <c r="S37" s="1254"/>
    </row>
    <row r="38" ht="25.8" spans="1:19">
      <c r="A38" s="1254"/>
      <c r="B38" s="1254"/>
      <c r="C38" s="1254"/>
      <c r="D38" s="1254"/>
      <c r="E38" s="1254"/>
      <c r="F38" s="1254"/>
      <c r="G38" s="1254"/>
      <c r="H38" s="1254"/>
      <c r="I38" s="1254"/>
      <c r="J38" s="1254"/>
      <c r="K38" s="1254"/>
      <c r="L38" s="1254"/>
      <c r="M38" s="1254"/>
      <c r="N38" s="1254"/>
      <c r="O38" s="1254"/>
      <c r="P38" s="1254"/>
      <c r="Q38" s="1254"/>
      <c r="R38" s="1254"/>
      <c r="S38" s="1254"/>
    </row>
    <row r="39" ht="25.8" spans="1:19">
      <c r="A39" s="1254"/>
      <c r="B39" s="1254" t="s">
        <v>1661</v>
      </c>
      <c r="C39" s="1254"/>
      <c r="D39" s="1254"/>
      <c r="E39" s="1254"/>
      <c r="F39" s="1254"/>
      <c r="G39" s="1254"/>
      <c r="H39" s="1254"/>
      <c r="I39" s="1254"/>
      <c r="J39" s="1254"/>
      <c r="K39" s="1254"/>
      <c r="L39" s="1254"/>
      <c r="M39" s="1254"/>
      <c r="N39" s="1254"/>
      <c r="O39" s="1254"/>
      <c r="P39" s="1254"/>
      <c r="Q39" s="1254"/>
      <c r="R39" s="1254"/>
      <c r="S39" s="1254"/>
    </row>
    <row r="40" ht="25.8" spans="1:19">
      <c r="A40" s="1254"/>
      <c r="B40" s="1254"/>
      <c r="C40" s="1254"/>
      <c r="D40" s="1254"/>
      <c r="E40" s="1254"/>
      <c r="F40" s="1254"/>
      <c r="G40" s="1254"/>
      <c r="H40" s="1254"/>
      <c r="I40" s="1254"/>
      <c r="J40" s="1254"/>
      <c r="K40" s="1254"/>
      <c r="L40" s="1254"/>
      <c r="M40" s="1254"/>
      <c r="N40" s="1254"/>
      <c r="O40" s="1254"/>
      <c r="P40" s="1254"/>
      <c r="Q40" s="1254"/>
      <c r="R40" s="1254"/>
      <c r="S40" s="1254"/>
    </row>
    <row r="41" ht="25.8" spans="1:19">
      <c r="A41" s="1253" t="s">
        <v>1662</v>
      </c>
      <c r="B41" s="1254"/>
      <c r="C41" s="1254"/>
      <c r="D41" s="1254"/>
      <c r="E41" s="1254"/>
      <c r="F41" s="1254"/>
      <c r="G41" s="1254"/>
      <c r="H41" s="1254"/>
      <c r="I41" s="1254"/>
      <c r="J41" s="1254"/>
      <c r="K41" s="1254"/>
      <c r="L41" s="1254"/>
      <c r="M41" s="1254"/>
      <c r="N41" s="1254"/>
      <c r="O41" s="1254"/>
      <c r="P41" s="1254"/>
      <c r="Q41" s="1254"/>
      <c r="R41" s="1254"/>
      <c r="S41" s="1254"/>
    </row>
    <row r="42" ht="25.8" spans="1:19">
      <c r="A42" s="1254"/>
      <c r="B42" s="1254"/>
      <c r="C42" s="1254"/>
      <c r="D42" s="1254"/>
      <c r="E42" s="1254"/>
      <c r="F42" s="1254"/>
      <c r="G42" s="1254"/>
      <c r="H42" s="1254"/>
      <c r="I42" s="1254"/>
      <c r="J42" s="1254"/>
      <c r="K42" s="1254"/>
      <c r="L42" s="1254"/>
      <c r="M42" s="1254"/>
      <c r="N42" s="1254"/>
      <c r="O42" s="1254"/>
      <c r="P42" s="1254"/>
      <c r="Q42" s="1254"/>
      <c r="R42" s="1254"/>
      <c r="S42" s="1254"/>
    </row>
    <row r="43" ht="39" customHeight="1" spans="1:19">
      <c r="A43" s="1273"/>
      <c r="B43" s="1274" t="s">
        <v>1663</v>
      </c>
      <c r="C43" s="1274"/>
      <c r="D43" s="1284">
        <f>(2*3.14*D33/(60*D18))*(M36+D26/D8)</f>
        <v>0.0391105834394904</v>
      </c>
      <c r="E43" s="1274" t="s">
        <v>1646</v>
      </c>
      <c r="F43" s="1274"/>
      <c r="G43" s="1274"/>
      <c r="H43" s="1274"/>
      <c r="I43" s="1274"/>
      <c r="J43" s="1274"/>
      <c r="K43" s="1274"/>
      <c r="L43" s="1274"/>
      <c r="M43" s="1274"/>
      <c r="N43" s="1274"/>
      <c r="O43" s="1274"/>
      <c r="P43" s="1293"/>
      <c r="Q43" s="1254"/>
      <c r="R43" s="1254"/>
      <c r="S43" s="1254"/>
    </row>
    <row r="44" ht="25.8" spans="1:19">
      <c r="A44" s="1254"/>
      <c r="B44" s="1254" t="s">
        <v>106</v>
      </c>
      <c r="C44" s="1254"/>
      <c r="D44" s="1254"/>
      <c r="E44" s="1254"/>
      <c r="F44" s="1254"/>
      <c r="G44" s="1254"/>
      <c r="H44" s="1254"/>
      <c r="I44" s="1254"/>
      <c r="J44" s="1254"/>
      <c r="K44" s="1254"/>
      <c r="L44" s="1254"/>
      <c r="M44" s="1254"/>
      <c r="N44" s="1254"/>
      <c r="O44" s="1254"/>
      <c r="P44" s="1254"/>
      <c r="Q44" s="1254"/>
      <c r="R44" s="1254"/>
      <c r="S44" s="1254"/>
    </row>
    <row r="45" ht="25.8" spans="1:19">
      <c r="A45" s="1253" t="s">
        <v>1664</v>
      </c>
      <c r="B45" s="1254"/>
      <c r="C45" s="1254"/>
      <c r="D45" s="1254"/>
      <c r="E45" s="1254"/>
      <c r="F45" s="1254"/>
      <c r="G45" s="1254"/>
      <c r="H45" s="1254"/>
      <c r="I45" s="1254"/>
      <c r="J45" s="1254"/>
      <c r="K45" s="1254"/>
      <c r="L45" s="1254"/>
      <c r="M45" s="1254"/>
      <c r="N45" s="1254"/>
      <c r="O45" s="1254"/>
      <c r="P45" s="1254"/>
      <c r="Q45" s="1254"/>
      <c r="R45" s="1254"/>
      <c r="S45" s="1254"/>
    </row>
    <row r="46" ht="25.8" spans="1:19">
      <c r="A46" s="1255"/>
      <c r="B46" s="1256" t="s">
        <v>1665</v>
      </c>
      <c r="C46" s="1256" t="s">
        <v>1666</v>
      </c>
      <c r="D46" s="1285">
        <f>D43+D30</f>
        <v>0.0547156789808917</v>
      </c>
      <c r="E46" s="1274" t="s">
        <v>1646</v>
      </c>
      <c r="F46" s="1256"/>
      <c r="G46" s="1256"/>
      <c r="H46" s="1256"/>
      <c r="I46" s="1256"/>
      <c r="J46" s="1256"/>
      <c r="K46" s="1256"/>
      <c r="L46" s="1256"/>
      <c r="M46" s="1256"/>
      <c r="N46" s="1256"/>
      <c r="O46" s="1256"/>
      <c r="P46" s="1287"/>
      <c r="Q46" s="1254"/>
      <c r="R46" s="1254"/>
      <c r="S46" s="1254"/>
    </row>
    <row r="47" ht="25.8" spans="1:19">
      <c r="A47" s="1258"/>
      <c r="B47" s="1259"/>
      <c r="C47" s="1259" t="s">
        <v>1667</v>
      </c>
      <c r="D47" s="1285">
        <f>D30</f>
        <v>0.0156050955414013</v>
      </c>
      <c r="E47" s="1274" t="s">
        <v>1646</v>
      </c>
      <c r="F47" s="1259"/>
      <c r="G47" s="1259"/>
      <c r="H47" s="1259"/>
      <c r="I47" s="1259"/>
      <c r="J47" s="1259"/>
      <c r="K47" s="1259"/>
      <c r="L47" s="1259"/>
      <c r="M47" s="1259"/>
      <c r="N47" s="1259"/>
      <c r="O47" s="1259"/>
      <c r="P47" s="1288"/>
      <c r="Q47" s="1254"/>
      <c r="R47" s="1254"/>
      <c r="S47" s="1254"/>
    </row>
    <row r="48" ht="25.8" spans="1:19">
      <c r="A48" s="1258"/>
      <c r="B48" s="1259"/>
      <c r="C48" s="1259" t="s">
        <v>1668</v>
      </c>
      <c r="D48" s="1285">
        <f>D30-D43</f>
        <v>-0.0235054878980892</v>
      </c>
      <c r="E48" s="1274" t="s">
        <v>1646</v>
      </c>
      <c r="F48" s="1259"/>
      <c r="G48" s="1259"/>
      <c r="H48" s="1259"/>
      <c r="I48" s="1259"/>
      <c r="J48" s="1259"/>
      <c r="K48" s="1259"/>
      <c r="L48" s="1259"/>
      <c r="M48" s="1259"/>
      <c r="N48" s="1259"/>
      <c r="O48" s="1259"/>
      <c r="P48" s="1288"/>
      <c r="Q48" s="1254"/>
      <c r="R48" s="1254"/>
      <c r="S48" s="1254"/>
    </row>
    <row r="49" ht="25.8" spans="1:19">
      <c r="A49" s="1258"/>
      <c r="B49" s="1259"/>
      <c r="C49" s="1259"/>
      <c r="D49" s="1259"/>
      <c r="E49" s="1259"/>
      <c r="F49" s="1259"/>
      <c r="G49" s="1259"/>
      <c r="H49" s="1259"/>
      <c r="I49" s="1259"/>
      <c r="J49" s="1259"/>
      <c r="K49" s="1259"/>
      <c r="L49" s="1259"/>
      <c r="M49" s="1259"/>
      <c r="N49" s="1259"/>
      <c r="O49" s="1259"/>
      <c r="P49" s="1288"/>
      <c r="Q49" s="1254"/>
      <c r="R49" s="1254"/>
      <c r="S49" s="1254"/>
    </row>
    <row r="50" ht="25.8" spans="1:19">
      <c r="A50" s="1258"/>
      <c r="B50" s="1259" t="s">
        <v>1669</v>
      </c>
      <c r="C50" s="1259"/>
      <c r="D50" s="1259"/>
      <c r="E50" s="1259"/>
      <c r="F50" s="1259"/>
      <c r="G50" s="1259"/>
      <c r="H50" s="1259"/>
      <c r="I50" s="1259"/>
      <c r="J50" s="1259"/>
      <c r="K50" s="1259"/>
      <c r="L50" s="1259"/>
      <c r="M50" s="1259"/>
      <c r="N50" s="1259"/>
      <c r="O50" s="1259"/>
      <c r="P50" s="1288"/>
      <c r="Q50" s="1254"/>
      <c r="R50" s="1254"/>
      <c r="S50" s="1254"/>
    </row>
    <row r="51" ht="25.8" spans="1:19">
      <c r="A51" s="1258"/>
      <c r="B51" s="1259"/>
      <c r="C51" s="1259"/>
      <c r="D51" s="1259"/>
      <c r="E51" s="1259"/>
      <c r="F51" s="1259"/>
      <c r="G51" s="1259"/>
      <c r="H51" s="1259"/>
      <c r="I51" s="1259"/>
      <c r="J51" s="1259"/>
      <c r="K51" s="1259"/>
      <c r="L51" s="1259"/>
      <c r="M51" s="1259"/>
      <c r="N51" s="1259"/>
      <c r="O51" s="1259"/>
      <c r="P51" s="1288"/>
      <c r="Q51" s="1254"/>
      <c r="R51" s="1254"/>
      <c r="S51" s="1254"/>
    </row>
    <row r="52" ht="25.8" spans="1:19">
      <c r="A52" s="1258"/>
      <c r="B52" s="1259"/>
      <c r="C52" s="1259"/>
      <c r="D52" s="1259"/>
      <c r="E52" s="1259"/>
      <c r="F52" s="1259"/>
      <c r="G52" s="1259"/>
      <c r="H52" s="1259"/>
      <c r="I52" s="1259"/>
      <c r="J52" s="1259"/>
      <c r="K52" s="1259"/>
      <c r="L52" s="1259"/>
      <c r="M52" s="1259"/>
      <c r="N52" s="1259"/>
      <c r="O52" s="1259"/>
      <c r="P52" s="1288"/>
      <c r="Q52" s="1254"/>
      <c r="R52" s="1254"/>
      <c r="S52" s="1254"/>
    </row>
    <row r="53" ht="25.8" spans="1:19">
      <c r="A53" s="1258"/>
      <c r="B53" s="1259"/>
      <c r="C53" s="1259"/>
      <c r="D53" s="1284">
        <f>SQRT((D46*D46*H19)+(D47*D47*I19)+(D48*D48*J19)/(H19+I19+J19+K19))</f>
        <v>0.0301884681176466</v>
      </c>
      <c r="E53" s="1274" t="s">
        <v>1646</v>
      </c>
      <c r="F53" s="1259"/>
      <c r="G53" s="1259"/>
      <c r="H53" s="1259"/>
      <c r="I53" s="1259"/>
      <c r="J53" s="1259"/>
      <c r="K53" s="1259"/>
      <c r="L53" s="1259"/>
      <c r="M53" s="1259"/>
      <c r="N53" s="1259"/>
      <c r="O53" s="1259"/>
      <c r="P53" s="1288"/>
      <c r="Q53" s="1254"/>
      <c r="R53" s="1254"/>
      <c r="S53" s="1254"/>
    </row>
    <row r="54" ht="25.8" spans="1:19">
      <c r="A54" s="1258"/>
      <c r="B54" s="1259"/>
      <c r="C54" s="1259"/>
      <c r="D54" s="1259"/>
      <c r="E54" s="1259"/>
      <c r="F54" s="1259"/>
      <c r="G54" s="1259"/>
      <c r="H54" s="1259"/>
      <c r="I54" s="1259"/>
      <c r="J54" s="1259"/>
      <c r="K54" s="1259"/>
      <c r="L54" s="1259"/>
      <c r="M54" s="1259"/>
      <c r="N54" s="1259"/>
      <c r="O54" s="1259"/>
      <c r="P54" s="1288"/>
      <c r="Q54" s="1254"/>
      <c r="R54" s="1254"/>
      <c r="S54" s="1254"/>
    </row>
    <row r="55" ht="25.8" spans="1:19">
      <c r="A55" s="1258"/>
      <c r="B55" s="1259"/>
      <c r="C55" s="1259"/>
      <c r="D55" s="1259"/>
      <c r="E55" s="1259"/>
      <c r="F55" s="1259"/>
      <c r="G55" s="1259"/>
      <c r="H55" s="1259"/>
      <c r="I55" s="1259"/>
      <c r="J55" s="1259"/>
      <c r="K55" s="1259"/>
      <c r="L55" s="1259"/>
      <c r="M55" s="1259"/>
      <c r="N55" s="1259"/>
      <c r="O55" s="1259"/>
      <c r="P55" s="1288"/>
      <c r="Q55" s="1254"/>
      <c r="R55" s="1254"/>
      <c r="S55" s="1254"/>
    </row>
    <row r="56" ht="25.8" spans="1:19">
      <c r="A56" s="1258"/>
      <c r="B56" s="1259"/>
      <c r="C56" s="1259"/>
      <c r="D56" s="1259"/>
      <c r="E56" s="1259"/>
      <c r="F56" s="1259"/>
      <c r="G56" s="1259"/>
      <c r="H56" s="1259"/>
      <c r="I56" s="1259"/>
      <c r="J56" s="1259"/>
      <c r="K56" s="1259"/>
      <c r="L56" s="1259"/>
      <c r="M56" s="1259"/>
      <c r="N56" s="1259"/>
      <c r="O56" s="1259"/>
      <c r="P56" s="1288"/>
      <c r="Q56" s="1254"/>
      <c r="R56" s="1254"/>
      <c r="S56" s="1254"/>
    </row>
    <row r="57" ht="25.8" spans="1:19">
      <c r="A57" s="1258"/>
      <c r="B57" s="1259"/>
      <c r="C57" s="1259"/>
      <c r="D57" s="1259"/>
      <c r="E57" s="1259"/>
      <c r="F57" s="1259"/>
      <c r="G57" s="1259"/>
      <c r="H57" s="1259"/>
      <c r="I57" s="1259"/>
      <c r="J57" s="1259"/>
      <c r="K57" s="1259"/>
      <c r="L57" s="1259"/>
      <c r="M57" s="1259"/>
      <c r="N57" s="1259"/>
      <c r="O57" s="1259"/>
      <c r="P57" s="1288"/>
      <c r="Q57" s="1254"/>
      <c r="R57" s="1254"/>
      <c r="S57" s="1254"/>
    </row>
    <row r="58" ht="25.8" spans="1:19">
      <c r="A58" s="1258"/>
      <c r="B58" s="1259"/>
      <c r="C58" s="1259"/>
      <c r="D58" s="1259"/>
      <c r="E58" s="1259"/>
      <c r="F58" s="1259"/>
      <c r="G58" s="1259"/>
      <c r="H58" s="1259"/>
      <c r="I58" s="1259"/>
      <c r="J58" s="1259"/>
      <c r="K58" s="1259"/>
      <c r="L58" s="1259"/>
      <c r="M58" s="1259"/>
      <c r="N58" s="1259"/>
      <c r="O58" s="1259"/>
      <c r="P58" s="1288"/>
      <c r="Q58" s="1254"/>
      <c r="R58" s="1254"/>
      <c r="S58" s="1254"/>
    </row>
    <row r="59" ht="25.8" spans="1:19">
      <c r="A59" s="1258"/>
      <c r="B59" s="1259"/>
      <c r="C59" s="1259"/>
      <c r="D59" s="1259"/>
      <c r="E59" s="1259"/>
      <c r="F59" s="1259"/>
      <c r="G59" s="1259"/>
      <c r="H59" s="1259"/>
      <c r="I59" s="1259"/>
      <c r="J59" s="1259"/>
      <c r="K59" s="1259"/>
      <c r="L59" s="1259"/>
      <c r="M59" s="1259"/>
      <c r="N59" s="1259"/>
      <c r="O59" s="1259"/>
      <c r="P59" s="1288"/>
      <c r="Q59" s="1254"/>
      <c r="R59" s="1254"/>
      <c r="S59" s="1254"/>
    </row>
    <row r="60" ht="25.8" spans="1:19">
      <c r="A60" s="1258"/>
      <c r="B60" s="1259"/>
      <c r="C60" s="1259"/>
      <c r="D60" s="1259"/>
      <c r="E60" s="1259"/>
      <c r="F60" s="1259"/>
      <c r="G60" s="1259"/>
      <c r="H60" s="1259"/>
      <c r="I60" s="1259"/>
      <c r="J60" s="1259"/>
      <c r="K60" s="1259"/>
      <c r="L60" s="1259"/>
      <c r="M60" s="1259"/>
      <c r="N60" s="1259"/>
      <c r="O60" s="1259"/>
      <c r="P60" s="1288"/>
      <c r="Q60" s="1254"/>
      <c r="R60" s="1254"/>
      <c r="S60" s="1254"/>
    </row>
    <row r="61" ht="25.8" spans="1:19">
      <c r="A61" s="1261"/>
      <c r="B61" s="1262"/>
      <c r="C61" s="1262"/>
      <c r="D61" s="1262"/>
      <c r="E61" s="1262"/>
      <c r="F61" s="1262"/>
      <c r="G61" s="1262"/>
      <c r="H61" s="1262"/>
      <c r="I61" s="1262"/>
      <c r="J61" s="1262"/>
      <c r="K61" s="1262"/>
      <c r="L61" s="1262"/>
      <c r="M61" s="1262"/>
      <c r="N61" s="1262"/>
      <c r="O61" s="1262"/>
      <c r="P61" s="1289"/>
      <c r="Q61" s="1254"/>
      <c r="R61" s="1254"/>
      <c r="S61" s="1254"/>
    </row>
    <row r="62" ht="25.8" spans="1:19">
      <c r="A62" s="1254"/>
      <c r="B62" s="1254"/>
      <c r="C62" s="1254"/>
      <c r="D62" s="1254"/>
      <c r="E62" s="1254"/>
      <c r="F62" s="1254"/>
      <c r="G62" s="1254"/>
      <c r="H62" s="1254"/>
      <c r="I62" s="1254"/>
      <c r="J62" s="1254"/>
      <c r="K62" s="1254"/>
      <c r="L62" s="1254"/>
      <c r="M62" s="1254"/>
      <c r="N62" s="1254"/>
      <c r="O62" s="1254"/>
      <c r="P62" s="1254"/>
      <c r="Q62" s="1254"/>
      <c r="R62" s="1254"/>
      <c r="S62" s="1254"/>
    </row>
    <row r="63" ht="25.8" spans="1:19">
      <c r="A63" s="1253" t="s">
        <v>1670</v>
      </c>
      <c r="B63" s="1254"/>
      <c r="C63" s="1254"/>
      <c r="D63" s="1254"/>
      <c r="E63" s="1254"/>
      <c r="F63" s="1254"/>
      <c r="G63" s="1254"/>
      <c r="H63" s="1254"/>
      <c r="I63" s="1254"/>
      <c r="J63" s="1254"/>
      <c r="K63" s="1254"/>
      <c r="L63" s="1254"/>
      <c r="M63" s="1254"/>
      <c r="N63" s="1254"/>
      <c r="O63" s="1254"/>
      <c r="P63" s="1254"/>
      <c r="Q63" s="1254"/>
      <c r="R63" s="1254"/>
      <c r="S63" s="1254"/>
    </row>
    <row r="64" ht="25.8" spans="1:19">
      <c r="A64" s="1255"/>
      <c r="B64" s="1256" t="s">
        <v>1671</v>
      </c>
      <c r="C64" s="1286">
        <f>D26</f>
        <v>1.88389995537344e-5</v>
      </c>
      <c r="D64" s="1256" t="s">
        <v>1640</v>
      </c>
      <c r="E64" s="1256" t="s">
        <v>1672</v>
      </c>
      <c r="F64" s="1256"/>
      <c r="G64" s="1256"/>
      <c r="H64" s="1256"/>
      <c r="I64" s="1295">
        <f>M36</f>
        <v>1.23e-5</v>
      </c>
      <c r="J64" s="1256" t="s">
        <v>1673</v>
      </c>
      <c r="K64" s="1256"/>
      <c r="L64" s="1256"/>
      <c r="M64" s="1256"/>
      <c r="N64" s="1256"/>
      <c r="O64" s="1256"/>
      <c r="P64" s="1256"/>
      <c r="Q64" s="1256"/>
      <c r="R64" s="1256"/>
      <c r="S64" s="1287" t="s">
        <v>1674</v>
      </c>
    </row>
    <row r="65" ht="25.8" spans="1:19">
      <c r="A65" s="1258"/>
      <c r="B65" s="1259" t="s">
        <v>1675</v>
      </c>
      <c r="C65" s="1296">
        <f>D53</f>
        <v>0.0301884681176466</v>
      </c>
      <c r="D65" s="1259" t="s">
        <v>1646</v>
      </c>
      <c r="E65" s="1259" t="s">
        <v>1676</v>
      </c>
      <c r="F65" s="1259"/>
      <c r="G65" s="1259"/>
      <c r="H65" s="1259"/>
      <c r="I65" s="1259">
        <f>0.637*0.8</f>
        <v>0.5096</v>
      </c>
      <c r="J65" s="1259" t="s">
        <v>1677</v>
      </c>
      <c r="K65" s="1259"/>
      <c r="L65" s="1259"/>
      <c r="M65" s="1259"/>
      <c r="N65" s="1259"/>
      <c r="O65" s="1259"/>
      <c r="P65" s="1259"/>
      <c r="Q65" s="1259"/>
      <c r="R65" s="1259"/>
      <c r="S65" s="1288" t="s">
        <v>1674</v>
      </c>
    </row>
    <row r="66" ht="25.8" spans="1:19">
      <c r="A66" s="1258"/>
      <c r="B66" s="1259" t="s">
        <v>1678</v>
      </c>
      <c r="C66" s="1297">
        <f>D46</f>
        <v>0.0547156789808917</v>
      </c>
      <c r="D66" s="1259" t="s">
        <v>1646</v>
      </c>
      <c r="E66" s="1259" t="s">
        <v>1679</v>
      </c>
      <c r="F66" s="1259"/>
      <c r="G66" s="1259"/>
      <c r="H66" s="1259"/>
      <c r="I66" s="1259">
        <f>1.91*0.8</f>
        <v>1.528</v>
      </c>
      <c r="J66" s="1259" t="s">
        <v>1677</v>
      </c>
      <c r="K66" s="1259"/>
      <c r="L66" s="1259"/>
      <c r="M66" s="1259"/>
      <c r="N66" s="1259"/>
      <c r="O66" s="1259"/>
      <c r="P66" s="1259"/>
      <c r="Q66" s="1259"/>
      <c r="R66" s="1259"/>
      <c r="S66" s="1288" t="s">
        <v>1674</v>
      </c>
    </row>
    <row r="67" ht="25.8" spans="1:19">
      <c r="A67" s="1258"/>
      <c r="B67" s="1259" t="s">
        <v>1680</v>
      </c>
      <c r="C67" s="1298">
        <f>D33</f>
        <v>2400</v>
      </c>
      <c r="D67" s="1259" t="s">
        <v>1123</v>
      </c>
      <c r="E67" s="1259" t="s">
        <v>1681</v>
      </c>
      <c r="F67" s="1259"/>
      <c r="G67" s="1259"/>
      <c r="H67" s="1259"/>
      <c r="I67" s="1259">
        <v>3000</v>
      </c>
      <c r="J67" s="1259" t="s">
        <v>1123</v>
      </c>
      <c r="K67" s="1259"/>
      <c r="L67" s="1259"/>
      <c r="M67" s="1259"/>
      <c r="N67" s="1259"/>
      <c r="O67" s="1259"/>
      <c r="P67" s="1259"/>
      <c r="Q67" s="1259"/>
      <c r="R67" s="1259"/>
      <c r="S67" s="1288" t="s">
        <v>1674</v>
      </c>
    </row>
    <row r="68" ht="25.8" spans="1:19">
      <c r="A68" s="1261"/>
      <c r="B68" s="1262" t="s">
        <v>1682</v>
      </c>
      <c r="C68" s="1299">
        <f>D4*D8/D19*1</f>
        <v>500</v>
      </c>
      <c r="D68" s="1262" t="s">
        <v>1683</v>
      </c>
      <c r="E68" s="1262" t="s">
        <v>1684</v>
      </c>
      <c r="F68" s="1262"/>
      <c r="G68" s="1262"/>
      <c r="H68" s="1262"/>
      <c r="I68" s="1262"/>
      <c r="J68" s="1262"/>
      <c r="K68" s="1262"/>
      <c r="L68" s="1262"/>
      <c r="M68" s="1262"/>
      <c r="N68" s="1262"/>
      <c r="O68" s="1262"/>
      <c r="P68" s="1262"/>
      <c r="Q68" s="1262"/>
      <c r="R68" s="1262"/>
      <c r="S68" s="1289" t="s">
        <v>1674</v>
      </c>
    </row>
  </sheetData>
  <customSheetViews>
    <customSheetView guid="{B9330FFD-B5EF-4680-A375-DB92D4738404}" scale="75">
      <selection activeCell="M25" sqref="M25"/>
      <pageMargins left="0.7" right="0.7" top="0.75" bottom="0.75" header="0.3" footer="0.3"/>
      <headerFooter/>
    </customSheetView>
  </customSheetViews>
  <mergeCells count="5">
    <mergeCell ref="F36:G36"/>
    <mergeCell ref="M36:N36"/>
    <mergeCell ref="F37:G37"/>
    <mergeCell ref="M37:N37"/>
    <mergeCell ref="E1:F2"/>
  </mergeCells>
  <hyperlinks>
    <hyperlink ref="E1:F2" location="目录!A1" display="目录!A1"/>
  </hyperlinks>
  <pageMargins left="0.7" right="0.7" top="0.75" bottom="0.75" header="0.3" footer="0.3"/>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5"/>
  <sheetViews>
    <sheetView workbookViewId="0">
      <selection activeCell="F2" sqref="F2"/>
    </sheetView>
  </sheetViews>
  <sheetFormatPr defaultColWidth="9" defaultRowHeight="15.6"/>
  <cols>
    <col min="1" max="1" width="16.875" style="168" customWidth="1"/>
    <col min="2" max="2" width="37.125" style="168" customWidth="1"/>
    <col min="3" max="3" width="14.375" style="168" customWidth="1"/>
    <col min="4" max="4" width="9" style="168"/>
    <col min="5" max="5" width="10.25" style="168" customWidth="1"/>
    <col min="6" max="6" width="16.875" style="168" customWidth="1"/>
    <col min="7" max="7" width="37.125" style="168" customWidth="1"/>
    <col min="8" max="256" width="9" style="168"/>
    <col min="257" max="257" width="16.875" style="168" customWidth="1"/>
    <col min="258" max="258" width="37.125" style="168" customWidth="1"/>
    <col min="259" max="259" width="14.375" style="168" customWidth="1"/>
    <col min="260" max="260" width="9" style="168"/>
    <col min="261" max="261" width="10.25" style="168" customWidth="1"/>
    <col min="262" max="262" width="16.875" style="168" customWidth="1"/>
    <col min="263" max="263" width="37.125" style="168" customWidth="1"/>
    <col min="264" max="512" width="9" style="168"/>
    <col min="513" max="513" width="16.875" style="168" customWidth="1"/>
    <col min="514" max="514" width="37.125" style="168" customWidth="1"/>
    <col min="515" max="515" width="14.375" style="168" customWidth="1"/>
    <col min="516" max="516" width="9" style="168"/>
    <col min="517" max="517" width="10.25" style="168" customWidth="1"/>
    <col min="518" max="518" width="16.875" style="168" customWidth="1"/>
    <col min="519" max="519" width="37.125" style="168" customWidth="1"/>
    <col min="520" max="768" width="9" style="168"/>
    <col min="769" max="769" width="16.875" style="168" customWidth="1"/>
    <col min="770" max="770" width="37.125" style="168" customWidth="1"/>
    <col min="771" max="771" width="14.375" style="168" customWidth="1"/>
    <col min="772" max="772" width="9" style="168"/>
    <col min="773" max="773" width="10.25" style="168" customWidth="1"/>
    <col min="774" max="774" width="16.875" style="168" customWidth="1"/>
    <col min="775" max="775" width="37.125" style="168" customWidth="1"/>
    <col min="776" max="1024" width="9" style="168"/>
    <col min="1025" max="1025" width="16.875" style="168" customWidth="1"/>
    <col min="1026" max="1026" width="37.125" style="168" customWidth="1"/>
    <col min="1027" max="1027" width="14.375" style="168" customWidth="1"/>
    <col min="1028" max="1028" width="9" style="168"/>
    <col min="1029" max="1029" width="10.25" style="168" customWidth="1"/>
    <col min="1030" max="1030" width="16.875" style="168" customWidth="1"/>
    <col min="1031" max="1031" width="37.125" style="168" customWidth="1"/>
    <col min="1032" max="1280" width="9" style="168"/>
    <col min="1281" max="1281" width="16.875" style="168" customWidth="1"/>
    <col min="1282" max="1282" width="37.125" style="168" customWidth="1"/>
    <col min="1283" max="1283" width="14.375" style="168" customWidth="1"/>
    <col min="1284" max="1284" width="9" style="168"/>
    <col min="1285" max="1285" width="10.25" style="168" customWidth="1"/>
    <col min="1286" max="1286" width="16.875" style="168" customWidth="1"/>
    <col min="1287" max="1287" width="37.125" style="168" customWidth="1"/>
    <col min="1288" max="1536" width="9" style="168"/>
    <col min="1537" max="1537" width="16.875" style="168" customWidth="1"/>
    <col min="1538" max="1538" width="37.125" style="168" customWidth="1"/>
    <col min="1539" max="1539" width="14.375" style="168" customWidth="1"/>
    <col min="1540" max="1540" width="9" style="168"/>
    <col min="1541" max="1541" width="10.25" style="168" customWidth="1"/>
    <col min="1542" max="1542" width="16.875" style="168" customWidth="1"/>
    <col min="1543" max="1543" width="37.125" style="168" customWidth="1"/>
    <col min="1544" max="1792" width="9" style="168"/>
    <col min="1793" max="1793" width="16.875" style="168" customWidth="1"/>
    <col min="1794" max="1794" width="37.125" style="168" customWidth="1"/>
    <col min="1795" max="1795" width="14.375" style="168" customWidth="1"/>
    <col min="1796" max="1796" width="9" style="168"/>
    <col min="1797" max="1797" width="10.25" style="168" customWidth="1"/>
    <col min="1798" max="1798" width="16.875" style="168" customWidth="1"/>
    <col min="1799" max="1799" width="37.125" style="168" customWidth="1"/>
    <col min="1800" max="2048" width="9" style="168"/>
    <col min="2049" max="2049" width="16.875" style="168" customWidth="1"/>
    <col min="2050" max="2050" width="37.125" style="168" customWidth="1"/>
    <col min="2051" max="2051" width="14.375" style="168" customWidth="1"/>
    <col min="2052" max="2052" width="9" style="168"/>
    <col min="2053" max="2053" width="10.25" style="168" customWidth="1"/>
    <col min="2054" max="2054" width="16.875" style="168" customWidth="1"/>
    <col min="2055" max="2055" width="37.125" style="168" customWidth="1"/>
    <col min="2056" max="2304" width="9" style="168"/>
    <col min="2305" max="2305" width="16.875" style="168" customWidth="1"/>
    <col min="2306" max="2306" width="37.125" style="168" customWidth="1"/>
    <col min="2307" max="2307" width="14.375" style="168" customWidth="1"/>
    <col min="2308" max="2308" width="9" style="168"/>
    <col min="2309" max="2309" width="10.25" style="168" customWidth="1"/>
    <col min="2310" max="2310" width="16.875" style="168" customWidth="1"/>
    <col min="2311" max="2311" width="37.125" style="168" customWidth="1"/>
    <col min="2312" max="2560" width="9" style="168"/>
    <col min="2561" max="2561" width="16.875" style="168" customWidth="1"/>
    <col min="2562" max="2562" width="37.125" style="168" customWidth="1"/>
    <col min="2563" max="2563" width="14.375" style="168" customWidth="1"/>
    <col min="2564" max="2564" width="9" style="168"/>
    <col min="2565" max="2565" width="10.25" style="168" customWidth="1"/>
    <col min="2566" max="2566" width="16.875" style="168" customWidth="1"/>
    <col min="2567" max="2567" width="37.125" style="168" customWidth="1"/>
    <col min="2568" max="2816" width="9" style="168"/>
    <col min="2817" max="2817" width="16.875" style="168" customWidth="1"/>
    <col min="2818" max="2818" width="37.125" style="168" customWidth="1"/>
    <col min="2819" max="2819" width="14.375" style="168" customWidth="1"/>
    <col min="2820" max="2820" width="9" style="168"/>
    <col min="2821" max="2821" width="10.25" style="168" customWidth="1"/>
    <col min="2822" max="2822" width="16.875" style="168" customWidth="1"/>
    <col min="2823" max="2823" width="37.125" style="168" customWidth="1"/>
    <col min="2824" max="3072" width="9" style="168"/>
    <col min="3073" max="3073" width="16.875" style="168" customWidth="1"/>
    <col min="3074" max="3074" width="37.125" style="168" customWidth="1"/>
    <col min="3075" max="3075" width="14.375" style="168" customWidth="1"/>
    <col min="3076" max="3076" width="9" style="168"/>
    <col min="3077" max="3077" width="10.25" style="168" customWidth="1"/>
    <col min="3078" max="3078" width="16.875" style="168" customWidth="1"/>
    <col min="3079" max="3079" width="37.125" style="168" customWidth="1"/>
    <col min="3080" max="3328" width="9" style="168"/>
    <col min="3329" max="3329" width="16.875" style="168" customWidth="1"/>
    <col min="3330" max="3330" width="37.125" style="168" customWidth="1"/>
    <col min="3331" max="3331" width="14.375" style="168" customWidth="1"/>
    <col min="3332" max="3332" width="9" style="168"/>
    <col min="3333" max="3333" width="10.25" style="168" customWidth="1"/>
    <col min="3334" max="3334" width="16.875" style="168" customWidth="1"/>
    <col min="3335" max="3335" width="37.125" style="168" customWidth="1"/>
    <col min="3336" max="3584" width="9" style="168"/>
    <col min="3585" max="3585" width="16.875" style="168" customWidth="1"/>
    <col min="3586" max="3586" width="37.125" style="168" customWidth="1"/>
    <col min="3587" max="3587" width="14.375" style="168" customWidth="1"/>
    <col min="3588" max="3588" width="9" style="168"/>
    <col min="3589" max="3589" width="10.25" style="168" customWidth="1"/>
    <col min="3590" max="3590" width="16.875" style="168" customWidth="1"/>
    <col min="3591" max="3591" width="37.125" style="168" customWidth="1"/>
    <col min="3592" max="3840" width="9" style="168"/>
    <col min="3841" max="3841" width="16.875" style="168" customWidth="1"/>
    <col min="3842" max="3842" width="37.125" style="168" customWidth="1"/>
    <col min="3843" max="3843" width="14.375" style="168" customWidth="1"/>
    <col min="3844" max="3844" width="9" style="168"/>
    <col min="3845" max="3845" width="10.25" style="168" customWidth="1"/>
    <col min="3846" max="3846" width="16.875" style="168" customWidth="1"/>
    <col min="3847" max="3847" width="37.125" style="168" customWidth="1"/>
    <col min="3848" max="4096" width="9" style="168"/>
    <col min="4097" max="4097" width="16.875" style="168" customWidth="1"/>
    <col min="4098" max="4098" width="37.125" style="168" customWidth="1"/>
    <col min="4099" max="4099" width="14.375" style="168" customWidth="1"/>
    <col min="4100" max="4100" width="9" style="168"/>
    <col min="4101" max="4101" width="10.25" style="168" customWidth="1"/>
    <col min="4102" max="4102" width="16.875" style="168" customWidth="1"/>
    <col min="4103" max="4103" width="37.125" style="168" customWidth="1"/>
    <col min="4104" max="4352" width="9" style="168"/>
    <col min="4353" max="4353" width="16.875" style="168" customWidth="1"/>
    <col min="4354" max="4354" width="37.125" style="168" customWidth="1"/>
    <col min="4355" max="4355" width="14.375" style="168" customWidth="1"/>
    <col min="4356" max="4356" width="9" style="168"/>
    <col min="4357" max="4357" width="10.25" style="168" customWidth="1"/>
    <col min="4358" max="4358" width="16.875" style="168" customWidth="1"/>
    <col min="4359" max="4359" width="37.125" style="168" customWidth="1"/>
    <col min="4360" max="4608" width="9" style="168"/>
    <col min="4609" max="4609" width="16.875" style="168" customWidth="1"/>
    <col min="4610" max="4610" width="37.125" style="168" customWidth="1"/>
    <col min="4611" max="4611" width="14.375" style="168" customWidth="1"/>
    <col min="4612" max="4612" width="9" style="168"/>
    <col min="4613" max="4613" width="10.25" style="168" customWidth="1"/>
    <col min="4614" max="4614" width="16.875" style="168" customWidth="1"/>
    <col min="4615" max="4615" width="37.125" style="168" customWidth="1"/>
    <col min="4616" max="4864" width="9" style="168"/>
    <col min="4865" max="4865" width="16.875" style="168" customWidth="1"/>
    <col min="4866" max="4866" width="37.125" style="168" customWidth="1"/>
    <col min="4867" max="4867" width="14.375" style="168" customWidth="1"/>
    <col min="4868" max="4868" width="9" style="168"/>
    <col min="4869" max="4869" width="10.25" style="168" customWidth="1"/>
    <col min="4870" max="4870" width="16.875" style="168" customWidth="1"/>
    <col min="4871" max="4871" width="37.125" style="168" customWidth="1"/>
    <col min="4872" max="5120" width="9" style="168"/>
    <col min="5121" max="5121" width="16.875" style="168" customWidth="1"/>
    <col min="5122" max="5122" width="37.125" style="168" customWidth="1"/>
    <col min="5123" max="5123" width="14.375" style="168" customWidth="1"/>
    <col min="5124" max="5124" width="9" style="168"/>
    <col min="5125" max="5125" width="10.25" style="168" customWidth="1"/>
    <col min="5126" max="5126" width="16.875" style="168" customWidth="1"/>
    <col min="5127" max="5127" width="37.125" style="168" customWidth="1"/>
    <col min="5128" max="5376" width="9" style="168"/>
    <col min="5377" max="5377" width="16.875" style="168" customWidth="1"/>
    <col min="5378" max="5378" width="37.125" style="168" customWidth="1"/>
    <col min="5379" max="5379" width="14.375" style="168" customWidth="1"/>
    <col min="5380" max="5380" width="9" style="168"/>
    <col min="5381" max="5381" width="10.25" style="168" customWidth="1"/>
    <col min="5382" max="5382" width="16.875" style="168" customWidth="1"/>
    <col min="5383" max="5383" width="37.125" style="168" customWidth="1"/>
    <col min="5384" max="5632" width="9" style="168"/>
    <col min="5633" max="5633" width="16.875" style="168" customWidth="1"/>
    <col min="5634" max="5634" width="37.125" style="168" customWidth="1"/>
    <col min="5635" max="5635" width="14.375" style="168" customWidth="1"/>
    <col min="5636" max="5636" width="9" style="168"/>
    <col min="5637" max="5637" width="10.25" style="168" customWidth="1"/>
    <col min="5638" max="5638" width="16.875" style="168" customWidth="1"/>
    <col min="5639" max="5639" width="37.125" style="168" customWidth="1"/>
    <col min="5640" max="5888" width="9" style="168"/>
    <col min="5889" max="5889" width="16.875" style="168" customWidth="1"/>
    <col min="5890" max="5890" width="37.125" style="168" customWidth="1"/>
    <col min="5891" max="5891" width="14.375" style="168" customWidth="1"/>
    <col min="5892" max="5892" width="9" style="168"/>
    <col min="5893" max="5893" width="10.25" style="168" customWidth="1"/>
    <col min="5894" max="5894" width="16.875" style="168" customWidth="1"/>
    <col min="5895" max="5895" width="37.125" style="168" customWidth="1"/>
    <col min="5896" max="6144" width="9" style="168"/>
    <col min="6145" max="6145" width="16.875" style="168" customWidth="1"/>
    <col min="6146" max="6146" width="37.125" style="168" customWidth="1"/>
    <col min="6147" max="6147" width="14.375" style="168" customWidth="1"/>
    <col min="6148" max="6148" width="9" style="168"/>
    <col min="6149" max="6149" width="10.25" style="168" customWidth="1"/>
    <col min="6150" max="6150" width="16.875" style="168" customWidth="1"/>
    <col min="6151" max="6151" width="37.125" style="168" customWidth="1"/>
    <col min="6152" max="6400" width="9" style="168"/>
    <col min="6401" max="6401" width="16.875" style="168" customWidth="1"/>
    <col min="6402" max="6402" width="37.125" style="168" customWidth="1"/>
    <col min="6403" max="6403" width="14.375" style="168" customWidth="1"/>
    <col min="6404" max="6404" width="9" style="168"/>
    <col min="6405" max="6405" width="10.25" style="168" customWidth="1"/>
    <col min="6406" max="6406" width="16.875" style="168" customWidth="1"/>
    <col min="6407" max="6407" width="37.125" style="168" customWidth="1"/>
    <col min="6408" max="6656" width="9" style="168"/>
    <col min="6657" max="6657" width="16.875" style="168" customWidth="1"/>
    <col min="6658" max="6658" width="37.125" style="168" customWidth="1"/>
    <col min="6659" max="6659" width="14.375" style="168" customWidth="1"/>
    <col min="6660" max="6660" width="9" style="168"/>
    <col min="6661" max="6661" width="10.25" style="168" customWidth="1"/>
    <col min="6662" max="6662" width="16.875" style="168" customWidth="1"/>
    <col min="6663" max="6663" width="37.125" style="168" customWidth="1"/>
    <col min="6664" max="6912" width="9" style="168"/>
    <col min="6913" max="6913" width="16.875" style="168" customWidth="1"/>
    <col min="6914" max="6914" width="37.125" style="168" customWidth="1"/>
    <col min="6915" max="6915" width="14.375" style="168" customWidth="1"/>
    <col min="6916" max="6916" width="9" style="168"/>
    <col min="6917" max="6917" width="10.25" style="168" customWidth="1"/>
    <col min="6918" max="6918" width="16.875" style="168" customWidth="1"/>
    <col min="6919" max="6919" width="37.125" style="168" customWidth="1"/>
    <col min="6920" max="7168" width="9" style="168"/>
    <col min="7169" max="7169" width="16.875" style="168" customWidth="1"/>
    <col min="7170" max="7170" width="37.125" style="168" customWidth="1"/>
    <col min="7171" max="7171" width="14.375" style="168" customWidth="1"/>
    <col min="7172" max="7172" width="9" style="168"/>
    <col min="7173" max="7173" width="10.25" style="168" customWidth="1"/>
    <col min="7174" max="7174" width="16.875" style="168" customWidth="1"/>
    <col min="7175" max="7175" width="37.125" style="168" customWidth="1"/>
    <col min="7176" max="7424" width="9" style="168"/>
    <col min="7425" max="7425" width="16.875" style="168" customWidth="1"/>
    <col min="7426" max="7426" width="37.125" style="168" customWidth="1"/>
    <col min="7427" max="7427" width="14.375" style="168" customWidth="1"/>
    <col min="7428" max="7428" width="9" style="168"/>
    <col min="7429" max="7429" width="10.25" style="168" customWidth="1"/>
    <col min="7430" max="7430" width="16.875" style="168" customWidth="1"/>
    <col min="7431" max="7431" width="37.125" style="168" customWidth="1"/>
    <col min="7432" max="7680" width="9" style="168"/>
    <col min="7681" max="7681" width="16.875" style="168" customWidth="1"/>
    <col min="7682" max="7682" width="37.125" style="168" customWidth="1"/>
    <col min="7683" max="7683" width="14.375" style="168" customWidth="1"/>
    <col min="7684" max="7684" width="9" style="168"/>
    <col min="7685" max="7685" width="10.25" style="168" customWidth="1"/>
    <col min="7686" max="7686" width="16.875" style="168" customWidth="1"/>
    <col min="7687" max="7687" width="37.125" style="168" customWidth="1"/>
    <col min="7688" max="7936" width="9" style="168"/>
    <col min="7937" max="7937" width="16.875" style="168" customWidth="1"/>
    <col min="7938" max="7938" width="37.125" style="168" customWidth="1"/>
    <col min="7939" max="7939" width="14.375" style="168" customWidth="1"/>
    <col min="7940" max="7940" width="9" style="168"/>
    <col min="7941" max="7941" width="10.25" style="168" customWidth="1"/>
    <col min="7942" max="7942" width="16.875" style="168" customWidth="1"/>
    <col min="7943" max="7943" width="37.125" style="168" customWidth="1"/>
    <col min="7944" max="8192" width="9" style="168"/>
    <col min="8193" max="8193" width="16.875" style="168" customWidth="1"/>
    <col min="8194" max="8194" width="37.125" style="168" customWidth="1"/>
    <col min="8195" max="8195" width="14.375" style="168" customWidth="1"/>
    <col min="8196" max="8196" width="9" style="168"/>
    <col min="8197" max="8197" width="10.25" style="168" customWidth="1"/>
    <col min="8198" max="8198" width="16.875" style="168" customWidth="1"/>
    <col min="8199" max="8199" width="37.125" style="168" customWidth="1"/>
    <col min="8200" max="8448" width="9" style="168"/>
    <col min="8449" max="8449" width="16.875" style="168" customWidth="1"/>
    <col min="8450" max="8450" width="37.125" style="168" customWidth="1"/>
    <col min="8451" max="8451" width="14.375" style="168" customWidth="1"/>
    <col min="8452" max="8452" width="9" style="168"/>
    <col min="8453" max="8453" width="10.25" style="168" customWidth="1"/>
    <col min="8454" max="8454" width="16.875" style="168" customWidth="1"/>
    <col min="8455" max="8455" width="37.125" style="168" customWidth="1"/>
    <col min="8456" max="8704" width="9" style="168"/>
    <col min="8705" max="8705" width="16.875" style="168" customWidth="1"/>
    <col min="8706" max="8706" width="37.125" style="168" customWidth="1"/>
    <col min="8707" max="8707" width="14.375" style="168" customWidth="1"/>
    <col min="8708" max="8708" width="9" style="168"/>
    <col min="8709" max="8709" width="10.25" style="168" customWidth="1"/>
    <col min="8710" max="8710" width="16.875" style="168" customWidth="1"/>
    <col min="8711" max="8711" width="37.125" style="168" customWidth="1"/>
    <col min="8712" max="8960" width="9" style="168"/>
    <col min="8961" max="8961" width="16.875" style="168" customWidth="1"/>
    <col min="8962" max="8962" width="37.125" style="168" customWidth="1"/>
    <col min="8963" max="8963" width="14.375" style="168" customWidth="1"/>
    <col min="8964" max="8964" width="9" style="168"/>
    <col min="8965" max="8965" width="10.25" style="168" customWidth="1"/>
    <col min="8966" max="8966" width="16.875" style="168" customWidth="1"/>
    <col min="8967" max="8967" width="37.125" style="168" customWidth="1"/>
    <col min="8968" max="9216" width="9" style="168"/>
    <col min="9217" max="9217" width="16.875" style="168" customWidth="1"/>
    <col min="9218" max="9218" width="37.125" style="168" customWidth="1"/>
    <col min="9219" max="9219" width="14.375" style="168" customWidth="1"/>
    <col min="9220" max="9220" width="9" style="168"/>
    <col min="9221" max="9221" width="10.25" style="168" customWidth="1"/>
    <col min="9222" max="9222" width="16.875" style="168" customWidth="1"/>
    <col min="9223" max="9223" width="37.125" style="168" customWidth="1"/>
    <col min="9224" max="9472" width="9" style="168"/>
    <col min="9473" max="9473" width="16.875" style="168" customWidth="1"/>
    <col min="9474" max="9474" width="37.125" style="168" customWidth="1"/>
    <col min="9475" max="9475" width="14.375" style="168" customWidth="1"/>
    <col min="9476" max="9476" width="9" style="168"/>
    <col min="9477" max="9477" width="10.25" style="168" customWidth="1"/>
    <col min="9478" max="9478" width="16.875" style="168" customWidth="1"/>
    <col min="9479" max="9479" width="37.125" style="168" customWidth="1"/>
    <col min="9480" max="9728" width="9" style="168"/>
    <col min="9729" max="9729" width="16.875" style="168" customWidth="1"/>
    <col min="9730" max="9730" width="37.125" style="168" customWidth="1"/>
    <col min="9731" max="9731" width="14.375" style="168" customWidth="1"/>
    <col min="9732" max="9732" width="9" style="168"/>
    <col min="9733" max="9733" width="10.25" style="168" customWidth="1"/>
    <col min="9734" max="9734" width="16.875" style="168" customWidth="1"/>
    <col min="9735" max="9735" width="37.125" style="168" customWidth="1"/>
    <col min="9736" max="9984" width="9" style="168"/>
    <col min="9985" max="9985" width="16.875" style="168" customWidth="1"/>
    <col min="9986" max="9986" width="37.125" style="168" customWidth="1"/>
    <col min="9987" max="9987" width="14.375" style="168" customWidth="1"/>
    <col min="9988" max="9988" width="9" style="168"/>
    <col min="9989" max="9989" width="10.25" style="168" customWidth="1"/>
    <col min="9990" max="9990" width="16.875" style="168" customWidth="1"/>
    <col min="9991" max="9991" width="37.125" style="168" customWidth="1"/>
    <col min="9992" max="10240" width="9" style="168"/>
    <col min="10241" max="10241" width="16.875" style="168" customWidth="1"/>
    <col min="10242" max="10242" width="37.125" style="168" customWidth="1"/>
    <col min="10243" max="10243" width="14.375" style="168" customWidth="1"/>
    <col min="10244" max="10244" width="9" style="168"/>
    <col min="10245" max="10245" width="10.25" style="168" customWidth="1"/>
    <col min="10246" max="10246" width="16.875" style="168" customWidth="1"/>
    <col min="10247" max="10247" width="37.125" style="168" customWidth="1"/>
    <col min="10248" max="10496" width="9" style="168"/>
    <col min="10497" max="10497" width="16.875" style="168" customWidth="1"/>
    <col min="10498" max="10498" width="37.125" style="168" customWidth="1"/>
    <col min="10499" max="10499" width="14.375" style="168" customWidth="1"/>
    <col min="10500" max="10500" width="9" style="168"/>
    <col min="10501" max="10501" width="10.25" style="168" customWidth="1"/>
    <col min="10502" max="10502" width="16.875" style="168" customWidth="1"/>
    <col min="10503" max="10503" width="37.125" style="168" customWidth="1"/>
    <col min="10504" max="10752" width="9" style="168"/>
    <col min="10753" max="10753" width="16.875" style="168" customWidth="1"/>
    <col min="10754" max="10754" width="37.125" style="168" customWidth="1"/>
    <col min="10755" max="10755" width="14.375" style="168" customWidth="1"/>
    <col min="10756" max="10756" width="9" style="168"/>
    <col min="10757" max="10757" width="10.25" style="168" customWidth="1"/>
    <col min="10758" max="10758" width="16.875" style="168" customWidth="1"/>
    <col min="10759" max="10759" width="37.125" style="168" customWidth="1"/>
    <col min="10760" max="11008" width="9" style="168"/>
    <col min="11009" max="11009" width="16.875" style="168" customWidth="1"/>
    <col min="11010" max="11010" width="37.125" style="168" customWidth="1"/>
    <col min="11011" max="11011" width="14.375" style="168" customWidth="1"/>
    <col min="11012" max="11012" width="9" style="168"/>
    <col min="11013" max="11013" width="10.25" style="168" customWidth="1"/>
    <col min="11014" max="11014" width="16.875" style="168" customWidth="1"/>
    <col min="11015" max="11015" width="37.125" style="168" customWidth="1"/>
    <col min="11016" max="11264" width="9" style="168"/>
    <col min="11265" max="11265" width="16.875" style="168" customWidth="1"/>
    <col min="11266" max="11266" width="37.125" style="168" customWidth="1"/>
    <col min="11267" max="11267" width="14.375" style="168" customWidth="1"/>
    <col min="11268" max="11268" width="9" style="168"/>
    <col min="11269" max="11269" width="10.25" style="168" customWidth="1"/>
    <col min="11270" max="11270" width="16.875" style="168" customWidth="1"/>
    <col min="11271" max="11271" width="37.125" style="168" customWidth="1"/>
    <col min="11272" max="11520" width="9" style="168"/>
    <col min="11521" max="11521" width="16.875" style="168" customWidth="1"/>
    <col min="11522" max="11522" width="37.125" style="168" customWidth="1"/>
    <col min="11523" max="11523" width="14.375" style="168" customWidth="1"/>
    <col min="11524" max="11524" width="9" style="168"/>
    <col min="11525" max="11525" width="10.25" style="168" customWidth="1"/>
    <col min="11526" max="11526" width="16.875" style="168" customWidth="1"/>
    <col min="11527" max="11527" width="37.125" style="168" customWidth="1"/>
    <col min="11528" max="11776" width="9" style="168"/>
    <col min="11777" max="11777" width="16.875" style="168" customWidth="1"/>
    <col min="11778" max="11778" width="37.125" style="168" customWidth="1"/>
    <col min="11779" max="11779" width="14.375" style="168" customWidth="1"/>
    <col min="11780" max="11780" width="9" style="168"/>
    <col min="11781" max="11781" width="10.25" style="168" customWidth="1"/>
    <col min="11782" max="11782" width="16.875" style="168" customWidth="1"/>
    <col min="11783" max="11783" width="37.125" style="168" customWidth="1"/>
    <col min="11784" max="12032" width="9" style="168"/>
    <col min="12033" max="12033" width="16.875" style="168" customWidth="1"/>
    <col min="12034" max="12034" width="37.125" style="168" customWidth="1"/>
    <col min="12035" max="12035" width="14.375" style="168" customWidth="1"/>
    <col min="12036" max="12036" width="9" style="168"/>
    <col min="12037" max="12037" width="10.25" style="168" customWidth="1"/>
    <col min="12038" max="12038" width="16.875" style="168" customWidth="1"/>
    <col min="12039" max="12039" width="37.125" style="168" customWidth="1"/>
    <col min="12040" max="12288" width="9" style="168"/>
    <col min="12289" max="12289" width="16.875" style="168" customWidth="1"/>
    <col min="12290" max="12290" width="37.125" style="168" customWidth="1"/>
    <col min="12291" max="12291" width="14.375" style="168" customWidth="1"/>
    <col min="12292" max="12292" width="9" style="168"/>
    <col min="12293" max="12293" width="10.25" style="168" customWidth="1"/>
    <col min="12294" max="12294" width="16.875" style="168" customWidth="1"/>
    <col min="12295" max="12295" width="37.125" style="168" customWidth="1"/>
    <col min="12296" max="12544" width="9" style="168"/>
    <col min="12545" max="12545" width="16.875" style="168" customWidth="1"/>
    <col min="12546" max="12546" width="37.125" style="168" customWidth="1"/>
    <col min="12547" max="12547" width="14.375" style="168" customWidth="1"/>
    <col min="12548" max="12548" width="9" style="168"/>
    <col min="12549" max="12549" width="10.25" style="168" customWidth="1"/>
    <col min="12550" max="12550" width="16.875" style="168" customWidth="1"/>
    <col min="12551" max="12551" width="37.125" style="168" customWidth="1"/>
    <col min="12552" max="12800" width="9" style="168"/>
    <col min="12801" max="12801" width="16.875" style="168" customWidth="1"/>
    <col min="12802" max="12802" width="37.125" style="168" customWidth="1"/>
    <col min="12803" max="12803" width="14.375" style="168" customWidth="1"/>
    <col min="12804" max="12804" width="9" style="168"/>
    <col min="12805" max="12805" width="10.25" style="168" customWidth="1"/>
    <col min="12806" max="12806" width="16.875" style="168" customWidth="1"/>
    <col min="12807" max="12807" width="37.125" style="168" customWidth="1"/>
    <col min="12808" max="13056" width="9" style="168"/>
    <col min="13057" max="13057" width="16.875" style="168" customWidth="1"/>
    <col min="13058" max="13058" width="37.125" style="168" customWidth="1"/>
    <col min="13059" max="13059" width="14.375" style="168" customWidth="1"/>
    <col min="13060" max="13060" width="9" style="168"/>
    <col min="13061" max="13061" width="10.25" style="168" customWidth="1"/>
    <col min="13062" max="13062" width="16.875" style="168" customWidth="1"/>
    <col min="13063" max="13063" width="37.125" style="168" customWidth="1"/>
    <col min="13064" max="13312" width="9" style="168"/>
    <col min="13313" max="13313" width="16.875" style="168" customWidth="1"/>
    <col min="13314" max="13314" width="37.125" style="168" customWidth="1"/>
    <col min="13315" max="13315" width="14.375" style="168" customWidth="1"/>
    <col min="13316" max="13316" width="9" style="168"/>
    <col min="13317" max="13317" width="10.25" style="168" customWidth="1"/>
    <col min="13318" max="13318" width="16.875" style="168" customWidth="1"/>
    <col min="13319" max="13319" width="37.125" style="168" customWidth="1"/>
    <col min="13320" max="13568" width="9" style="168"/>
    <col min="13569" max="13569" width="16.875" style="168" customWidth="1"/>
    <col min="13570" max="13570" width="37.125" style="168" customWidth="1"/>
    <col min="13571" max="13571" width="14.375" style="168" customWidth="1"/>
    <col min="13572" max="13572" width="9" style="168"/>
    <col min="13573" max="13573" width="10.25" style="168" customWidth="1"/>
    <col min="13574" max="13574" width="16.875" style="168" customWidth="1"/>
    <col min="13575" max="13575" width="37.125" style="168" customWidth="1"/>
    <col min="13576" max="13824" width="9" style="168"/>
    <col min="13825" max="13825" width="16.875" style="168" customWidth="1"/>
    <col min="13826" max="13826" width="37.125" style="168" customWidth="1"/>
    <col min="13827" max="13827" width="14.375" style="168" customWidth="1"/>
    <col min="13828" max="13828" width="9" style="168"/>
    <col min="13829" max="13829" width="10.25" style="168" customWidth="1"/>
    <col min="13830" max="13830" width="16.875" style="168" customWidth="1"/>
    <col min="13831" max="13831" width="37.125" style="168" customWidth="1"/>
    <col min="13832" max="14080" width="9" style="168"/>
    <col min="14081" max="14081" width="16.875" style="168" customWidth="1"/>
    <col min="14082" max="14082" width="37.125" style="168" customWidth="1"/>
    <col min="14083" max="14083" width="14.375" style="168" customWidth="1"/>
    <col min="14084" max="14084" width="9" style="168"/>
    <col min="14085" max="14085" width="10.25" style="168" customWidth="1"/>
    <col min="14086" max="14086" width="16.875" style="168" customWidth="1"/>
    <col min="14087" max="14087" width="37.125" style="168" customWidth="1"/>
    <col min="14088" max="14336" width="9" style="168"/>
    <col min="14337" max="14337" width="16.875" style="168" customWidth="1"/>
    <col min="14338" max="14338" width="37.125" style="168" customWidth="1"/>
    <col min="14339" max="14339" width="14.375" style="168" customWidth="1"/>
    <col min="14340" max="14340" width="9" style="168"/>
    <col min="14341" max="14341" width="10.25" style="168" customWidth="1"/>
    <col min="14342" max="14342" width="16.875" style="168" customWidth="1"/>
    <col min="14343" max="14343" width="37.125" style="168" customWidth="1"/>
    <col min="14344" max="14592" width="9" style="168"/>
    <col min="14593" max="14593" width="16.875" style="168" customWidth="1"/>
    <col min="14594" max="14594" width="37.125" style="168" customWidth="1"/>
    <col min="14595" max="14595" width="14.375" style="168" customWidth="1"/>
    <col min="14596" max="14596" width="9" style="168"/>
    <col min="14597" max="14597" width="10.25" style="168" customWidth="1"/>
    <col min="14598" max="14598" width="16.875" style="168" customWidth="1"/>
    <col min="14599" max="14599" width="37.125" style="168" customWidth="1"/>
    <col min="14600" max="14848" width="9" style="168"/>
    <col min="14849" max="14849" width="16.875" style="168" customWidth="1"/>
    <col min="14850" max="14850" width="37.125" style="168" customWidth="1"/>
    <col min="14851" max="14851" width="14.375" style="168" customWidth="1"/>
    <col min="14852" max="14852" width="9" style="168"/>
    <col min="14853" max="14853" width="10.25" style="168" customWidth="1"/>
    <col min="14854" max="14854" width="16.875" style="168" customWidth="1"/>
    <col min="14855" max="14855" width="37.125" style="168" customWidth="1"/>
    <col min="14856" max="15104" width="9" style="168"/>
    <col min="15105" max="15105" width="16.875" style="168" customWidth="1"/>
    <col min="15106" max="15106" width="37.125" style="168" customWidth="1"/>
    <col min="15107" max="15107" width="14.375" style="168" customWidth="1"/>
    <col min="15108" max="15108" width="9" style="168"/>
    <col min="15109" max="15109" width="10.25" style="168" customWidth="1"/>
    <col min="15110" max="15110" width="16.875" style="168" customWidth="1"/>
    <col min="15111" max="15111" width="37.125" style="168" customWidth="1"/>
    <col min="15112" max="15360" width="9" style="168"/>
    <col min="15361" max="15361" width="16.875" style="168" customWidth="1"/>
    <col min="15362" max="15362" width="37.125" style="168" customWidth="1"/>
    <col min="15363" max="15363" width="14.375" style="168" customWidth="1"/>
    <col min="15364" max="15364" width="9" style="168"/>
    <col min="15365" max="15365" width="10.25" style="168" customWidth="1"/>
    <col min="15366" max="15366" width="16.875" style="168" customWidth="1"/>
    <col min="15367" max="15367" width="37.125" style="168" customWidth="1"/>
    <col min="15368" max="15616" width="9" style="168"/>
    <col min="15617" max="15617" width="16.875" style="168" customWidth="1"/>
    <col min="15618" max="15618" width="37.125" style="168" customWidth="1"/>
    <col min="15619" max="15619" width="14.375" style="168" customWidth="1"/>
    <col min="15620" max="15620" width="9" style="168"/>
    <col min="15621" max="15621" width="10.25" style="168" customWidth="1"/>
    <col min="15622" max="15622" width="16.875" style="168" customWidth="1"/>
    <col min="15623" max="15623" width="37.125" style="168" customWidth="1"/>
    <col min="15624" max="15872" width="9" style="168"/>
    <col min="15873" max="15873" width="16.875" style="168" customWidth="1"/>
    <col min="15874" max="15874" width="37.125" style="168" customWidth="1"/>
    <col min="15875" max="15875" width="14.375" style="168" customWidth="1"/>
    <col min="15876" max="15876" width="9" style="168"/>
    <col min="15877" max="15877" width="10.25" style="168" customWidth="1"/>
    <col min="15878" max="15878" width="16.875" style="168" customWidth="1"/>
    <col min="15879" max="15879" width="37.125" style="168" customWidth="1"/>
    <col min="15880" max="16128" width="9" style="168"/>
    <col min="16129" max="16129" width="16.875" style="168" customWidth="1"/>
    <col min="16130" max="16130" width="37.125" style="168" customWidth="1"/>
    <col min="16131" max="16131" width="14.375" style="168" customWidth="1"/>
    <col min="16132" max="16132" width="9" style="168"/>
    <col min="16133" max="16133" width="10.25" style="168" customWidth="1"/>
    <col min="16134" max="16134" width="16.875" style="168" customWidth="1"/>
    <col min="16135" max="16135" width="37.125" style="168" customWidth="1"/>
    <col min="16136" max="16384" width="9" style="168"/>
  </cols>
  <sheetData>
    <row r="1" spans="1:5">
      <c r="A1" s="168" t="s">
        <v>1206</v>
      </c>
      <c r="B1" s="168" t="s">
        <v>915</v>
      </c>
      <c r="C1" s="168" t="s">
        <v>1512</v>
      </c>
      <c r="D1" s="168" t="s">
        <v>914</v>
      </c>
      <c r="E1" s="155" t="s">
        <v>88</v>
      </c>
    </row>
    <row r="2" spans="1:5">
      <c r="A2" s="409" t="s">
        <v>1685</v>
      </c>
      <c r="B2" s="409" t="s">
        <v>1686</v>
      </c>
      <c r="C2" s="409">
        <v>40</v>
      </c>
      <c r="D2" s="409" t="s">
        <v>353</v>
      </c>
      <c r="E2" s="155"/>
    </row>
    <row r="3" spans="1:5">
      <c r="A3" s="1239" t="s">
        <v>1687</v>
      </c>
      <c r="B3" s="965" t="s">
        <v>1688</v>
      </c>
      <c r="C3" s="965">
        <v>6</v>
      </c>
      <c r="D3" s="965" t="s">
        <v>1689</v>
      </c>
      <c r="E3" s="155"/>
    </row>
    <row r="4" ht="18.6" spans="1:4">
      <c r="A4" s="1239" t="s">
        <v>1690</v>
      </c>
      <c r="B4" s="965" t="s">
        <v>1691</v>
      </c>
      <c r="C4" s="965">
        <v>0.45</v>
      </c>
      <c r="D4" s="965" t="s">
        <v>320</v>
      </c>
    </row>
    <row r="5" ht="18.6" spans="1:4">
      <c r="A5" s="1239" t="s">
        <v>1692</v>
      </c>
      <c r="B5" s="965" t="s">
        <v>1693</v>
      </c>
      <c r="C5" s="965">
        <v>0.02</v>
      </c>
      <c r="D5" s="965" t="s">
        <v>320</v>
      </c>
    </row>
    <row r="6" ht="18.6" spans="1:4">
      <c r="A6" s="1239" t="s">
        <v>1694</v>
      </c>
      <c r="B6" s="965" t="s">
        <v>1695</v>
      </c>
      <c r="C6" s="965">
        <v>0.02</v>
      </c>
      <c r="D6" s="965" t="s">
        <v>320</v>
      </c>
    </row>
    <row r="7" spans="1:4">
      <c r="A7" s="1239" t="s">
        <v>1696</v>
      </c>
      <c r="B7" s="965" t="s">
        <v>123</v>
      </c>
      <c r="C7" s="965">
        <v>7870</v>
      </c>
      <c r="D7" s="965" t="s">
        <v>1697</v>
      </c>
    </row>
    <row r="8" spans="1:4">
      <c r="A8" s="1240" t="s">
        <v>458</v>
      </c>
      <c r="B8" s="409" t="s">
        <v>1698</v>
      </c>
      <c r="C8" s="409">
        <v>1.5</v>
      </c>
      <c r="D8" s="409"/>
    </row>
    <row r="9" ht="31.2" spans="1:4">
      <c r="A9" s="1239" t="s">
        <v>1699</v>
      </c>
      <c r="B9" s="965" t="s">
        <v>1152</v>
      </c>
      <c r="C9" s="965">
        <v>0</v>
      </c>
      <c r="D9" s="965" t="s">
        <v>387</v>
      </c>
    </row>
    <row r="10" spans="1:4">
      <c r="A10" s="1241" t="s">
        <v>1700</v>
      </c>
      <c r="B10" s="1242" t="s">
        <v>1701</v>
      </c>
      <c r="C10" s="1242">
        <v>0.04</v>
      </c>
      <c r="D10" s="1242" t="s">
        <v>1689</v>
      </c>
    </row>
    <row r="11" ht="18.6" spans="1:4">
      <c r="A11" s="1241" t="s">
        <v>1702</v>
      </c>
      <c r="B11" s="1242" t="s">
        <v>1703</v>
      </c>
      <c r="C11" s="1242">
        <v>0.062</v>
      </c>
      <c r="D11" s="1242" t="s">
        <v>320</v>
      </c>
    </row>
    <row r="12" spans="1:4">
      <c r="A12" s="1240" t="s">
        <v>1704</v>
      </c>
      <c r="B12" s="409" t="s">
        <v>1029</v>
      </c>
      <c r="C12" s="409">
        <v>75</v>
      </c>
      <c r="D12" s="409" t="s">
        <v>1705</v>
      </c>
    </row>
    <row r="13" spans="1:4">
      <c r="A13" s="1239" t="s">
        <v>1706</v>
      </c>
      <c r="B13" s="965" t="s">
        <v>1707</v>
      </c>
      <c r="C13" s="965">
        <v>0.2</v>
      </c>
      <c r="D13" s="965" t="s">
        <v>320</v>
      </c>
    </row>
    <row r="14" ht="18.75" customHeight="1" spans="1:4">
      <c r="A14" s="1240" t="s">
        <v>1708</v>
      </c>
      <c r="B14" s="409" t="s">
        <v>1709</v>
      </c>
      <c r="C14" s="409">
        <v>0.5</v>
      </c>
      <c r="D14" s="409" t="s">
        <v>382</v>
      </c>
    </row>
    <row r="15" spans="1:4">
      <c r="A15" s="1239" t="s">
        <v>374</v>
      </c>
      <c r="B15" s="965" t="s">
        <v>1453</v>
      </c>
      <c r="C15" s="965">
        <v>0.2</v>
      </c>
      <c r="D15" s="965"/>
    </row>
    <row r="16" spans="1:4">
      <c r="A16" s="1239" t="s">
        <v>378</v>
      </c>
      <c r="B16" s="965" t="s">
        <v>101</v>
      </c>
      <c r="C16" s="965">
        <v>0.9</v>
      </c>
      <c r="D16" s="965"/>
    </row>
    <row r="17" spans="1:4">
      <c r="A17" s="168" t="s">
        <v>1710</v>
      </c>
      <c r="B17" s="965" t="s">
        <v>1711</v>
      </c>
      <c r="C17" s="965">
        <v>3.14159</v>
      </c>
      <c r="D17" s="965"/>
    </row>
    <row r="18" spans="1:8">
      <c r="A18" s="195" t="s">
        <v>1712</v>
      </c>
      <c r="B18" s="195"/>
      <c r="C18" s="195"/>
      <c r="F18" s="195" t="s">
        <v>1713</v>
      </c>
      <c r="G18" s="246"/>
      <c r="H18" s="246"/>
    </row>
    <row r="19" ht="14.25" customHeight="1" spans="1:7">
      <c r="A19" s="1239"/>
      <c r="B19" s="1239" t="s">
        <v>1714</v>
      </c>
      <c r="C19" s="168">
        <f>60/C12</f>
        <v>0.8</v>
      </c>
      <c r="D19" s="965" t="s">
        <v>382</v>
      </c>
      <c r="G19" s="168" t="s">
        <v>1715</v>
      </c>
    </row>
    <row r="20" ht="18.75" customHeight="1" spans="2:7">
      <c r="B20" s="168" t="s">
        <v>1716</v>
      </c>
      <c r="C20" s="1243">
        <v>0.1</v>
      </c>
      <c r="D20" s="1243" t="s">
        <v>382</v>
      </c>
      <c r="G20" s="168" t="s">
        <v>1717</v>
      </c>
    </row>
    <row r="21" ht="39.95" customHeight="1" spans="2:8">
      <c r="B21" s="1244" t="s">
        <v>1718</v>
      </c>
      <c r="C21" s="168">
        <f>C14-C20-(60*C13/C2)</f>
        <v>0.1</v>
      </c>
      <c r="D21" s="965" t="s">
        <v>382</v>
      </c>
      <c r="G21" s="289"/>
      <c r="H21" s="289"/>
    </row>
    <row r="22" ht="18.6" spans="2:7">
      <c r="B22" s="168" t="s">
        <v>1719</v>
      </c>
      <c r="C22" s="168">
        <f>C14-C20-C21*2</f>
        <v>0.2</v>
      </c>
      <c r="D22" s="965" t="s">
        <v>382</v>
      </c>
      <c r="G22" s="168" t="s">
        <v>1720</v>
      </c>
    </row>
    <row r="23" ht="18.6" spans="7:7">
      <c r="G23" s="168" t="s">
        <v>1721</v>
      </c>
    </row>
    <row r="24" ht="18.6" spans="1:8">
      <c r="A24" s="195" t="s">
        <v>1722</v>
      </c>
      <c r="B24" s="195"/>
      <c r="C24" s="195"/>
      <c r="E24" s="459" t="s">
        <v>1723</v>
      </c>
      <c r="F24" s="459">
        <v>3.33e-5</v>
      </c>
      <c r="G24" s="289" t="s">
        <v>1724</v>
      </c>
      <c r="H24" s="289"/>
    </row>
    <row r="25" ht="18.6" spans="2:7">
      <c r="B25" s="168" t="s">
        <v>1725</v>
      </c>
      <c r="C25" s="1245">
        <f>C2/C6</f>
        <v>2000</v>
      </c>
      <c r="D25" s="1245" t="s">
        <v>1123</v>
      </c>
      <c r="G25" s="168" t="s">
        <v>1726</v>
      </c>
    </row>
    <row r="26" ht="18.6" spans="2:4">
      <c r="B26" s="168" t="s">
        <v>1727</v>
      </c>
      <c r="C26" s="1245">
        <f>C25*C8</f>
        <v>3000</v>
      </c>
      <c r="D26" s="1245" t="s">
        <v>1123</v>
      </c>
    </row>
    <row r="28" spans="1:3">
      <c r="A28" s="195" t="s">
        <v>1728</v>
      </c>
      <c r="B28" s="195"/>
      <c r="C28" s="195"/>
    </row>
    <row r="29" ht="46.5" customHeight="1" spans="3:4">
      <c r="C29" s="1245">
        <f>(9.8*C15*C3+C9)*C6/(2*C17*C8*C16)</f>
        <v>0.0277283512842577</v>
      </c>
      <c r="D29" s="1245" t="s">
        <v>1729</v>
      </c>
    </row>
    <row r="31" spans="1:3">
      <c r="A31" s="195" t="s">
        <v>1730</v>
      </c>
      <c r="B31" s="195"/>
      <c r="C31" s="195"/>
    </row>
    <row r="32" ht="46.5" customHeight="1" spans="1:4">
      <c r="A32" s="168" t="s">
        <v>1731</v>
      </c>
      <c r="C32" s="965">
        <f>C3*(C6/(2*C17*C8))^2</f>
        <v>2.70190279485973e-5</v>
      </c>
      <c r="D32" s="965" t="s">
        <v>1732</v>
      </c>
    </row>
    <row r="33" ht="46.5" customHeight="1" spans="1:8">
      <c r="A33" s="168" t="s">
        <v>1733</v>
      </c>
      <c r="C33" s="965">
        <f>(C17/32)*C7*C4*C5^4</f>
        <v>5.5629704925e-5</v>
      </c>
      <c r="D33" s="965" t="s">
        <v>1732</v>
      </c>
      <c r="F33" s="195" t="s">
        <v>1734</v>
      </c>
      <c r="G33" s="246"/>
      <c r="H33" s="246"/>
    </row>
    <row r="34" ht="46.5" customHeight="1" spans="1:9">
      <c r="A34" s="168" t="s">
        <v>1735</v>
      </c>
      <c r="C34" s="965">
        <f>(C10/8)*C11^2</f>
        <v>1.922e-5</v>
      </c>
      <c r="D34" s="965" t="s">
        <v>1732</v>
      </c>
      <c r="F34" s="1244" t="s">
        <v>1736</v>
      </c>
      <c r="H34" s="1245">
        <f>(2*C17*C26*(F24+C36)/(60*C21))+C29</f>
        <v>0.452373090792622</v>
      </c>
      <c r="I34" s="1245" t="s">
        <v>1729</v>
      </c>
    </row>
    <row r="35" spans="2:2">
      <c r="B35" s="168" t="s">
        <v>1737</v>
      </c>
    </row>
    <row r="36" ht="46.5" customHeight="1" spans="1:9">
      <c r="A36" s="168" t="s">
        <v>106</v>
      </c>
      <c r="C36" s="1245">
        <f>C32+C33+C34</f>
        <v>0.000101868732873597</v>
      </c>
      <c r="D36" s="1245" t="s">
        <v>1732</v>
      </c>
      <c r="F36" s="1244" t="s">
        <v>1738</v>
      </c>
      <c r="H36" s="1245">
        <f>(2*C17*C26*(F24+C36)/(60*C21))-C29</f>
        <v>0.396916388224107</v>
      </c>
      <c r="I36" s="1245" t="s">
        <v>1729</v>
      </c>
    </row>
    <row r="38" spans="1:3">
      <c r="A38" s="195" t="s">
        <v>1739</v>
      </c>
      <c r="B38" s="195"/>
      <c r="C38" s="195"/>
    </row>
    <row r="39" ht="50.1" customHeight="1" spans="3:9">
      <c r="C39" s="1245">
        <f>(2*C17*C26*C29)/60</f>
        <v>8.71111111111111</v>
      </c>
      <c r="D39" s="1245" t="s">
        <v>194</v>
      </c>
      <c r="F39" s="168" t="s">
        <v>1740</v>
      </c>
      <c r="H39" s="1245">
        <f>((H34^2*C21+C29^2*C22+H36^2*C21)/C19)^(1/2)</f>
        <v>0.213225747578718</v>
      </c>
      <c r="I39" s="1245" t="s">
        <v>1729</v>
      </c>
    </row>
    <row r="41" spans="1:3">
      <c r="A41" s="195" t="s">
        <v>1741</v>
      </c>
      <c r="B41" s="246"/>
      <c r="C41" s="246"/>
    </row>
    <row r="42" ht="46.5" customHeight="1" spans="3:4">
      <c r="C42" s="1245">
        <f>(2*C17*C26/60)^2*(C36/C21)</f>
        <v>100.540239584635</v>
      </c>
      <c r="D42" s="1245" t="s">
        <v>194</v>
      </c>
    </row>
    <row r="43" spans="1:9">
      <c r="A43" s="1246"/>
      <c r="B43" s="1246"/>
      <c r="C43" s="1246"/>
      <c r="D43" s="1246"/>
      <c r="E43" s="1246"/>
      <c r="F43" s="1246"/>
      <c r="G43" s="1246"/>
      <c r="H43" s="1246"/>
      <c r="I43" s="1246"/>
    </row>
    <row r="44" spans="1:9">
      <c r="A44" s="1246"/>
      <c r="B44" s="1246"/>
      <c r="C44" s="1246"/>
      <c r="D44" s="1246"/>
      <c r="E44" s="1246"/>
      <c r="F44" s="1246"/>
      <c r="G44" s="1246"/>
      <c r="H44" s="1246"/>
      <c r="I44" s="1246"/>
    </row>
    <row r="45" spans="1:3">
      <c r="A45" s="195" t="s">
        <v>1742</v>
      </c>
      <c r="B45" s="195"/>
      <c r="C45" s="195"/>
    </row>
    <row r="46" ht="18.6" spans="2:2">
      <c r="B46" s="168" t="s">
        <v>1743</v>
      </c>
    </row>
    <row r="47" spans="2:4">
      <c r="B47" s="289" t="s">
        <v>1744</v>
      </c>
      <c r="C47" s="289"/>
      <c r="D47" s="289"/>
    </row>
    <row r="48" ht="41.25" customHeight="1" spans="2:4">
      <c r="B48" s="289"/>
      <c r="C48" s="289"/>
      <c r="D48" s="289"/>
    </row>
    <row r="49" ht="36.75" customHeight="1" spans="2:4">
      <c r="B49" s="1247" t="s">
        <v>1745</v>
      </c>
      <c r="C49" s="1248"/>
      <c r="D49" s="1248"/>
    </row>
    <row r="51" spans="1:3">
      <c r="A51" s="195" t="s">
        <v>1746</v>
      </c>
      <c r="B51" s="246"/>
      <c r="C51" s="246"/>
    </row>
    <row r="52" ht="39.75" customHeight="1" spans="2:4">
      <c r="B52" s="1249" t="s">
        <v>1747</v>
      </c>
      <c r="C52" s="246"/>
      <c r="D52" s="246"/>
    </row>
    <row r="53" ht="18.6" spans="2:2">
      <c r="B53" s="168" t="s">
        <v>1748</v>
      </c>
    </row>
    <row r="54" ht="36" customHeight="1" spans="2:4">
      <c r="B54" s="1250" t="s">
        <v>1749</v>
      </c>
      <c r="C54" s="1251"/>
      <c r="D54" s="1251"/>
    </row>
    <row r="55" spans="2:4">
      <c r="B55" s="1252" t="s">
        <v>1750</v>
      </c>
      <c r="C55" s="1252"/>
      <c r="D55" s="1252"/>
    </row>
  </sheetData>
  <mergeCells count="20">
    <mergeCell ref="A18:C18"/>
    <mergeCell ref="F18:H18"/>
    <mergeCell ref="G21:H21"/>
    <mergeCell ref="A24:C24"/>
    <mergeCell ref="G24:H24"/>
    <mergeCell ref="A28:C28"/>
    <mergeCell ref="A31:C31"/>
    <mergeCell ref="F33:H33"/>
    <mergeCell ref="A38:C38"/>
    <mergeCell ref="A41:C41"/>
    <mergeCell ref="A45:C45"/>
    <mergeCell ref="B47:D47"/>
    <mergeCell ref="B48:D48"/>
    <mergeCell ref="B49:D49"/>
    <mergeCell ref="A51:C51"/>
    <mergeCell ref="B52:D52"/>
    <mergeCell ref="B54:D54"/>
    <mergeCell ref="B55:D55"/>
    <mergeCell ref="E1:E3"/>
    <mergeCell ref="A43:I44"/>
  </mergeCells>
  <hyperlinks>
    <hyperlink ref="E1:E3" location="目录!A1" display="目录!A1"/>
  </hyperlinks>
  <pageMargins left="0.7" right="0.7" top="0.75" bottom="0.75" header="0.3" footer="0.3"/>
  <headerFooter/>
  <drawing r:id="rId1"/>
  <legacyDrawing r:id="rId2"/>
  <oleObjects>
    <mc:AlternateContent xmlns:mc="http://schemas.openxmlformats.org/markup-compatibility/2006">
      <mc:Choice Requires="x14">
        <oleObject shapeId="491521" progId="Equation.3" r:id="rId3">
          <objectPr defaultSize="0" r:id="rId4">
            <anchor moveWithCells="1">
              <from>
                <xdr:col>1</xdr:col>
                <xdr:colOff>114300</xdr:colOff>
                <xdr:row>28</xdr:row>
                <xdr:rowOff>57150</xdr:rowOff>
              </from>
              <to>
                <xdr:col>1</xdr:col>
                <xdr:colOff>2190750</xdr:colOff>
                <xdr:row>29</xdr:row>
                <xdr:rowOff>0</xdr:rowOff>
              </to>
            </anchor>
          </objectPr>
        </oleObject>
      </mc:Choice>
      <mc:Fallback>
        <oleObject shapeId="491521" progId="Equation.3" r:id="rId3"/>
      </mc:Fallback>
    </mc:AlternateContent>
    <mc:AlternateContent xmlns:mc="http://schemas.openxmlformats.org/markup-compatibility/2006">
      <mc:Choice Requires="x14">
        <oleObject shapeId="491522" progId="Equation.3" r:id="rId5">
          <objectPr defaultSize="0" r:id="rId6">
            <anchor moveWithCells="1">
              <from>
                <xdr:col>1</xdr:col>
                <xdr:colOff>257175</xdr:colOff>
                <xdr:row>31</xdr:row>
                <xdr:rowOff>19050</xdr:rowOff>
              </from>
              <to>
                <xdr:col>1</xdr:col>
                <xdr:colOff>2209800</xdr:colOff>
                <xdr:row>32</xdr:row>
                <xdr:rowOff>0</xdr:rowOff>
              </to>
            </anchor>
          </objectPr>
        </oleObject>
      </mc:Choice>
      <mc:Fallback>
        <oleObject shapeId="491522" progId="Equation.3" r:id="rId5"/>
      </mc:Fallback>
    </mc:AlternateContent>
    <mc:AlternateContent xmlns:mc="http://schemas.openxmlformats.org/markup-compatibility/2006">
      <mc:Choice Requires="x14">
        <oleObject shapeId="491523" progId="Equation.3" r:id="rId7">
          <objectPr defaultSize="0" r:id="rId8">
            <anchor moveWithCells="1">
              <from>
                <xdr:col>1</xdr:col>
                <xdr:colOff>228600</xdr:colOff>
                <xdr:row>32</xdr:row>
                <xdr:rowOff>47625</xdr:rowOff>
              </from>
              <to>
                <xdr:col>1</xdr:col>
                <xdr:colOff>2247900</xdr:colOff>
                <xdr:row>33</xdr:row>
                <xdr:rowOff>0</xdr:rowOff>
              </to>
            </anchor>
          </objectPr>
        </oleObject>
      </mc:Choice>
      <mc:Fallback>
        <oleObject shapeId="491523" progId="Equation.3" r:id="rId7"/>
      </mc:Fallback>
    </mc:AlternateContent>
    <mc:AlternateContent xmlns:mc="http://schemas.openxmlformats.org/markup-compatibility/2006">
      <mc:Choice Requires="x14">
        <oleObject shapeId="491524" progId="Equation.3" r:id="rId9">
          <objectPr defaultSize="0" r:id="rId10">
            <anchor moveWithCells="1">
              <from>
                <xdr:col>1</xdr:col>
                <xdr:colOff>371475</xdr:colOff>
                <xdr:row>33</xdr:row>
                <xdr:rowOff>28575</xdr:rowOff>
              </from>
              <to>
                <xdr:col>1</xdr:col>
                <xdr:colOff>2219325</xdr:colOff>
                <xdr:row>34</xdr:row>
                <xdr:rowOff>0</xdr:rowOff>
              </to>
            </anchor>
          </objectPr>
        </oleObject>
      </mc:Choice>
      <mc:Fallback>
        <oleObject shapeId="491524" progId="Equation.3" r:id="rId9"/>
      </mc:Fallback>
    </mc:AlternateContent>
    <mc:AlternateContent xmlns:mc="http://schemas.openxmlformats.org/markup-compatibility/2006">
      <mc:Choice Requires="x14">
        <oleObject shapeId="491525" progId="Equation.3" r:id="rId11">
          <objectPr defaultSize="0" r:id="rId12">
            <anchor moveWithCells="1">
              <from>
                <xdr:col>1</xdr:col>
                <xdr:colOff>190500</xdr:colOff>
                <xdr:row>35</xdr:row>
                <xdr:rowOff>28575</xdr:rowOff>
              </from>
              <to>
                <xdr:col>1</xdr:col>
                <xdr:colOff>2286000</xdr:colOff>
                <xdr:row>36</xdr:row>
                <xdr:rowOff>0</xdr:rowOff>
              </to>
            </anchor>
          </objectPr>
        </oleObject>
      </mc:Choice>
      <mc:Fallback>
        <oleObject shapeId="491525" progId="Equation.3" r:id="rId11"/>
      </mc:Fallback>
    </mc:AlternateContent>
    <mc:AlternateContent xmlns:mc="http://schemas.openxmlformats.org/markup-compatibility/2006">
      <mc:Choice Requires="x14">
        <oleObject shapeId="491526" progId="Equation.3" r:id="rId13">
          <objectPr defaultSize="0" r:id="rId14">
            <anchor moveWithCells="1">
              <from>
                <xdr:col>1</xdr:col>
                <xdr:colOff>352425</xdr:colOff>
                <xdr:row>38</xdr:row>
                <xdr:rowOff>28575</xdr:rowOff>
              </from>
              <to>
                <xdr:col>1</xdr:col>
                <xdr:colOff>2419350</xdr:colOff>
                <xdr:row>39</xdr:row>
                <xdr:rowOff>0</xdr:rowOff>
              </to>
            </anchor>
          </objectPr>
        </oleObject>
      </mc:Choice>
      <mc:Fallback>
        <oleObject shapeId="491526" progId="Equation.3" r:id="rId13"/>
      </mc:Fallback>
    </mc:AlternateContent>
    <mc:AlternateContent xmlns:mc="http://schemas.openxmlformats.org/markup-compatibility/2006">
      <mc:Choice Requires="x14">
        <oleObject shapeId="491527" progId="Equation.3" r:id="rId15">
          <objectPr defaultSize="0" r:id="rId16">
            <anchor moveWithCells="1">
              <from>
                <xdr:col>1</xdr:col>
                <xdr:colOff>266700</xdr:colOff>
                <xdr:row>41</xdr:row>
                <xdr:rowOff>38100</xdr:rowOff>
              </from>
              <to>
                <xdr:col>1</xdr:col>
                <xdr:colOff>2419350</xdr:colOff>
                <xdr:row>42</xdr:row>
                <xdr:rowOff>0</xdr:rowOff>
              </to>
            </anchor>
          </objectPr>
        </oleObject>
      </mc:Choice>
      <mc:Fallback>
        <oleObject shapeId="491527" progId="Equation.3" r:id="rId15"/>
      </mc:Fallback>
    </mc:AlternateContent>
    <mc:AlternateContent xmlns:mc="http://schemas.openxmlformats.org/markup-compatibility/2006">
      <mc:Choice Requires="x14">
        <oleObject shapeId="491528" progId="Equation.3" r:id="rId17">
          <objectPr defaultSize="0" r:id="rId18">
            <anchor moveWithCells="1">
              <from>
                <xdr:col>6</xdr:col>
                <xdr:colOff>57150</xdr:colOff>
                <xdr:row>20</xdr:row>
                <xdr:rowOff>28575</xdr:rowOff>
              </from>
              <to>
                <xdr:col>7</xdr:col>
                <xdr:colOff>19050</xdr:colOff>
                <xdr:row>21</xdr:row>
                <xdr:rowOff>0</xdr:rowOff>
              </to>
            </anchor>
          </objectPr>
        </oleObject>
      </mc:Choice>
      <mc:Fallback>
        <oleObject shapeId="491528" progId="Equation.3" r:id="rId17"/>
      </mc:Fallback>
    </mc:AlternateContent>
    <mc:AlternateContent xmlns:mc="http://schemas.openxmlformats.org/markup-compatibility/2006">
      <mc:Choice Requires="x14">
        <oleObject shapeId="491529" progId="Equation.3" r:id="rId19">
          <objectPr defaultSize="0" r:id="rId20">
            <anchor moveWithCells="1">
              <from>
                <xdr:col>6</xdr:col>
                <xdr:colOff>95250</xdr:colOff>
                <xdr:row>33</xdr:row>
                <xdr:rowOff>57150</xdr:rowOff>
              </from>
              <to>
                <xdr:col>6</xdr:col>
                <xdr:colOff>1981200</xdr:colOff>
                <xdr:row>34</xdr:row>
                <xdr:rowOff>0</xdr:rowOff>
              </to>
            </anchor>
          </objectPr>
        </oleObject>
      </mc:Choice>
      <mc:Fallback>
        <oleObject shapeId="491529" progId="Equation.3" r:id="rId19"/>
      </mc:Fallback>
    </mc:AlternateContent>
    <mc:AlternateContent xmlns:mc="http://schemas.openxmlformats.org/markup-compatibility/2006">
      <mc:Choice Requires="x14">
        <oleObject shapeId="491530" progId="Equation.3" r:id="rId21">
          <objectPr defaultSize="0" r:id="rId22">
            <anchor moveWithCells="1">
              <from>
                <xdr:col>6</xdr:col>
                <xdr:colOff>66675</xdr:colOff>
                <xdr:row>35</xdr:row>
                <xdr:rowOff>28575</xdr:rowOff>
              </from>
              <to>
                <xdr:col>6</xdr:col>
                <xdr:colOff>2095500</xdr:colOff>
                <xdr:row>36</xdr:row>
                <xdr:rowOff>0</xdr:rowOff>
              </to>
            </anchor>
          </objectPr>
        </oleObject>
      </mc:Choice>
      <mc:Fallback>
        <oleObject shapeId="491530" progId="Equation.3" r:id="rId21"/>
      </mc:Fallback>
    </mc:AlternateContent>
    <mc:AlternateContent xmlns:mc="http://schemas.openxmlformats.org/markup-compatibility/2006">
      <mc:Choice Requires="x14">
        <oleObject shapeId="491531" progId="Equation.3" r:id="rId23">
          <objectPr defaultSize="0" r:id="rId24">
            <anchor moveWithCells="1">
              <from>
                <xdr:col>6</xdr:col>
                <xdr:colOff>123825</xdr:colOff>
                <xdr:row>38</xdr:row>
                <xdr:rowOff>19050</xdr:rowOff>
              </from>
              <to>
                <xdr:col>6</xdr:col>
                <xdr:colOff>2371725</xdr:colOff>
                <xdr:row>39</xdr:row>
                <xdr:rowOff>0</xdr:rowOff>
              </to>
            </anchor>
          </objectPr>
        </oleObject>
      </mc:Choice>
      <mc:Fallback>
        <oleObject shapeId="491531" progId="Equation.3" r:id="rId23"/>
      </mc:Fallback>
    </mc:AlternateContent>
    <mc:AlternateContent xmlns:mc="http://schemas.openxmlformats.org/markup-compatibility/2006">
      <mc:Choice Requires="x14">
        <oleObject shapeId="491532" progId="Equation.3" r:id="rId25">
          <objectPr defaultSize="0" r:id="rId26">
            <anchor moveWithCells="1">
              <from>
                <xdr:col>1</xdr:col>
                <xdr:colOff>76200</xdr:colOff>
                <xdr:row>47</xdr:row>
                <xdr:rowOff>47625</xdr:rowOff>
              </from>
              <to>
                <xdr:col>3</xdr:col>
                <xdr:colOff>571500</xdr:colOff>
                <xdr:row>48</xdr:row>
                <xdr:rowOff>0</xdr:rowOff>
              </to>
            </anchor>
          </objectPr>
        </oleObject>
      </mc:Choice>
      <mc:Fallback>
        <oleObject shapeId="491532" progId="Equation.3" r:id="rId25"/>
      </mc:Fallback>
    </mc:AlternateContent>
  </oleObjects>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1"/>
  <sheetViews>
    <sheetView topLeftCell="A130" workbookViewId="0">
      <selection activeCell="E1" sqref="E1:E2"/>
    </sheetView>
  </sheetViews>
  <sheetFormatPr defaultColWidth="10.625" defaultRowHeight="15.6"/>
  <cols>
    <col min="1" max="1" width="33.875" style="1169" customWidth="1"/>
    <col min="2" max="2" width="10.625" style="1169" customWidth="1"/>
    <col min="3" max="3" width="9.75" style="1169" customWidth="1"/>
    <col min="4" max="4" width="10" style="633" customWidth="1"/>
    <col min="5" max="5" width="10.625" style="1169" customWidth="1"/>
    <col min="6" max="6" width="16.125" style="1170" hidden="1" customWidth="1"/>
    <col min="7" max="7" width="7" style="1170" hidden="1" customWidth="1"/>
    <col min="8" max="8" width="5" style="1170" hidden="1" customWidth="1"/>
    <col min="9" max="9" width="7" style="1170" hidden="1" customWidth="1"/>
    <col min="10" max="11" width="6.5" style="1170" hidden="1" customWidth="1"/>
    <col min="12" max="12" width="6.75" style="1169" customWidth="1"/>
    <col min="13" max="16384" width="10.625" style="1169"/>
  </cols>
  <sheetData>
    <row r="1" s="1168" customFormat="1" ht="22.8" spans="1:12">
      <c r="A1" s="1171" t="s">
        <v>1751</v>
      </c>
      <c r="B1" s="1172"/>
      <c r="C1" s="1172"/>
      <c r="D1" s="1172"/>
      <c r="E1" s="155" t="s">
        <v>88</v>
      </c>
      <c r="F1" s="1173" t="s">
        <v>1752</v>
      </c>
      <c r="G1" s="1174">
        <v>19.61</v>
      </c>
      <c r="H1" s="1174">
        <v>2</v>
      </c>
      <c r="I1" s="1174">
        <v>0.491</v>
      </c>
      <c r="J1" s="1218">
        <f t="shared" ref="J1:J7" si="0">$C$33/(G1/($F$26^H1-1)+I1)</f>
        <v>17.2825591068889</v>
      </c>
      <c r="K1" s="1218">
        <f t="shared" ref="K1:K7" si="1">IF($C$30=$F$17,1.2*J1,J1)</f>
        <v>20.7390709282666</v>
      </c>
      <c r="L1" s="1219"/>
    </row>
    <row r="2" spans="1:12">
      <c r="A2" s="1175"/>
      <c r="B2" s="1175"/>
      <c r="C2" s="1176"/>
      <c r="D2" s="1177"/>
      <c r="E2" s="155"/>
      <c r="F2" s="1178" t="s">
        <v>1753</v>
      </c>
      <c r="G2" s="1174">
        <v>0.0515</v>
      </c>
      <c r="H2" s="1174">
        <v>0.02</v>
      </c>
      <c r="I2" s="1174">
        <v>0.114</v>
      </c>
      <c r="J2" s="1218">
        <f t="shared" si="0"/>
        <v>15.0717112558253</v>
      </c>
      <c r="K2" s="1218">
        <f t="shared" si="1"/>
        <v>18.0860535069904</v>
      </c>
      <c r="L2" s="1219"/>
    </row>
    <row r="3" ht="20.4" spans="1:12">
      <c r="A3" s="1179" t="s">
        <v>1754</v>
      </c>
      <c r="B3" s="1180"/>
      <c r="C3" s="1180"/>
      <c r="D3" s="1180"/>
      <c r="F3" s="1178" t="s">
        <v>1755</v>
      </c>
      <c r="G3" s="1174">
        <v>80</v>
      </c>
      <c r="H3" s="1174">
        <v>2</v>
      </c>
      <c r="I3" s="1174">
        <v>0</v>
      </c>
      <c r="J3" s="1218">
        <f t="shared" si="0"/>
        <v>6.07857142857143</v>
      </c>
      <c r="K3" s="1218">
        <f t="shared" si="1"/>
        <v>7.29428571428571</v>
      </c>
      <c r="L3" s="1219"/>
    </row>
    <row r="4" spans="1:12">
      <c r="A4" s="1181"/>
      <c r="B4" s="1181"/>
      <c r="C4" s="1182"/>
      <c r="D4" s="1177"/>
      <c r="F4" s="1173" t="s">
        <v>1756</v>
      </c>
      <c r="G4" s="1174">
        <v>13.5</v>
      </c>
      <c r="H4" s="1174">
        <v>1</v>
      </c>
      <c r="I4" s="1174">
        <v>0</v>
      </c>
      <c r="J4" s="1218">
        <f t="shared" si="0"/>
        <v>6.81481481481481</v>
      </c>
      <c r="K4" s="1218">
        <f t="shared" si="1"/>
        <v>8.17777777777778</v>
      </c>
      <c r="L4" s="1219"/>
    </row>
    <row r="5" spans="1:12">
      <c r="A5" s="1181"/>
      <c r="B5" s="1181"/>
      <c r="C5" s="1182"/>
      <c r="F5" s="1178" t="s">
        <v>1757</v>
      </c>
      <c r="G5" s="1174">
        <v>0.14</v>
      </c>
      <c r="H5" s="1174">
        <v>0.02</v>
      </c>
      <c r="I5" s="1174">
        <v>0</v>
      </c>
      <c r="J5" s="1218">
        <f t="shared" si="0"/>
        <v>5.90669127529102</v>
      </c>
      <c r="K5" s="1218">
        <f t="shared" si="1"/>
        <v>7.08802953034922</v>
      </c>
      <c r="L5" s="1219"/>
    </row>
    <row r="6" spans="1:12">
      <c r="A6" s="1181"/>
      <c r="B6" s="1181"/>
      <c r="C6" s="1182"/>
      <c r="F6" s="1173" t="s">
        <v>1758</v>
      </c>
      <c r="G6" s="1174">
        <v>120</v>
      </c>
      <c r="H6" s="1174">
        <v>1</v>
      </c>
      <c r="I6" s="1174">
        <v>0</v>
      </c>
      <c r="J6" s="1218">
        <f t="shared" si="0"/>
        <v>0.766666666666667</v>
      </c>
      <c r="K6" s="1218">
        <f t="shared" si="1"/>
        <v>0.92</v>
      </c>
      <c r="L6" s="1219"/>
    </row>
    <row r="7" spans="1:12">
      <c r="A7" s="1183" t="s">
        <v>1759</v>
      </c>
      <c r="C7" s="1184"/>
      <c r="F7" s="1173" t="s">
        <v>1760</v>
      </c>
      <c r="G7" s="1225">
        <v>5.95</v>
      </c>
      <c r="H7" s="1225">
        <v>2</v>
      </c>
      <c r="I7" s="1225">
        <v>0.18</v>
      </c>
      <c r="J7" s="1218">
        <f t="shared" si="0"/>
        <v>53.5785757650709</v>
      </c>
      <c r="K7" s="1218">
        <f t="shared" si="1"/>
        <v>64.2942909180851</v>
      </c>
      <c r="L7" s="1220"/>
    </row>
    <row r="8" spans="1:5">
      <c r="A8" s="1183" t="s">
        <v>1761</v>
      </c>
      <c r="C8" s="1177"/>
      <c r="E8" s="1185"/>
    </row>
    <row r="9" spans="1:5">
      <c r="A9" s="1183" t="s">
        <v>1762</v>
      </c>
      <c r="C9" s="1177"/>
      <c r="D9" s="1177"/>
      <c r="E9" s="1185"/>
    </row>
    <row r="10" spans="1:4">
      <c r="A10" s="1176" t="s">
        <v>106</v>
      </c>
      <c r="D10" s="1177"/>
    </row>
    <row r="11" spans="1:4">
      <c r="A11" s="1176"/>
      <c r="D11" s="1177"/>
    </row>
    <row r="12" spans="1:4">
      <c r="A12" s="1176"/>
      <c r="B12" s="1177"/>
      <c r="C12" s="1177"/>
      <c r="D12" s="1177"/>
    </row>
    <row r="13" spans="1:5">
      <c r="A13" s="1183" t="s">
        <v>1763</v>
      </c>
      <c r="B13" s="1184"/>
      <c r="C13" s="1184"/>
      <c r="D13" s="1184"/>
      <c r="E13" s="1175"/>
    </row>
    <row r="14" spans="1:4">
      <c r="A14" s="1176"/>
      <c r="B14" s="1176"/>
      <c r="C14" s="1177"/>
      <c r="D14" s="1177"/>
    </row>
    <row r="15" spans="1:6">
      <c r="A15" s="1183" t="s">
        <v>1764</v>
      </c>
      <c r="B15" s="1188">
        <f ca="1">TODAY()</f>
        <v>44513</v>
      </c>
      <c r="C15" s="1188"/>
      <c r="D15" s="1188"/>
      <c r="F15" s="1226" t="s">
        <v>1765</v>
      </c>
    </row>
    <row r="16" ht="16.2" spans="1:6">
      <c r="A16" s="1227"/>
      <c r="B16" s="1176"/>
      <c r="D16" s="1177"/>
      <c r="F16" s="1226" t="s">
        <v>1766</v>
      </c>
    </row>
    <row r="17" spans="1:6">
      <c r="A17" s="1183" t="s">
        <v>1767</v>
      </c>
      <c r="B17" s="1189" t="s">
        <v>1768</v>
      </c>
      <c r="C17" s="1190"/>
      <c r="D17" s="1190"/>
      <c r="F17" s="1228" t="s">
        <v>1769</v>
      </c>
    </row>
    <row r="18" spans="1:6">
      <c r="A18" s="1191" t="s">
        <v>1770</v>
      </c>
      <c r="B18" s="1189" t="s">
        <v>1771</v>
      </c>
      <c r="C18" s="1190"/>
      <c r="D18" s="1190"/>
      <c r="F18" s="1229" t="s">
        <v>1772</v>
      </c>
    </row>
    <row r="19" spans="1:4">
      <c r="A19" s="1191" t="s">
        <v>1773</v>
      </c>
      <c r="B19" s="1190" t="s">
        <v>1774</v>
      </c>
      <c r="C19" s="1190"/>
      <c r="D19" s="1190"/>
    </row>
    <row r="20" spans="1:4">
      <c r="A20" s="1192" t="s">
        <v>1775</v>
      </c>
      <c r="B20" s="1190">
        <v>16</v>
      </c>
      <c r="C20" s="1190"/>
      <c r="D20" s="1190"/>
    </row>
    <row r="21" spans="1:4">
      <c r="A21" s="1193" t="s">
        <v>1776</v>
      </c>
      <c r="C21" s="1194">
        <v>750</v>
      </c>
      <c r="D21" s="1195" t="s">
        <v>632</v>
      </c>
    </row>
    <row r="22" spans="1:4">
      <c r="A22" s="1193" t="s">
        <v>1777</v>
      </c>
      <c r="C22" s="1194">
        <v>5</v>
      </c>
      <c r="D22" s="1195" t="s">
        <v>632</v>
      </c>
    </row>
    <row r="23" spans="1:4">
      <c r="A23" s="1193" t="s">
        <v>1778</v>
      </c>
      <c r="C23" s="1194">
        <v>50</v>
      </c>
      <c r="D23" s="1195" t="s">
        <v>632</v>
      </c>
    </row>
    <row r="24" spans="1:4">
      <c r="A24" s="1193" t="s">
        <v>1779</v>
      </c>
      <c r="C24" s="1194">
        <v>5</v>
      </c>
      <c r="D24" s="1195" t="s">
        <v>632</v>
      </c>
    </row>
    <row r="25" spans="1:4">
      <c r="A25" s="1191" t="s">
        <v>1780</v>
      </c>
      <c r="B25" s="1197"/>
      <c r="C25" s="1194">
        <v>250</v>
      </c>
      <c r="D25" s="1195" t="s">
        <v>632</v>
      </c>
    </row>
    <row r="26" spans="1:7">
      <c r="A26" s="1191" t="s">
        <v>1781</v>
      </c>
      <c r="B26" s="1197"/>
      <c r="C26" s="1194">
        <v>5</v>
      </c>
      <c r="D26" s="1195" t="s">
        <v>632</v>
      </c>
      <c r="F26" s="1196">
        <f>C32/C55</f>
        <v>4.28571428571429</v>
      </c>
      <c r="G26" s="1198"/>
    </row>
    <row r="27" spans="1:7">
      <c r="A27" s="1193" t="s">
        <v>1782</v>
      </c>
      <c r="C27" s="1194">
        <v>6</v>
      </c>
      <c r="D27" s="1195" t="s">
        <v>1783</v>
      </c>
      <c r="G27" s="1199"/>
    </row>
    <row r="28" spans="1:4">
      <c r="A28" s="1193" t="s">
        <v>1784</v>
      </c>
      <c r="C28" s="1194">
        <v>100</v>
      </c>
      <c r="D28" s="1195" t="s">
        <v>207</v>
      </c>
    </row>
    <row r="29" ht="16.2" spans="1:4">
      <c r="A29" s="1230"/>
      <c r="B29" s="1197"/>
      <c r="C29" s="1201"/>
      <c r="D29" s="1177"/>
    </row>
    <row r="30" spans="1:4">
      <c r="A30" s="1202" t="s">
        <v>1785</v>
      </c>
      <c r="C30" s="1189" t="s">
        <v>1769</v>
      </c>
      <c r="D30" s="1190"/>
    </row>
    <row r="31" ht="19.2" spans="1:4">
      <c r="A31" s="1202" t="s">
        <v>1786</v>
      </c>
      <c r="C31" s="1194">
        <v>606</v>
      </c>
      <c r="D31" s="1195" t="s">
        <v>632</v>
      </c>
    </row>
    <row r="32" ht="19.2" spans="1:4">
      <c r="A32" s="1202" t="s">
        <v>1787</v>
      </c>
      <c r="C32" s="1194">
        <v>4.5</v>
      </c>
      <c r="D32" s="1177"/>
    </row>
    <row r="33" spans="1:4">
      <c r="A33" s="1202" t="str">
        <f>IF($C$30=F17,"电动机启动时间 tst","电动机TE时间 tE")</f>
        <v>电动机启动时间 tst</v>
      </c>
      <c r="C33" s="1194">
        <v>28</v>
      </c>
      <c r="D33" s="1231" t="s">
        <v>1788</v>
      </c>
    </row>
    <row r="34" spans="1:4">
      <c r="A34" s="1175" t="s">
        <v>106</v>
      </c>
      <c r="C34" s="1204"/>
      <c r="D34" s="1177"/>
    </row>
    <row r="35" ht="19.2" spans="1:4">
      <c r="A35" s="1183" t="s">
        <v>1789</v>
      </c>
      <c r="B35" s="1176"/>
      <c r="C35" s="1194">
        <v>10</v>
      </c>
      <c r="D35" s="1195" t="s">
        <v>1790</v>
      </c>
    </row>
    <row r="36" ht="16.2" spans="1:4">
      <c r="A36" s="1203"/>
      <c r="B36" s="1175"/>
      <c r="C36" s="633"/>
      <c r="D36" s="1177"/>
    </row>
    <row r="37" spans="1:4">
      <c r="A37" s="1205" t="s">
        <v>1791</v>
      </c>
      <c r="B37" s="1206"/>
      <c r="C37" s="1206"/>
      <c r="D37" s="1206"/>
    </row>
    <row r="38" spans="1:4">
      <c r="A38" s="1206"/>
      <c r="B38" s="1206"/>
      <c r="C38" s="1206"/>
      <c r="D38" s="1206"/>
    </row>
    <row r="39" spans="1:4">
      <c r="A39" s="1207" t="s">
        <v>1792</v>
      </c>
      <c r="B39" s="1208"/>
      <c r="C39" s="1208"/>
      <c r="D39" s="1208"/>
    </row>
    <row r="40" spans="1:4">
      <c r="A40" s="1193" t="s">
        <v>1793</v>
      </c>
      <c r="B40" s="1209"/>
      <c r="C40" s="1210" t="s">
        <v>1765</v>
      </c>
      <c r="D40" s="1207" t="s">
        <v>1794</v>
      </c>
    </row>
    <row r="41" ht="19.2" spans="1:4">
      <c r="A41" s="1193" t="s">
        <v>1795</v>
      </c>
      <c r="B41" s="1209"/>
      <c r="C41" s="1211">
        <v>1.05</v>
      </c>
      <c r="D41" s="1208"/>
    </row>
    <row r="42" ht="19.2" spans="1:4">
      <c r="A42" s="1193" t="s">
        <v>1796</v>
      </c>
      <c r="B42" s="1209"/>
      <c r="C42" s="1212">
        <f>IF(C40=F15,INT(C41*C31/C21*100+0.99)/100,"")</f>
        <v>0.85</v>
      </c>
      <c r="D42" s="1195" t="s">
        <v>1797</v>
      </c>
    </row>
    <row r="43" spans="1:4">
      <c r="A43" s="1191" t="s">
        <v>1798</v>
      </c>
      <c r="B43" s="1197"/>
      <c r="C43" s="1213">
        <f>IF(C42&lt;&gt;"",C42*C21,"")</f>
        <v>637.5</v>
      </c>
      <c r="D43" s="1195" t="s">
        <v>632</v>
      </c>
    </row>
    <row r="44" spans="1:4">
      <c r="A44" s="1191" t="s">
        <v>1799</v>
      </c>
      <c r="B44" s="1197"/>
      <c r="C44" s="1212">
        <f>IF(C42&lt;&gt;"",C42*C22,"")</f>
        <v>4.25</v>
      </c>
      <c r="D44" s="1195" t="s">
        <v>632</v>
      </c>
    </row>
    <row r="45" ht="19.2" spans="1:4">
      <c r="A45" s="1193" t="s">
        <v>1800</v>
      </c>
      <c r="B45" s="1209"/>
      <c r="C45" s="1211">
        <v>5</v>
      </c>
      <c r="D45" s="1208"/>
    </row>
    <row r="46" ht="19.2" spans="1:4">
      <c r="A46" s="1193" t="s">
        <v>1801</v>
      </c>
      <c r="B46" s="1209"/>
      <c r="C46" s="1211">
        <v>9</v>
      </c>
      <c r="D46" s="1207" t="s">
        <v>1802</v>
      </c>
    </row>
    <row r="47" ht="19.2" spans="1:4">
      <c r="A47" s="1193" t="s">
        <v>1803</v>
      </c>
      <c r="B47" s="1209"/>
      <c r="C47" s="1211">
        <v>12</v>
      </c>
      <c r="D47" s="1207" t="s">
        <v>1802</v>
      </c>
    </row>
    <row r="48" ht="19.2" spans="1:4">
      <c r="A48" s="1193" t="s">
        <v>1804</v>
      </c>
      <c r="B48" s="1209"/>
      <c r="C48" s="1211">
        <v>60</v>
      </c>
      <c r="D48" s="1207" t="s">
        <v>1802</v>
      </c>
    </row>
    <row r="49" spans="1:4">
      <c r="A49" s="1193" t="s">
        <v>1805</v>
      </c>
      <c r="B49" s="1209"/>
      <c r="C49" s="1210" t="s">
        <v>1765</v>
      </c>
      <c r="D49" s="1207" t="s">
        <v>1794</v>
      </c>
    </row>
    <row r="50" ht="19.2" spans="1:4">
      <c r="A50" s="1193" t="s">
        <v>1806</v>
      </c>
      <c r="B50" s="1209"/>
      <c r="C50" s="1215">
        <v>90</v>
      </c>
      <c r="D50" s="1195" t="s">
        <v>1807</v>
      </c>
    </row>
    <row r="51" spans="1:1">
      <c r="A51" s="1169" t="s">
        <v>106</v>
      </c>
    </row>
    <row r="52" spans="1:4">
      <c r="A52" s="1207" t="s">
        <v>1808</v>
      </c>
      <c r="B52" s="1208"/>
      <c r="C52" s="1208"/>
      <c r="D52" s="1208"/>
    </row>
    <row r="53" spans="1:4">
      <c r="A53" s="1193" t="s">
        <v>1809</v>
      </c>
      <c r="B53" s="1209"/>
      <c r="C53" s="1210" t="s">
        <v>1765</v>
      </c>
      <c r="D53" s="1207" t="s">
        <v>1794</v>
      </c>
    </row>
    <row r="54" spans="1:4">
      <c r="A54" s="1193" t="s">
        <v>1810</v>
      </c>
      <c r="C54" s="1232" t="s">
        <v>1811</v>
      </c>
      <c r="D54" s="1232"/>
    </row>
    <row r="55" ht="19.2" spans="1:4">
      <c r="A55" s="1193" t="s">
        <v>1812</v>
      </c>
      <c r="B55" s="1209"/>
      <c r="C55" s="1211">
        <v>1.05</v>
      </c>
      <c r="D55" s="1208"/>
    </row>
    <row r="56" ht="19.2" spans="1:4">
      <c r="A56" s="1193" t="s">
        <v>1813</v>
      </c>
      <c r="B56" s="1209"/>
      <c r="C56" s="1212">
        <f>IF(C53=F15,INT(C31*C55/C21*100+0.99)/100,"")</f>
        <v>0.85</v>
      </c>
      <c r="D56" s="1195" t="s">
        <v>1797</v>
      </c>
    </row>
    <row r="57" spans="1:4">
      <c r="A57" s="1191" t="s">
        <v>1814</v>
      </c>
      <c r="B57" s="1197"/>
      <c r="C57" s="1213">
        <f>IF(C56&lt;&gt;"",C56*C21,"")</f>
        <v>637.5</v>
      </c>
      <c r="D57" s="1195" t="s">
        <v>632</v>
      </c>
    </row>
    <row r="58" spans="1:4">
      <c r="A58" s="1191" t="s">
        <v>1815</v>
      </c>
      <c r="B58" s="1197"/>
      <c r="C58" s="1212">
        <f>IF(C56&lt;&gt;"",C56*C22,"")</f>
        <v>4.25</v>
      </c>
      <c r="D58" s="1195" t="s">
        <v>632</v>
      </c>
    </row>
    <row r="59" spans="1:4">
      <c r="A59" s="1191" t="s">
        <v>1816</v>
      </c>
      <c r="B59" s="1197"/>
      <c r="C59" s="1233" t="e">
        <f>IF(C54=#REF!,#REF!,IF(C54=F1,K1,IF(C54=F2,K2,IF(C54=F3,K3,IF(C54=F4,K4,IF(C54=F5,K5,IF(C54=F6,K6,IF(C54=F7,K7,"错误"))))))))</f>
        <v>#REF!</v>
      </c>
      <c r="D59" s="1207" t="s">
        <v>1788</v>
      </c>
    </row>
    <row r="60" ht="16.2" spans="1:1">
      <c r="A60" s="1214"/>
    </row>
    <row r="61" spans="1:4">
      <c r="A61" s="1208" t="s">
        <v>1817</v>
      </c>
      <c r="B61" s="1208"/>
      <c r="C61" s="1208"/>
      <c r="D61" s="1208"/>
    </row>
    <row r="62" spans="1:4">
      <c r="A62" s="1193" t="s">
        <v>1818</v>
      </c>
      <c r="B62" s="1209"/>
      <c r="C62" s="1210" t="s">
        <v>1765</v>
      </c>
      <c r="D62" s="1207" t="s">
        <v>1794</v>
      </c>
    </row>
    <row r="63" ht="19.2" spans="1:4">
      <c r="A63" s="1193" t="s">
        <v>1819</v>
      </c>
      <c r="B63" s="1209"/>
      <c r="C63" s="1217">
        <f>IF(C62=F15,INT(10*C31*C32/C21+0.9)/10,"")</f>
        <v>3.7</v>
      </c>
      <c r="D63" s="1195" t="s">
        <v>1797</v>
      </c>
    </row>
    <row r="64" spans="1:4">
      <c r="A64" s="1191" t="s">
        <v>1820</v>
      </c>
      <c r="B64" s="1197"/>
      <c r="C64" s="1213">
        <f>IF(C63&lt;&gt;"",C63*C21,"")</f>
        <v>2775</v>
      </c>
      <c r="D64" s="1195" t="s">
        <v>632</v>
      </c>
    </row>
    <row r="65" spans="1:4">
      <c r="A65" s="1191" t="s">
        <v>1821</v>
      </c>
      <c r="B65" s="1197"/>
      <c r="C65" s="1213">
        <f>IF(C63&lt;&gt;"",C63*C22,"")</f>
        <v>18.5</v>
      </c>
      <c r="D65" s="1195" t="s">
        <v>632</v>
      </c>
    </row>
    <row r="66" ht="19.2" spans="1:4">
      <c r="A66" s="1193" t="s">
        <v>1822</v>
      </c>
      <c r="B66" s="1209"/>
      <c r="C66" s="1217">
        <f>IF(C62=F15,IF($C$30=F17,IF($C$33&lt;10,INT(120*$C$33+0.99)/100,INT(115*$C$33+0.99)/100),$C$33),"")</f>
        <v>32.2</v>
      </c>
      <c r="D66" s="1207" t="s">
        <v>1788</v>
      </c>
    </row>
    <row r="67" ht="16.2" spans="1:4">
      <c r="A67" s="1230"/>
      <c r="B67" s="1200"/>
      <c r="C67" s="1176"/>
      <c r="D67" s="1208"/>
    </row>
    <row r="68" spans="1:4">
      <c r="A68" s="1207" t="s">
        <v>1823</v>
      </c>
      <c r="B68" s="1208"/>
      <c r="C68" s="1208"/>
      <c r="D68" s="1208"/>
    </row>
    <row r="69" spans="1:4">
      <c r="A69" s="1193" t="s">
        <v>1824</v>
      </c>
      <c r="B69" s="1209"/>
      <c r="C69" s="1210" t="s">
        <v>1765</v>
      </c>
      <c r="D69" s="1207" t="s">
        <v>1794</v>
      </c>
    </row>
    <row r="70" ht="19.2" spans="1:4">
      <c r="A70" s="1193" t="s">
        <v>1825</v>
      </c>
      <c r="B70" s="1209"/>
      <c r="C70" s="1211">
        <v>1.5</v>
      </c>
      <c r="D70" s="1208"/>
    </row>
    <row r="71" ht="19.2" spans="1:4">
      <c r="A71" s="1193" t="s">
        <v>1826</v>
      </c>
      <c r="B71" s="1209"/>
      <c r="C71" s="1217">
        <f>IF(C69=F15,INT(C70*10*C31*C32/C21+0.9)/10,"")</f>
        <v>5.5</v>
      </c>
      <c r="D71" s="1195" t="s">
        <v>1797</v>
      </c>
    </row>
    <row r="72" spans="1:4">
      <c r="A72" s="1191" t="s">
        <v>1827</v>
      </c>
      <c r="B72" s="1197"/>
      <c r="C72" s="1213">
        <f>IF(C71&lt;&gt;"",C71*C21,"")</f>
        <v>4125</v>
      </c>
      <c r="D72" s="1195" t="s">
        <v>632</v>
      </c>
    </row>
    <row r="73" spans="1:4">
      <c r="A73" s="1191" t="s">
        <v>1828</v>
      </c>
      <c r="B73" s="1197"/>
      <c r="C73" s="1217">
        <f>IF(C71&lt;&gt;"",C71*C22,"")</f>
        <v>27.5</v>
      </c>
      <c r="D73" s="1195" t="s">
        <v>632</v>
      </c>
    </row>
    <row r="74" ht="19.2" spans="1:4">
      <c r="A74" s="1193" t="s">
        <v>1829</v>
      </c>
      <c r="B74" s="1209"/>
      <c r="C74" s="1213">
        <f>IF(C71&lt;&gt;"",0,"")</f>
        <v>0</v>
      </c>
      <c r="D74" s="1207" t="s">
        <v>1788</v>
      </c>
    </row>
    <row r="75" ht="19.2" spans="1:4">
      <c r="A75" s="1193" t="s">
        <v>1830</v>
      </c>
      <c r="B75" s="1209"/>
      <c r="C75" s="1212">
        <f>IF(C71&lt;&gt;"",C35*1000/C72,"")</f>
        <v>2.42424242424242</v>
      </c>
      <c r="D75" s="1208" t="str">
        <f>IF(C75&lt;&gt;"",IF(C75&gt;=2,"合格","不合格"),"")</f>
        <v>合格</v>
      </c>
    </row>
    <row r="76" spans="1:1">
      <c r="A76" s="1169" t="s">
        <v>106</v>
      </c>
    </row>
    <row r="77" spans="1:4">
      <c r="A77" s="1207" t="s">
        <v>1831</v>
      </c>
      <c r="B77" s="1208"/>
      <c r="C77" s="1208"/>
      <c r="D77" s="1208"/>
    </row>
    <row r="78" spans="1:4">
      <c r="A78" s="1193" t="s">
        <v>1832</v>
      </c>
      <c r="B78" s="1209"/>
      <c r="C78" s="1210" t="s">
        <v>1766</v>
      </c>
      <c r="D78" s="1207" t="s">
        <v>1794</v>
      </c>
    </row>
    <row r="79" ht="19.2" spans="1:4">
      <c r="A79" s="1191" t="s">
        <v>1833</v>
      </c>
      <c r="B79" s="1197"/>
      <c r="C79" s="1212" t="str">
        <f>IF(C78=F15,INT(15*C31/C21*C32+0.9)/100,"")</f>
        <v/>
      </c>
      <c r="D79" s="1195" t="s">
        <v>1797</v>
      </c>
    </row>
    <row r="80" spans="1:4">
      <c r="A80" s="1191" t="s">
        <v>1834</v>
      </c>
      <c r="B80" s="1197"/>
      <c r="C80" s="1217" t="str">
        <f>IF(C79&lt;&gt;"",INT(100*C79*C21+0.9)/100,"")</f>
        <v/>
      </c>
      <c r="D80" s="1195" t="s">
        <v>632</v>
      </c>
    </row>
    <row r="81" spans="1:4">
      <c r="A81" s="1191" t="s">
        <v>1835</v>
      </c>
      <c r="B81" s="1197"/>
      <c r="C81" s="1212" t="str">
        <f>IF(C79&lt;&gt;"",INT(100*C79*C22+0.9)/100,"")</f>
        <v/>
      </c>
      <c r="D81" s="1195" t="s">
        <v>632</v>
      </c>
    </row>
    <row r="82" spans="1:4">
      <c r="A82" s="1191" t="s">
        <v>1836</v>
      </c>
      <c r="B82" s="1197"/>
      <c r="C82" s="1217" t="str">
        <f>IF(C79&lt;&gt;"",0.3,"")</f>
        <v/>
      </c>
      <c r="D82" s="1207" t="s">
        <v>1788</v>
      </c>
    </row>
    <row r="83" ht="19.2" spans="1:4">
      <c r="A83" s="1191" t="s">
        <v>1837</v>
      </c>
      <c r="B83" s="1197"/>
      <c r="C83" s="1212" t="str">
        <f>IF(C79&lt;&gt;"",INT(15*C31/C21+0.9)/100,"")</f>
        <v/>
      </c>
      <c r="D83" s="1195" t="s">
        <v>1797</v>
      </c>
    </row>
    <row r="84" spans="1:4">
      <c r="A84" s="1191" t="s">
        <v>1838</v>
      </c>
      <c r="B84" s="1197"/>
      <c r="C84" s="1217" t="str">
        <f>IF(C79&lt;&gt;"",INT(100*C83*C21+0.9)/100,"")</f>
        <v/>
      </c>
      <c r="D84" s="1195" t="s">
        <v>632</v>
      </c>
    </row>
    <row r="85" spans="1:4">
      <c r="A85" s="1191" t="s">
        <v>1839</v>
      </c>
      <c r="B85" s="1197"/>
      <c r="C85" s="1212" t="str">
        <f>IF(C79&lt;&gt;"",INT(100*C83*C22+0.9)/100,"")</f>
        <v/>
      </c>
      <c r="D85" s="1195" t="s">
        <v>632</v>
      </c>
    </row>
    <row r="86" spans="1:4">
      <c r="A86" s="1191" t="s">
        <v>1840</v>
      </c>
      <c r="B86" s="1197"/>
      <c r="C86" s="1213" t="str">
        <f>IF(C79&lt;&gt;"",0,"")</f>
        <v/>
      </c>
      <c r="D86" s="1207" t="s">
        <v>1788</v>
      </c>
    </row>
    <row r="87" ht="16.2" spans="1:1">
      <c r="A87" s="1214"/>
    </row>
    <row r="88" spans="1:4">
      <c r="A88" s="1207" t="s">
        <v>1841</v>
      </c>
      <c r="B88" s="1208"/>
      <c r="C88" s="1208"/>
      <c r="D88" s="1208"/>
    </row>
    <row r="89" spans="1:4">
      <c r="A89" s="1193" t="s">
        <v>1842</v>
      </c>
      <c r="B89" s="1209"/>
      <c r="C89" s="1210" t="s">
        <v>1765</v>
      </c>
      <c r="D89" s="1207" t="s">
        <v>1794</v>
      </c>
    </row>
    <row r="90" ht="15.75" customHeight="1" spans="1:4">
      <c r="A90" s="1191" t="s">
        <v>1843</v>
      </c>
      <c r="B90" s="1197"/>
      <c r="C90" s="1234">
        <v>10</v>
      </c>
      <c r="D90" s="1195" t="s">
        <v>632</v>
      </c>
    </row>
    <row r="91" ht="19.2" spans="1:4">
      <c r="A91" s="1191" t="s">
        <v>1844</v>
      </c>
      <c r="B91" s="1197"/>
      <c r="C91" s="1212">
        <f>IF(C89=F15,INT(100*C90/C23+0.9)/100,"")</f>
        <v>0.2</v>
      </c>
      <c r="D91" s="1195" t="s">
        <v>1797</v>
      </c>
    </row>
    <row r="92" ht="15.75" customHeight="1" spans="1:4">
      <c r="A92" s="1191" t="s">
        <v>1845</v>
      </c>
      <c r="B92" s="1197"/>
      <c r="C92" s="1217">
        <f>IF(C91&lt;&gt;"",INT(100*C91*C24+0.9)/100,"")</f>
        <v>1</v>
      </c>
      <c r="D92" s="1195" t="s">
        <v>632</v>
      </c>
    </row>
    <row r="93" ht="15.75" customHeight="1" spans="1:4">
      <c r="A93" s="1191" t="s">
        <v>1846</v>
      </c>
      <c r="B93" s="1197"/>
      <c r="C93" s="1213">
        <f>IF(C91&lt;&gt;"",0,"")</f>
        <v>0</v>
      </c>
      <c r="D93" s="1207" t="s">
        <v>1788</v>
      </c>
    </row>
    <row r="94" ht="16.2" spans="1:1">
      <c r="A94" s="1214"/>
    </row>
    <row r="95" spans="1:4">
      <c r="A95" s="1207" t="s">
        <v>1847</v>
      </c>
      <c r="B95" s="1208"/>
      <c r="C95" s="1208"/>
      <c r="D95" s="1208"/>
    </row>
    <row r="96" spans="1:4">
      <c r="A96" s="1193" t="s">
        <v>1848</v>
      </c>
      <c r="B96" s="1209"/>
      <c r="C96" s="1210" t="s">
        <v>1765</v>
      </c>
      <c r="D96" s="1207" t="s">
        <v>1794</v>
      </c>
    </row>
    <row r="97" ht="19.2" spans="1:4">
      <c r="A97" s="1193" t="s">
        <v>1849</v>
      </c>
      <c r="B97" s="1209"/>
      <c r="C97" s="1211">
        <v>2</v>
      </c>
      <c r="D97" s="1208"/>
    </row>
    <row r="98" ht="19.2" spans="1:4">
      <c r="A98" s="1191" t="s">
        <v>1850</v>
      </c>
      <c r="B98" s="1197"/>
      <c r="C98" s="1235">
        <f>IF(C96=F15,INT(C97*C41*C31/C21*100+0.99)/100,"")</f>
        <v>1.7</v>
      </c>
      <c r="D98" s="1195" t="s">
        <v>1797</v>
      </c>
    </row>
    <row r="99" spans="1:4">
      <c r="A99" s="1191" t="s">
        <v>1851</v>
      </c>
      <c r="B99" s="1197"/>
      <c r="C99" s="1195">
        <f>IF(C98&lt;&gt;"",C98*C21,"")</f>
        <v>1275</v>
      </c>
      <c r="D99" s="1195" t="s">
        <v>632</v>
      </c>
    </row>
    <row r="100" spans="1:4">
      <c r="A100" s="1191" t="s">
        <v>1852</v>
      </c>
      <c r="B100" s="1197"/>
      <c r="C100" s="1195">
        <f>IF(C98&lt;&gt;"",C98*C22,"")</f>
        <v>8.5</v>
      </c>
      <c r="D100" s="1195" t="s">
        <v>632</v>
      </c>
    </row>
    <row r="101" ht="19.2" spans="1:4">
      <c r="A101" s="1193" t="s">
        <v>1853</v>
      </c>
      <c r="B101" s="1209"/>
      <c r="C101" s="1217">
        <f>IF(C96=F15,IF($C$30=F17,IF($C$33&lt;10,INT(120*$C$33+0.99)/100,INT(115*$C$33+0.99)/100),$C$33),"")</f>
        <v>32.2</v>
      </c>
      <c r="D101" s="1207" t="s">
        <v>1788</v>
      </c>
    </row>
    <row r="102" ht="16.2" spans="1:1">
      <c r="A102" s="1214"/>
    </row>
    <row r="103" spans="1:4">
      <c r="A103" s="1208" t="s">
        <v>1854</v>
      </c>
      <c r="B103" s="1208"/>
      <c r="C103" s="1208"/>
      <c r="D103" s="1208"/>
    </row>
    <row r="104" spans="1:4">
      <c r="A104" s="1193" t="s">
        <v>1855</v>
      </c>
      <c r="B104" s="1209"/>
      <c r="C104" s="1210" t="s">
        <v>1765</v>
      </c>
      <c r="D104" s="1207" t="s">
        <v>1794</v>
      </c>
    </row>
    <row r="105" spans="1:4">
      <c r="A105" s="1191" t="s">
        <v>1856</v>
      </c>
      <c r="B105" s="1197"/>
      <c r="C105" s="1211">
        <v>1</v>
      </c>
      <c r="D105" s="1195" t="s">
        <v>632</v>
      </c>
    </row>
    <row r="106" ht="19.2" spans="1:4">
      <c r="A106" s="1191" t="s">
        <v>1857</v>
      </c>
      <c r="B106" s="1197"/>
      <c r="C106" s="1195">
        <f>IF(C104=F15,INT(C105*1000/C25)/1000,"")</f>
        <v>0.004</v>
      </c>
      <c r="D106" s="1195" t="s">
        <v>1797</v>
      </c>
    </row>
    <row r="107" ht="19.2" spans="1:4">
      <c r="A107" s="1193" t="s">
        <v>1858</v>
      </c>
      <c r="B107" s="1209"/>
      <c r="C107" s="1195">
        <v>0.5</v>
      </c>
      <c r="D107" s="1207" t="s">
        <v>1788</v>
      </c>
    </row>
    <row r="109" spans="1:4">
      <c r="A109" s="1208" t="s">
        <v>1859</v>
      </c>
      <c r="B109" s="1208"/>
      <c r="C109" s="1208"/>
      <c r="D109" s="1208"/>
    </row>
    <row r="110" spans="1:4">
      <c r="A110" s="1193" t="s">
        <v>1860</v>
      </c>
      <c r="B110" s="1209"/>
      <c r="C110" s="1210" t="s">
        <v>1765</v>
      </c>
      <c r="D110" s="1207" t="s">
        <v>1794</v>
      </c>
    </row>
    <row r="111" ht="19.2" spans="1:4">
      <c r="A111" s="1193" t="s">
        <v>1861</v>
      </c>
      <c r="B111" s="1209"/>
      <c r="C111" s="1211">
        <v>15</v>
      </c>
      <c r="D111" s="1195" t="s">
        <v>1807</v>
      </c>
    </row>
    <row r="112" ht="19.2" spans="1:4">
      <c r="A112" s="1193" t="s">
        <v>1862</v>
      </c>
      <c r="B112" s="1209"/>
      <c r="C112" s="1224">
        <f>IF(C110=F15,INT(0.4*C111*C31/C21+1)/40,"")</f>
        <v>0.125</v>
      </c>
      <c r="D112" s="1195" t="s">
        <v>1797</v>
      </c>
    </row>
    <row r="113" spans="1:4">
      <c r="A113" s="1191" t="s">
        <v>1863</v>
      </c>
      <c r="B113" s="1197"/>
      <c r="C113" s="1195">
        <f>IF(C112&lt;&gt;"",C112*C21,"")</f>
        <v>93.75</v>
      </c>
      <c r="D113" s="1195" t="s">
        <v>632</v>
      </c>
    </row>
    <row r="114" spans="1:4">
      <c r="A114" s="1191" t="s">
        <v>1864</v>
      </c>
      <c r="B114" s="1197"/>
      <c r="C114" s="1195">
        <f>IF(C112&lt;&gt;"",C112*C22,"")</f>
        <v>0.625</v>
      </c>
      <c r="D114" s="1195" t="s">
        <v>632</v>
      </c>
    </row>
    <row r="115" ht="19.2" spans="1:4">
      <c r="A115" s="1193" t="s">
        <v>1865</v>
      </c>
      <c r="B115" s="1209"/>
      <c r="C115" s="1217">
        <f>IF(C110=F15,IF($C$30=F17,IF($C$33&lt;10,INT(120*$C$33+0.99)/100,INT(115*$C$33+0.99)/100),$C$33),"")</f>
        <v>32.2</v>
      </c>
      <c r="D115" s="1207" t="s">
        <v>1788</v>
      </c>
    </row>
    <row r="116" spans="1:4">
      <c r="A116" s="1200" t="s">
        <v>106</v>
      </c>
      <c r="B116" s="1200"/>
      <c r="C116" s="1176"/>
      <c r="D116" s="1208"/>
    </row>
    <row r="117" spans="1:4">
      <c r="A117" s="1207" t="s">
        <v>1866</v>
      </c>
      <c r="B117" s="1208"/>
      <c r="C117" s="1208"/>
      <c r="D117" s="1208"/>
    </row>
    <row r="118" spans="1:4">
      <c r="A118" s="1193" t="s">
        <v>1867</v>
      </c>
      <c r="B118" s="1209"/>
      <c r="C118" s="1210" t="s">
        <v>1766</v>
      </c>
      <c r="D118" s="1207" t="s">
        <v>1794</v>
      </c>
    </row>
    <row r="119" ht="19.2" spans="1:4">
      <c r="A119" s="1193" t="s">
        <v>1868</v>
      </c>
      <c r="B119" s="1209"/>
      <c r="C119" s="1211">
        <v>15</v>
      </c>
      <c r="D119" s="1195" t="s">
        <v>1807</v>
      </c>
    </row>
    <row r="120" ht="19.2" spans="1:4">
      <c r="A120" s="1193" t="s">
        <v>1869</v>
      </c>
      <c r="B120" s="1209"/>
      <c r="C120" s="1224" t="str">
        <f>IF(C118=F15,INT(0.4*C119*C31/C21+1)/40,"")</f>
        <v/>
      </c>
      <c r="D120" s="1195" t="s">
        <v>1797</v>
      </c>
    </row>
    <row r="121" spans="1:4">
      <c r="A121" s="1191" t="s">
        <v>1870</v>
      </c>
      <c r="B121" s="1197"/>
      <c r="C121" s="1235" t="str">
        <f>IF(C120&lt;&gt;"",C120*C21,"")</f>
        <v/>
      </c>
      <c r="D121" s="1195" t="s">
        <v>632</v>
      </c>
    </row>
    <row r="122" spans="1:4">
      <c r="A122" s="1191" t="s">
        <v>1871</v>
      </c>
      <c r="B122" s="1197"/>
      <c r="C122" s="1236" t="str">
        <f>IF(C120&lt;&gt;"",C120*C22,"")</f>
        <v/>
      </c>
      <c r="D122" s="1195" t="s">
        <v>632</v>
      </c>
    </row>
    <row r="123" ht="19.2" spans="1:4">
      <c r="A123" s="1193" t="s">
        <v>1872</v>
      </c>
      <c r="B123" s="1209"/>
      <c r="C123" s="1237" t="str">
        <f>IF(C120&lt;&gt;"",IF(C33&gt;18,"180",10*C33),"")</f>
        <v/>
      </c>
      <c r="D123" s="1207" t="s">
        <v>1788</v>
      </c>
    </row>
    <row r="124" ht="16.2" spans="1:4">
      <c r="A124" s="1222"/>
      <c r="B124" s="1209"/>
      <c r="C124" s="1208"/>
      <c r="D124" s="1208"/>
    </row>
    <row r="125" spans="1:4">
      <c r="A125" s="1208" t="s">
        <v>1873</v>
      </c>
      <c r="B125" s="1208"/>
      <c r="C125" s="1208"/>
      <c r="D125" s="1208"/>
    </row>
    <row r="126" spans="1:4">
      <c r="A126" s="1193" t="s">
        <v>1874</v>
      </c>
      <c r="B126" s="1209"/>
      <c r="C126" s="1210" t="s">
        <v>1765</v>
      </c>
      <c r="D126" s="1207" t="s">
        <v>1794</v>
      </c>
    </row>
    <row r="127" ht="19.2" spans="1:4">
      <c r="A127" s="1193" t="s">
        <v>1875</v>
      </c>
      <c r="B127" s="1209"/>
      <c r="C127" s="1211">
        <v>50</v>
      </c>
      <c r="D127" s="1195" t="s">
        <v>1807</v>
      </c>
    </row>
    <row r="128" ht="19.2" spans="1:4">
      <c r="A128" s="1193" t="s">
        <v>1876</v>
      </c>
      <c r="B128" s="1209"/>
      <c r="C128" s="1212">
        <f>IF(C126=F15,C127*C28/10000,"")</f>
        <v>0.5</v>
      </c>
      <c r="D128" s="1195" t="s">
        <v>1877</v>
      </c>
    </row>
    <row r="129" spans="1:4">
      <c r="A129" s="1191" t="s">
        <v>1878</v>
      </c>
      <c r="B129" s="1197"/>
      <c r="C129" s="1213">
        <f>IF(C128&lt;&gt;"",C128*C27*1000,"")</f>
        <v>3000</v>
      </c>
      <c r="D129" s="1195" t="s">
        <v>207</v>
      </c>
    </row>
    <row r="130" spans="1:4">
      <c r="A130" s="1191" t="s">
        <v>1879</v>
      </c>
      <c r="B130" s="1197"/>
      <c r="C130" s="1213">
        <f>IF(C128&lt;&gt;"",C128*C28,"")</f>
        <v>50</v>
      </c>
      <c r="D130" s="1195" t="s">
        <v>207</v>
      </c>
    </row>
    <row r="131" ht="19.2" spans="1:4">
      <c r="A131" s="1193" t="s">
        <v>1880</v>
      </c>
      <c r="B131" s="1209"/>
      <c r="C131" s="1211">
        <v>9</v>
      </c>
      <c r="D131" s="1207" t="s">
        <v>1788</v>
      </c>
    </row>
    <row r="132" spans="1:4">
      <c r="A132" s="1209" t="s">
        <v>106</v>
      </c>
      <c r="B132" s="1209"/>
      <c r="C132" s="1208"/>
      <c r="D132" s="1208"/>
    </row>
    <row r="133" spans="1:4">
      <c r="A133" s="1207" t="s">
        <v>1881</v>
      </c>
      <c r="B133" s="1208"/>
      <c r="C133" s="1208"/>
      <c r="D133" s="1208"/>
    </row>
    <row r="134" spans="1:4">
      <c r="A134" s="1193" t="s">
        <v>1882</v>
      </c>
      <c r="B134" s="1209"/>
      <c r="C134" s="1210" t="s">
        <v>1765</v>
      </c>
      <c r="D134" s="1207" t="s">
        <v>1794</v>
      </c>
    </row>
    <row r="135" ht="19.2" spans="1:4">
      <c r="A135" s="1193" t="s">
        <v>1883</v>
      </c>
      <c r="B135" s="1209"/>
      <c r="C135" s="1238">
        <v>2</v>
      </c>
      <c r="D135" s="1231" t="s">
        <v>1884</v>
      </c>
    </row>
    <row r="136" ht="19.2" spans="1:4">
      <c r="A136" s="1193" t="s">
        <v>1885</v>
      </c>
      <c r="B136" s="1209"/>
      <c r="C136" s="1211">
        <v>1</v>
      </c>
      <c r="D136" s="1231" t="s">
        <v>1884</v>
      </c>
    </row>
    <row r="137" ht="19.2" spans="1:4">
      <c r="A137" s="1193" t="s">
        <v>1886</v>
      </c>
      <c r="B137" s="1209"/>
      <c r="C137" s="1211">
        <v>60</v>
      </c>
      <c r="D137" s="1207" t="s">
        <v>1802</v>
      </c>
    </row>
    <row r="138" ht="19.2" spans="1:4">
      <c r="A138" s="1193" t="s">
        <v>1887</v>
      </c>
      <c r="B138" s="1209"/>
      <c r="C138" s="1211">
        <v>20</v>
      </c>
      <c r="D138" s="1207" t="s">
        <v>1802</v>
      </c>
    </row>
    <row r="139" spans="1:4">
      <c r="A139" s="1191" t="s">
        <v>1888</v>
      </c>
      <c r="B139" s="1197"/>
      <c r="C139" s="1210" t="s">
        <v>1765</v>
      </c>
      <c r="D139" s="1207" t="s">
        <v>1794</v>
      </c>
    </row>
    <row r="140" ht="19.2" spans="1:4">
      <c r="A140" s="1193" t="s">
        <v>1889</v>
      </c>
      <c r="B140" s="1209"/>
      <c r="C140" s="1211">
        <v>10</v>
      </c>
      <c r="D140" s="1207" t="s">
        <v>1802</v>
      </c>
    </row>
    <row r="141" ht="16.2" spans="1:1">
      <c r="A141" s="1214"/>
    </row>
  </sheetData>
  <protectedRanges>
    <protectedRange sqref="A1:D140" name="区域1"/>
  </protectedRanges>
  <customSheetViews>
    <customSheetView guid="{B9330FFD-B5EF-4680-A375-DB92D4738404}" hiddenColumns="1" topLeftCell="A118">
      <selection activeCell="L135" sqref="L135"/>
      <pageMargins left="0.7" right="0.7" top="0.75" bottom="0.75" header="0.3" footer="0.3"/>
      <headerFooter/>
    </customSheetView>
  </customSheetViews>
  <mergeCells count="53">
    <mergeCell ref="A1:D1"/>
    <mergeCell ref="A3:D3"/>
    <mergeCell ref="B13:D13"/>
    <mergeCell ref="B15:D15"/>
    <mergeCell ref="B17:D17"/>
    <mergeCell ref="B18:D18"/>
    <mergeCell ref="B19:D19"/>
    <mergeCell ref="B20:D20"/>
    <mergeCell ref="A25:B25"/>
    <mergeCell ref="A26:B26"/>
    <mergeCell ref="C30:D30"/>
    <mergeCell ref="A35:B35"/>
    <mergeCell ref="A39:D39"/>
    <mergeCell ref="A43:B43"/>
    <mergeCell ref="A44:B44"/>
    <mergeCell ref="A52:D52"/>
    <mergeCell ref="C54:D54"/>
    <mergeCell ref="A57:B57"/>
    <mergeCell ref="A58:B58"/>
    <mergeCell ref="A59:B59"/>
    <mergeCell ref="A61:D61"/>
    <mergeCell ref="A64:B64"/>
    <mergeCell ref="A65:B65"/>
    <mergeCell ref="A68:D68"/>
    <mergeCell ref="A72:B72"/>
    <mergeCell ref="A73:B73"/>
    <mergeCell ref="A77:D77"/>
    <mergeCell ref="A79:B79"/>
    <mergeCell ref="A80:B80"/>
    <mergeCell ref="A81:B81"/>
    <mergeCell ref="A82:B82"/>
    <mergeCell ref="A83:B83"/>
    <mergeCell ref="A84:B84"/>
    <mergeCell ref="A85:B85"/>
    <mergeCell ref="A86:B86"/>
    <mergeCell ref="A95:D95"/>
    <mergeCell ref="A98:B98"/>
    <mergeCell ref="A99:B99"/>
    <mergeCell ref="A100:B100"/>
    <mergeCell ref="A103:D103"/>
    <mergeCell ref="A105:B105"/>
    <mergeCell ref="A106:B106"/>
    <mergeCell ref="A109:D109"/>
    <mergeCell ref="A113:B113"/>
    <mergeCell ref="A114:B114"/>
    <mergeCell ref="A117:D117"/>
    <mergeCell ref="A121:B121"/>
    <mergeCell ref="A122:B122"/>
    <mergeCell ref="A125:D125"/>
    <mergeCell ref="A129:B129"/>
    <mergeCell ref="A130:B130"/>
    <mergeCell ref="E1:E2"/>
    <mergeCell ref="A37:D38"/>
  </mergeCells>
  <dataValidations count="3">
    <dataValidation type="list" showInputMessage="1" showErrorMessage="1" error="只能选择普通电动机和增安型电动机" sqref="C30">
      <formula1>$F$17:$F$18</formula1>
    </dataValidation>
    <dataValidation type="list" allowBlank="1" showInputMessage="1" showErrorMessage="1" error="只能选择投入或退出" sqref="C40 C49 C53 C62 C69 C78 C89 C96 C104 C110 C118 C126 C134 C139">
      <formula1>$F$15:$F$16</formula1>
    </dataValidation>
    <dataValidation type="list" allowBlank="1" showInputMessage="1" showErrorMessage="1" error="只能选择曲线类型" sqref="C54:D54">
      <formula1>$F$1:$F$7</formula1>
    </dataValidation>
  </dataValidations>
  <hyperlinks>
    <hyperlink ref="E1:E2" location="目录!A1" display="目录!A1"/>
  </hyperlink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36"/>
  <sheetViews>
    <sheetView topLeftCell="A65" workbookViewId="0">
      <selection activeCell="E1" sqref="E1:E2"/>
    </sheetView>
  </sheetViews>
  <sheetFormatPr defaultColWidth="10.625" defaultRowHeight="15.6"/>
  <cols>
    <col min="1" max="1" width="36.625" style="1169" customWidth="1"/>
    <col min="2" max="2" width="10.625" style="1169" customWidth="1"/>
    <col min="3" max="3" width="8.625" style="1169" customWidth="1"/>
    <col min="4" max="4" width="10.625" style="633" customWidth="1"/>
    <col min="5" max="5" width="10.625" style="1169" customWidth="1"/>
    <col min="6" max="6" width="16.125" style="1170" hidden="1" customWidth="1"/>
    <col min="7" max="7" width="7" style="1170" hidden="1" customWidth="1"/>
    <col min="8" max="8" width="5" style="1170" hidden="1" customWidth="1"/>
    <col min="9" max="9" width="7" style="1170" hidden="1" customWidth="1"/>
    <col min="10" max="10" width="6.5" style="1170" hidden="1" customWidth="1"/>
    <col min="11" max="11" width="6.75" style="1169" customWidth="1"/>
    <col min="12" max="16384" width="10.625" style="1169"/>
  </cols>
  <sheetData>
    <row r="1" s="1168" customFormat="1" ht="22.8" spans="1:11">
      <c r="A1" s="1171" t="s">
        <v>1751</v>
      </c>
      <c r="B1" s="1172"/>
      <c r="C1" s="1172"/>
      <c r="D1" s="1172"/>
      <c r="E1" s="155" t="s">
        <v>88</v>
      </c>
      <c r="F1" s="1173" t="s">
        <v>1752</v>
      </c>
      <c r="G1" s="1174">
        <v>19.61</v>
      </c>
      <c r="H1" s="1174">
        <v>2</v>
      </c>
      <c r="I1" s="1174">
        <v>0.491</v>
      </c>
      <c r="J1" s="1218">
        <f>C53/(G1/(C52^H1-1)+I1)</f>
        <v>3.12812693481327</v>
      </c>
      <c r="K1" s="1219"/>
    </row>
    <row r="2" spans="1:11">
      <c r="A2" s="1175"/>
      <c r="B2" s="1175"/>
      <c r="C2" s="1176"/>
      <c r="D2" s="1177"/>
      <c r="E2" s="155"/>
      <c r="F2" s="1178" t="s">
        <v>1753</v>
      </c>
      <c r="G2" s="1174">
        <v>0.0515</v>
      </c>
      <c r="H2" s="1174">
        <v>0.02</v>
      </c>
      <c r="I2" s="1174">
        <v>0.114</v>
      </c>
      <c r="J2" s="1218">
        <f>C53/(G2/(C52^H2-1)+I2)</f>
        <v>11.3496030422483</v>
      </c>
      <c r="K2" s="1219"/>
    </row>
    <row r="3" ht="20.4" spans="1:11">
      <c r="A3" s="1179" t="s">
        <v>1890</v>
      </c>
      <c r="B3" s="1180"/>
      <c r="C3" s="1180"/>
      <c r="D3" s="1180"/>
      <c r="F3" s="1178" t="s">
        <v>1755</v>
      </c>
      <c r="G3" s="1174">
        <v>80</v>
      </c>
      <c r="H3" s="1174">
        <v>2</v>
      </c>
      <c r="I3" s="1174">
        <v>0</v>
      </c>
      <c r="J3" s="1218">
        <f>C53/(G3/(C52^H3-1)+I3)</f>
        <v>0.76875</v>
      </c>
      <c r="K3" s="1219"/>
    </row>
    <row r="4" spans="1:11">
      <c r="A4" s="1181"/>
      <c r="B4" s="1181"/>
      <c r="C4" s="1182"/>
      <c r="D4" s="1177"/>
      <c r="F4" s="1173" t="s">
        <v>1756</v>
      </c>
      <c r="G4" s="1174">
        <v>13.5</v>
      </c>
      <c r="H4" s="1174">
        <v>1</v>
      </c>
      <c r="I4" s="1174">
        <v>0</v>
      </c>
      <c r="J4" s="1218">
        <f>C53/(G4/(C52^H4-1)+I4)</f>
        <v>2.22222222222222</v>
      </c>
      <c r="K4" s="1219"/>
    </row>
    <row r="5" spans="1:11">
      <c r="A5" s="1181"/>
      <c r="B5" s="1181"/>
      <c r="C5" s="1182"/>
      <c r="F5" s="1178" t="s">
        <v>1757</v>
      </c>
      <c r="G5" s="1174">
        <v>0.14</v>
      </c>
      <c r="H5" s="1174">
        <v>0.02</v>
      </c>
      <c r="I5" s="1174">
        <v>0</v>
      </c>
      <c r="J5" s="1218">
        <f>C53/(G5/(C52^H5-1)+I5)</f>
        <v>4.18405514703909</v>
      </c>
      <c r="K5" s="1219"/>
    </row>
    <row r="6" spans="1:11">
      <c r="A6" s="1181"/>
      <c r="B6" s="1181"/>
      <c r="C6" s="1182"/>
      <c r="F6" s="1173" t="s">
        <v>1758</v>
      </c>
      <c r="G6" s="1174">
        <v>120</v>
      </c>
      <c r="H6" s="1174">
        <v>1</v>
      </c>
      <c r="I6" s="1174">
        <v>0</v>
      </c>
      <c r="J6" s="1218">
        <f>C53/(G6/(C52^H6-1)+I6)</f>
        <v>0.25</v>
      </c>
      <c r="K6" s="1219"/>
    </row>
    <row r="7" spans="1:11">
      <c r="A7" s="1183" t="s">
        <v>1759</v>
      </c>
      <c r="C7" s="1184"/>
      <c r="K7" s="1220"/>
    </row>
    <row r="8" spans="1:5">
      <c r="A8" s="1183" t="s">
        <v>1761</v>
      </c>
      <c r="C8" s="1177"/>
      <c r="E8" s="1185"/>
    </row>
    <row r="9" spans="1:5">
      <c r="A9" s="1183" t="s">
        <v>1762</v>
      </c>
      <c r="C9" s="1177"/>
      <c r="D9" s="1177"/>
      <c r="E9" s="1185"/>
    </row>
    <row r="10" spans="1:4">
      <c r="A10" s="1176" t="s">
        <v>106</v>
      </c>
      <c r="D10" s="1177"/>
    </row>
    <row r="11" spans="1:4">
      <c r="A11" s="1176"/>
      <c r="D11" s="1177"/>
    </row>
    <row r="12" spans="1:4">
      <c r="A12" s="1176"/>
      <c r="B12" s="1177"/>
      <c r="C12" s="1177"/>
      <c r="D12" s="1177"/>
    </row>
    <row r="13" spans="1:5">
      <c r="A13" s="1183" t="s">
        <v>1763</v>
      </c>
      <c r="B13" s="1184"/>
      <c r="C13" s="1186"/>
      <c r="D13" s="1186"/>
      <c r="E13" s="1175"/>
    </row>
    <row r="14" spans="1:6">
      <c r="A14" s="1176"/>
      <c r="B14" s="1176"/>
      <c r="C14" s="1177"/>
      <c r="D14" s="1177"/>
      <c r="F14" s="1187" t="s">
        <v>1765</v>
      </c>
    </row>
    <row r="15" spans="1:6">
      <c r="A15" s="1183" t="s">
        <v>1764</v>
      </c>
      <c r="B15" s="1188">
        <f ca="1">TODAY()</f>
        <v>44513</v>
      </c>
      <c r="C15" s="1188"/>
      <c r="D15" s="1188"/>
      <c r="F15" s="1187" t="s">
        <v>1766</v>
      </c>
    </row>
    <row r="16" spans="1:6">
      <c r="A16" s="1176"/>
      <c r="B16" s="1176"/>
      <c r="D16" s="1177"/>
      <c r="F16" s="1187" t="s">
        <v>1891</v>
      </c>
    </row>
    <row r="17" spans="1:6">
      <c r="A17" s="1183" t="s">
        <v>1767</v>
      </c>
      <c r="B17" s="1189" t="s">
        <v>1768</v>
      </c>
      <c r="C17" s="1190"/>
      <c r="D17" s="1190"/>
      <c r="F17" s="1187" t="s">
        <v>1892</v>
      </c>
    </row>
    <row r="18" spans="1:4">
      <c r="A18" s="1191" t="s">
        <v>1893</v>
      </c>
      <c r="B18" s="1190" t="s">
        <v>1894</v>
      </c>
      <c r="C18" s="1190"/>
      <c r="D18" s="1190"/>
    </row>
    <row r="19" spans="1:4">
      <c r="A19" s="1191" t="s">
        <v>1895</v>
      </c>
      <c r="B19" s="1190" t="s">
        <v>1896</v>
      </c>
      <c r="C19" s="1190"/>
      <c r="D19" s="1190"/>
    </row>
    <row r="20" spans="1:4">
      <c r="A20" s="1192" t="s">
        <v>1775</v>
      </c>
      <c r="B20" s="1190">
        <v>18</v>
      </c>
      <c r="C20" s="1190"/>
      <c r="D20" s="1190"/>
    </row>
    <row r="21" spans="1:6">
      <c r="A21" s="1193" t="s">
        <v>1776</v>
      </c>
      <c r="C21" s="1194">
        <v>75</v>
      </c>
      <c r="D21" s="1195" t="s">
        <v>632</v>
      </c>
      <c r="F21" s="1196"/>
    </row>
    <row r="22" spans="1:4">
      <c r="A22" s="1193" t="s">
        <v>1777</v>
      </c>
      <c r="C22" s="1194">
        <v>5</v>
      </c>
      <c r="D22" s="1195" t="s">
        <v>632</v>
      </c>
    </row>
    <row r="23" spans="1:4">
      <c r="A23" s="1191" t="s">
        <v>1897</v>
      </c>
      <c r="B23" s="1197"/>
      <c r="C23" s="1194">
        <v>20</v>
      </c>
      <c r="D23" s="1195" t="s">
        <v>632</v>
      </c>
    </row>
    <row r="24" spans="1:4">
      <c r="A24" s="1191" t="s">
        <v>1898</v>
      </c>
      <c r="B24" s="1197"/>
      <c r="C24" s="1194">
        <v>5</v>
      </c>
      <c r="D24" s="1195" t="s">
        <v>632</v>
      </c>
    </row>
    <row r="25" spans="1:7">
      <c r="A25" s="1191" t="s">
        <v>1780</v>
      </c>
      <c r="B25" s="1197"/>
      <c r="C25" s="1194">
        <v>250</v>
      </c>
      <c r="D25" s="1195" t="s">
        <v>632</v>
      </c>
      <c r="G25" s="1198"/>
    </row>
    <row r="26" spans="1:7">
      <c r="A26" s="1191" t="s">
        <v>1781</v>
      </c>
      <c r="B26" s="1197"/>
      <c r="C26" s="1194">
        <v>5</v>
      </c>
      <c r="D26" s="1195" t="s">
        <v>632</v>
      </c>
      <c r="G26" s="1199"/>
    </row>
    <row r="27" spans="1:4">
      <c r="A27" s="1193" t="s">
        <v>1782</v>
      </c>
      <c r="C27" s="1194">
        <v>6</v>
      </c>
      <c r="D27" s="1195" t="s">
        <v>1783</v>
      </c>
    </row>
    <row r="28" spans="1:4">
      <c r="A28" s="1193" t="s">
        <v>1784</v>
      </c>
      <c r="C28" s="1194">
        <v>100</v>
      </c>
      <c r="D28" s="1195" t="s">
        <v>207</v>
      </c>
    </row>
    <row r="29" spans="1:4">
      <c r="A29" s="1200"/>
      <c r="B29" s="1197"/>
      <c r="C29" s="1201"/>
      <c r="D29" s="1177"/>
    </row>
    <row r="30" ht="19.2" spans="1:4">
      <c r="A30" s="1202" t="s">
        <v>1899</v>
      </c>
      <c r="C30" s="1194">
        <v>43.4</v>
      </c>
      <c r="D30" s="1195" t="s">
        <v>632</v>
      </c>
    </row>
    <row r="31" ht="16.2" spans="1:4">
      <c r="A31" s="1203"/>
      <c r="C31" s="1204"/>
      <c r="D31" s="1177"/>
    </row>
    <row r="32" ht="19.2" spans="1:4">
      <c r="A32" s="1183" t="s">
        <v>1789</v>
      </c>
      <c r="B32" s="1176"/>
      <c r="C32" s="1194">
        <v>7.69</v>
      </c>
      <c r="D32" s="1195" t="s">
        <v>1790</v>
      </c>
    </row>
    <row r="33" spans="1:4">
      <c r="A33" s="1183"/>
      <c r="B33" s="1176"/>
      <c r="C33" s="1194"/>
      <c r="D33" s="1195"/>
    </row>
    <row r="34" spans="1:4">
      <c r="A34" s="1183" t="s">
        <v>106</v>
      </c>
      <c r="B34" s="1176"/>
      <c r="C34" s="1194"/>
      <c r="D34" s="1195"/>
    </row>
    <row r="35" spans="1:4">
      <c r="A35" s="1175"/>
      <c r="B35" s="1175"/>
      <c r="C35" s="633"/>
      <c r="D35" s="1177"/>
    </row>
    <row r="36" spans="1:4">
      <c r="A36" s="1205" t="s">
        <v>1900</v>
      </c>
      <c r="B36" s="1206"/>
      <c r="C36" s="1206"/>
      <c r="D36" s="1206"/>
    </row>
    <row r="37" spans="1:4">
      <c r="A37" s="1206"/>
      <c r="B37" s="1206"/>
      <c r="C37" s="1206"/>
      <c r="D37" s="1206"/>
    </row>
    <row r="38" spans="1:4">
      <c r="A38" s="1206"/>
      <c r="B38" s="1206"/>
      <c r="C38" s="1206"/>
      <c r="D38" s="1206"/>
    </row>
    <row r="39" spans="1:4">
      <c r="A39" s="1207" t="s">
        <v>1792</v>
      </c>
      <c r="B39" s="1208"/>
      <c r="C39" s="1208"/>
      <c r="D39" s="1208"/>
    </row>
    <row r="40" spans="1:4">
      <c r="A40" s="1193" t="s">
        <v>1793</v>
      </c>
      <c r="B40" s="1209"/>
      <c r="C40" s="1210" t="s">
        <v>1765</v>
      </c>
      <c r="D40" s="1207" t="s">
        <v>1794</v>
      </c>
    </row>
    <row r="41" ht="19.2" spans="1:4">
      <c r="A41" s="1193" t="s">
        <v>1795</v>
      </c>
      <c r="B41" s="1209"/>
      <c r="C41" s="1211">
        <v>1.05</v>
      </c>
      <c r="D41" s="1208"/>
    </row>
    <row r="42" ht="19.2" spans="1:4">
      <c r="A42" s="1193" t="s">
        <v>1796</v>
      </c>
      <c r="B42" s="1209"/>
      <c r="C42" s="1212">
        <f>IF(C40=F14,INT(C41*C30/C21*100+0.99)/100,"")</f>
        <v>0.61</v>
      </c>
      <c r="D42" s="1195" t="s">
        <v>1797</v>
      </c>
    </row>
    <row r="43" spans="1:4">
      <c r="A43" s="1191" t="s">
        <v>1798</v>
      </c>
      <c r="B43" s="1197"/>
      <c r="C43" s="1213">
        <f>IF(C42&lt;&gt;"",C42*C21,"")</f>
        <v>45.75</v>
      </c>
      <c r="D43" s="1195" t="s">
        <v>632</v>
      </c>
    </row>
    <row r="44" spans="1:4">
      <c r="A44" s="1191" t="s">
        <v>1799</v>
      </c>
      <c r="B44" s="1197"/>
      <c r="C44" s="1212">
        <f>IF(C42&lt;&gt;"",C42*C22,"")</f>
        <v>3.05</v>
      </c>
      <c r="D44" s="1195" t="s">
        <v>632</v>
      </c>
    </row>
    <row r="45" ht="19.2" spans="1:4">
      <c r="A45" s="1193" t="s">
        <v>1901</v>
      </c>
      <c r="B45" s="1209"/>
      <c r="C45" s="1211">
        <v>9</v>
      </c>
      <c r="D45" s="1207" t="s">
        <v>1802</v>
      </c>
    </row>
    <row r="46" ht="19.2" spans="1:14">
      <c r="A46" s="1193" t="s">
        <v>1804</v>
      </c>
      <c r="B46" s="1209"/>
      <c r="C46" s="1211">
        <v>60</v>
      </c>
      <c r="D46" s="1207" t="s">
        <v>1802</v>
      </c>
      <c r="N46" s="633"/>
    </row>
    <row r="47" spans="1:4">
      <c r="A47" s="1193" t="s">
        <v>1902</v>
      </c>
      <c r="B47" s="1209"/>
      <c r="C47" s="1210" t="s">
        <v>1891</v>
      </c>
      <c r="D47" s="1195"/>
    </row>
    <row r="48" ht="16.2" spans="1:1">
      <c r="A48" s="1214"/>
    </row>
    <row r="49" spans="1:4">
      <c r="A49" s="1207" t="s">
        <v>1808</v>
      </c>
      <c r="B49" s="1208"/>
      <c r="C49" s="1208"/>
      <c r="D49" s="1208"/>
    </row>
    <row r="50" spans="1:4">
      <c r="A50" s="1193" t="s">
        <v>1809</v>
      </c>
      <c r="B50" s="1209"/>
      <c r="C50" s="1210" t="s">
        <v>1765</v>
      </c>
      <c r="D50" s="1207" t="s">
        <v>1794</v>
      </c>
    </row>
    <row r="51" spans="1:4">
      <c r="A51" s="1193" t="s">
        <v>1810</v>
      </c>
      <c r="C51" s="1215" t="s">
        <v>1903</v>
      </c>
      <c r="D51" s="1215"/>
    </row>
    <row r="52" ht="19.2" spans="1:4">
      <c r="A52" s="1193" t="s">
        <v>1812</v>
      </c>
      <c r="B52" s="1209"/>
      <c r="C52" s="1211">
        <v>1.05</v>
      </c>
      <c r="D52" s="1208"/>
    </row>
    <row r="53" ht="19.2" spans="1:4">
      <c r="A53" s="1193" t="s">
        <v>1904</v>
      </c>
      <c r="B53" s="1209"/>
      <c r="C53" s="1211">
        <v>600</v>
      </c>
      <c r="D53" s="1207" t="s">
        <v>1788</v>
      </c>
    </row>
    <row r="54" ht="19.2" spans="1:4">
      <c r="A54" s="1193" t="s">
        <v>1813</v>
      </c>
      <c r="B54" s="1209"/>
      <c r="C54" s="1212">
        <f>IF(C50=F14,INT(C30*C52/C21*100+0.99)/100,"")</f>
        <v>0.61</v>
      </c>
      <c r="D54" s="1195" t="s">
        <v>1797</v>
      </c>
    </row>
    <row r="55" spans="1:4">
      <c r="A55" s="1191" t="s">
        <v>1814</v>
      </c>
      <c r="B55" s="1197"/>
      <c r="C55" s="1213">
        <f>IF(C54&lt;&gt;"",C54*C21,"")</f>
        <v>45.75</v>
      </c>
      <c r="D55" s="1195" t="s">
        <v>632</v>
      </c>
    </row>
    <row r="56" spans="1:4">
      <c r="A56" s="1191" t="s">
        <v>1815</v>
      </c>
      <c r="B56" s="1197"/>
      <c r="C56" s="1212">
        <f>IF(C54&lt;&gt;"",C54*C22,"")</f>
        <v>3.05</v>
      </c>
      <c r="D56" s="1195" t="s">
        <v>632</v>
      </c>
    </row>
    <row r="57" spans="1:4">
      <c r="A57" s="1191" t="s">
        <v>1905</v>
      </c>
      <c r="B57" s="1197"/>
      <c r="C57" s="1216" t="e">
        <f>IF(C54&lt;&gt;"",IF(C51=#REF!,#REF!,IF(C51=F1,J1,IF(C51=F2,J2,IF(C51=F3,J3,IF(C51=F4,J4,IF(C51=F5,J5,IF(C51=F6,J6,"错误"))))))))</f>
        <v>#REF!</v>
      </c>
      <c r="D57" s="1207" t="s">
        <v>1788</v>
      </c>
    </row>
    <row r="58" spans="1:4">
      <c r="A58" s="1193" t="s">
        <v>1906</v>
      </c>
      <c r="B58" s="1209"/>
      <c r="C58" s="1210" t="s">
        <v>1891</v>
      </c>
      <c r="D58" s="1195"/>
    </row>
    <row r="59" ht="16.2" spans="1:1">
      <c r="A59" s="1214"/>
    </row>
    <row r="60" spans="1:4">
      <c r="A60" s="1208" t="s">
        <v>1817</v>
      </c>
      <c r="B60" s="1208"/>
      <c r="C60" s="1208"/>
      <c r="D60" s="1208"/>
    </row>
    <row r="61" spans="1:4">
      <c r="A61" s="1193" t="s">
        <v>1818</v>
      </c>
      <c r="B61" s="1209"/>
      <c r="C61" s="1210" t="s">
        <v>1765</v>
      </c>
      <c r="D61" s="1207" t="s">
        <v>1794</v>
      </c>
    </row>
    <row r="62" ht="19.2" spans="1:4">
      <c r="A62" s="1193" t="s">
        <v>1907</v>
      </c>
      <c r="B62" s="1209"/>
      <c r="C62" s="1211">
        <v>3</v>
      </c>
      <c r="D62" s="1207"/>
    </row>
    <row r="63" ht="19.2" spans="1:4">
      <c r="A63" s="1193" t="s">
        <v>1819</v>
      </c>
      <c r="B63" s="1209"/>
      <c r="C63" s="1217">
        <f>IF(C61=F14,INT(10*C62*C30/C21+0.9)/10,"")</f>
        <v>1.8</v>
      </c>
      <c r="D63" s="1195" t="s">
        <v>1797</v>
      </c>
    </row>
    <row r="64" spans="1:4">
      <c r="A64" s="1191" t="s">
        <v>1820</v>
      </c>
      <c r="B64" s="1197"/>
      <c r="C64" s="1213">
        <f>IF(C63&lt;&gt;"",C63*C21,"")</f>
        <v>135</v>
      </c>
      <c r="D64" s="1195" t="s">
        <v>632</v>
      </c>
    </row>
    <row r="65" spans="1:4">
      <c r="A65" s="1191" t="s">
        <v>1821</v>
      </c>
      <c r="B65" s="1197"/>
      <c r="C65" s="1217">
        <f>IF(C63&lt;&gt;"",C63*C22,"")</f>
        <v>9</v>
      </c>
      <c r="D65" s="1195" t="s">
        <v>632</v>
      </c>
    </row>
    <row r="66" ht="19.2" spans="1:4">
      <c r="A66" s="1193" t="s">
        <v>1822</v>
      </c>
      <c r="B66" s="1209"/>
      <c r="C66" s="1221">
        <v>0.5</v>
      </c>
      <c r="D66" s="1207" t="s">
        <v>1788</v>
      </c>
    </row>
    <row r="67" spans="1:4">
      <c r="A67" s="1193" t="s">
        <v>1908</v>
      </c>
      <c r="B67" s="1209"/>
      <c r="C67" s="1210" t="s">
        <v>1891</v>
      </c>
      <c r="D67" s="1195"/>
    </row>
    <row r="68" spans="1:1">
      <c r="A68" s="1169" t="s">
        <v>106</v>
      </c>
    </row>
    <row r="69" spans="1:4">
      <c r="A69" s="1207" t="s">
        <v>1823</v>
      </c>
      <c r="B69" s="1208"/>
      <c r="C69" s="1208"/>
      <c r="D69" s="1208"/>
    </row>
    <row r="70" spans="1:4">
      <c r="A70" s="1193" t="s">
        <v>1824</v>
      </c>
      <c r="B70" s="1209"/>
      <c r="C70" s="1210" t="s">
        <v>1765</v>
      </c>
      <c r="D70" s="1207" t="s">
        <v>1794</v>
      </c>
    </row>
    <row r="71" ht="19.2" spans="1:4">
      <c r="A71" s="1193" t="s">
        <v>1826</v>
      </c>
      <c r="B71" s="1209"/>
      <c r="C71" s="1217">
        <f>IF(C70=F14,INT(4800*C32/C21+0.9)/10,"")</f>
        <v>49.3</v>
      </c>
      <c r="D71" s="1195" t="s">
        <v>1797</v>
      </c>
    </row>
    <row r="72" spans="1:4">
      <c r="A72" s="1191" t="s">
        <v>1827</v>
      </c>
      <c r="B72" s="1197"/>
      <c r="C72" s="1212">
        <f>IF(C71&lt;&gt;"",C71*C21/1000,"")</f>
        <v>3.6975</v>
      </c>
      <c r="D72" s="1195" t="s">
        <v>1790</v>
      </c>
    </row>
    <row r="73" spans="1:4">
      <c r="A73" s="1191" t="s">
        <v>1828</v>
      </c>
      <c r="B73" s="1197"/>
      <c r="C73" s="1217">
        <f>IF(C71&lt;&gt;"",C71*C22,"")</f>
        <v>246.5</v>
      </c>
      <c r="D73" s="1195" t="s">
        <v>632</v>
      </c>
    </row>
    <row r="74" ht="19.2" spans="1:4">
      <c r="A74" s="1193" t="s">
        <v>1829</v>
      </c>
      <c r="B74" s="1209"/>
      <c r="C74" s="1221">
        <v>0.2</v>
      </c>
      <c r="D74" s="1207" t="s">
        <v>1788</v>
      </c>
    </row>
    <row r="75" spans="1:4">
      <c r="A75" s="1193" t="s">
        <v>1909</v>
      </c>
      <c r="B75" s="1209"/>
      <c r="C75" s="1210" t="s">
        <v>1891</v>
      </c>
      <c r="D75" s="1195"/>
    </row>
    <row r="76" ht="16.2" spans="1:4">
      <c r="A76" s="1222"/>
      <c r="B76" s="1209"/>
      <c r="C76" s="1215"/>
      <c r="D76" s="1195"/>
    </row>
    <row r="77" spans="1:4">
      <c r="A77" s="1207" t="s">
        <v>1910</v>
      </c>
      <c r="B77" s="1208"/>
      <c r="C77" s="1208"/>
      <c r="D77" s="1208"/>
    </row>
    <row r="78" spans="1:4">
      <c r="A78" s="1191" t="s">
        <v>1911</v>
      </c>
      <c r="B78" s="1197"/>
      <c r="C78" s="1210" t="s">
        <v>1765</v>
      </c>
      <c r="D78" s="1207" t="s">
        <v>1794</v>
      </c>
    </row>
    <row r="79" spans="1:4">
      <c r="A79" s="1191" t="s">
        <v>1912</v>
      </c>
      <c r="B79" s="1197"/>
      <c r="C79" s="1223">
        <v>6</v>
      </c>
      <c r="D79" s="1195" t="s">
        <v>632</v>
      </c>
    </row>
    <row r="80" ht="19.2" spans="1:4">
      <c r="A80" s="1191" t="s">
        <v>1913</v>
      </c>
      <c r="B80" s="1197"/>
      <c r="C80" s="1212">
        <f>IF(C78=F14,INT(100*C79/C23+0.9)/100,"")</f>
        <v>0.3</v>
      </c>
      <c r="D80" s="1195" t="s">
        <v>1797</v>
      </c>
    </row>
    <row r="81" spans="1:4">
      <c r="A81" s="1191" t="s">
        <v>1914</v>
      </c>
      <c r="B81" s="1197"/>
      <c r="C81" s="1212">
        <f>IF(C80&lt;&gt;"",C80*C24,"")</f>
        <v>1.5</v>
      </c>
      <c r="D81" s="1195" t="s">
        <v>632</v>
      </c>
    </row>
    <row r="82" spans="1:4">
      <c r="A82" s="1191" t="s">
        <v>1915</v>
      </c>
      <c r="B82" s="1197"/>
      <c r="C82" s="1217">
        <f>IF(C80&lt;&gt;"",0.3,"")</f>
        <v>0.3</v>
      </c>
      <c r="D82" s="1207" t="s">
        <v>1788</v>
      </c>
    </row>
    <row r="83" spans="1:4">
      <c r="A83" s="1191" t="s">
        <v>1916</v>
      </c>
      <c r="B83" s="1197"/>
      <c r="C83" s="1210" t="s">
        <v>1891</v>
      </c>
      <c r="D83" s="1195"/>
    </row>
    <row r="84" spans="1:4">
      <c r="A84" s="1209" t="s">
        <v>106</v>
      </c>
      <c r="B84" s="1209"/>
      <c r="C84" s="1215"/>
      <c r="D84" s="1195"/>
    </row>
    <row r="85" spans="1:4">
      <c r="A85" s="1207" t="s">
        <v>1917</v>
      </c>
      <c r="B85" s="1208"/>
      <c r="C85" s="1208"/>
      <c r="D85" s="1208"/>
    </row>
    <row r="86" spans="1:4">
      <c r="A86" s="1193" t="s">
        <v>1855</v>
      </c>
      <c r="B86" s="1209"/>
      <c r="C86" s="1210" t="s">
        <v>1765</v>
      </c>
      <c r="D86" s="1207" t="s">
        <v>1794</v>
      </c>
    </row>
    <row r="87" spans="1:4">
      <c r="A87" s="1191" t="s">
        <v>1856</v>
      </c>
      <c r="B87" s="1197"/>
      <c r="C87" s="1211">
        <v>1</v>
      </c>
      <c r="D87" s="1195" t="s">
        <v>632</v>
      </c>
    </row>
    <row r="88" ht="19.2" spans="1:4">
      <c r="A88" s="1191" t="s">
        <v>1857</v>
      </c>
      <c r="B88" s="1197"/>
      <c r="C88" s="1195">
        <f>IF(C86=F14,INT(C87*1000/C25)/1000,"")</f>
        <v>0.004</v>
      </c>
      <c r="D88" s="1195" t="s">
        <v>1797</v>
      </c>
    </row>
    <row r="89" ht="19.2" spans="1:4">
      <c r="A89" s="1193" t="s">
        <v>1858</v>
      </c>
      <c r="B89" s="1209"/>
      <c r="C89" s="1211">
        <v>0.5</v>
      </c>
      <c r="D89" s="1207" t="s">
        <v>1788</v>
      </c>
    </row>
    <row r="90" spans="1:4">
      <c r="A90" s="1193" t="s">
        <v>1918</v>
      </c>
      <c r="B90" s="1209"/>
      <c r="C90" s="1210" t="s">
        <v>1892</v>
      </c>
      <c r="D90" s="1195"/>
    </row>
    <row r="91" ht="16.2" spans="1:1">
      <c r="A91" s="1214"/>
    </row>
    <row r="92" spans="1:4">
      <c r="A92" s="1207" t="s">
        <v>1919</v>
      </c>
      <c r="B92" s="1208"/>
      <c r="C92" s="1208"/>
      <c r="D92" s="1208"/>
    </row>
    <row r="93" spans="1:4">
      <c r="A93" s="1193" t="s">
        <v>1920</v>
      </c>
      <c r="B93" s="1209"/>
      <c r="C93" s="1210" t="s">
        <v>1765</v>
      </c>
      <c r="D93" s="1207" t="s">
        <v>1794</v>
      </c>
    </row>
    <row r="94" ht="19.2" spans="1:4">
      <c r="A94" s="1193" t="s">
        <v>1921</v>
      </c>
      <c r="B94" s="1209"/>
      <c r="C94" s="1211">
        <v>15</v>
      </c>
      <c r="D94" s="1195" t="s">
        <v>1807</v>
      </c>
    </row>
    <row r="95" ht="19.2" spans="1:4">
      <c r="A95" s="1193" t="s">
        <v>1922</v>
      </c>
      <c r="B95" s="1209"/>
      <c r="C95" s="1224">
        <f>IF(C93=F14,INT(C94*C30/C21+1)/100,"")</f>
        <v>0.09</v>
      </c>
      <c r="D95" s="1195" t="s">
        <v>1797</v>
      </c>
    </row>
    <row r="96" spans="1:4">
      <c r="A96" s="1191" t="s">
        <v>1923</v>
      </c>
      <c r="B96" s="1197"/>
      <c r="C96" s="1195">
        <f>IF(C95&lt;&gt;"",C95*C21,"")</f>
        <v>6.75</v>
      </c>
      <c r="D96" s="1195" t="s">
        <v>632</v>
      </c>
    </row>
    <row r="97" spans="1:4">
      <c r="A97" s="1191" t="s">
        <v>1924</v>
      </c>
      <c r="B97" s="1197"/>
      <c r="C97" s="1195">
        <f>IF(C95&lt;&gt;"",C95*C22,"")</f>
        <v>0.45</v>
      </c>
      <c r="D97" s="1195" t="s">
        <v>632</v>
      </c>
    </row>
    <row r="98" ht="19.2" spans="1:4">
      <c r="A98" s="1193" t="s">
        <v>1925</v>
      </c>
      <c r="B98" s="1209"/>
      <c r="C98" s="1221">
        <v>30</v>
      </c>
      <c r="D98" s="1207" t="s">
        <v>1788</v>
      </c>
    </row>
    <row r="99" spans="1:4">
      <c r="A99" s="1193" t="s">
        <v>1926</v>
      </c>
      <c r="B99" s="1209"/>
      <c r="C99" s="1210" t="s">
        <v>1892</v>
      </c>
      <c r="D99" s="1195"/>
    </row>
    <row r="100" ht="16.2" spans="1:4">
      <c r="A100" s="1222"/>
      <c r="B100" s="1209"/>
      <c r="C100" s="1215"/>
      <c r="D100" s="1195"/>
    </row>
    <row r="101" spans="1:4">
      <c r="A101" s="1207" t="s">
        <v>1927</v>
      </c>
      <c r="B101" s="1208"/>
      <c r="C101" s="1208"/>
      <c r="D101" s="1208"/>
    </row>
    <row r="102" spans="1:4">
      <c r="A102" s="1193" t="s">
        <v>1874</v>
      </c>
      <c r="B102" s="1209"/>
      <c r="C102" s="1210" t="s">
        <v>1765</v>
      </c>
      <c r="D102" s="1207" t="s">
        <v>1794</v>
      </c>
    </row>
    <row r="103" ht="19.2" spans="1:4">
      <c r="A103" s="1193" t="s">
        <v>1875</v>
      </c>
      <c r="B103" s="1209"/>
      <c r="C103" s="1211">
        <v>80</v>
      </c>
      <c r="D103" s="1195" t="s">
        <v>1807</v>
      </c>
    </row>
    <row r="104" ht="19.2" spans="1:4">
      <c r="A104" s="1193" t="s">
        <v>1876</v>
      </c>
      <c r="B104" s="1209"/>
      <c r="C104" s="1212">
        <f>IF(C102=F14,C103*C28/10000,"")</f>
        <v>0.8</v>
      </c>
      <c r="D104" s="1195" t="s">
        <v>1877</v>
      </c>
    </row>
    <row r="105" spans="1:4">
      <c r="A105" s="1191" t="s">
        <v>1878</v>
      </c>
      <c r="B105" s="1197"/>
      <c r="C105" s="1213">
        <f>IF(C104&lt;&gt;"",C104*C27*1000,"")</f>
        <v>4800</v>
      </c>
      <c r="D105" s="1195" t="s">
        <v>207</v>
      </c>
    </row>
    <row r="106" spans="1:4">
      <c r="A106" s="1191" t="s">
        <v>1879</v>
      </c>
      <c r="B106" s="1197"/>
      <c r="C106" s="1213">
        <f>IF(C104&lt;&gt;"",C104*C28,"")</f>
        <v>80</v>
      </c>
      <c r="D106" s="1195" t="s">
        <v>207</v>
      </c>
    </row>
    <row r="107" ht="19.2" spans="1:4">
      <c r="A107" s="1193" t="s">
        <v>1880</v>
      </c>
      <c r="B107" s="1209"/>
      <c r="C107" s="1211">
        <v>9</v>
      </c>
      <c r="D107" s="1207" t="s">
        <v>1788</v>
      </c>
    </row>
    <row r="108" spans="1:4">
      <c r="A108" s="1193" t="s">
        <v>1928</v>
      </c>
      <c r="B108" s="1209"/>
      <c r="C108" s="1210" t="s">
        <v>1891</v>
      </c>
      <c r="D108" s="1195"/>
    </row>
    <row r="109" ht="16.2" spans="1:4">
      <c r="A109" s="1214"/>
      <c r="D109" s="1169"/>
    </row>
    <row r="110" spans="1:4">
      <c r="A110" s="1207" t="s">
        <v>1929</v>
      </c>
      <c r="B110" s="1208"/>
      <c r="C110" s="1208"/>
      <c r="D110" s="1208"/>
    </row>
    <row r="111" spans="1:4">
      <c r="A111" s="1193" t="s">
        <v>1930</v>
      </c>
      <c r="B111" s="1209"/>
      <c r="C111" s="1210" t="s">
        <v>1765</v>
      </c>
      <c r="D111" s="1207" t="s">
        <v>1794</v>
      </c>
    </row>
    <row r="112" ht="19.2" spans="1:4">
      <c r="A112" s="1193" t="s">
        <v>1931</v>
      </c>
      <c r="B112" s="1209"/>
      <c r="C112" s="1211">
        <v>110</v>
      </c>
      <c r="D112" s="1195" t="s">
        <v>1807</v>
      </c>
    </row>
    <row r="113" ht="19.2" spans="1:4">
      <c r="A113" s="1193" t="s">
        <v>1932</v>
      </c>
      <c r="B113" s="1209"/>
      <c r="C113" s="1212">
        <f>IF(C111=F14,C112*C28/10000,"")</f>
        <v>1.1</v>
      </c>
      <c r="D113" s="1195" t="s">
        <v>1877</v>
      </c>
    </row>
    <row r="114" spans="1:4">
      <c r="A114" s="1191" t="s">
        <v>1933</v>
      </c>
      <c r="B114" s="1197"/>
      <c r="C114" s="1217">
        <f>IF(C113&lt;&gt;"",C113*C27,"")</f>
        <v>6.6</v>
      </c>
      <c r="D114" s="1195" t="s">
        <v>1783</v>
      </c>
    </row>
    <row r="115" spans="1:4">
      <c r="A115" s="1191" t="s">
        <v>1934</v>
      </c>
      <c r="B115" s="1197"/>
      <c r="C115" s="1213">
        <f>IF(C113&lt;&gt;"",C113*C28,"")</f>
        <v>110</v>
      </c>
      <c r="D115" s="1195" t="s">
        <v>207</v>
      </c>
    </row>
    <row r="116" ht="19.2" spans="1:4">
      <c r="A116" s="1193" t="s">
        <v>1935</v>
      </c>
      <c r="B116" s="1209"/>
      <c r="C116" s="1211">
        <v>9</v>
      </c>
      <c r="D116" s="1207" t="s">
        <v>1788</v>
      </c>
    </row>
    <row r="117" spans="1:4">
      <c r="A117" s="1193" t="s">
        <v>1936</v>
      </c>
      <c r="B117" s="1209"/>
      <c r="C117" s="1210" t="s">
        <v>1891</v>
      </c>
      <c r="D117" s="1195"/>
    </row>
    <row r="118" ht="16.2" spans="1:1">
      <c r="A118" s="1214"/>
    </row>
    <row r="119" spans="1:4">
      <c r="A119" s="1207" t="s">
        <v>1937</v>
      </c>
      <c r="B119" s="1208"/>
      <c r="C119" s="1208"/>
      <c r="D119" s="1208"/>
    </row>
    <row r="120" spans="1:4">
      <c r="A120" s="1193" t="s">
        <v>1938</v>
      </c>
      <c r="B120" s="1209"/>
      <c r="C120" s="1210" t="s">
        <v>1765</v>
      </c>
      <c r="D120" s="1207" t="s">
        <v>1794</v>
      </c>
    </row>
    <row r="121" ht="19.2" spans="1:4">
      <c r="A121" s="1193" t="s">
        <v>1939</v>
      </c>
      <c r="B121" s="1209"/>
      <c r="C121" s="1211">
        <v>15</v>
      </c>
      <c r="D121" s="1195" t="s">
        <v>1807</v>
      </c>
    </row>
    <row r="122" ht="19.2" spans="1:4">
      <c r="A122" s="1193" t="s">
        <v>1940</v>
      </c>
      <c r="B122" s="1209"/>
      <c r="C122" s="1212">
        <f>IF(C120=F14,C121*C28/10000,"")</f>
        <v>0.15</v>
      </c>
      <c r="D122" s="1195" t="s">
        <v>1877</v>
      </c>
    </row>
    <row r="123" spans="1:4">
      <c r="A123" s="1191" t="s">
        <v>1941</v>
      </c>
      <c r="B123" s="1197"/>
      <c r="C123" s="1195">
        <f>IF(C122&lt;&gt;"",C122*C27*1000,"")</f>
        <v>900</v>
      </c>
      <c r="D123" s="1195" t="s">
        <v>207</v>
      </c>
    </row>
    <row r="124" spans="1:4">
      <c r="A124" s="1191" t="s">
        <v>1942</v>
      </c>
      <c r="B124" s="1197"/>
      <c r="C124" s="1195">
        <f>IF(C122&lt;&gt;"",C122*C28,"")</f>
        <v>15</v>
      </c>
      <c r="D124" s="1195" t="s">
        <v>207</v>
      </c>
    </row>
    <row r="125" ht="19.2" spans="1:4">
      <c r="A125" s="1193" t="s">
        <v>1943</v>
      </c>
      <c r="B125" s="1209"/>
      <c r="C125" s="1221">
        <v>30</v>
      </c>
      <c r="D125" s="1207" t="s">
        <v>1788</v>
      </c>
    </row>
    <row r="126" spans="1:4">
      <c r="A126" s="1193" t="s">
        <v>1944</v>
      </c>
      <c r="B126" s="1209"/>
      <c r="C126" s="1210" t="s">
        <v>1892</v>
      </c>
      <c r="D126" s="1195"/>
    </row>
    <row r="127" spans="1:1">
      <c r="A127" s="1169" t="s">
        <v>106</v>
      </c>
    </row>
    <row r="128" spans="1:4">
      <c r="A128" s="1207" t="s">
        <v>1945</v>
      </c>
      <c r="B128" s="1208"/>
      <c r="C128" s="1208"/>
      <c r="D128" s="1208"/>
    </row>
    <row r="129" spans="1:4">
      <c r="A129" s="1193" t="s">
        <v>1946</v>
      </c>
      <c r="B129" s="1209"/>
      <c r="C129" s="1210" t="s">
        <v>1765</v>
      </c>
      <c r="D129" s="1207" t="s">
        <v>1794</v>
      </c>
    </row>
    <row r="130" ht="19.2" spans="1:4">
      <c r="A130" s="1193" t="s">
        <v>1947</v>
      </c>
      <c r="B130" s="1209"/>
      <c r="C130" s="1211">
        <v>15</v>
      </c>
      <c r="D130" s="1195" t="s">
        <v>1807</v>
      </c>
    </row>
    <row r="131" ht="19.2" spans="1:4">
      <c r="A131" s="1193" t="s">
        <v>1948</v>
      </c>
      <c r="B131" s="1209"/>
      <c r="C131" s="1212">
        <f>IF(C129=F14,C130*C28/10000,"")</f>
        <v>0.15</v>
      </c>
      <c r="D131" s="1195" t="s">
        <v>1877</v>
      </c>
    </row>
    <row r="132" ht="15.75" customHeight="1" spans="1:4">
      <c r="A132" s="1191" t="s">
        <v>1949</v>
      </c>
      <c r="B132" s="1197"/>
      <c r="C132" s="1213">
        <f>IF(C131&lt;&gt;"",C131*C27*1000,"")</f>
        <v>900</v>
      </c>
      <c r="D132" s="1195" t="s">
        <v>207</v>
      </c>
    </row>
    <row r="133" ht="15.75" customHeight="1" spans="1:4">
      <c r="A133" s="1191" t="s">
        <v>1950</v>
      </c>
      <c r="B133" s="1197"/>
      <c r="C133" s="1213">
        <f>IF(C131&lt;&gt;"",C131*C28,"")</f>
        <v>15</v>
      </c>
      <c r="D133" s="1195" t="s">
        <v>207</v>
      </c>
    </row>
    <row r="134" ht="19.2" spans="1:4">
      <c r="A134" s="1193" t="s">
        <v>1951</v>
      </c>
      <c r="B134" s="1209"/>
      <c r="C134" s="1211">
        <v>9</v>
      </c>
      <c r="D134" s="1207" t="s">
        <v>1788</v>
      </c>
    </row>
    <row r="135" spans="1:4">
      <c r="A135" s="1193" t="s">
        <v>1952</v>
      </c>
      <c r="B135" s="1209"/>
      <c r="C135" s="1210" t="s">
        <v>1891</v>
      </c>
      <c r="D135" s="1195"/>
    </row>
    <row r="136" ht="16.2" spans="1:1">
      <c r="A136" s="1214"/>
    </row>
  </sheetData>
  <protectedRanges>
    <protectedRange sqref="A119:D126 K46:N46 A49:D52 A54:B58 D54:D58 C54:C56 C58 A110:D117 A128:D135 A84:D108 A38:D47 A69:D76 A60:D67 A1:D35" name="区域1_3"/>
    <protectedRange sqref="A53:D53" name="区域1_1_2"/>
    <protectedRange sqref="C57" name="区域1_6_1"/>
    <protectedRange sqref="A77 A78:D83" name="区域1_2_1"/>
    <protectedRange sqref="A36:D37" name="区域1_1_1_1"/>
  </protectedRanges>
  <customSheetViews>
    <customSheetView guid="{B9330FFD-B5EF-4680-A375-DB92D4738404}" hiddenColumns="1">
      <selection activeCell="M15" sqref="M15"/>
      <pageMargins left="0.7" right="0.7" top="0.75" bottom="0.75" header="0.3" footer="0.3"/>
      <headerFooter/>
    </customSheetView>
  </customSheetViews>
  <mergeCells count="54">
    <mergeCell ref="A1:D1"/>
    <mergeCell ref="A3:D3"/>
    <mergeCell ref="B13:D13"/>
    <mergeCell ref="B15:D15"/>
    <mergeCell ref="B17:D17"/>
    <mergeCell ref="B18:D18"/>
    <mergeCell ref="B19:D19"/>
    <mergeCell ref="B20:D20"/>
    <mergeCell ref="A23:B23"/>
    <mergeCell ref="A24:B24"/>
    <mergeCell ref="A25:B25"/>
    <mergeCell ref="A26:B26"/>
    <mergeCell ref="A32:B32"/>
    <mergeCell ref="A39:D39"/>
    <mergeCell ref="A43:B43"/>
    <mergeCell ref="A44:B44"/>
    <mergeCell ref="A49:D49"/>
    <mergeCell ref="C51:D51"/>
    <mergeCell ref="A55:B55"/>
    <mergeCell ref="A56:B56"/>
    <mergeCell ref="A57:B57"/>
    <mergeCell ref="A60:D60"/>
    <mergeCell ref="A64:B64"/>
    <mergeCell ref="A65:B65"/>
    <mergeCell ref="A69:D69"/>
    <mergeCell ref="A72:B72"/>
    <mergeCell ref="A73:B73"/>
    <mergeCell ref="A77:D77"/>
    <mergeCell ref="A78:B78"/>
    <mergeCell ref="A79:B79"/>
    <mergeCell ref="A80:B80"/>
    <mergeCell ref="A81:B81"/>
    <mergeCell ref="A82:B82"/>
    <mergeCell ref="A83:B83"/>
    <mergeCell ref="A85:D85"/>
    <mergeCell ref="A87:B87"/>
    <mergeCell ref="A88:B88"/>
    <mergeCell ref="A92:D92"/>
    <mergeCell ref="A96:B96"/>
    <mergeCell ref="A97:B97"/>
    <mergeCell ref="A101:D101"/>
    <mergeCell ref="A105:B105"/>
    <mergeCell ref="A106:B106"/>
    <mergeCell ref="A110:D110"/>
    <mergeCell ref="A114:B114"/>
    <mergeCell ref="A115:B115"/>
    <mergeCell ref="A119:D119"/>
    <mergeCell ref="A123:B123"/>
    <mergeCell ref="A124:B124"/>
    <mergeCell ref="A128:D128"/>
    <mergeCell ref="A132:B132"/>
    <mergeCell ref="A133:B133"/>
    <mergeCell ref="E1:E2"/>
    <mergeCell ref="A36:D37"/>
  </mergeCells>
  <dataValidations count="4">
    <dataValidation type="list" allowBlank="1" showInputMessage="1" showErrorMessage="1" error="仅能选择跳闸和信号！" sqref="C83">
      <formula1>$F$18:$F$19</formula1>
    </dataValidation>
    <dataValidation type="list" allowBlank="1" showInputMessage="1" showErrorMessage="1" error="只能选择曲线类型" sqref="C51:D51">
      <formula1>$F$1:$F$6</formula1>
    </dataValidation>
    <dataValidation type="list" allowBlank="1" showInputMessage="1" showErrorMessage="1" error="只能选择投入或退出" sqref="C40 C50 C61 C70 C78 C86 C93 C102 C111 C120 C129">
      <formula1>$F$14:$F$15</formula1>
    </dataValidation>
    <dataValidation type="list" allowBlank="1" showInputMessage="1" showErrorMessage="1" error="仅能选择跳闸和信号！" sqref="C47 C58 C67 C84 C90 C108 C117 C126 C135 C75:C76 C99:C100">
      <formula1>$F$16:$F$17</formula1>
    </dataValidation>
  </dataValidations>
  <hyperlinks>
    <hyperlink ref="E1:E2" location="目录!A1" display="目录!A1"/>
  </hyperlink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P1:AF129"/>
  <sheetViews>
    <sheetView topLeftCell="A7" workbookViewId="0">
      <selection activeCell="P1" sqref="P1"/>
    </sheetView>
  </sheetViews>
  <sheetFormatPr defaultColWidth="9" defaultRowHeight="15.6"/>
  <cols>
    <col min="15" max="15" width="6" customWidth="1"/>
    <col min="16" max="16" width="2.625" customWidth="1"/>
    <col min="31" max="31" width="6.125" customWidth="1"/>
    <col min="32" max="32" width="2.625" customWidth="1"/>
  </cols>
  <sheetData>
    <row r="1" spans="16:32">
      <c r="P1" s="1166" t="s">
        <v>88</v>
      </c>
      <c r="AF1" s="1167" t="s">
        <v>88</v>
      </c>
    </row>
    <row r="2" spans="16:32">
      <c r="P2" s="1166"/>
      <c r="AF2" s="1167"/>
    </row>
    <row r="3" spans="16:32">
      <c r="P3" s="1166"/>
      <c r="AF3" s="1167"/>
    </row>
    <row r="4" spans="16:32">
      <c r="P4" s="1166"/>
      <c r="AF4" s="1167"/>
    </row>
    <row r="5" spans="16:32">
      <c r="P5" s="1166"/>
      <c r="AF5" s="1167"/>
    </row>
    <row r="6" spans="16:32">
      <c r="P6" s="1166"/>
      <c r="AF6" s="1167"/>
    </row>
    <row r="7" spans="16:32">
      <c r="P7" s="1166"/>
      <c r="AF7" s="1167"/>
    </row>
    <row r="8" spans="16:32">
      <c r="P8" s="1166"/>
      <c r="AF8" s="1167"/>
    </row>
    <row r="9" spans="16:32">
      <c r="P9" s="1166"/>
      <c r="AF9" s="1167"/>
    </row>
    <row r="10" spans="16:32">
      <c r="P10" s="1166"/>
      <c r="AF10" s="1167"/>
    </row>
    <row r="11" spans="16:32">
      <c r="P11" s="1166"/>
      <c r="AF11" s="1167"/>
    </row>
    <row r="12" spans="16:32">
      <c r="P12" s="1166"/>
      <c r="AF12" s="1167"/>
    </row>
    <row r="13" spans="16:32">
      <c r="P13" s="1166"/>
      <c r="AF13" s="1167"/>
    </row>
    <row r="14" spans="16:32">
      <c r="P14" s="1166"/>
      <c r="AF14" s="1167"/>
    </row>
    <row r="15" spans="16:32">
      <c r="P15" s="1166"/>
      <c r="AF15" s="1167"/>
    </row>
    <row r="16" spans="16:32">
      <c r="P16" s="1166"/>
      <c r="AF16" s="1167"/>
    </row>
    <row r="17" spans="16:32">
      <c r="P17" s="1166"/>
      <c r="AF17" s="1167"/>
    </row>
    <row r="18" spans="16:32">
      <c r="P18" s="1166"/>
      <c r="AF18" s="1167"/>
    </row>
    <row r="19" spans="16:32">
      <c r="P19" s="1166"/>
      <c r="AF19" s="1167"/>
    </row>
    <row r="20" spans="16:32">
      <c r="P20" s="1166"/>
      <c r="AF20" s="1167"/>
    </row>
    <row r="21" spans="16:32">
      <c r="P21" s="1166"/>
      <c r="AF21" s="1167"/>
    </row>
    <row r="22" spans="16:32">
      <c r="P22" s="1166"/>
      <c r="AF22" s="1167"/>
    </row>
    <row r="23" spans="16:32">
      <c r="P23" s="1166"/>
      <c r="AF23" s="1167"/>
    </row>
    <row r="24" spans="16:32">
      <c r="P24" s="1166"/>
      <c r="AF24" s="1167"/>
    </row>
    <row r="25" spans="16:32">
      <c r="P25" s="1166"/>
      <c r="AF25" s="1167"/>
    </row>
    <row r="26" spans="16:32">
      <c r="P26" s="1166"/>
      <c r="AF26" s="1167"/>
    </row>
    <row r="27" spans="16:32">
      <c r="P27" s="1166"/>
      <c r="AF27" s="1167"/>
    </row>
    <row r="28" spans="16:32">
      <c r="P28" s="1166"/>
      <c r="AF28" s="1167"/>
    </row>
    <row r="29" spans="16:32">
      <c r="P29" s="1166"/>
      <c r="S29" s="289"/>
      <c r="AF29" s="1167"/>
    </row>
    <row r="30" spans="16:32">
      <c r="P30" s="1166"/>
      <c r="AF30" s="1167"/>
    </row>
    <row r="31" spans="16:32">
      <c r="P31" s="1166"/>
      <c r="AF31" s="1167"/>
    </row>
    <row r="32" spans="16:32">
      <c r="P32" s="1166"/>
      <c r="AF32" s="1167"/>
    </row>
    <row r="33" spans="16:32">
      <c r="P33" s="1166"/>
      <c r="AF33" s="1167"/>
    </row>
    <row r="34" spans="16:32">
      <c r="P34" s="1166"/>
      <c r="AF34" s="1167"/>
    </row>
    <row r="35" spans="16:32">
      <c r="P35" s="1166"/>
      <c r="AF35" s="1167"/>
    </row>
    <row r="36" spans="16:32">
      <c r="P36" s="1166"/>
      <c r="AF36" s="1167"/>
    </row>
    <row r="37" spans="16:32">
      <c r="P37" s="1166"/>
      <c r="AF37" s="1167"/>
    </row>
    <row r="38" spans="16:32">
      <c r="P38" s="1166"/>
      <c r="AF38" s="1167"/>
    </row>
    <row r="39" spans="16:32">
      <c r="P39" s="1166"/>
      <c r="AF39" s="1167"/>
    </row>
    <row r="40" spans="16:32">
      <c r="P40" s="1166"/>
      <c r="AF40" s="1167"/>
    </row>
    <row r="41" spans="16:32">
      <c r="P41" s="1166"/>
      <c r="AF41" s="1167"/>
    </row>
    <row r="42" spans="16:32">
      <c r="P42" s="1166"/>
      <c r="AF42" s="1167"/>
    </row>
    <row r="43" spans="16:32">
      <c r="P43" s="1166"/>
      <c r="AF43" s="1167"/>
    </row>
    <row r="44" spans="16:32">
      <c r="P44" s="1166"/>
      <c r="AF44" s="1167"/>
    </row>
    <row r="45" spans="16:32">
      <c r="P45" s="1166"/>
      <c r="AF45" s="1167"/>
    </row>
    <row r="46" spans="16:32">
      <c r="P46" s="1166"/>
      <c r="AF46" s="1167"/>
    </row>
    <row r="47" spans="16:32">
      <c r="P47" s="1166"/>
      <c r="AF47" s="1167"/>
    </row>
    <row r="48" spans="16:32">
      <c r="P48" s="1166"/>
      <c r="AF48" s="1167"/>
    </row>
    <row r="49" spans="16:32">
      <c r="P49" s="1166"/>
      <c r="AF49" s="1167"/>
    </row>
    <row r="50" spans="16:32">
      <c r="P50" s="1166"/>
      <c r="AF50" s="1167"/>
    </row>
    <row r="51" spans="16:32">
      <c r="P51" s="1166"/>
      <c r="AF51" s="1167"/>
    </row>
    <row r="52" spans="16:32">
      <c r="P52" s="1166"/>
      <c r="AF52" s="1167"/>
    </row>
    <row r="53" spans="16:32">
      <c r="P53" s="1166"/>
      <c r="AF53" s="1167"/>
    </row>
    <row r="54" spans="16:32">
      <c r="P54" s="1166"/>
      <c r="AF54" s="1167"/>
    </row>
    <row r="55" spans="16:32">
      <c r="P55" s="1166"/>
      <c r="AF55" s="1167"/>
    </row>
    <row r="56" spans="16:32">
      <c r="P56" s="1166"/>
      <c r="AF56" s="1167"/>
    </row>
    <row r="57" spans="16:32">
      <c r="P57" s="1166"/>
      <c r="AF57" s="1167"/>
    </row>
    <row r="58" spans="16:32">
      <c r="P58" s="1166"/>
      <c r="AF58" s="1167"/>
    </row>
    <row r="59" spans="16:32">
      <c r="P59" s="1166"/>
      <c r="AF59" s="1167"/>
    </row>
    <row r="60" spans="16:32">
      <c r="P60" s="1166"/>
      <c r="AF60" s="1167"/>
    </row>
    <row r="61" spans="16:32">
      <c r="P61" s="1166"/>
      <c r="AF61" s="1167"/>
    </row>
    <row r="62" spans="16:32">
      <c r="P62" s="1166"/>
      <c r="AF62" s="1167"/>
    </row>
    <row r="63" spans="16:32">
      <c r="P63" s="1166"/>
      <c r="AF63" s="1167"/>
    </row>
    <row r="64" spans="16:32">
      <c r="P64" s="1166"/>
      <c r="AF64" s="1167"/>
    </row>
    <row r="65" spans="16:32">
      <c r="P65" s="1166"/>
      <c r="AF65" s="1167"/>
    </row>
    <row r="66" spans="16:32">
      <c r="P66" s="1166"/>
      <c r="AF66" s="1167"/>
    </row>
    <row r="67" spans="16:32">
      <c r="P67" s="1166"/>
      <c r="AF67" s="1167"/>
    </row>
    <row r="68" spans="16:32">
      <c r="P68" s="1166"/>
      <c r="AF68" s="1167"/>
    </row>
    <row r="69" spans="16:32">
      <c r="P69" s="1166"/>
      <c r="AF69" s="1167"/>
    </row>
    <row r="70" spans="16:32">
      <c r="P70" s="1166"/>
      <c r="AF70" s="1167"/>
    </row>
    <row r="71" spans="16:32">
      <c r="P71" s="1166"/>
      <c r="AF71" s="1167"/>
    </row>
    <row r="72" spans="16:32">
      <c r="P72" s="1166"/>
      <c r="AF72" s="1167"/>
    </row>
    <row r="73" spans="16:32">
      <c r="P73" s="1166"/>
      <c r="AF73" s="1167"/>
    </row>
    <row r="74" spans="16:32">
      <c r="P74" s="1166"/>
      <c r="AF74" s="1167"/>
    </row>
    <row r="75" spans="16:32">
      <c r="P75" s="1166"/>
      <c r="AF75" s="1167"/>
    </row>
    <row r="76" spans="16:32">
      <c r="P76" s="1166"/>
      <c r="AF76" s="1167"/>
    </row>
    <row r="77" spans="16:32">
      <c r="P77" s="1166"/>
      <c r="AF77" s="1167"/>
    </row>
    <row r="78" spans="16:32">
      <c r="P78" s="1166"/>
      <c r="AF78" s="1167"/>
    </row>
    <row r="79" spans="16:32">
      <c r="P79" s="1166"/>
      <c r="AF79" s="1167"/>
    </row>
    <row r="80" spans="16:32">
      <c r="P80" s="1166"/>
      <c r="AF80" s="1167"/>
    </row>
    <row r="81" spans="16:32">
      <c r="P81" s="1166"/>
      <c r="AF81" s="1167"/>
    </row>
    <row r="82" spans="16:32">
      <c r="P82" s="1166"/>
      <c r="AF82" s="1167"/>
    </row>
    <row r="83" spans="16:32">
      <c r="P83" s="1166"/>
      <c r="AF83" s="1167"/>
    </row>
    <row r="84" spans="16:32">
      <c r="P84" s="1166"/>
      <c r="AF84" s="1167"/>
    </row>
    <row r="85" spans="16:32">
      <c r="P85" s="1166"/>
      <c r="AF85" s="1167"/>
    </row>
    <row r="86" spans="16:32">
      <c r="P86" s="1166"/>
      <c r="AF86" s="1167"/>
    </row>
    <row r="87" spans="16:32">
      <c r="P87" s="1166"/>
      <c r="AF87" s="1167"/>
    </row>
    <row r="88" spans="16:32">
      <c r="P88" s="1166"/>
      <c r="AF88" s="1167"/>
    </row>
    <row r="89" spans="16:32">
      <c r="P89" s="1166"/>
      <c r="AF89" s="1167"/>
    </row>
    <row r="90" spans="16:32">
      <c r="P90" s="1166"/>
      <c r="AF90" s="1167"/>
    </row>
    <row r="91" spans="16:32">
      <c r="P91" s="1166"/>
      <c r="AF91" s="1167"/>
    </row>
    <row r="92" spans="16:32">
      <c r="P92" s="1166"/>
      <c r="AF92" s="1167"/>
    </row>
    <row r="93" spans="16:32">
      <c r="P93" s="1166"/>
      <c r="AF93" s="1167"/>
    </row>
    <row r="94" spans="16:32">
      <c r="P94" s="1166"/>
      <c r="AF94" s="1167"/>
    </row>
    <row r="95" spans="16:32">
      <c r="P95" s="1166"/>
      <c r="AF95" s="1167"/>
    </row>
    <row r="96" spans="16:32">
      <c r="P96" s="1166"/>
      <c r="AF96" s="1167"/>
    </row>
    <row r="97" spans="16:32">
      <c r="P97" s="1166"/>
      <c r="AF97" s="1167"/>
    </row>
    <row r="98" spans="16:32">
      <c r="P98" s="1166"/>
      <c r="AF98" s="1167"/>
    </row>
    <row r="99" spans="16:32">
      <c r="P99" s="1166"/>
      <c r="AF99" s="1167"/>
    </row>
    <row r="100" spans="16:32">
      <c r="P100" s="1166"/>
      <c r="AF100" s="1167"/>
    </row>
    <row r="101" spans="16:32">
      <c r="P101" s="1166"/>
      <c r="AF101" s="1167"/>
    </row>
    <row r="102" spans="16:32">
      <c r="P102" s="1166"/>
      <c r="AF102" s="1167"/>
    </row>
    <row r="103" spans="16:32">
      <c r="P103" s="1166"/>
      <c r="AF103" s="1167"/>
    </row>
    <row r="104" spans="16:32">
      <c r="P104" s="1166"/>
      <c r="AF104" s="1167"/>
    </row>
    <row r="105" spans="16:32">
      <c r="P105" s="1166"/>
      <c r="AF105" s="1167"/>
    </row>
    <row r="106" spans="16:32">
      <c r="P106" s="1166"/>
      <c r="AF106" s="1167"/>
    </row>
    <row r="107" spans="16:32">
      <c r="P107" s="1166"/>
      <c r="AF107" s="1167"/>
    </row>
    <row r="108" spans="16:32">
      <c r="P108" s="1166"/>
      <c r="AF108" s="1167"/>
    </row>
    <row r="109" spans="16:32">
      <c r="P109" s="1166"/>
      <c r="AF109" s="1167"/>
    </row>
    <row r="110" spans="16:32">
      <c r="P110" s="1166"/>
      <c r="AF110" s="1167"/>
    </row>
    <row r="111" spans="16:32">
      <c r="P111" s="1166"/>
      <c r="AF111" s="1167"/>
    </row>
    <row r="112" spans="16:32">
      <c r="P112" s="1166"/>
      <c r="AF112" s="1167"/>
    </row>
    <row r="113" spans="16:32">
      <c r="P113" s="1166"/>
      <c r="AF113" s="1167"/>
    </row>
    <row r="114" spans="16:32">
      <c r="P114" s="1166"/>
      <c r="AF114" s="1167"/>
    </row>
    <row r="115" spans="16:32">
      <c r="P115" s="1166"/>
      <c r="AF115" s="1167"/>
    </row>
    <row r="116" spans="16:32">
      <c r="P116" s="1166"/>
      <c r="AF116" s="1167"/>
    </row>
    <row r="117" spans="16:32">
      <c r="P117" s="1166"/>
      <c r="AF117" s="1167"/>
    </row>
    <row r="118" spans="16:32">
      <c r="P118" s="1166"/>
      <c r="AF118" s="1167"/>
    </row>
    <row r="119" spans="16:32">
      <c r="P119" s="1166"/>
      <c r="AF119" s="1167"/>
    </row>
    <row r="120" spans="16:32">
      <c r="P120" s="1166"/>
      <c r="AF120" s="1167"/>
    </row>
    <row r="121" spans="16:32">
      <c r="P121" s="1166"/>
      <c r="AF121" s="1167"/>
    </row>
    <row r="122" spans="16:32">
      <c r="P122" s="1166"/>
      <c r="AF122" s="1167"/>
    </row>
    <row r="123" spans="16:32">
      <c r="P123" s="1166"/>
      <c r="AF123" s="1167"/>
    </row>
    <row r="124" spans="16:32">
      <c r="P124" s="1166"/>
      <c r="AF124" s="1167"/>
    </row>
    <row r="125" spans="16:16">
      <c r="P125" s="1166"/>
    </row>
    <row r="126" spans="16:16">
      <c r="P126" s="1166"/>
    </row>
    <row r="127" spans="16:16">
      <c r="P127" s="1166"/>
    </row>
    <row r="128" spans="16:16">
      <c r="P128" s="1166"/>
    </row>
    <row r="129" spans="16:16">
      <c r="P129" s="1166"/>
    </row>
  </sheetData>
  <customSheetViews>
    <customSheetView guid="{B9330FFD-B5EF-4680-A375-DB92D4738404}" topLeftCell="B1">
      <selection activeCell="K197" sqref="K197"/>
      <pageMargins left="0.7" right="0.7" top="0.75" bottom="0.75" header="0.3" footer="0.3"/>
      <headerFooter/>
    </customSheetView>
  </customSheetViews>
  <hyperlinks>
    <hyperlink ref="P1:P129" location="目录!A1" display="目录!A1"/>
    <hyperlink ref="AF1:AF124" location="目录!A1" display="目录!A1"/>
  </hyperlink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3"/>
  <sheetViews>
    <sheetView workbookViewId="0">
      <pane ySplit="2" topLeftCell="A91" activePane="bottomLeft" state="frozen"/>
      <selection/>
      <selection pane="bottomLeft" activeCell="M2" sqref="M2"/>
    </sheetView>
  </sheetViews>
  <sheetFormatPr defaultColWidth="9" defaultRowHeight="15.6"/>
  <cols>
    <col min="2" max="2" width="11.875" customWidth="1"/>
    <col min="10" max="10" width="11.5" customWidth="1"/>
  </cols>
  <sheetData>
    <row r="1" ht="22.2" spans="1:10">
      <c r="A1" s="1152" t="s">
        <v>1953</v>
      </c>
      <c r="B1" s="1152"/>
      <c r="C1" s="1152"/>
      <c r="D1" s="1152"/>
      <c r="E1" s="1152"/>
      <c r="F1" s="1152"/>
      <c r="G1" s="1152"/>
      <c r="H1" s="1152"/>
      <c r="I1" s="1152"/>
      <c r="J1" s="155" t="s">
        <v>88</v>
      </c>
    </row>
    <row r="2" ht="46.8" spans="1:10">
      <c r="A2" s="1153" t="s">
        <v>8</v>
      </c>
      <c r="B2" s="1154" t="s">
        <v>1558</v>
      </c>
      <c r="C2" s="1154" t="s">
        <v>1954</v>
      </c>
      <c r="D2" s="1154" t="s">
        <v>1955</v>
      </c>
      <c r="E2" s="1154" t="s">
        <v>1956</v>
      </c>
      <c r="F2" s="1154" t="s">
        <v>1957</v>
      </c>
      <c r="G2" s="1154" t="s">
        <v>1958</v>
      </c>
      <c r="H2" s="1154" t="s">
        <v>1959</v>
      </c>
      <c r="I2" s="1154" t="s">
        <v>1960</v>
      </c>
      <c r="J2" s="1161" t="s">
        <v>1961</v>
      </c>
    </row>
    <row r="3" ht="21" customHeight="1" spans="1:10">
      <c r="A3" s="1155">
        <v>1</v>
      </c>
      <c r="B3" s="1156" t="s">
        <v>1962</v>
      </c>
      <c r="C3" s="415">
        <v>0.75</v>
      </c>
      <c r="D3" s="415">
        <v>1</v>
      </c>
      <c r="E3" s="415">
        <v>1.8</v>
      </c>
      <c r="F3" s="415">
        <v>2825</v>
      </c>
      <c r="G3" s="415">
        <v>75</v>
      </c>
      <c r="H3" s="415">
        <v>0.84</v>
      </c>
      <c r="I3" s="1162">
        <v>17</v>
      </c>
      <c r="J3" s="1084">
        <f t="shared" ref="J3:J66" si="0">9550*C3/F3</f>
        <v>2.5353982300885</v>
      </c>
    </row>
    <row r="4" ht="21" customHeight="1" spans="1:10">
      <c r="A4" s="1157">
        <v>2</v>
      </c>
      <c r="B4" s="1153" t="s">
        <v>1963</v>
      </c>
      <c r="C4" s="362">
        <v>1.1</v>
      </c>
      <c r="D4" s="362">
        <v>1.5</v>
      </c>
      <c r="E4" s="362">
        <v>2.5</v>
      </c>
      <c r="F4" s="362">
        <v>2825</v>
      </c>
      <c r="G4" s="362">
        <v>77</v>
      </c>
      <c r="H4" s="362">
        <v>0.86</v>
      </c>
      <c r="I4" s="1163">
        <v>18</v>
      </c>
      <c r="J4" s="1084">
        <f t="shared" si="0"/>
        <v>3.71858407079646</v>
      </c>
    </row>
    <row r="5" ht="21" customHeight="1" spans="1:10">
      <c r="A5" s="1157">
        <v>3</v>
      </c>
      <c r="B5" s="1153" t="s">
        <v>1964</v>
      </c>
      <c r="C5" s="362">
        <v>1.5</v>
      </c>
      <c r="D5" s="362">
        <v>2</v>
      </c>
      <c r="E5" s="362">
        <v>3.4</v>
      </c>
      <c r="F5" s="362">
        <v>2840</v>
      </c>
      <c r="G5" s="362">
        <v>78</v>
      </c>
      <c r="H5" s="362">
        <v>0.85</v>
      </c>
      <c r="I5" s="1163">
        <v>22</v>
      </c>
      <c r="J5" s="1084">
        <f t="shared" si="0"/>
        <v>5.04401408450704</v>
      </c>
    </row>
    <row r="6" ht="21" customHeight="1" spans="1:10">
      <c r="A6" s="1157">
        <v>4</v>
      </c>
      <c r="B6" s="1153" t="s">
        <v>1965</v>
      </c>
      <c r="C6" s="362">
        <v>2.2</v>
      </c>
      <c r="D6" s="362">
        <v>3</v>
      </c>
      <c r="E6" s="362">
        <v>4.8</v>
      </c>
      <c r="F6" s="362">
        <v>2840</v>
      </c>
      <c r="G6" s="362">
        <v>80.5</v>
      </c>
      <c r="H6" s="362">
        <v>0.86</v>
      </c>
      <c r="I6" s="1163">
        <v>27</v>
      </c>
      <c r="J6" s="1084">
        <f t="shared" si="0"/>
        <v>7.39788732394366</v>
      </c>
    </row>
    <row r="7" ht="21" customHeight="1" spans="1:10">
      <c r="A7" s="1157">
        <v>5</v>
      </c>
      <c r="B7" s="1153" t="s">
        <v>1966</v>
      </c>
      <c r="C7" s="362">
        <v>3</v>
      </c>
      <c r="D7" s="362">
        <v>4</v>
      </c>
      <c r="E7" s="362">
        <v>6.4</v>
      </c>
      <c r="F7" s="362">
        <v>2880</v>
      </c>
      <c r="G7" s="362">
        <v>82</v>
      </c>
      <c r="H7" s="362">
        <v>0.87</v>
      </c>
      <c r="I7" s="1163">
        <v>37</v>
      </c>
      <c r="J7" s="1084">
        <f t="shared" si="0"/>
        <v>9.94791666666667</v>
      </c>
    </row>
    <row r="8" ht="21" customHeight="1" spans="1:10">
      <c r="A8" s="1157">
        <v>6</v>
      </c>
      <c r="B8" s="1153" t="s">
        <v>1967</v>
      </c>
      <c r="C8" s="362">
        <v>4</v>
      </c>
      <c r="D8" s="362">
        <v>5.5</v>
      </c>
      <c r="E8" s="362">
        <v>8.2</v>
      </c>
      <c r="F8" s="362">
        <v>2890</v>
      </c>
      <c r="G8" s="362">
        <v>85.5</v>
      </c>
      <c r="H8" s="362">
        <v>0.87</v>
      </c>
      <c r="I8" s="1163">
        <v>46</v>
      </c>
      <c r="J8" s="1084">
        <f t="shared" si="0"/>
        <v>13.2179930795848</v>
      </c>
    </row>
    <row r="9" ht="21" customHeight="1" spans="1:10">
      <c r="A9" s="1157">
        <v>7</v>
      </c>
      <c r="B9" s="1153" t="s">
        <v>1968</v>
      </c>
      <c r="C9" s="362">
        <v>5.5</v>
      </c>
      <c r="D9" s="362">
        <v>7.5</v>
      </c>
      <c r="E9" s="362">
        <v>11</v>
      </c>
      <c r="F9" s="362">
        <v>2900</v>
      </c>
      <c r="G9" s="362">
        <v>85.5</v>
      </c>
      <c r="H9" s="362">
        <v>0.88</v>
      </c>
      <c r="I9" s="1163">
        <v>68</v>
      </c>
      <c r="J9" s="1084">
        <f t="shared" si="0"/>
        <v>18.1120689655172</v>
      </c>
    </row>
    <row r="10" ht="21" customHeight="1" spans="1:10">
      <c r="A10" s="1157">
        <v>8</v>
      </c>
      <c r="B10" s="1153" t="s">
        <v>1969</v>
      </c>
      <c r="C10" s="362">
        <v>7.5</v>
      </c>
      <c r="D10" s="362">
        <v>10</v>
      </c>
      <c r="E10" s="362">
        <v>15</v>
      </c>
      <c r="F10" s="362">
        <v>2900</v>
      </c>
      <c r="G10" s="362">
        <v>86.2</v>
      </c>
      <c r="H10" s="362">
        <v>0.88</v>
      </c>
      <c r="I10" s="1163">
        <v>74</v>
      </c>
      <c r="J10" s="1084">
        <f t="shared" si="0"/>
        <v>24.698275862069</v>
      </c>
    </row>
    <row r="11" ht="21" customHeight="1" spans="1:10">
      <c r="A11" s="1157">
        <v>9</v>
      </c>
      <c r="B11" s="1153" t="s">
        <v>1970</v>
      </c>
      <c r="C11" s="362">
        <v>11</v>
      </c>
      <c r="D11" s="362">
        <v>15</v>
      </c>
      <c r="E11" s="362">
        <v>21.8</v>
      </c>
      <c r="F11" s="362">
        <v>2930</v>
      </c>
      <c r="G11" s="362">
        <v>87.2</v>
      </c>
      <c r="H11" s="362">
        <v>0.88</v>
      </c>
      <c r="I11" s="1163">
        <v>116</v>
      </c>
      <c r="J11" s="1084">
        <f t="shared" si="0"/>
        <v>35.8532423208191</v>
      </c>
    </row>
    <row r="12" ht="21" customHeight="1" spans="1:10">
      <c r="A12" s="1157">
        <v>10</v>
      </c>
      <c r="B12" s="1153" t="s">
        <v>1971</v>
      </c>
      <c r="C12" s="362">
        <v>15</v>
      </c>
      <c r="D12" s="362">
        <v>20</v>
      </c>
      <c r="E12" s="362">
        <v>29.3</v>
      </c>
      <c r="F12" s="362">
        <v>2930</v>
      </c>
      <c r="G12" s="362">
        <v>88.2</v>
      </c>
      <c r="H12" s="362">
        <v>0.88</v>
      </c>
      <c r="I12" s="1163">
        <v>132</v>
      </c>
      <c r="J12" s="1084">
        <f t="shared" si="0"/>
        <v>48.8907849829352</v>
      </c>
    </row>
    <row r="13" ht="21" customHeight="1" spans="1:10">
      <c r="A13" s="1157">
        <v>11</v>
      </c>
      <c r="B13" s="1153" t="s">
        <v>1972</v>
      </c>
      <c r="C13" s="362">
        <v>18.5</v>
      </c>
      <c r="D13" s="362">
        <v>25</v>
      </c>
      <c r="E13" s="362">
        <v>35.5</v>
      </c>
      <c r="F13" s="362">
        <v>2930</v>
      </c>
      <c r="G13" s="362">
        <v>89</v>
      </c>
      <c r="H13" s="362">
        <v>0.89</v>
      </c>
      <c r="I13" s="1163">
        <v>151</v>
      </c>
      <c r="J13" s="1084">
        <f t="shared" si="0"/>
        <v>60.2986348122867</v>
      </c>
    </row>
    <row r="14" ht="21" customHeight="1" spans="1:10">
      <c r="A14" s="1157">
        <v>12</v>
      </c>
      <c r="B14" s="1153" t="s">
        <v>1973</v>
      </c>
      <c r="C14" s="362">
        <v>22</v>
      </c>
      <c r="D14" s="362">
        <v>30</v>
      </c>
      <c r="E14" s="362">
        <v>42.2</v>
      </c>
      <c r="F14" s="362">
        <v>2940</v>
      </c>
      <c r="G14" s="362">
        <v>89</v>
      </c>
      <c r="H14" s="362">
        <v>0.89</v>
      </c>
      <c r="I14" s="1163">
        <v>172</v>
      </c>
      <c r="J14" s="1084">
        <f t="shared" si="0"/>
        <v>71.4625850340136</v>
      </c>
    </row>
    <row r="15" ht="21" customHeight="1" spans="1:10">
      <c r="A15" s="1157">
        <v>13</v>
      </c>
      <c r="B15" s="1153" t="s">
        <v>1974</v>
      </c>
      <c r="C15" s="362">
        <v>30</v>
      </c>
      <c r="D15" s="362">
        <v>40</v>
      </c>
      <c r="E15" s="362">
        <v>56.9</v>
      </c>
      <c r="F15" s="362">
        <v>2950</v>
      </c>
      <c r="G15" s="362">
        <v>90</v>
      </c>
      <c r="H15" s="362">
        <v>0.89</v>
      </c>
      <c r="I15" s="1163">
        <v>240</v>
      </c>
      <c r="J15" s="1084">
        <f t="shared" si="0"/>
        <v>97.1186440677966</v>
      </c>
    </row>
    <row r="16" ht="21" customHeight="1" spans="1:10">
      <c r="A16" s="1157">
        <v>14</v>
      </c>
      <c r="B16" s="1153" t="s">
        <v>1975</v>
      </c>
      <c r="C16" s="362">
        <v>37</v>
      </c>
      <c r="D16" s="362">
        <v>50</v>
      </c>
      <c r="E16" s="362">
        <v>69.8</v>
      </c>
      <c r="F16" s="362">
        <v>2950</v>
      </c>
      <c r="G16" s="362">
        <v>90.5</v>
      </c>
      <c r="H16" s="362">
        <v>0.89</v>
      </c>
      <c r="I16" s="1163">
        <v>260</v>
      </c>
      <c r="J16" s="1084">
        <f t="shared" si="0"/>
        <v>119.779661016949</v>
      </c>
    </row>
    <row r="17" ht="21" customHeight="1" spans="1:10">
      <c r="A17" s="1157">
        <v>15</v>
      </c>
      <c r="B17" s="1153" t="s">
        <v>1976</v>
      </c>
      <c r="C17" s="362">
        <v>45</v>
      </c>
      <c r="D17" s="362">
        <v>61</v>
      </c>
      <c r="E17" s="362">
        <v>84</v>
      </c>
      <c r="F17" s="362">
        <v>2970</v>
      </c>
      <c r="G17" s="362">
        <v>91.5</v>
      </c>
      <c r="H17" s="362">
        <v>0.89</v>
      </c>
      <c r="I17" s="1163">
        <v>310</v>
      </c>
      <c r="J17" s="1084">
        <f t="shared" si="0"/>
        <v>144.69696969697</v>
      </c>
    </row>
    <row r="18" ht="21" customHeight="1" spans="1:10">
      <c r="A18" s="1157">
        <v>16</v>
      </c>
      <c r="B18" s="1153" t="s">
        <v>1977</v>
      </c>
      <c r="C18" s="362">
        <v>55</v>
      </c>
      <c r="D18" s="362">
        <v>75</v>
      </c>
      <c r="E18" s="362">
        <v>102.6</v>
      </c>
      <c r="F18" s="362">
        <v>2970</v>
      </c>
      <c r="G18" s="362">
        <v>91.5</v>
      </c>
      <c r="H18" s="362">
        <v>0.89</v>
      </c>
      <c r="I18" s="1163">
        <v>400</v>
      </c>
      <c r="J18" s="1084">
        <f t="shared" si="0"/>
        <v>176.851851851852</v>
      </c>
    </row>
    <row r="19" ht="21" customHeight="1" spans="1:10">
      <c r="A19" s="1157">
        <v>17</v>
      </c>
      <c r="B19" s="1153" t="s">
        <v>1978</v>
      </c>
      <c r="C19" s="362">
        <v>75</v>
      </c>
      <c r="D19" s="362">
        <v>102</v>
      </c>
      <c r="E19" s="362">
        <v>139.2</v>
      </c>
      <c r="F19" s="362">
        <v>2970</v>
      </c>
      <c r="G19" s="362">
        <v>92</v>
      </c>
      <c r="H19" s="362">
        <v>0.89</v>
      </c>
      <c r="I19" s="1163">
        <v>544</v>
      </c>
      <c r="J19" s="1084">
        <f t="shared" si="0"/>
        <v>241.161616161616</v>
      </c>
    </row>
    <row r="20" ht="21" customHeight="1" spans="1:10">
      <c r="A20" s="1157">
        <v>18</v>
      </c>
      <c r="B20" s="1153" t="s">
        <v>1979</v>
      </c>
      <c r="C20" s="362">
        <v>90</v>
      </c>
      <c r="D20" s="362">
        <v>122.5</v>
      </c>
      <c r="E20" s="362">
        <v>166.1</v>
      </c>
      <c r="F20" s="362">
        <v>2970</v>
      </c>
      <c r="G20" s="362">
        <v>92.5</v>
      </c>
      <c r="H20" s="362">
        <v>0.89</v>
      </c>
      <c r="I20" s="1163">
        <v>620</v>
      </c>
      <c r="J20" s="1084">
        <f t="shared" si="0"/>
        <v>289.393939393939</v>
      </c>
    </row>
    <row r="21" ht="21" customHeight="1" spans="1:10">
      <c r="A21" s="1157">
        <v>19</v>
      </c>
      <c r="B21" s="1153" t="s">
        <v>1980</v>
      </c>
      <c r="C21" s="362">
        <v>110</v>
      </c>
      <c r="D21" s="362">
        <v>150</v>
      </c>
      <c r="E21" s="362">
        <v>2.3</v>
      </c>
      <c r="F21" s="362">
        <v>2980</v>
      </c>
      <c r="G21" s="362">
        <v>92.5</v>
      </c>
      <c r="H21" s="362">
        <v>0.89</v>
      </c>
      <c r="I21" s="1163">
        <v>980</v>
      </c>
      <c r="J21" s="1084">
        <f t="shared" si="0"/>
        <v>352.51677852349</v>
      </c>
    </row>
    <row r="22" ht="21" customHeight="1" spans="1:10">
      <c r="A22" s="1157">
        <v>20</v>
      </c>
      <c r="B22" s="1153" t="s">
        <v>1981</v>
      </c>
      <c r="C22" s="362">
        <v>132</v>
      </c>
      <c r="D22" s="362">
        <v>180</v>
      </c>
      <c r="E22" s="362">
        <v>242.3</v>
      </c>
      <c r="F22" s="362">
        <v>2980</v>
      </c>
      <c r="G22" s="362">
        <v>93</v>
      </c>
      <c r="H22" s="362">
        <v>0.89</v>
      </c>
      <c r="I22" s="1163">
        <v>1080</v>
      </c>
      <c r="J22" s="1084">
        <f t="shared" si="0"/>
        <v>423.020134228188</v>
      </c>
    </row>
    <row r="23" ht="21" customHeight="1" spans="1:10">
      <c r="A23" s="1157">
        <v>21</v>
      </c>
      <c r="B23" s="1153" t="s">
        <v>1982</v>
      </c>
      <c r="C23" s="362">
        <v>160</v>
      </c>
      <c r="D23" s="362">
        <v>218</v>
      </c>
      <c r="E23" s="362">
        <v>292</v>
      </c>
      <c r="F23" s="362">
        <v>2980</v>
      </c>
      <c r="G23" s="362">
        <v>93.5</v>
      </c>
      <c r="H23" s="362">
        <v>0.89</v>
      </c>
      <c r="I23" s="1163">
        <v>1160</v>
      </c>
      <c r="J23" s="1084">
        <f t="shared" si="0"/>
        <v>512.751677852349</v>
      </c>
    </row>
    <row r="24" ht="21" customHeight="1" spans="1:10">
      <c r="A24" s="1157">
        <v>22</v>
      </c>
      <c r="B24" s="1153" t="s">
        <v>1983</v>
      </c>
      <c r="C24" s="362">
        <v>200</v>
      </c>
      <c r="D24" s="362">
        <v>272</v>
      </c>
      <c r="E24" s="362">
        <v>365.2</v>
      </c>
      <c r="F24" s="362">
        <v>2980</v>
      </c>
      <c r="G24" s="362">
        <v>93.5</v>
      </c>
      <c r="H24" s="362">
        <v>0.89</v>
      </c>
      <c r="I24" s="1163">
        <v>1190</v>
      </c>
      <c r="J24" s="1084">
        <f t="shared" si="0"/>
        <v>640.939597315436</v>
      </c>
    </row>
    <row r="25" ht="21" customHeight="1" spans="1:10">
      <c r="A25" s="1157">
        <v>23</v>
      </c>
      <c r="B25" s="1153" t="s">
        <v>1984</v>
      </c>
      <c r="C25" s="362">
        <v>220</v>
      </c>
      <c r="D25" s="362">
        <v>299</v>
      </c>
      <c r="E25" s="362">
        <v>396.7</v>
      </c>
      <c r="F25" s="362">
        <v>2981</v>
      </c>
      <c r="G25" s="362">
        <v>94.2</v>
      </c>
      <c r="H25" s="362">
        <v>0.89</v>
      </c>
      <c r="I25" s="1163">
        <v>1750</v>
      </c>
      <c r="J25" s="1084">
        <f t="shared" si="0"/>
        <v>704.79704797048</v>
      </c>
    </row>
    <row r="26" ht="21" customHeight="1" spans="1:10">
      <c r="A26" s="1157">
        <v>24</v>
      </c>
      <c r="B26" s="1153" t="s">
        <v>1985</v>
      </c>
      <c r="C26" s="362">
        <v>250</v>
      </c>
      <c r="D26" s="362">
        <v>340</v>
      </c>
      <c r="E26" s="362">
        <v>446.6</v>
      </c>
      <c r="F26" s="362">
        <v>2981</v>
      </c>
      <c r="G26" s="362">
        <v>94.5</v>
      </c>
      <c r="H26" s="362">
        <v>0.9</v>
      </c>
      <c r="I26" s="1163">
        <v>1770</v>
      </c>
      <c r="J26" s="1084">
        <f t="shared" si="0"/>
        <v>800.905736330091</v>
      </c>
    </row>
    <row r="27" ht="21" customHeight="1" spans="1:10">
      <c r="A27" s="1157">
        <v>25</v>
      </c>
      <c r="B27" s="1153" t="s">
        <v>1986</v>
      </c>
      <c r="C27" s="362">
        <v>280</v>
      </c>
      <c r="D27" s="362">
        <v>381</v>
      </c>
      <c r="E27" s="362">
        <v>499.2</v>
      </c>
      <c r="F27" s="362">
        <v>2981</v>
      </c>
      <c r="G27" s="362">
        <v>94.7</v>
      </c>
      <c r="H27" s="362">
        <v>0.9</v>
      </c>
      <c r="I27" s="1163">
        <v>1830</v>
      </c>
      <c r="J27" s="1084">
        <f t="shared" si="0"/>
        <v>897.014424689701</v>
      </c>
    </row>
    <row r="28" ht="21" customHeight="1" spans="1:10">
      <c r="A28" s="1158">
        <v>26</v>
      </c>
      <c r="B28" s="1159" t="s">
        <v>1987</v>
      </c>
      <c r="C28" s="1160">
        <v>315</v>
      </c>
      <c r="D28" s="1160">
        <v>429</v>
      </c>
      <c r="E28" s="1160">
        <v>559.8</v>
      </c>
      <c r="F28" s="1160">
        <v>2981</v>
      </c>
      <c r="G28" s="1160">
        <v>95</v>
      </c>
      <c r="H28" s="1160">
        <v>0.9</v>
      </c>
      <c r="I28" s="1164">
        <v>1900</v>
      </c>
      <c r="J28" s="1084">
        <f t="shared" si="0"/>
        <v>1009.14122777591</v>
      </c>
    </row>
    <row r="29" ht="21" customHeight="1" spans="1:10">
      <c r="A29" s="1155">
        <v>27</v>
      </c>
      <c r="B29" s="1156" t="s">
        <v>1988</v>
      </c>
      <c r="C29" s="415">
        <v>0.55</v>
      </c>
      <c r="D29" s="415">
        <v>0.75</v>
      </c>
      <c r="E29" s="415">
        <v>1.5</v>
      </c>
      <c r="F29" s="415">
        <v>1390</v>
      </c>
      <c r="G29" s="415">
        <v>73</v>
      </c>
      <c r="H29" s="415">
        <v>0.76</v>
      </c>
      <c r="I29" s="1162">
        <v>17</v>
      </c>
      <c r="J29" s="1084">
        <f t="shared" si="0"/>
        <v>3.77877697841727</v>
      </c>
    </row>
    <row r="30" ht="21" customHeight="1" spans="1:10">
      <c r="A30" s="1157">
        <v>28</v>
      </c>
      <c r="B30" s="1153" t="s">
        <v>1989</v>
      </c>
      <c r="C30" s="362">
        <v>0.75</v>
      </c>
      <c r="D30" s="362">
        <v>1</v>
      </c>
      <c r="E30" s="362">
        <v>2</v>
      </c>
      <c r="F30" s="362">
        <v>1390</v>
      </c>
      <c r="G30" s="362">
        <v>74.5</v>
      </c>
      <c r="H30" s="362">
        <v>0.76</v>
      </c>
      <c r="I30" s="1163">
        <v>18</v>
      </c>
      <c r="J30" s="1084">
        <f t="shared" si="0"/>
        <v>5.15287769784173</v>
      </c>
    </row>
    <row r="31" ht="21" customHeight="1" spans="1:10">
      <c r="A31" s="1157">
        <v>29</v>
      </c>
      <c r="B31" s="1153" t="s">
        <v>1990</v>
      </c>
      <c r="C31" s="362">
        <v>1.1</v>
      </c>
      <c r="D31" s="362">
        <v>1.5</v>
      </c>
      <c r="E31" s="362">
        <v>2.7</v>
      </c>
      <c r="F31" s="362">
        <v>1400</v>
      </c>
      <c r="G31" s="362">
        <v>78</v>
      </c>
      <c r="H31" s="362">
        <v>0.78</v>
      </c>
      <c r="I31" s="1163">
        <v>23</v>
      </c>
      <c r="J31" s="1084">
        <f t="shared" si="0"/>
        <v>7.50357142857143</v>
      </c>
    </row>
    <row r="32" ht="21" customHeight="1" spans="1:10">
      <c r="A32" s="1157">
        <v>30</v>
      </c>
      <c r="B32" s="1153" t="s">
        <v>1991</v>
      </c>
      <c r="C32" s="362">
        <v>1.5</v>
      </c>
      <c r="D32" s="362">
        <v>2</v>
      </c>
      <c r="E32" s="362">
        <v>3.7</v>
      </c>
      <c r="F32" s="362">
        <v>1400</v>
      </c>
      <c r="G32" s="362">
        <v>79</v>
      </c>
      <c r="H32" s="362">
        <v>0.79</v>
      </c>
      <c r="I32" s="1163">
        <v>27</v>
      </c>
      <c r="J32" s="1084">
        <f t="shared" si="0"/>
        <v>10.2321428571429</v>
      </c>
    </row>
    <row r="33" ht="21" customHeight="1" spans="1:10">
      <c r="A33" s="1157">
        <v>31</v>
      </c>
      <c r="B33" s="1153" t="s">
        <v>1992</v>
      </c>
      <c r="C33" s="362">
        <v>2.2</v>
      </c>
      <c r="D33" s="362">
        <v>3</v>
      </c>
      <c r="E33" s="362">
        <v>5</v>
      </c>
      <c r="F33" s="362">
        <v>1420</v>
      </c>
      <c r="G33" s="362">
        <v>81</v>
      </c>
      <c r="H33" s="362">
        <v>0.82</v>
      </c>
      <c r="I33" s="1163">
        <v>36</v>
      </c>
      <c r="J33" s="1084">
        <f t="shared" si="0"/>
        <v>14.7957746478873</v>
      </c>
    </row>
    <row r="34" ht="21" customHeight="1" spans="1:10">
      <c r="A34" s="1157">
        <v>32</v>
      </c>
      <c r="B34" s="1153" t="s">
        <v>1993</v>
      </c>
      <c r="C34" s="362">
        <v>3</v>
      </c>
      <c r="D34" s="362">
        <v>4</v>
      </c>
      <c r="E34" s="362">
        <v>6.8</v>
      </c>
      <c r="F34" s="362">
        <v>1420</v>
      </c>
      <c r="G34" s="362">
        <v>82.5</v>
      </c>
      <c r="H34" s="362">
        <v>0.81</v>
      </c>
      <c r="I34" s="1163">
        <v>40</v>
      </c>
      <c r="J34" s="1084">
        <f t="shared" si="0"/>
        <v>20.1760563380282</v>
      </c>
    </row>
    <row r="35" ht="21" customHeight="1" spans="1:10">
      <c r="A35" s="1157">
        <v>33</v>
      </c>
      <c r="B35" s="1153" t="s">
        <v>1994</v>
      </c>
      <c r="C35" s="362">
        <v>4</v>
      </c>
      <c r="D35" s="362">
        <v>5.5</v>
      </c>
      <c r="E35" s="362">
        <v>8.8</v>
      </c>
      <c r="F35" s="362">
        <v>1440</v>
      </c>
      <c r="G35" s="362">
        <v>84.5</v>
      </c>
      <c r="H35" s="362">
        <v>0.82</v>
      </c>
      <c r="I35" s="1163">
        <v>50</v>
      </c>
      <c r="J35" s="1084">
        <f t="shared" si="0"/>
        <v>26.5277777777778</v>
      </c>
    </row>
    <row r="36" ht="21" customHeight="1" spans="1:10">
      <c r="A36" s="1157">
        <v>34</v>
      </c>
      <c r="B36" s="1153" t="s">
        <v>1995</v>
      </c>
      <c r="C36" s="362">
        <v>5.5</v>
      </c>
      <c r="D36" s="362">
        <v>7.5</v>
      </c>
      <c r="E36" s="362">
        <v>11.6</v>
      </c>
      <c r="F36" s="362">
        <v>1440</v>
      </c>
      <c r="G36" s="362">
        <v>85.5</v>
      </c>
      <c r="H36" s="362">
        <v>0.84</v>
      </c>
      <c r="I36" s="1163">
        <v>70</v>
      </c>
      <c r="J36" s="1084">
        <f t="shared" si="0"/>
        <v>36.4756944444444</v>
      </c>
    </row>
    <row r="37" ht="21" customHeight="1" spans="1:10">
      <c r="A37" s="1157">
        <v>35</v>
      </c>
      <c r="B37" s="1153" t="s">
        <v>1996</v>
      </c>
      <c r="C37" s="362">
        <v>7.5</v>
      </c>
      <c r="D37" s="362">
        <v>10</v>
      </c>
      <c r="E37" s="362">
        <v>15.4</v>
      </c>
      <c r="F37" s="362">
        <v>1440</v>
      </c>
      <c r="G37" s="362">
        <v>87</v>
      </c>
      <c r="H37" s="362">
        <v>0.85</v>
      </c>
      <c r="I37" s="1163">
        <v>86</v>
      </c>
      <c r="J37" s="1084">
        <f t="shared" si="0"/>
        <v>49.7395833333333</v>
      </c>
    </row>
    <row r="38" ht="21" customHeight="1" spans="1:10">
      <c r="A38" s="1157">
        <v>36</v>
      </c>
      <c r="B38" s="1153" t="s">
        <v>1997</v>
      </c>
      <c r="C38" s="362">
        <v>11</v>
      </c>
      <c r="D38" s="362">
        <v>15</v>
      </c>
      <c r="E38" s="362">
        <v>22.6</v>
      </c>
      <c r="F38" s="362">
        <v>1460</v>
      </c>
      <c r="G38" s="362">
        <v>88</v>
      </c>
      <c r="H38" s="362">
        <v>0.84</v>
      </c>
      <c r="I38" s="1163">
        <v>126</v>
      </c>
      <c r="J38" s="1084">
        <f t="shared" si="0"/>
        <v>71.9520547945205</v>
      </c>
    </row>
    <row r="39" ht="21" customHeight="1" spans="1:10">
      <c r="A39" s="1157">
        <v>37</v>
      </c>
      <c r="B39" s="1153" t="s">
        <v>1998</v>
      </c>
      <c r="C39" s="362">
        <v>15</v>
      </c>
      <c r="D39" s="362">
        <v>20</v>
      </c>
      <c r="E39" s="362">
        <v>30.3</v>
      </c>
      <c r="F39" s="362">
        <v>1460</v>
      </c>
      <c r="G39" s="362">
        <v>88.5</v>
      </c>
      <c r="H39" s="362">
        <v>0.85</v>
      </c>
      <c r="I39" s="1163">
        <v>146</v>
      </c>
      <c r="J39" s="1084">
        <f t="shared" si="0"/>
        <v>98.1164383561644</v>
      </c>
    </row>
    <row r="40" ht="21" customHeight="1" spans="1:10">
      <c r="A40" s="1157">
        <v>38</v>
      </c>
      <c r="B40" s="1153" t="s">
        <v>1999</v>
      </c>
      <c r="C40" s="362">
        <v>18.5</v>
      </c>
      <c r="D40" s="362">
        <v>25</v>
      </c>
      <c r="E40" s="362">
        <v>35.9</v>
      </c>
      <c r="F40" s="362">
        <v>1470</v>
      </c>
      <c r="G40" s="362">
        <v>91</v>
      </c>
      <c r="H40" s="362">
        <v>0.86</v>
      </c>
      <c r="I40" s="1163">
        <v>172</v>
      </c>
      <c r="J40" s="1084">
        <f t="shared" si="0"/>
        <v>120.187074829932</v>
      </c>
    </row>
    <row r="41" ht="21" customHeight="1" spans="1:10">
      <c r="A41" s="1157">
        <v>39</v>
      </c>
      <c r="B41" s="1153" t="s">
        <v>2000</v>
      </c>
      <c r="C41" s="362">
        <v>22</v>
      </c>
      <c r="D41" s="362">
        <v>30</v>
      </c>
      <c r="E41" s="362">
        <v>42.5</v>
      </c>
      <c r="F41" s="362">
        <v>1470</v>
      </c>
      <c r="G41" s="362">
        <v>91.5</v>
      </c>
      <c r="H41" s="362">
        <v>0.86</v>
      </c>
      <c r="I41" s="1163">
        <v>196</v>
      </c>
      <c r="J41" s="1084">
        <f t="shared" si="0"/>
        <v>142.925170068027</v>
      </c>
    </row>
    <row r="42" ht="21" customHeight="1" spans="1:10">
      <c r="A42" s="1157">
        <v>40</v>
      </c>
      <c r="B42" s="1153" t="s">
        <v>2001</v>
      </c>
      <c r="C42" s="362">
        <v>30</v>
      </c>
      <c r="D42" s="362">
        <v>40</v>
      </c>
      <c r="E42" s="362">
        <v>56.8</v>
      </c>
      <c r="F42" s="362">
        <v>1470</v>
      </c>
      <c r="G42" s="362">
        <v>92.2</v>
      </c>
      <c r="H42" s="362">
        <v>0.87</v>
      </c>
      <c r="I42" s="1163">
        <v>270</v>
      </c>
      <c r="J42" s="1084">
        <f t="shared" si="0"/>
        <v>194.897959183673</v>
      </c>
    </row>
    <row r="43" ht="21" customHeight="1" spans="1:10">
      <c r="A43" s="1157">
        <v>41</v>
      </c>
      <c r="B43" s="1153" t="s">
        <v>2002</v>
      </c>
      <c r="C43" s="362">
        <v>37</v>
      </c>
      <c r="D43" s="362">
        <v>50</v>
      </c>
      <c r="E43" s="362">
        <v>70.4</v>
      </c>
      <c r="F43" s="362">
        <v>1480</v>
      </c>
      <c r="G43" s="362">
        <v>91.8</v>
      </c>
      <c r="H43" s="362">
        <v>0.87</v>
      </c>
      <c r="I43" s="1163">
        <v>300</v>
      </c>
      <c r="J43" s="1084">
        <f t="shared" si="0"/>
        <v>238.75</v>
      </c>
    </row>
    <row r="44" ht="21" customHeight="1" spans="1:10">
      <c r="A44" s="1157">
        <v>42</v>
      </c>
      <c r="B44" s="1153" t="s">
        <v>2003</v>
      </c>
      <c r="C44" s="362">
        <v>45</v>
      </c>
      <c r="D44" s="362">
        <v>61</v>
      </c>
      <c r="E44" s="362">
        <v>84.2</v>
      </c>
      <c r="F44" s="362">
        <v>1480</v>
      </c>
      <c r="G44" s="362">
        <v>92.3</v>
      </c>
      <c r="H44" s="362">
        <v>0.88</v>
      </c>
      <c r="I44" s="1163">
        <v>320</v>
      </c>
      <c r="J44" s="1084">
        <f t="shared" si="0"/>
        <v>290.371621621622</v>
      </c>
    </row>
    <row r="45" ht="21" customHeight="1" spans="1:10">
      <c r="A45" s="1157">
        <v>43</v>
      </c>
      <c r="B45" s="1153" t="s">
        <v>2004</v>
      </c>
      <c r="C45" s="362">
        <v>55</v>
      </c>
      <c r="D45" s="362">
        <v>75</v>
      </c>
      <c r="E45" s="362">
        <v>102.6</v>
      </c>
      <c r="F45" s="362">
        <v>1480</v>
      </c>
      <c r="G45" s="362">
        <v>92.6</v>
      </c>
      <c r="H45" s="362">
        <v>0.88</v>
      </c>
      <c r="I45" s="1163">
        <v>427</v>
      </c>
      <c r="J45" s="1084">
        <f t="shared" si="0"/>
        <v>354.898648648649</v>
      </c>
    </row>
    <row r="46" ht="21" customHeight="1" spans="1:10">
      <c r="A46" s="1157">
        <v>44</v>
      </c>
      <c r="B46" s="1153" t="s">
        <v>2005</v>
      </c>
      <c r="C46" s="362">
        <v>75</v>
      </c>
      <c r="D46" s="362">
        <v>102</v>
      </c>
      <c r="E46" s="362">
        <v>139.7</v>
      </c>
      <c r="F46" s="362">
        <v>1480</v>
      </c>
      <c r="G46" s="362">
        <v>92.7</v>
      </c>
      <c r="H46" s="362">
        <v>0.88</v>
      </c>
      <c r="I46" s="1163">
        <v>562</v>
      </c>
      <c r="J46" s="1084">
        <f t="shared" si="0"/>
        <v>483.952702702703</v>
      </c>
    </row>
    <row r="47" ht="21" customHeight="1" spans="1:10">
      <c r="A47" s="1157">
        <v>45</v>
      </c>
      <c r="B47" s="1153" t="s">
        <v>2006</v>
      </c>
      <c r="C47" s="362">
        <v>90</v>
      </c>
      <c r="D47" s="362">
        <v>122.5</v>
      </c>
      <c r="E47" s="362">
        <v>164.3</v>
      </c>
      <c r="F47" s="362">
        <v>1480</v>
      </c>
      <c r="G47" s="362">
        <v>93.5</v>
      </c>
      <c r="H47" s="362">
        <v>0.89</v>
      </c>
      <c r="I47" s="1163">
        <v>667</v>
      </c>
      <c r="J47" s="1084">
        <f t="shared" si="0"/>
        <v>580.743243243243</v>
      </c>
    </row>
    <row r="48" ht="21" customHeight="1" spans="1:10">
      <c r="A48" s="1157">
        <v>46</v>
      </c>
      <c r="B48" s="1153" t="s">
        <v>2007</v>
      </c>
      <c r="C48" s="362">
        <v>110</v>
      </c>
      <c r="D48" s="362">
        <v>150</v>
      </c>
      <c r="E48" s="362">
        <v>201</v>
      </c>
      <c r="F48" s="362">
        <v>1480</v>
      </c>
      <c r="G48" s="362">
        <v>93.5</v>
      </c>
      <c r="H48" s="362">
        <v>0.89</v>
      </c>
      <c r="I48" s="1163">
        <v>1000</v>
      </c>
      <c r="J48" s="1084">
        <f t="shared" si="0"/>
        <v>709.797297297297</v>
      </c>
    </row>
    <row r="49" ht="21" customHeight="1" spans="1:10">
      <c r="A49" s="1157">
        <v>47</v>
      </c>
      <c r="B49" s="1153" t="s">
        <v>2008</v>
      </c>
      <c r="C49" s="362">
        <v>132</v>
      </c>
      <c r="D49" s="362">
        <v>180</v>
      </c>
      <c r="E49" s="362">
        <v>240</v>
      </c>
      <c r="F49" s="362">
        <v>1490</v>
      </c>
      <c r="G49" s="362">
        <v>94</v>
      </c>
      <c r="H49" s="362">
        <v>0.89</v>
      </c>
      <c r="I49" s="1163">
        <v>1100</v>
      </c>
      <c r="J49" s="1084">
        <f t="shared" si="0"/>
        <v>846.040268456376</v>
      </c>
    </row>
    <row r="50" ht="21" customHeight="1" spans="1:10">
      <c r="A50" s="1157">
        <v>48</v>
      </c>
      <c r="B50" s="1153" t="s">
        <v>2009</v>
      </c>
      <c r="C50" s="362">
        <v>160</v>
      </c>
      <c r="D50" s="362">
        <v>218</v>
      </c>
      <c r="E50" s="362">
        <v>289</v>
      </c>
      <c r="F50" s="362">
        <v>1490</v>
      </c>
      <c r="G50" s="362">
        <v>94.5</v>
      </c>
      <c r="H50" s="362">
        <v>0.89</v>
      </c>
      <c r="I50" s="1163">
        <v>1160</v>
      </c>
      <c r="J50" s="1084">
        <f t="shared" si="0"/>
        <v>1025.5033557047</v>
      </c>
    </row>
    <row r="51" ht="21" customHeight="1" spans="1:10">
      <c r="A51" s="1157">
        <v>49</v>
      </c>
      <c r="B51" s="1153" t="s">
        <v>2010</v>
      </c>
      <c r="C51" s="362">
        <v>200</v>
      </c>
      <c r="D51" s="362">
        <v>272</v>
      </c>
      <c r="E51" s="362">
        <v>361</v>
      </c>
      <c r="F51" s="362">
        <v>1490</v>
      </c>
      <c r="G51" s="362">
        <v>94.5</v>
      </c>
      <c r="H51" s="362">
        <v>0.89</v>
      </c>
      <c r="I51" s="1163">
        <v>1270</v>
      </c>
      <c r="J51" s="1084">
        <f t="shared" si="0"/>
        <v>1281.87919463087</v>
      </c>
    </row>
    <row r="52" ht="21" customHeight="1" spans="1:10">
      <c r="A52" s="1157">
        <v>50</v>
      </c>
      <c r="B52" s="1153" t="s">
        <v>2011</v>
      </c>
      <c r="C52" s="362">
        <v>220</v>
      </c>
      <c r="D52" s="362">
        <v>299</v>
      </c>
      <c r="E52" s="362">
        <v>407</v>
      </c>
      <c r="F52" s="362">
        <v>1489</v>
      </c>
      <c r="G52" s="362">
        <v>94.4</v>
      </c>
      <c r="H52" s="362">
        <v>0.87</v>
      </c>
      <c r="I52" s="1163">
        <v>1790</v>
      </c>
      <c r="J52" s="1084">
        <f t="shared" si="0"/>
        <v>1411.01410342512</v>
      </c>
    </row>
    <row r="53" ht="21" customHeight="1" spans="1:10">
      <c r="A53" s="1157">
        <v>51</v>
      </c>
      <c r="B53" s="1153" t="s">
        <v>2012</v>
      </c>
      <c r="C53" s="362">
        <v>250</v>
      </c>
      <c r="D53" s="362">
        <v>340</v>
      </c>
      <c r="E53" s="362">
        <v>461</v>
      </c>
      <c r="F53" s="362">
        <v>1489</v>
      </c>
      <c r="G53" s="362">
        <v>94.7</v>
      </c>
      <c r="H53" s="362">
        <v>0.87</v>
      </c>
      <c r="I53" s="1163">
        <v>1800</v>
      </c>
      <c r="J53" s="1084">
        <f t="shared" si="0"/>
        <v>1603.42511752854</v>
      </c>
    </row>
    <row r="54" ht="21" customHeight="1" spans="1:10">
      <c r="A54" s="1157">
        <v>52</v>
      </c>
      <c r="B54" s="1153" t="s">
        <v>2013</v>
      </c>
      <c r="C54" s="362">
        <v>280</v>
      </c>
      <c r="D54" s="362">
        <v>381</v>
      </c>
      <c r="E54" s="362">
        <v>515.3</v>
      </c>
      <c r="F54" s="362">
        <v>1489</v>
      </c>
      <c r="G54" s="362">
        <v>94.9</v>
      </c>
      <c r="H54" s="362">
        <v>0.87</v>
      </c>
      <c r="I54" s="1163">
        <v>1880</v>
      </c>
      <c r="J54" s="1084">
        <f t="shared" si="0"/>
        <v>1795.83613163197</v>
      </c>
    </row>
    <row r="55" ht="21" customHeight="1" spans="1:10">
      <c r="A55" s="1157">
        <v>53</v>
      </c>
      <c r="B55" s="1159" t="s">
        <v>2014</v>
      </c>
      <c r="C55" s="1160">
        <v>315</v>
      </c>
      <c r="D55" s="1160">
        <v>429</v>
      </c>
      <c r="E55" s="1160">
        <v>577.9</v>
      </c>
      <c r="F55" s="1160">
        <v>1489</v>
      </c>
      <c r="G55" s="1160">
        <v>95.2</v>
      </c>
      <c r="H55" s="1160">
        <v>0.87</v>
      </c>
      <c r="I55" s="1164">
        <v>1940</v>
      </c>
      <c r="J55" s="1084">
        <f t="shared" si="0"/>
        <v>2020.31564808596</v>
      </c>
    </row>
    <row r="56" ht="21" customHeight="1" spans="1:10">
      <c r="A56" s="1157">
        <v>54</v>
      </c>
      <c r="B56" s="1156" t="s">
        <v>2015</v>
      </c>
      <c r="C56" s="415">
        <v>0.75</v>
      </c>
      <c r="D56" s="415">
        <v>1</v>
      </c>
      <c r="E56" s="415">
        <v>2.2</v>
      </c>
      <c r="F56" s="415">
        <v>910</v>
      </c>
      <c r="G56" s="415">
        <v>72.5</v>
      </c>
      <c r="H56" s="415">
        <v>0.7</v>
      </c>
      <c r="I56" s="1162">
        <v>23</v>
      </c>
      <c r="J56" s="1084">
        <f t="shared" si="0"/>
        <v>7.87087912087912</v>
      </c>
    </row>
    <row r="57" ht="21" customHeight="1" spans="1:10">
      <c r="A57" s="1157">
        <v>55</v>
      </c>
      <c r="B57" s="1153" t="s">
        <v>2016</v>
      </c>
      <c r="C57" s="362">
        <v>1.1</v>
      </c>
      <c r="D57" s="362">
        <v>1.5</v>
      </c>
      <c r="E57" s="362">
        <v>3.2</v>
      </c>
      <c r="F57" s="362">
        <v>910</v>
      </c>
      <c r="G57" s="362">
        <v>73.5</v>
      </c>
      <c r="H57" s="362">
        <v>0.72</v>
      </c>
      <c r="I57" s="1163">
        <v>27</v>
      </c>
      <c r="J57" s="1084">
        <f t="shared" si="0"/>
        <v>11.543956043956</v>
      </c>
    </row>
    <row r="58" ht="21" customHeight="1" spans="1:10">
      <c r="A58" s="1157">
        <v>56</v>
      </c>
      <c r="B58" s="1153" t="s">
        <v>2017</v>
      </c>
      <c r="C58" s="362">
        <v>1.5</v>
      </c>
      <c r="D58" s="362">
        <v>2</v>
      </c>
      <c r="E58" s="362">
        <v>4</v>
      </c>
      <c r="F58" s="362">
        <v>940</v>
      </c>
      <c r="G58" s="362">
        <v>77.5</v>
      </c>
      <c r="H58" s="362">
        <v>0.74</v>
      </c>
      <c r="I58" s="1163">
        <v>36</v>
      </c>
      <c r="J58" s="1084">
        <f t="shared" si="0"/>
        <v>15.2393617021277</v>
      </c>
    </row>
    <row r="59" ht="21" customHeight="1" spans="1:10">
      <c r="A59" s="1157">
        <v>57</v>
      </c>
      <c r="B59" s="1153" t="s">
        <v>2018</v>
      </c>
      <c r="C59" s="362">
        <v>2.2</v>
      </c>
      <c r="D59" s="362">
        <v>3</v>
      </c>
      <c r="E59" s="362">
        <v>5.6</v>
      </c>
      <c r="F59" s="362">
        <v>940</v>
      </c>
      <c r="G59" s="362">
        <v>80.5</v>
      </c>
      <c r="H59" s="362">
        <v>0.74</v>
      </c>
      <c r="I59" s="1163">
        <v>46</v>
      </c>
      <c r="J59" s="1084">
        <f t="shared" si="0"/>
        <v>22.3510638297872</v>
      </c>
    </row>
    <row r="60" ht="21" customHeight="1" spans="1:10">
      <c r="A60" s="1157">
        <v>58</v>
      </c>
      <c r="B60" s="1153" t="s">
        <v>2019</v>
      </c>
      <c r="C60" s="362">
        <v>3</v>
      </c>
      <c r="D60" s="362">
        <v>4</v>
      </c>
      <c r="E60" s="362">
        <v>7.2</v>
      </c>
      <c r="F60" s="362">
        <v>960</v>
      </c>
      <c r="G60" s="362">
        <v>83</v>
      </c>
      <c r="H60" s="362">
        <v>0.76</v>
      </c>
      <c r="I60" s="1163">
        <v>67</v>
      </c>
      <c r="J60" s="1084">
        <f t="shared" si="0"/>
        <v>29.84375</v>
      </c>
    </row>
    <row r="61" ht="21" customHeight="1" spans="1:10">
      <c r="A61" s="1157">
        <v>59</v>
      </c>
      <c r="B61" s="1153" t="s">
        <v>2020</v>
      </c>
      <c r="C61" s="362">
        <v>4</v>
      </c>
      <c r="D61" s="362">
        <v>5.5</v>
      </c>
      <c r="E61" s="362">
        <v>9.4</v>
      </c>
      <c r="F61" s="362">
        <v>960</v>
      </c>
      <c r="G61" s="362">
        <v>84</v>
      </c>
      <c r="H61" s="362">
        <v>0.77</v>
      </c>
      <c r="I61" s="1163">
        <v>77</v>
      </c>
      <c r="J61" s="1084">
        <f t="shared" si="0"/>
        <v>39.7916666666667</v>
      </c>
    </row>
    <row r="62" ht="21" customHeight="1" spans="1:10">
      <c r="A62" s="1157">
        <v>60</v>
      </c>
      <c r="B62" s="1153" t="s">
        <v>2021</v>
      </c>
      <c r="C62" s="362">
        <v>5.5</v>
      </c>
      <c r="D62" s="362">
        <v>7.5</v>
      </c>
      <c r="E62" s="362">
        <v>12.6</v>
      </c>
      <c r="F62" s="362">
        <v>960</v>
      </c>
      <c r="G62" s="362">
        <v>85.3</v>
      </c>
      <c r="H62" s="362">
        <v>0.78</v>
      </c>
      <c r="I62" s="1163">
        <v>87</v>
      </c>
      <c r="J62" s="1084">
        <f t="shared" si="0"/>
        <v>54.7135416666667</v>
      </c>
    </row>
    <row r="63" ht="21" customHeight="1" spans="1:10">
      <c r="A63" s="1157">
        <v>61</v>
      </c>
      <c r="B63" s="1153" t="s">
        <v>2022</v>
      </c>
      <c r="C63" s="362">
        <v>7.5</v>
      </c>
      <c r="D63" s="362">
        <v>10</v>
      </c>
      <c r="E63" s="362">
        <v>17</v>
      </c>
      <c r="F63" s="362">
        <v>970</v>
      </c>
      <c r="G63" s="362">
        <v>86</v>
      </c>
      <c r="H63" s="362">
        <v>0.78</v>
      </c>
      <c r="I63" s="1163">
        <v>120</v>
      </c>
      <c r="J63" s="1084">
        <f t="shared" si="0"/>
        <v>73.840206185567</v>
      </c>
    </row>
    <row r="64" ht="21" customHeight="1" spans="1:10">
      <c r="A64" s="1157">
        <v>62</v>
      </c>
      <c r="B64" s="1153" t="s">
        <v>2023</v>
      </c>
      <c r="C64" s="362">
        <v>11</v>
      </c>
      <c r="D64" s="362">
        <v>15</v>
      </c>
      <c r="E64" s="362">
        <v>24.6</v>
      </c>
      <c r="F64" s="362">
        <v>970</v>
      </c>
      <c r="G64" s="362">
        <v>87</v>
      </c>
      <c r="H64" s="362">
        <v>0.78</v>
      </c>
      <c r="I64" s="1163">
        <v>146</v>
      </c>
      <c r="J64" s="1084">
        <f t="shared" si="0"/>
        <v>108.298969072165</v>
      </c>
    </row>
    <row r="65" ht="21" customHeight="1" spans="1:10">
      <c r="A65" s="1157">
        <v>63</v>
      </c>
      <c r="B65" s="1153" t="s">
        <v>2024</v>
      </c>
      <c r="C65" s="362">
        <v>15</v>
      </c>
      <c r="D65" s="362">
        <v>20</v>
      </c>
      <c r="E65" s="362">
        <v>31.4</v>
      </c>
      <c r="F65" s="362">
        <v>970</v>
      </c>
      <c r="G65" s="362">
        <v>89.5</v>
      </c>
      <c r="H65" s="362">
        <v>0.81</v>
      </c>
      <c r="I65" s="1163">
        <v>183</v>
      </c>
      <c r="J65" s="1084">
        <f t="shared" si="0"/>
        <v>147.680412371134</v>
      </c>
    </row>
    <row r="66" ht="21" customHeight="1" spans="1:10">
      <c r="A66" s="1157">
        <v>64</v>
      </c>
      <c r="B66" s="1153" t="s">
        <v>2025</v>
      </c>
      <c r="C66" s="362">
        <v>18.5</v>
      </c>
      <c r="D66" s="362">
        <v>25</v>
      </c>
      <c r="E66" s="362">
        <v>37.7</v>
      </c>
      <c r="F66" s="362">
        <v>970</v>
      </c>
      <c r="G66" s="362">
        <v>89.8</v>
      </c>
      <c r="H66" s="362">
        <v>0.83</v>
      </c>
      <c r="I66" s="1163">
        <v>220</v>
      </c>
      <c r="J66" s="1084">
        <f t="shared" si="0"/>
        <v>182.139175257732</v>
      </c>
    </row>
    <row r="67" ht="21" customHeight="1" spans="1:10">
      <c r="A67" s="1157">
        <v>65</v>
      </c>
      <c r="B67" s="1153" t="s">
        <v>2026</v>
      </c>
      <c r="C67" s="362">
        <v>22</v>
      </c>
      <c r="D67" s="362">
        <v>30</v>
      </c>
      <c r="E67" s="362">
        <v>44.6</v>
      </c>
      <c r="F67" s="362">
        <v>970</v>
      </c>
      <c r="G67" s="362">
        <v>90.2</v>
      </c>
      <c r="H67" s="362">
        <v>0.83</v>
      </c>
      <c r="I67" s="1163">
        <v>250</v>
      </c>
      <c r="J67" s="1084">
        <f t="shared" ref="J67:J103" si="1">9550*C67/F67</f>
        <v>216.59793814433</v>
      </c>
    </row>
    <row r="68" ht="21" customHeight="1" spans="1:10">
      <c r="A68" s="1157">
        <v>66</v>
      </c>
      <c r="B68" s="1153" t="s">
        <v>2027</v>
      </c>
      <c r="C68" s="362">
        <v>30</v>
      </c>
      <c r="D68" s="362">
        <v>40</v>
      </c>
      <c r="E68" s="362">
        <v>59.5</v>
      </c>
      <c r="F68" s="362">
        <v>980</v>
      </c>
      <c r="G68" s="362">
        <v>90.2</v>
      </c>
      <c r="H68" s="362">
        <v>0.85</v>
      </c>
      <c r="I68" s="1163">
        <v>300</v>
      </c>
      <c r="J68" s="1084">
        <f t="shared" si="1"/>
        <v>292.34693877551</v>
      </c>
    </row>
    <row r="69" ht="21" customHeight="1" spans="1:10">
      <c r="A69" s="1157">
        <v>67</v>
      </c>
      <c r="B69" s="1153" t="s">
        <v>2028</v>
      </c>
      <c r="C69" s="362">
        <v>37</v>
      </c>
      <c r="D69" s="362">
        <v>50</v>
      </c>
      <c r="E69" s="362">
        <v>72</v>
      </c>
      <c r="F69" s="362">
        <v>980</v>
      </c>
      <c r="G69" s="362">
        <v>90.8</v>
      </c>
      <c r="H69" s="362">
        <v>0.86</v>
      </c>
      <c r="I69" s="1163">
        <v>410</v>
      </c>
      <c r="J69" s="1084">
        <f t="shared" si="1"/>
        <v>360.561224489796</v>
      </c>
    </row>
    <row r="70" ht="21" customHeight="1" spans="1:10">
      <c r="A70" s="1157">
        <v>68</v>
      </c>
      <c r="B70" s="1153" t="s">
        <v>2029</v>
      </c>
      <c r="C70" s="362">
        <v>45</v>
      </c>
      <c r="D70" s="362">
        <v>61</v>
      </c>
      <c r="E70" s="362">
        <v>85.4</v>
      </c>
      <c r="F70" s="362">
        <v>980</v>
      </c>
      <c r="G70" s="362">
        <v>92</v>
      </c>
      <c r="H70" s="362">
        <v>0.87</v>
      </c>
      <c r="I70" s="1163">
        <v>536</v>
      </c>
      <c r="J70" s="1084">
        <f t="shared" si="1"/>
        <v>438.520408163265</v>
      </c>
    </row>
    <row r="71" ht="21" customHeight="1" spans="1:10">
      <c r="A71" s="1157">
        <v>69</v>
      </c>
      <c r="B71" s="1153" t="s">
        <v>2030</v>
      </c>
      <c r="C71" s="362">
        <v>55</v>
      </c>
      <c r="D71" s="362">
        <v>75</v>
      </c>
      <c r="E71" s="362">
        <v>104.4</v>
      </c>
      <c r="F71" s="362">
        <v>980</v>
      </c>
      <c r="G71" s="362">
        <v>92</v>
      </c>
      <c r="H71" s="362">
        <v>0.87</v>
      </c>
      <c r="I71" s="1163">
        <v>595</v>
      </c>
      <c r="J71" s="1084">
        <f t="shared" si="1"/>
        <v>535.969387755102</v>
      </c>
    </row>
    <row r="72" ht="21" customHeight="1" spans="1:10">
      <c r="A72" s="1157">
        <v>70</v>
      </c>
      <c r="B72" s="1153" t="s">
        <v>2031</v>
      </c>
      <c r="C72" s="362">
        <v>75</v>
      </c>
      <c r="D72" s="362">
        <v>102</v>
      </c>
      <c r="E72" s="362">
        <v>141</v>
      </c>
      <c r="F72" s="362">
        <v>990</v>
      </c>
      <c r="G72" s="362">
        <v>92.8</v>
      </c>
      <c r="H72" s="362">
        <v>0.87</v>
      </c>
      <c r="I72" s="1163">
        <v>1000</v>
      </c>
      <c r="J72" s="1084">
        <f t="shared" si="1"/>
        <v>723.484848484849</v>
      </c>
    </row>
    <row r="73" ht="21" customHeight="1" spans="1:10">
      <c r="A73" s="1157">
        <v>71</v>
      </c>
      <c r="B73" s="1153" t="s">
        <v>2032</v>
      </c>
      <c r="C73" s="362">
        <v>90</v>
      </c>
      <c r="D73" s="362">
        <v>122.5</v>
      </c>
      <c r="E73" s="362">
        <v>168.6</v>
      </c>
      <c r="F73" s="362">
        <v>990</v>
      </c>
      <c r="G73" s="362">
        <v>93.2</v>
      </c>
      <c r="H73" s="362">
        <v>0.87</v>
      </c>
      <c r="I73" s="1163">
        <v>1080</v>
      </c>
      <c r="J73" s="1084">
        <f t="shared" si="1"/>
        <v>868.181818181818</v>
      </c>
    </row>
    <row r="74" ht="21" customHeight="1" spans="1:10">
      <c r="A74" s="1157">
        <v>72</v>
      </c>
      <c r="B74" s="1153" t="s">
        <v>2033</v>
      </c>
      <c r="C74" s="362">
        <v>110</v>
      </c>
      <c r="D74" s="362">
        <v>150</v>
      </c>
      <c r="E74" s="362">
        <v>205.5</v>
      </c>
      <c r="F74" s="362">
        <v>990</v>
      </c>
      <c r="G74" s="362">
        <v>93.5</v>
      </c>
      <c r="H74" s="362">
        <v>0.87</v>
      </c>
      <c r="I74" s="1163">
        <v>1150</v>
      </c>
      <c r="J74" s="1084">
        <f t="shared" si="1"/>
        <v>1061.11111111111</v>
      </c>
    </row>
    <row r="75" ht="21" customHeight="1" spans="1:10">
      <c r="A75" s="1157">
        <v>73</v>
      </c>
      <c r="B75" s="1153" t="s">
        <v>2034</v>
      </c>
      <c r="C75" s="362">
        <v>132</v>
      </c>
      <c r="D75" s="362">
        <v>180</v>
      </c>
      <c r="E75" s="362">
        <v>245.6</v>
      </c>
      <c r="F75" s="362">
        <v>990</v>
      </c>
      <c r="G75" s="362">
        <v>93.8</v>
      </c>
      <c r="H75" s="362">
        <v>0.87</v>
      </c>
      <c r="I75" s="1163">
        <v>1210</v>
      </c>
      <c r="J75" s="1084">
        <f t="shared" si="1"/>
        <v>1273.33333333333</v>
      </c>
    </row>
    <row r="76" ht="21" customHeight="1" spans="1:10">
      <c r="A76" s="1157">
        <v>74</v>
      </c>
      <c r="B76" s="1153" t="s">
        <v>2035</v>
      </c>
      <c r="C76" s="362">
        <v>160</v>
      </c>
      <c r="D76" s="362">
        <v>218</v>
      </c>
      <c r="E76" s="362">
        <v>300.4</v>
      </c>
      <c r="F76" s="362">
        <v>990</v>
      </c>
      <c r="G76" s="362">
        <v>94.1</v>
      </c>
      <c r="H76" s="362">
        <v>0.86</v>
      </c>
      <c r="I76" s="1163">
        <v>1590</v>
      </c>
      <c r="J76" s="1084">
        <f t="shared" si="1"/>
        <v>1543.43434343434</v>
      </c>
    </row>
    <row r="77" ht="21" customHeight="1" spans="1:10">
      <c r="A77" s="1157">
        <v>75</v>
      </c>
      <c r="B77" s="1153" t="s">
        <v>2036</v>
      </c>
      <c r="C77" s="362">
        <v>185</v>
      </c>
      <c r="D77" s="362">
        <v>272</v>
      </c>
      <c r="E77" s="362">
        <v>346.6</v>
      </c>
      <c r="F77" s="362">
        <v>990</v>
      </c>
      <c r="G77" s="362">
        <v>94.3</v>
      </c>
      <c r="H77" s="362">
        <v>0.86</v>
      </c>
      <c r="I77" s="1163">
        <v>1670</v>
      </c>
      <c r="J77" s="1084">
        <f t="shared" si="1"/>
        <v>1784.59595959596</v>
      </c>
    </row>
    <row r="78" ht="21" customHeight="1" spans="1:10">
      <c r="A78" s="1157">
        <v>76</v>
      </c>
      <c r="B78" s="1153" t="s">
        <v>2037</v>
      </c>
      <c r="C78" s="362">
        <v>200</v>
      </c>
      <c r="D78" s="362">
        <v>299</v>
      </c>
      <c r="E78" s="362">
        <v>374.7</v>
      </c>
      <c r="F78" s="362">
        <v>990</v>
      </c>
      <c r="G78" s="362">
        <v>94.3</v>
      </c>
      <c r="H78" s="362">
        <v>0.86</v>
      </c>
      <c r="I78" s="1163">
        <v>1750</v>
      </c>
      <c r="J78" s="1084">
        <f t="shared" si="1"/>
        <v>1929.29292929293</v>
      </c>
    </row>
    <row r="79" ht="21" customHeight="1" spans="1:10">
      <c r="A79" s="1157">
        <v>77</v>
      </c>
      <c r="B79" s="1153" t="s">
        <v>2038</v>
      </c>
      <c r="C79" s="362">
        <v>220</v>
      </c>
      <c r="D79" s="362">
        <v>340</v>
      </c>
      <c r="E79" s="362">
        <v>411.3</v>
      </c>
      <c r="F79" s="362">
        <v>991</v>
      </c>
      <c r="G79" s="362">
        <v>94.5</v>
      </c>
      <c r="H79" s="362">
        <v>0.86</v>
      </c>
      <c r="I79" s="1163">
        <v>1870</v>
      </c>
      <c r="J79" s="1084">
        <f t="shared" si="1"/>
        <v>2120.08072653885</v>
      </c>
    </row>
    <row r="80" ht="21" customHeight="1" spans="1:10">
      <c r="A80" s="1157">
        <v>78</v>
      </c>
      <c r="B80" s="1159" t="s">
        <v>2039</v>
      </c>
      <c r="C80" s="1160">
        <v>250</v>
      </c>
      <c r="D80" s="1160">
        <v>381</v>
      </c>
      <c r="E80" s="1160">
        <v>466.4</v>
      </c>
      <c r="F80" s="1160">
        <v>991</v>
      </c>
      <c r="G80" s="1160">
        <v>94.7</v>
      </c>
      <c r="H80" s="1160">
        <v>0.86</v>
      </c>
      <c r="I80" s="1164">
        <v>1990</v>
      </c>
      <c r="J80" s="1084">
        <f t="shared" si="1"/>
        <v>2409.18264379415</v>
      </c>
    </row>
    <row r="81" ht="21" customHeight="1" spans="1:10">
      <c r="A81" s="1157">
        <v>79</v>
      </c>
      <c r="B81" s="1156" t="s">
        <v>2040</v>
      </c>
      <c r="C81" s="415">
        <v>2.2</v>
      </c>
      <c r="D81" s="415">
        <v>3</v>
      </c>
      <c r="E81" s="415">
        <v>5.6</v>
      </c>
      <c r="F81" s="415">
        <v>710</v>
      </c>
      <c r="G81" s="415">
        <v>80.5</v>
      </c>
      <c r="H81" s="415">
        <v>0.71</v>
      </c>
      <c r="I81" s="1162">
        <v>65</v>
      </c>
      <c r="J81" s="1084">
        <f t="shared" si="1"/>
        <v>29.5915492957746</v>
      </c>
    </row>
    <row r="82" ht="21" customHeight="1" spans="1:10">
      <c r="A82" s="1157">
        <v>80</v>
      </c>
      <c r="B82" s="1153" t="s">
        <v>2041</v>
      </c>
      <c r="C82" s="362">
        <v>3</v>
      </c>
      <c r="D82" s="362">
        <v>4</v>
      </c>
      <c r="E82" s="362">
        <v>7.7</v>
      </c>
      <c r="F82" s="362">
        <v>710</v>
      </c>
      <c r="G82" s="362">
        <v>82</v>
      </c>
      <c r="H82" s="362">
        <v>0.72</v>
      </c>
      <c r="I82" s="1163">
        <v>76</v>
      </c>
      <c r="J82" s="1084">
        <f t="shared" si="1"/>
        <v>40.3521126760563</v>
      </c>
    </row>
    <row r="83" ht="21" customHeight="1" spans="1:10">
      <c r="A83" s="1157">
        <v>81</v>
      </c>
      <c r="B83" s="1153" t="s">
        <v>2042</v>
      </c>
      <c r="C83" s="362">
        <v>4</v>
      </c>
      <c r="D83" s="362">
        <v>5.5</v>
      </c>
      <c r="E83" s="362">
        <v>9.9</v>
      </c>
      <c r="F83" s="362">
        <v>720</v>
      </c>
      <c r="G83" s="362">
        <v>84</v>
      </c>
      <c r="H83" s="362">
        <v>0.73</v>
      </c>
      <c r="I83" s="1163">
        <v>110</v>
      </c>
      <c r="J83" s="1084">
        <f t="shared" si="1"/>
        <v>53.0555555555556</v>
      </c>
    </row>
    <row r="84" ht="21" customHeight="1" spans="1:10">
      <c r="A84" s="1157">
        <v>82</v>
      </c>
      <c r="B84" s="1153" t="s">
        <v>2043</v>
      </c>
      <c r="C84" s="362">
        <v>5.5</v>
      </c>
      <c r="D84" s="362">
        <v>7.5</v>
      </c>
      <c r="E84" s="362">
        <v>13.3</v>
      </c>
      <c r="F84" s="362">
        <v>720</v>
      </c>
      <c r="G84" s="362">
        <v>85</v>
      </c>
      <c r="H84" s="362">
        <v>0.74</v>
      </c>
      <c r="I84" s="1163">
        <v>110</v>
      </c>
      <c r="J84" s="1084">
        <f t="shared" si="1"/>
        <v>72.9513888888889</v>
      </c>
    </row>
    <row r="85" ht="21" customHeight="1" spans="1:10">
      <c r="A85" s="1157">
        <v>83</v>
      </c>
      <c r="B85" s="1153" t="s">
        <v>2044</v>
      </c>
      <c r="C85" s="362">
        <v>7.5</v>
      </c>
      <c r="D85" s="362">
        <v>10</v>
      </c>
      <c r="E85" s="362">
        <v>17.1</v>
      </c>
      <c r="F85" s="362">
        <v>720</v>
      </c>
      <c r="G85" s="362">
        <v>86</v>
      </c>
      <c r="H85" s="362">
        <v>0.75</v>
      </c>
      <c r="I85" s="1163">
        <v>140</v>
      </c>
      <c r="J85" s="1084">
        <f t="shared" si="1"/>
        <v>99.4791666666667</v>
      </c>
    </row>
    <row r="86" ht="21" customHeight="1" spans="1:10">
      <c r="A86" s="1157">
        <v>84</v>
      </c>
      <c r="B86" s="1153" t="s">
        <v>2045</v>
      </c>
      <c r="C86" s="362">
        <v>11</v>
      </c>
      <c r="D86" s="362">
        <v>15</v>
      </c>
      <c r="E86" s="362">
        <v>24.8</v>
      </c>
      <c r="F86" s="362">
        <v>730</v>
      </c>
      <c r="G86" s="362">
        <v>87.5</v>
      </c>
      <c r="H86" s="362">
        <v>0.77</v>
      </c>
      <c r="I86" s="1163">
        <v>185</v>
      </c>
      <c r="J86" s="1084">
        <f t="shared" si="1"/>
        <v>143.904109589041</v>
      </c>
    </row>
    <row r="87" ht="21" customHeight="1" spans="1:10">
      <c r="A87" s="1157">
        <v>85</v>
      </c>
      <c r="B87" s="1153" t="s">
        <v>2046</v>
      </c>
      <c r="C87" s="362">
        <v>15</v>
      </c>
      <c r="D87" s="362">
        <v>20</v>
      </c>
      <c r="E87" s="362">
        <v>34</v>
      </c>
      <c r="F87" s="362">
        <v>730</v>
      </c>
      <c r="G87" s="362">
        <v>88</v>
      </c>
      <c r="H87" s="362">
        <v>0.76</v>
      </c>
      <c r="I87" s="1163">
        <v>235</v>
      </c>
      <c r="J87" s="1084">
        <f t="shared" si="1"/>
        <v>196.232876712329</v>
      </c>
    </row>
    <row r="88" ht="21" customHeight="1" spans="1:10">
      <c r="A88" s="1157">
        <v>86</v>
      </c>
      <c r="B88" s="1153" t="s">
        <v>2047</v>
      </c>
      <c r="C88" s="362">
        <v>18.5</v>
      </c>
      <c r="D88" s="362">
        <v>25</v>
      </c>
      <c r="E88" s="362">
        <v>41.3</v>
      </c>
      <c r="F88" s="362">
        <v>730</v>
      </c>
      <c r="G88" s="362">
        <v>89.5</v>
      </c>
      <c r="H88" s="362">
        <v>0.76</v>
      </c>
      <c r="I88" s="1163">
        <v>276</v>
      </c>
      <c r="J88" s="1084">
        <f t="shared" si="1"/>
        <v>242.020547945205</v>
      </c>
    </row>
    <row r="89" ht="21" customHeight="1" spans="1:10">
      <c r="A89" s="1157">
        <v>87</v>
      </c>
      <c r="B89" s="1153" t="s">
        <v>2048</v>
      </c>
      <c r="C89" s="362">
        <v>22</v>
      </c>
      <c r="D89" s="362">
        <v>30</v>
      </c>
      <c r="E89" s="362">
        <v>47.6</v>
      </c>
      <c r="F89" s="362">
        <v>730</v>
      </c>
      <c r="G89" s="362">
        <v>90</v>
      </c>
      <c r="H89" s="362">
        <v>0.78</v>
      </c>
      <c r="I89" s="1163">
        <v>303</v>
      </c>
      <c r="J89" s="1084">
        <f t="shared" si="1"/>
        <v>287.808219178082</v>
      </c>
    </row>
    <row r="90" ht="21" customHeight="1" spans="1:10">
      <c r="A90" s="1157">
        <v>88</v>
      </c>
      <c r="B90" s="1153" t="s">
        <v>2049</v>
      </c>
      <c r="C90" s="362">
        <v>30</v>
      </c>
      <c r="D90" s="362">
        <v>40</v>
      </c>
      <c r="E90" s="362">
        <v>63</v>
      </c>
      <c r="F90" s="362">
        <v>730</v>
      </c>
      <c r="G90" s="362">
        <v>90.5</v>
      </c>
      <c r="H90" s="362">
        <v>0.8</v>
      </c>
      <c r="I90" s="1163">
        <v>402</v>
      </c>
      <c r="J90" s="1084">
        <f t="shared" si="1"/>
        <v>392.465753424658</v>
      </c>
    </row>
    <row r="91" ht="21" customHeight="1" spans="1:10">
      <c r="A91" s="1157">
        <v>89</v>
      </c>
      <c r="B91" s="1153" t="s">
        <v>2050</v>
      </c>
      <c r="C91" s="362">
        <v>37</v>
      </c>
      <c r="D91" s="362">
        <v>50</v>
      </c>
      <c r="E91" s="362">
        <v>78.2</v>
      </c>
      <c r="F91" s="362">
        <v>740</v>
      </c>
      <c r="G91" s="362">
        <v>91</v>
      </c>
      <c r="H91" s="362">
        <v>0.79</v>
      </c>
      <c r="I91" s="1163">
        <v>520</v>
      </c>
      <c r="J91" s="1084">
        <f t="shared" si="1"/>
        <v>477.5</v>
      </c>
    </row>
    <row r="92" ht="21" customHeight="1" spans="1:10">
      <c r="A92" s="1157">
        <v>90</v>
      </c>
      <c r="B92" s="1153" t="s">
        <v>2051</v>
      </c>
      <c r="C92" s="362">
        <v>45</v>
      </c>
      <c r="D92" s="362">
        <v>61</v>
      </c>
      <c r="E92" s="362">
        <v>93.2</v>
      </c>
      <c r="F92" s="362">
        <v>730</v>
      </c>
      <c r="G92" s="362">
        <v>91.7</v>
      </c>
      <c r="H92" s="362">
        <v>0.8</v>
      </c>
      <c r="I92" s="1163">
        <v>592</v>
      </c>
      <c r="J92" s="1084">
        <f t="shared" si="1"/>
        <v>588.698630136986</v>
      </c>
    </row>
    <row r="93" ht="21" customHeight="1" spans="1:10">
      <c r="A93" s="1157">
        <v>91</v>
      </c>
      <c r="B93" s="1153" t="s">
        <v>2052</v>
      </c>
      <c r="C93" s="362">
        <v>55</v>
      </c>
      <c r="D93" s="362">
        <v>75</v>
      </c>
      <c r="E93" s="362">
        <v>113.5</v>
      </c>
      <c r="F93" s="362">
        <v>740</v>
      </c>
      <c r="G93" s="362">
        <v>92</v>
      </c>
      <c r="H93" s="362">
        <v>0.8</v>
      </c>
      <c r="I93" s="1163">
        <v>1100</v>
      </c>
      <c r="J93" s="1084">
        <f t="shared" si="1"/>
        <v>709.797297297297</v>
      </c>
    </row>
    <row r="94" ht="21" customHeight="1" spans="1:10">
      <c r="A94" s="1157">
        <v>92</v>
      </c>
      <c r="B94" s="1153" t="s">
        <v>2053</v>
      </c>
      <c r="C94" s="362">
        <v>75</v>
      </c>
      <c r="D94" s="362">
        <v>102</v>
      </c>
      <c r="E94" s="362">
        <v>152</v>
      </c>
      <c r="F94" s="362">
        <v>740</v>
      </c>
      <c r="G94" s="362">
        <v>92.5</v>
      </c>
      <c r="H94" s="362">
        <v>0.81</v>
      </c>
      <c r="I94" s="1163">
        <v>1160</v>
      </c>
      <c r="J94" s="1084">
        <f t="shared" si="1"/>
        <v>967.905405405405</v>
      </c>
    </row>
    <row r="95" ht="21" customHeight="1" spans="1:10">
      <c r="A95" s="1157">
        <v>93</v>
      </c>
      <c r="B95" s="1153" t="s">
        <v>2054</v>
      </c>
      <c r="C95" s="362">
        <v>90</v>
      </c>
      <c r="D95" s="362">
        <v>122.5</v>
      </c>
      <c r="E95" s="362">
        <v>179</v>
      </c>
      <c r="F95" s="362">
        <v>740</v>
      </c>
      <c r="G95" s="362">
        <v>93</v>
      </c>
      <c r="H95" s="362">
        <v>0.82</v>
      </c>
      <c r="I95" s="1163">
        <v>1230</v>
      </c>
      <c r="J95" s="1084">
        <f t="shared" si="1"/>
        <v>1161.48648648649</v>
      </c>
    </row>
    <row r="96" ht="21" customHeight="1" spans="1:10">
      <c r="A96" s="1157">
        <v>94</v>
      </c>
      <c r="B96" s="1153" t="s">
        <v>2055</v>
      </c>
      <c r="C96" s="362">
        <v>110</v>
      </c>
      <c r="D96" s="362">
        <v>150</v>
      </c>
      <c r="E96" s="362">
        <v>218.5</v>
      </c>
      <c r="F96" s="362">
        <v>740</v>
      </c>
      <c r="G96" s="362">
        <v>93.3</v>
      </c>
      <c r="H96" s="362">
        <v>0.82</v>
      </c>
      <c r="I96" s="1163">
        <v>1380</v>
      </c>
      <c r="J96" s="1084">
        <f t="shared" si="1"/>
        <v>1419.59459459459</v>
      </c>
    </row>
    <row r="97" ht="21" customHeight="1" spans="1:10">
      <c r="A97" s="1157">
        <v>95</v>
      </c>
      <c r="B97" s="1153" t="s">
        <v>2056</v>
      </c>
      <c r="C97" s="362">
        <v>132</v>
      </c>
      <c r="D97" s="362">
        <v>180</v>
      </c>
      <c r="E97" s="362">
        <v>264</v>
      </c>
      <c r="F97" s="362">
        <v>742</v>
      </c>
      <c r="G97" s="362">
        <v>93.8</v>
      </c>
      <c r="H97" s="362">
        <v>0.81</v>
      </c>
      <c r="I97" s="1163">
        <v>1660</v>
      </c>
      <c r="J97" s="1084">
        <f t="shared" si="1"/>
        <v>1698.9218328841</v>
      </c>
    </row>
    <row r="98" ht="21" customHeight="1" spans="1:10">
      <c r="A98" s="1157">
        <v>96</v>
      </c>
      <c r="B98" s="1153" t="s">
        <v>2057</v>
      </c>
      <c r="C98" s="362">
        <v>160</v>
      </c>
      <c r="D98" s="362">
        <v>218</v>
      </c>
      <c r="E98" s="362">
        <v>319.3</v>
      </c>
      <c r="F98" s="362">
        <v>742</v>
      </c>
      <c r="G98" s="362">
        <v>94</v>
      </c>
      <c r="H98" s="362">
        <v>0.81</v>
      </c>
      <c r="I98" s="1163">
        <v>1740</v>
      </c>
      <c r="J98" s="1084">
        <f t="shared" si="1"/>
        <v>2059.29919137466</v>
      </c>
    </row>
    <row r="99" ht="21" customHeight="1" spans="1:10">
      <c r="A99" s="1157">
        <v>97</v>
      </c>
      <c r="B99" s="1153" t="s">
        <v>2058</v>
      </c>
      <c r="C99" s="362">
        <v>185</v>
      </c>
      <c r="D99" s="362">
        <v>272</v>
      </c>
      <c r="E99" s="362">
        <v>368.4</v>
      </c>
      <c r="F99" s="362">
        <v>742</v>
      </c>
      <c r="G99" s="362">
        <v>94.2</v>
      </c>
      <c r="H99" s="362">
        <v>0.81</v>
      </c>
      <c r="I99" s="1163">
        <v>1880</v>
      </c>
      <c r="J99" s="1084">
        <f t="shared" si="1"/>
        <v>2381.06469002695</v>
      </c>
    </row>
    <row r="100" ht="21" customHeight="1" spans="1:10">
      <c r="A100" s="1157">
        <v>98</v>
      </c>
      <c r="B100" s="1159" t="s">
        <v>2059</v>
      </c>
      <c r="C100" s="1160">
        <v>200</v>
      </c>
      <c r="D100" s="1160">
        <v>299</v>
      </c>
      <c r="E100" s="1160">
        <v>397.8</v>
      </c>
      <c r="F100" s="1160">
        <v>742</v>
      </c>
      <c r="G100" s="1160">
        <v>94.3</v>
      </c>
      <c r="H100" s="1160">
        <v>0.81</v>
      </c>
      <c r="I100" s="1164">
        <v>1980</v>
      </c>
      <c r="J100" s="1084">
        <f t="shared" si="1"/>
        <v>2574.12398921833</v>
      </c>
    </row>
    <row r="101" ht="21" customHeight="1" spans="1:10">
      <c r="A101" s="1157">
        <v>99</v>
      </c>
      <c r="B101" s="1156" t="s">
        <v>2060</v>
      </c>
      <c r="C101" s="415">
        <v>90</v>
      </c>
      <c r="D101" s="415">
        <v>122.5</v>
      </c>
      <c r="E101" s="1165">
        <v>191</v>
      </c>
      <c r="F101" s="415">
        <v>592</v>
      </c>
      <c r="G101" s="415">
        <v>93</v>
      </c>
      <c r="H101" s="415">
        <v>0.77</v>
      </c>
      <c r="I101" s="1162">
        <v>1590</v>
      </c>
      <c r="J101" s="1084">
        <f t="shared" si="1"/>
        <v>1451.85810810811</v>
      </c>
    </row>
    <row r="102" ht="21" customHeight="1" spans="1:10">
      <c r="A102" s="1157">
        <v>100</v>
      </c>
      <c r="B102" s="1153" t="s">
        <v>2061</v>
      </c>
      <c r="C102" s="362">
        <v>110</v>
      </c>
      <c r="D102" s="362">
        <v>150</v>
      </c>
      <c r="E102" s="362">
        <v>229.9</v>
      </c>
      <c r="F102" s="362">
        <v>592</v>
      </c>
      <c r="G102" s="362">
        <v>93.2</v>
      </c>
      <c r="H102" s="362">
        <v>0.78</v>
      </c>
      <c r="I102" s="1163">
        <v>1720</v>
      </c>
      <c r="J102" s="1084">
        <f t="shared" si="1"/>
        <v>1774.49324324324</v>
      </c>
    </row>
    <row r="103" ht="21" customHeight="1" spans="1:10">
      <c r="A103" s="1157">
        <v>101</v>
      </c>
      <c r="B103" s="1159" t="s">
        <v>2062</v>
      </c>
      <c r="C103" s="1160">
        <v>132</v>
      </c>
      <c r="D103" s="1160">
        <v>180</v>
      </c>
      <c r="E103" s="1160">
        <v>275</v>
      </c>
      <c r="F103" s="1160">
        <v>592</v>
      </c>
      <c r="G103" s="1160">
        <v>93.5</v>
      </c>
      <c r="H103" s="1160">
        <v>0.78</v>
      </c>
      <c r="I103" s="1164">
        <v>1890</v>
      </c>
      <c r="J103" s="1084">
        <f t="shared" si="1"/>
        <v>2129.39189189189</v>
      </c>
    </row>
  </sheetData>
  <customSheetViews>
    <customSheetView guid="{B9330FFD-B5EF-4680-A375-DB92D4738404}">
      <pane ySplit="2" topLeftCell="A3" activePane="bottomLeft" state="frozen"/>
      <selection activeCell="J103" sqref="J103"/>
      <pageMargins left="0.7" right="0.7" top="0.75" bottom="0.75" header="0.3" footer="0.3"/>
      <headerFooter/>
    </customSheetView>
  </customSheetViews>
  <mergeCells count="1">
    <mergeCell ref="A1:I1"/>
  </mergeCells>
  <hyperlinks>
    <hyperlink ref="J1" location="目录!A1" display="目录!A1"/>
  </hyperlinks>
  <pageMargins left="0.7" right="0.7" top="0.75" bottom="0.75" header="0.3" footer="0.3"/>
  <headerFooter/>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6"/>
  <sheetViews>
    <sheetView topLeftCell="A13" workbookViewId="0">
      <selection activeCell="L9" sqref="L9"/>
    </sheetView>
  </sheetViews>
  <sheetFormatPr defaultColWidth="9" defaultRowHeight="15.6" outlineLevelCol="6"/>
  <cols>
    <col min="1" max="1" width="27.375" customWidth="1"/>
    <col min="2" max="2" width="22.75" customWidth="1"/>
    <col min="3" max="5" width="17.625" customWidth="1"/>
    <col min="6" max="6" width="11.875" customWidth="1"/>
  </cols>
  <sheetData>
    <row r="1" ht="25.8" spans="1:5">
      <c r="A1" s="997" t="s">
        <v>2063</v>
      </c>
      <c r="B1" s="997"/>
      <c r="C1" s="997"/>
      <c r="D1" s="997"/>
      <c r="E1" s="997"/>
    </row>
    <row r="2" ht="24" customHeight="1" spans="1:5">
      <c r="A2" s="1079" t="s">
        <v>2064</v>
      </c>
      <c r="B2" s="1079"/>
      <c r="C2" s="1079"/>
      <c r="D2" s="1080"/>
      <c r="E2" s="1081" t="s">
        <v>88</v>
      </c>
    </row>
    <row r="3" ht="24" customHeight="1" spans="1:5">
      <c r="A3" s="1082" t="s">
        <v>2065</v>
      </c>
      <c r="B3" s="1082" t="s">
        <v>2066</v>
      </c>
      <c r="C3" s="1082" t="s">
        <v>2067</v>
      </c>
      <c r="D3" s="1082" t="s">
        <v>2068</v>
      </c>
      <c r="E3" s="1082" t="s">
        <v>918</v>
      </c>
    </row>
    <row r="4" ht="24" customHeight="1" spans="1:5">
      <c r="A4" s="1083">
        <v>0.1</v>
      </c>
      <c r="B4" s="1083">
        <v>1000</v>
      </c>
      <c r="C4" s="1083">
        <v>0.85</v>
      </c>
      <c r="D4" s="1082">
        <f>B4*A4/(1000*C4)</f>
        <v>0.117647058823529</v>
      </c>
      <c r="E4" s="289"/>
    </row>
    <row r="5" ht="24" customHeight="1" spans="1:5">
      <c r="A5" s="1079" t="s">
        <v>2069</v>
      </c>
      <c r="B5" s="1079"/>
      <c r="C5" s="1079"/>
      <c r="D5" s="1079"/>
      <c r="E5" s="1079"/>
    </row>
    <row r="6" ht="24" customHeight="1" spans="1:5">
      <c r="A6" s="1082" t="s">
        <v>2070</v>
      </c>
      <c r="B6" s="1082" t="s">
        <v>2071</v>
      </c>
      <c r="C6" s="1082" t="s">
        <v>2067</v>
      </c>
      <c r="D6" s="1082" t="s">
        <v>2068</v>
      </c>
      <c r="E6" s="289"/>
    </row>
    <row r="7" ht="24" customHeight="1" spans="1:5">
      <c r="A7" s="1083">
        <v>160</v>
      </c>
      <c r="B7" s="1083">
        <v>15</v>
      </c>
      <c r="C7" s="1083">
        <v>0.85</v>
      </c>
      <c r="D7" s="1082">
        <f>A7*B7/(9550*C7)</f>
        <v>0.295657530027718</v>
      </c>
      <c r="E7" s="289"/>
    </row>
    <row r="8" ht="24" customHeight="1" spans="1:5">
      <c r="A8" s="246" t="s">
        <v>2072</v>
      </c>
      <c r="B8" s="246"/>
      <c r="C8" s="246"/>
      <c r="D8" s="246"/>
      <c r="E8" s="246"/>
    </row>
    <row r="9" ht="24" customHeight="1" spans="1:5">
      <c r="A9" s="1084" t="s">
        <v>2073</v>
      </c>
      <c r="B9" s="1084" t="s">
        <v>2074</v>
      </c>
      <c r="C9" s="1084" t="s">
        <v>2075</v>
      </c>
      <c r="D9" s="1082" t="s">
        <v>2076</v>
      </c>
      <c r="E9" s="1082" t="s">
        <v>2077</v>
      </c>
    </row>
    <row r="10" ht="24" customHeight="1" spans="1:5">
      <c r="A10" s="1083">
        <v>1.5</v>
      </c>
      <c r="B10" s="1083">
        <v>25</v>
      </c>
      <c r="C10" s="1083">
        <v>1</v>
      </c>
      <c r="D10" s="289">
        <f>A10/B10*9550*C10</f>
        <v>573</v>
      </c>
      <c r="E10" s="289">
        <f>D10/10</f>
        <v>57.3</v>
      </c>
    </row>
    <row r="11" spans="1:1">
      <c r="A11" t="s">
        <v>106</v>
      </c>
    </row>
    <row r="13" spans="1:7">
      <c r="A13" s="1085" t="s">
        <v>2078</v>
      </c>
      <c r="B13" s="1085"/>
      <c r="C13" s="1085"/>
      <c r="D13" s="1086"/>
      <c r="E13" s="1085"/>
      <c r="F13" s="1087"/>
      <c r="G13" s="1088"/>
    </row>
    <row r="14" ht="14.25" customHeight="1" spans="1:7">
      <c r="A14" s="1089" t="s">
        <v>2079</v>
      </c>
      <c r="B14" s="1089"/>
      <c r="C14" s="1089"/>
      <c r="D14" s="1089"/>
      <c r="E14" s="1089"/>
      <c r="F14" s="1089"/>
      <c r="G14" s="1089"/>
    </row>
    <row r="15" ht="15" customHeight="1" spans="1:7">
      <c r="A15" s="1089"/>
      <c r="B15" s="1089"/>
      <c r="C15" s="1089"/>
      <c r="D15" s="1089"/>
      <c r="E15" s="1089"/>
      <c r="F15" s="1089"/>
      <c r="G15" s="1089"/>
    </row>
    <row r="16" ht="14.25" customHeight="1" spans="1:7">
      <c r="A16" s="1090" t="s">
        <v>2080</v>
      </c>
      <c r="B16" s="1091"/>
      <c r="C16" s="1092"/>
      <c r="D16" s="1090" t="s">
        <v>2081</v>
      </c>
      <c r="E16" s="1091"/>
      <c r="F16" s="1091"/>
      <c r="G16" s="1092"/>
    </row>
    <row r="17" ht="15" customHeight="1" spans="1:7">
      <c r="A17" s="1093"/>
      <c r="B17" s="1094"/>
      <c r="C17" s="1095"/>
      <c r="D17" s="1093"/>
      <c r="E17" s="1094"/>
      <c r="F17" s="1094"/>
      <c r="G17" s="1095"/>
    </row>
    <row r="18" ht="14.25" customHeight="1" spans="1:7">
      <c r="A18" s="1096" t="s">
        <v>2082</v>
      </c>
      <c r="B18" s="1097" t="s">
        <v>2083</v>
      </c>
      <c r="C18" s="1098" t="s">
        <v>2084</v>
      </c>
      <c r="D18" s="1099" t="s">
        <v>2085</v>
      </c>
      <c r="E18" s="1100" t="s">
        <v>173</v>
      </c>
      <c r="F18" s="1101" t="s">
        <v>576</v>
      </c>
      <c r="G18" s="1102" t="s">
        <v>2084</v>
      </c>
    </row>
    <row r="19" ht="15" customHeight="1" spans="1:7">
      <c r="A19" s="1103"/>
      <c r="B19" s="1104"/>
      <c r="C19" s="1105"/>
      <c r="D19" s="1106"/>
      <c r="E19" s="1107"/>
      <c r="F19" s="1108"/>
      <c r="G19" s="1109"/>
    </row>
    <row r="20" ht="19.2" spans="1:7">
      <c r="A20" s="1110" t="s">
        <v>2086</v>
      </c>
      <c r="B20" s="1111">
        <v>1000</v>
      </c>
      <c r="C20" s="1112"/>
      <c r="D20" s="1113" t="s">
        <v>2087</v>
      </c>
      <c r="E20" s="1114"/>
      <c r="F20" s="1115">
        <f>B20*B21/9550</f>
        <v>52.3560209424084</v>
      </c>
      <c r="G20" s="1116"/>
    </row>
    <row r="21" ht="19.2" spans="1:7">
      <c r="A21" s="1117" t="s">
        <v>2088</v>
      </c>
      <c r="B21" s="1118">
        <v>500</v>
      </c>
      <c r="C21" s="1119"/>
      <c r="D21" s="1120"/>
      <c r="E21" s="1121"/>
      <c r="F21" s="1122"/>
      <c r="G21" s="1123"/>
    </row>
    <row r="22" ht="19.95" spans="1:7">
      <c r="A22" s="1124" t="s">
        <v>2089</v>
      </c>
      <c r="B22" s="1125">
        <f>PI()*B21/30</f>
        <v>52.3598775598299</v>
      </c>
      <c r="C22" s="1126"/>
      <c r="D22" s="1127"/>
      <c r="E22" s="1126"/>
      <c r="F22" s="1128">
        <f>B20*B22/1000</f>
        <v>52.3598775598299</v>
      </c>
      <c r="G22" s="1129"/>
    </row>
    <row r="23" ht="16.95" spans="1:7">
      <c r="A23" s="1085"/>
      <c r="B23" s="1130"/>
      <c r="C23" s="1085"/>
      <c r="D23" s="1085"/>
      <c r="E23" s="1085"/>
      <c r="F23" s="1087"/>
      <c r="G23" s="1085"/>
    </row>
    <row r="24" ht="16.2" spans="1:7">
      <c r="A24" s="1110" t="s">
        <v>2090</v>
      </c>
      <c r="B24" s="1111">
        <v>500</v>
      </c>
      <c r="C24" s="1113"/>
      <c r="D24" s="1113" t="s">
        <v>2091</v>
      </c>
      <c r="E24" s="1113"/>
      <c r="F24" s="1131">
        <f>B24*B25*B26/(B27*B28*1000)</f>
        <v>250</v>
      </c>
      <c r="G24" s="1132"/>
    </row>
    <row r="25" ht="16.2" spans="1:7">
      <c r="A25" s="1117" t="s">
        <v>2092</v>
      </c>
      <c r="B25" s="1118">
        <v>20</v>
      </c>
      <c r="C25" s="1120"/>
      <c r="D25" s="1120"/>
      <c r="E25" s="1120"/>
      <c r="F25" s="1133"/>
      <c r="G25" s="1134"/>
    </row>
    <row r="26" ht="16.2" spans="1:7">
      <c r="A26" s="1117" t="s">
        <v>2093</v>
      </c>
      <c r="B26" s="1118">
        <v>10</v>
      </c>
      <c r="C26" s="1120"/>
      <c r="D26" s="1120"/>
      <c r="E26" s="1120"/>
      <c r="F26" s="1133"/>
      <c r="G26" s="1134"/>
    </row>
    <row r="27" ht="16.2" spans="1:7">
      <c r="A27" s="1117" t="s">
        <v>2094</v>
      </c>
      <c r="B27" s="1118">
        <v>0.4</v>
      </c>
      <c r="C27" s="1120"/>
      <c r="D27" s="1120"/>
      <c r="E27" s="1120"/>
      <c r="F27" s="1133"/>
      <c r="G27" s="1134"/>
    </row>
    <row r="28" ht="19.95" spans="1:7">
      <c r="A28" s="1124" t="s">
        <v>2095</v>
      </c>
      <c r="B28" s="1135">
        <v>1</v>
      </c>
      <c r="C28" s="1127"/>
      <c r="D28" s="1127"/>
      <c r="E28" s="1127"/>
      <c r="F28" s="1136"/>
      <c r="G28" s="1137"/>
    </row>
    <row r="29" ht="16.95" spans="1:7">
      <c r="A29" s="1085"/>
      <c r="B29" s="1130"/>
      <c r="C29" s="1085"/>
      <c r="D29" s="1085"/>
      <c r="E29" s="1085"/>
      <c r="F29" s="1087"/>
      <c r="G29" s="1085"/>
    </row>
    <row r="30" ht="19.2" spans="1:7">
      <c r="A30" s="1110" t="s">
        <v>2095</v>
      </c>
      <c r="B30" s="1111">
        <v>1</v>
      </c>
      <c r="C30" s="1113"/>
      <c r="D30" s="1113" t="s">
        <v>2096</v>
      </c>
      <c r="E30" s="1113"/>
      <c r="F30" s="1131">
        <f>B31*B36*B37*B32*(B33+B34)/(B30*B35*1000)</f>
        <v>14.4</v>
      </c>
      <c r="G30" s="1132"/>
    </row>
    <row r="31" ht="16.2" spans="1:7">
      <c r="A31" s="1138" t="s">
        <v>2090</v>
      </c>
      <c r="B31" s="1139">
        <v>2</v>
      </c>
      <c r="C31" s="1120"/>
      <c r="D31" s="1120"/>
      <c r="E31" s="1120"/>
      <c r="F31" s="1133"/>
      <c r="G31" s="1134"/>
    </row>
    <row r="32" ht="16.2" spans="1:7">
      <c r="A32" s="1138" t="s">
        <v>2097</v>
      </c>
      <c r="B32" s="1139">
        <v>100</v>
      </c>
      <c r="C32" s="1120"/>
      <c r="D32" s="1120"/>
      <c r="E32" s="1120"/>
      <c r="F32" s="1133"/>
      <c r="G32" s="1134"/>
    </row>
    <row r="33" ht="16.2" spans="1:7">
      <c r="A33" s="1138" t="s">
        <v>2098</v>
      </c>
      <c r="B33" s="1139">
        <v>4</v>
      </c>
      <c r="C33" s="1120"/>
      <c r="D33" s="1120"/>
      <c r="E33" s="1120"/>
      <c r="F33" s="1133"/>
      <c r="G33" s="1134"/>
    </row>
    <row r="34" ht="16.2" spans="1:7">
      <c r="A34" s="1138" t="s">
        <v>2099</v>
      </c>
      <c r="B34" s="1139">
        <v>4</v>
      </c>
      <c r="C34" s="1120"/>
      <c r="D34" s="1120"/>
      <c r="E34" s="1120"/>
      <c r="F34" s="1133"/>
      <c r="G34" s="1134"/>
    </row>
    <row r="35" ht="16.2" spans="1:7">
      <c r="A35" s="1117" t="s">
        <v>2100</v>
      </c>
      <c r="B35" s="1118">
        <v>1</v>
      </c>
      <c r="C35" s="1120"/>
      <c r="D35" s="1120"/>
      <c r="E35" s="1120"/>
      <c r="F35" s="1133"/>
      <c r="G35" s="1140"/>
    </row>
    <row r="36" ht="16.2" spans="1:7">
      <c r="A36" s="1141" t="s">
        <v>2101</v>
      </c>
      <c r="B36" s="1142">
        <v>3</v>
      </c>
      <c r="C36" s="1120"/>
      <c r="D36" s="1120"/>
      <c r="E36" s="1120"/>
      <c r="F36" s="1133"/>
      <c r="G36" s="1140"/>
    </row>
    <row r="37" ht="16.95" spans="1:7">
      <c r="A37" s="1124" t="s">
        <v>2102</v>
      </c>
      <c r="B37" s="1135">
        <v>3</v>
      </c>
      <c r="C37" s="1127"/>
      <c r="D37" s="1127"/>
      <c r="E37" s="1127"/>
      <c r="F37" s="1136"/>
      <c r="G37" s="1137"/>
    </row>
    <row r="38" ht="16.95" spans="1:7">
      <c r="A38" s="1085"/>
      <c r="B38" s="1130"/>
      <c r="C38" s="1085"/>
      <c r="D38" s="1085"/>
      <c r="E38" s="1085"/>
      <c r="F38" s="1087"/>
      <c r="G38" s="1085"/>
    </row>
    <row r="39" ht="16.2" spans="1:7">
      <c r="A39" s="1143" t="s">
        <v>2103</v>
      </c>
      <c r="B39" s="1111">
        <v>10</v>
      </c>
      <c r="C39" s="1113"/>
      <c r="D39" s="1113" t="s">
        <v>2104</v>
      </c>
      <c r="E39" s="1113"/>
      <c r="F39" s="1131">
        <f>B39*((B40+B41)/2)/(1000*B42)</f>
        <v>0.00333333333333333</v>
      </c>
      <c r="G39" s="1144"/>
    </row>
    <row r="40" ht="19.2" spans="1:7">
      <c r="A40" s="1145" t="s">
        <v>2105</v>
      </c>
      <c r="B40" s="1118">
        <v>1</v>
      </c>
      <c r="C40" s="1120"/>
      <c r="D40" s="1120"/>
      <c r="E40" s="1120"/>
      <c r="F40" s="1133"/>
      <c r="G40" s="1140"/>
    </row>
    <row r="41" ht="19.2" spans="1:7">
      <c r="A41" s="1145" t="s">
        <v>2106</v>
      </c>
      <c r="B41" s="1118">
        <v>1</v>
      </c>
      <c r="C41" s="1120"/>
      <c r="D41" s="1120"/>
      <c r="E41" s="1120"/>
      <c r="F41" s="1133"/>
      <c r="G41" s="1140"/>
    </row>
    <row r="42" ht="16.95" spans="1:7">
      <c r="A42" s="1146" t="s">
        <v>2107</v>
      </c>
      <c r="B42" s="1135">
        <v>3</v>
      </c>
      <c r="C42" s="1126"/>
      <c r="D42" s="1127"/>
      <c r="E42" s="1127"/>
      <c r="F42" s="1136"/>
      <c r="G42" s="1137"/>
    </row>
    <row r="43" ht="16.95" spans="1:7">
      <c r="A43" s="1085"/>
      <c r="B43" s="1147"/>
      <c r="C43" s="1085"/>
      <c r="D43" s="1085"/>
      <c r="E43" s="1085"/>
      <c r="F43" s="1087"/>
      <c r="G43" s="1085"/>
    </row>
    <row r="44" ht="16.2" spans="1:7">
      <c r="A44" s="1148" t="s">
        <v>2108</v>
      </c>
      <c r="B44" s="1111">
        <v>4</v>
      </c>
      <c r="C44" s="1112"/>
      <c r="D44" s="1113" t="s">
        <v>2109</v>
      </c>
      <c r="E44" s="1113"/>
      <c r="F44" s="1131">
        <f>B44*B45/(B46*1000)</f>
        <v>0.002</v>
      </c>
      <c r="G44" s="1132"/>
    </row>
    <row r="45" ht="16.2" spans="1:7">
      <c r="A45" s="1149" t="s">
        <v>2110</v>
      </c>
      <c r="B45" s="1142">
        <v>5</v>
      </c>
      <c r="C45" s="1150"/>
      <c r="D45" s="1120"/>
      <c r="E45" s="1120"/>
      <c r="F45" s="1133"/>
      <c r="G45" s="1134"/>
    </row>
    <row r="46" ht="16.95" spans="1:7">
      <c r="A46" s="1124" t="s">
        <v>1361</v>
      </c>
      <c r="B46" s="1135">
        <v>10</v>
      </c>
      <c r="C46" s="1151"/>
      <c r="D46" s="1127"/>
      <c r="E46" s="1127"/>
      <c r="F46" s="1136"/>
      <c r="G46" s="1137"/>
    </row>
  </sheetData>
  <customSheetViews>
    <customSheetView guid="{B9330FFD-B5EF-4680-A375-DB92D4738404}">
      <selection activeCell="D18" sqref="D18"/>
      <pageMargins left="0.7" right="0.7" top="0.75" bottom="0.75" header="0.3" footer="0.3"/>
      <headerFooter/>
    </customSheetView>
  </customSheetViews>
  <mergeCells count="36">
    <mergeCell ref="A1:E1"/>
    <mergeCell ref="A2:C2"/>
    <mergeCell ref="A5:E5"/>
    <mergeCell ref="A8:E8"/>
    <mergeCell ref="A18:A19"/>
    <mergeCell ref="B18:B19"/>
    <mergeCell ref="C18:C19"/>
    <mergeCell ref="C24:C28"/>
    <mergeCell ref="C30:C37"/>
    <mergeCell ref="D18:D19"/>
    <mergeCell ref="D20:D22"/>
    <mergeCell ref="D24:D28"/>
    <mergeCell ref="D30:D37"/>
    <mergeCell ref="D39:D42"/>
    <mergeCell ref="D44:D46"/>
    <mergeCell ref="E18:E19"/>
    <mergeCell ref="E20:E21"/>
    <mergeCell ref="E24:E28"/>
    <mergeCell ref="E30:E37"/>
    <mergeCell ref="E39:E42"/>
    <mergeCell ref="E44:E46"/>
    <mergeCell ref="F18:F19"/>
    <mergeCell ref="F20:F21"/>
    <mergeCell ref="F24:F28"/>
    <mergeCell ref="F30:F37"/>
    <mergeCell ref="F39:F42"/>
    <mergeCell ref="F44:F46"/>
    <mergeCell ref="G18:G19"/>
    <mergeCell ref="G20:G21"/>
    <mergeCell ref="G24:G28"/>
    <mergeCell ref="G30:G37"/>
    <mergeCell ref="G39:G42"/>
    <mergeCell ref="G44:G46"/>
    <mergeCell ref="A14:G15"/>
    <mergeCell ref="A16:C17"/>
    <mergeCell ref="D16:G17"/>
  </mergeCells>
  <hyperlinks>
    <hyperlink ref="E2" location="目录!A1" display="目录!A1"/>
  </hyperlinks>
  <pageMargins left="0.7" right="0.7" top="0.75" bottom="0.75" header="0.3" footer="0.3"/>
  <headerFooter/>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4"/>
  <sheetViews>
    <sheetView workbookViewId="0">
      <selection activeCell="F1" sqref="F1"/>
    </sheetView>
  </sheetViews>
  <sheetFormatPr defaultColWidth="9" defaultRowHeight="15.6" outlineLevelCol="5"/>
  <cols>
    <col min="1" max="3" width="12.25" customWidth="1"/>
    <col min="4" max="4" width="16.75" customWidth="1"/>
    <col min="5" max="6" width="12.25" customWidth="1"/>
  </cols>
  <sheetData>
    <row r="1" ht="28.5" customHeight="1" spans="1:6">
      <c r="A1" s="1061" t="s">
        <v>2111</v>
      </c>
      <c r="B1" s="1061"/>
      <c r="C1" s="1061"/>
      <c r="D1" s="1061"/>
      <c r="E1" s="1061"/>
      <c r="F1" s="155" t="s">
        <v>88</v>
      </c>
    </row>
    <row r="2" ht="21.75" customHeight="1" spans="1:6">
      <c r="A2" s="1062" t="s">
        <v>2112</v>
      </c>
      <c r="B2" s="1063" t="s">
        <v>2113</v>
      </c>
      <c r="C2" s="1063" t="s">
        <v>2114</v>
      </c>
      <c r="D2" s="1063" t="s">
        <v>2115</v>
      </c>
      <c r="E2" s="1063" t="s">
        <v>2116</v>
      </c>
      <c r="F2" s="1064" t="s">
        <v>2117</v>
      </c>
    </row>
    <row r="3" ht="25.5" customHeight="1" spans="1:6">
      <c r="A3" s="1065"/>
      <c r="B3" s="1066" t="s">
        <v>2118</v>
      </c>
      <c r="C3" s="1066" t="s">
        <v>2119</v>
      </c>
      <c r="D3" s="1067"/>
      <c r="E3" s="1067"/>
      <c r="F3" s="1068"/>
    </row>
    <row r="4" ht="25.5" customHeight="1" spans="1:6">
      <c r="A4" s="1940" t="s">
        <v>2120</v>
      </c>
      <c r="B4" s="1070" t="s">
        <v>2121</v>
      </c>
      <c r="C4" s="1071" t="s">
        <v>2122</v>
      </c>
      <c r="D4" s="1072"/>
      <c r="E4" s="1072">
        <v>1.5</v>
      </c>
      <c r="F4" s="1073"/>
    </row>
    <row r="5" ht="25.5" customHeight="1" spans="1:6">
      <c r="A5" s="1940" t="s">
        <v>2123</v>
      </c>
      <c r="B5" s="1070" t="s">
        <v>2124</v>
      </c>
      <c r="C5" s="1071" t="s">
        <v>419</v>
      </c>
      <c r="D5" s="1072"/>
      <c r="E5" s="1072">
        <v>1.5</v>
      </c>
      <c r="F5" s="1073"/>
    </row>
    <row r="6" ht="25.5" customHeight="1" spans="1:6">
      <c r="A6" s="1940" t="s">
        <v>2125</v>
      </c>
      <c r="B6" s="1072" t="s">
        <v>286</v>
      </c>
      <c r="C6" s="1071" t="s">
        <v>2126</v>
      </c>
      <c r="D6" s="1070"/>
      <c r="E6" s="1072">
        <v>300</v>
      </c>
      <c r="F6" s="1073" t="s">
        <v>1039</v>
      </c>
    </row>
    <row r="7" ht="25.5" customHeight="1" spans="1:6">
      <c r="A7" s="1940" t="s">
        <v>2127</v>
      </c>
      <c r="B7" s="1072" t="s">
        <v>387</v>
      </c>
      <c r="C7" s="1071" t="s">
        <v>2128</v>
      </c>
      <c r="D7" s="1072"/>
      <c r="E7" s="1072">
        <v>1200</v>
      </c>
      <c r="F7" s="1073" t="s">
        <v>2129</v>
      </c>
    </row>
    <row r="8" ht="25.5" customHeight="1" spans="1:6">
      <c r="A8" s="1940" t="s">
        <v>2130</v>
      </c>
      <c r="B8" s="1072" t="s">
        <v>1029</v>
      </c>
      <c r="C8" s="1071" t="s">
        <v>2131</v>
      </c>
      <c r="D8" s="1072"/>
      <c r="E8" s="1072">
        <v>41</v>
      </c>
      <c r="F8" s="1073" t="s">
        <v>2129</v>
      </c>
    </row>
    <row r="9" ht="25.5" customHeight="1" spans="1:6">
      <c r="A9" s="1065"/>
      <c r="B9" s="1066" t="s">
        <v>2132</v>
      </c>
      <c r="C9" s="1066" t="s">
        <v>2133</v>
      </c>
      <c r="D9" s="1067"/>
      <c r="E9" s="1067"/>
      <c r="F9" s="1068"/>
    </row>
    <row r="10" ht="25.5" customHeight="1" spans="1:6">
      <c r="A10" s="1940" t="s">
        <v>2134</v>
      </c>
      <c r="B10" s="1070" t="s">
        <v>2135</v>
      </c>
      <c r="C10" s="1071" t="s">
        <v>2136</v>
      </c>
      <c r="D10" s="1070" t="s">
        <v>2137</v>
      </c>
      <c r="E10" s="1072">
        <f>E6*E4*E5</f>
        <v>675</v>
      </c>
      <c r="F10" s="1073" t="s">
        <v>1039</v>
      </c>
    </row>
    <row r="11" ht="25.5" customHeight="1" spans="1:6">
      <c r="A11" s="1940" t="s">
        <v>2138</v>
      </c>
      <c r="B11" s="1072" t="s">
        <v>942</v>
      </c>
      <c r="C11" s="1071" t="s">
        <v>458</v>
      </c>
      <c r="D11" s="1072" t="s">
        <v>2139</v>
      </c>
      <c r="E11" s="1072">
        <f>E7/E8</f>
        <v>29.2682926829268</v>
      </c>
      <c r="F11" s="1073"/>
    </row>
    <row r="12" ht="25.5" customHeight="1" spans="1:6">
      <c r="A12" s="1940" t="s">
        <v>2140</v>
      </c>
      <c r="B12" s="1072" t="s">
        <v>2141</v>
      </c>
      <c r="C12" s="1071" t="s">
        <v>2142</v>
      </c>
      <c r="D12" s="1072" t="s">
        <v>2143</v>
      </c>
      <c r="E12" s="1072"/>
      <c r="F12" s="1073"/>
    </row>
    <row r="13" ht="25.5" customHeight="1" spans="1:6">
      <c r="A13" s="1074"/>
      <c r="B13" s="1075" t="s">
        <v>2144</v>
      </c>
      <c r="C13" s="1075" t="s">
        <v>2145</v>
      </c>
      <c r="D13" s="1076" t="s">
        <v>106</v>
      </c>
      <c r="E13" s="1077"/>
      <c r="F13" s="1078"/>
    </row>
    <row r="14" ht="25.5" customHeight="1" spans="1:6">
      <c r="A14" s="1940" t="s">
        <v>2146</v>
      </c>
      <c r="B14" s="1072"/>
      <c r="C14" s="1072"/>
      <c r="D14" s="1071" t="s">
        <v>2147</v>
      </c>
      <c r="E14" s="1072">
        <v>840</v>
      </c>
      <c r="F14" s="1073" t="s">
        <v>2148</v>
      </c>
    </row>
  </sheetData>
  <customSheetViews>
    <customSheetView guid="{B9330FFD-B5EF-4680-A375-DB92D4738404}">
      <selection activeCell="E22" sqref="E22"/>
      <pageMargins left="0.7" right="0.7" top="0.75" bottom="0.75" header="0.3" footer="0.3"/>
      <headerFooter/>
    </customSheetView>
  </customSheetViews>
  <mergeCells count="2">
    <mergeCell ref="A1:E1"/>
    <mergeCell ref="D13:F13"/>
  </mergeCells>
  <hyperlinks>
    <hyperlink ref="F1" location="目录!A1" display="目录!A1"/>
  </hyperlinks>
  <pageMargins left="0.7" right="0.7" top="0.75" bottom="0.75" header="0.3" footer="0.3"/>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4"/>
  <sheetViews>
    <sheetView workbookViewId="0">
      <selection activeCell="J21" sqref="J21:J24"/>
    </sheetView>
  </sheetViews>
  <sheetFormatPr defaultColWidth="9" defaultRowHeight="15.6"/>
  <cols>
    <col min="1" max="1" width="6.125" style="168" customWidth="1"/>
    <col min="2" max="2" width="16" style="168" customWidth="1"/>
    <col min="3" max="4" width="9" style="168"/>
    <col min="5" max="5" width="6.25" style="168" customWidth="1"/>
    <col min="6" max="6" width="15.25" style="168" customWidth="1"/>
    <col min="7" max="7" width="11.125" style="168" customWidth="1"/>
    <col min="8" max="8" width="13.875" style="168" customWidth="1"/>
    <col min="9" max="9" width="12" style="168" customWidth="1"/>
    <col min="10" max="10" width="11.5" style="168" customWidth="1"/>
    <col min="11" max="16384" width="9" style="168"/>
  </cols>
  <sheetData>
    <row r="1" ht="32.1" customHeight="1" spans="1:10">
      <c r="A1" s="997" t="s">
        <v>2149</v>
      </c>
      <c r="B1" s="997"/>
      <c r="C1" s="997"/>
      <c r="D1" s="997"/>
      <c r="E1" s="997"/>
      <c r="F1" s="997"/>
      <c r="G1" s="997"/>
      <c r="H1" s="997"/>
      <c r="I1" s="997"/>
      <c r="J1" s="997"/>
    </row>
    <row r="2" ht="21.95" customHeight="1" spans="1:10">
      <c r="A2" s="998" t="s">
        <v>2150</v>
      </c>
      <c r="B2" s="999" t="s">
        <v>2151</v>
      </c>
      <c r="C2" s="999"/>
      <c r="D2" s="1000"/>
      <c r="E2" s="1001" t="s">
        <v>1560</v>
      </c>
      <c r="F2" s="1002" t="s">
        <v>2152</v>
      </c>
      <c r="G2" s="1003"/>
      <c r="H2" s="1003"/>
      <c r="I2" s="1003"/>
      <c r="J2" s="1054"/>
    </row>
    <row r="3" ht="15" customHeight="1" spans="1:10">
      <c r="A3" s="343">
        <v>1</v>
      </c>
      <c r="B3" s="1004" t="s">
        <v>2153</v>
      </c>
      <c r="C3" s="1004"/>
      <c r="D3" s="1005"/>
      <c r="E3" s="1006">
        <v>20</v>
      </c>
      <c r="F3" s="384" t="s">
        <v>2154</v>
      </c>
      <c r="G3" s="204" t="s">
        <v>2155</v>
      </c>
      <c r="H3" s="204"/>
      <c r="I3" s="204"/>
      <c r="J3" s="1055"/>
    </row>
    <row r="4" ht="15" customHeight="1" spans="1:10">
      <c r="A4" s="343">
        <v>2</v>
      </c>
      <c r="B4" s="1004" t="s">
        <v>2156</v>
      </c>
      <c r="C4" s="1004"/>
      <c r="D4" s="1005"/>
      <c r="E4" s="1007">
        <v>1000</v>
      </c>
      <c r="F4" s="384"/>
      <c r="G4" s="205" t="s">
        <v>2157</v>
      </c>
      <c r="H4" s="205" t="s">
        <v>2158</v>
      </c>
      <c r="I4" s="205" t="s">
        <v>2159</v>
      </c>
      <c r="J4" s="1056" t="s">
        <v>2160</v>
      </c>
    </row>
    <row r="5" ht="15" customHeight="1" spans="1:10">
      <c r="A5" s="343">
        <v>3</v>
      </c>
      <c r="B5" s="1004" t="s">
        <v>2161</v>
      </c>
      <c r="C5" s="1004"/>
      <c r="D5" s="1005"/>
      <c r="E5" s="1008">
        <v>0.22</v>
      </c>
      <c r="F5" s="270" t="s">
        <v>2162</v>
      </c>
      <c r="G5" s="205">
        <v>0.8</v>
      </c>
      <c r="H5" s="205">
        <v>0.9</v>
      </c>
      <c r="I5" s="205">
        <v>1</v>
      </c>
      <c r="J5" s="1056">
        <v>1.25</v>
      </c>
    </row>
    <row r="6" ht="15" customHeight="1" spans="1:10">
      <c r="A6" s="343">
        <v>4</v>
      </c>
      <c r="B6" s="1004" t="s">
        <v>2163</v>
      </c>
      <c r="C6" s="1004"/>
      <c r="D6" s="1005"/>
      <c r="E6" s="1007">
        <v>0.95</v>
      </c>
      <c r="F6" s="270" t="s">
        <v>2164</v>
      </c>
      <c r="G6" s="205">
        <v>0.9</v>
      </c>
      <c r="H6" s="205">
        <v>1</v>
      </c>
      <c r="I6" s="205">
        <v>1.25</v>
      </c>
      <c r="J6" s="1056">
        <v>1.5</v>
      </c>
    </row>
    <row r="7" ht="15" customHeight="1" spans="1:10">
      <c r="A7" s="343">
        <v>5</v>
      </c>
      <c r="B7" s="1004" t="s">
        <v>2165</v>
      </c>
      <c r="C7" s="1004"/>
      <c r="D7" s="1005"/>
      <c r="E7" s="1008">
        <v>0.8</v>
      </c>
      <c r="F7" s="270" t="s">
        <v>2166</v>
      </c>
      <c r="G7" s="205">
        <v>1</v>
      </c>
      <c r="H7" s="205">
        <v>1.25</v>
      </c>
      <c r="I7" s="205">
        <v>1.5</v>
      </c>
      <c r="J7" s="1056">
        <v>1.75</v>
      </c>
    </row>
    <row r="8" spans="1:10">
      <c r="A8" s="345">
        <v>6</v>
      </c>
      <c r="B8" s="1009" t="s">
        <v>2167</v>
      </c>
      <c r="C8" s="1009"/>
      <c r="D8" s="1010"/>
      <c r="E8" s="1007">
        <v>0.9</v>
      </c>
      <c r="F8" s="262" t="s">
        <v>2168</v>
      </c>
      <c r="G8" s="290"/>
      <c r="H8" s="290"/>
      <c r="I8" s="290"/>
      <c r="J8" s="1057"/>
    </row>
    <row r="9" spans="1:10">
      <c r="A9" s="343">
        <v>7</v>
      </c>
      <c r="B9" s="203" t="s">
        <v>2169</v>
      </c>
      <c r="C9" s="203"/>
      <c r="D9" s="1011"/>
      <c r="E9" s="1008">
        <v>30</v>
      </c>
      <c r="F9" s="273" t="s">
        <v>2170</v>
      </c>
      <c r="G9" s="273"/>
      <c r="H9" s="273"/>
      <c r="I9" s="273"/>
      <c r="J9" s="1058"/>
    </row>
    <row r="10" spans="1:10">
      <c r="A10" s="343"/>
      <c r="B10" s="203"/>
      <c r="C10" s="203"/>
      <c r="D10" s="1011"/>
      <c r="E10" s="1008"/>
      <c r="F10" s="274" t="s">
        <v>2171</v>
      </c>
      <c r="J10" s="1059"/>
    </row>
    <row r="11" ht="16.35" spans="1:10">
      <c r="A11" s="343"/>
      <c r="B11" s="203"/>
      <c r="C11" s="203"/>
      <c r="D11" s="1011"/>
      <c r="E11" s="1008"/>
      <c r="F11" s="274" t="s">
        <v>2172</v>
      </c>
      <c r="G11" s="274"/>
      <c r="H11" s="274"/>
      <c r="I11" s="274"/>
      <c r="J11" s="1059"/>
    </row>
    <row r="12" spans="1:10">
      <c r="A12" s="343">
        <v>8</v>
      </c>
      <c r="B12" s="203" t="s">
        <v>2173</v>
      </c>
      <c r="C12" s="203"/>
      <c r="D12" s="1011"/>
      <c r="E12" s="1007">
        <v>30</v>
      </c>
      <c r="F12" s="1002" t="s">
        <v>2174</v>
      </c>
      <c r="G12" s="1003"/>
      <c r="H12" s="1003"/>
      <c r="I12" s="1003"/>
      <c r="J12" s="1054"/>
    </row>
    <row r="13" spans="1:10">
      <c r="A13" s="345"/>
      <c r="B13" s="653"/>
      <c r="C13" s="653"/>
      <c r="D13" s="1012"/>
      <c r="E13" s="1013"/>
      <c r="F13" s="270" t="s">
        <v>2175</v>
      </c>
      <c r="G13" s="205" t="s">
        <v>2176</v>
      </c>
      <c r="H13" s="205" t="s">
        <v>2177</v>
      </c>
      <c r="I13" s="205" t="s">
        <v>2178</v>
      </c>
      <c r="J13" s="1056" t="s">
        <v>2179</v>
      </c>
    </row>
    <row r="14" spans="1:10">
      <c r="A14" s="343">
        <v>9</v>
      </c>
      <c r="B14" s="203" t="s">
        <v>2180</v>
      </c>
      <c r="C14" s="203"/>
      <c r="D14" s="1011"/>
      <c r="E14" s="1008">
        <v>20</v>
      </c>
      <c r="F14" s="270" t="s">
        <v>2176</v>
      </c>
      <c r="G14" s="205">
        <v>0.15</v>
      </c>
      <c r="H14" s="205">
        <v>0.18</v>
      </c>
      <c r="I14" s="205">
        <v>0.22</v>
      </c>
      <c r="J14" s="1056">
        <v>0.25</v>
      </c>
    </row>
    <row r="15" spans="1:10">
      <c r="A15" s="345"/>
      <c r="B15" s="653"/>
      <c r="C15" s="653"/>
      <c r="D15" s="1012"/>
      <c r="E15" s="1014"/>
      <c r="F15" s="270" t="s">
        <v>2177</v>
      </c>
      <c r="G15" s="205">
        <v>0.18</v>
      </c>
      <c r="H15" s="205">
        <v>0.15</v>
      </c>
      <c r="I15" s="205">
        <v>0.22</v>
      </c>
      <c r="J15" s="1056">
        <v>0.25</v>
      </c>
    </row>
    <row r="16" ht="16.35" spans="1:10">
      <c r="A16" s="1015">
        <v>10</v>
      </c>
      <c r="B16" s="291" t="s">
        <v>2181</v>
      </c>
      <c r="C16" s="291"/>
      <c r="D16" s="370"/>
      <c r="E16" s="1016">
        <v>30</v>
      </c>
      <c r="F16" s="270" t="s">
        <v>2178</v>
      </c>
      <c r="G16" s="205">
        <v>0.22</v>
      </c>
      <c r="H16" s="205">
        <v>0.22</v>
      </c>
      <c r="I16" s="205">
        <v>0.15</v>
      </c>
      <c r="J16" s="1056">
        <v>0.18</v>
      </c>
    </row>
    <row r="17" ht="16.35" spans="1:10">
      <c r="A17" s="1017" t="s">
        <v>2182</v>
      </c>
      <c r="B17" s="1018" t="s">
        <v>2183</v>
      </c>
      <c r="C17" s="1019" t="s">
        <v>2184</v>
      </c>
      <c r="D17" s="1020">
        <f>E16/((E4/(E9*3.14))*(E12/E14))</f>
        <v>1.884</v>
      </c>
      <c r="E17" s="1021"/>
      <c r="F17" s="1015" t="s">
        <v>2179</v>
      </c>
      <c r="G17" s="290">
        <v>0.25</v>
      </c>
      <c r="H17" s="290">
        <v>0.25</v>
      </c>
      <c r="I17" s="290">
        <v>0.18</v>
      </c>
      <c r="J17" s="1057">
        <v>0.16</v>
      </c>
    </row>
    <row r="18" spans="1:10">
      <c r="A18" s="1022"/>
      <c r="B18" s="1023"/>
      <c r="C18" s="1024"/>
      <c r="D18" s="1025"/>
      <c r="E18" s="1026"/>
      <c r="F18" s="1027" t="s">
        <v>2185</v>
      </c>
      <c r="G18" s="1003"/>
      <c r="H18" s="1003"/>
      <c r="I18" s="1003"/>
      <c r="J18" s="1054"/>
    </row>
    <row r="19" spans="1:10">
      <c r="A19" s="1022" t="s">
        <v>2144</v>
      </c>
      <c r="B19" s="1023" t="s">
        <v>2186</v>
      </c>
      <c r="C19" s="1024" t="s">
        <v>2187</v>
      </c>
      <c r="D19" s="1028">
        <f>(((((E5*E3*(E9/2)/E6)*(E14/E12)/E7)*E8)*(E16/D17))/716.2)</f>
        <v>1.15847757978447</v>
      </c>
      <c r="E19" s="1029"/>
      <c r="F19" s="1030" t="s">
        <v>2188</v>
      </c>
      <c r="G19" s="205" t="s">
        <v>2189</v>
      </c>
      <c r="H19" s="205" t="s">
        <v>2190</v>
      </c>
      <c r="I19" s="205" t="s">
        <v>2191</v>
      </c>
      <c r="J19" s="1056" t="s">
        <v>2192</v>
      </c>
    </row>
    <row r="20" ht="16.35" spans="1:10">
      <c r="A20" s="1031"/>
      <c r="B20" s="1032"/>
      <c r="C20" s="1033"/>
      <c r="D20" s="1034"/>
      <c r="E20" s="1035"/>
      <c r="F20" s="1015" t="s">
        <v>1560</v>
      </c>
      <c r="G20" s="290">
        <v>0.95</v>
      </c>
      <c r="H20" s="290">
        <v>0.95</v>
      </c>
      <c r="I20" s="290">
        <v>0.95</v>
      </c>
      <c r="J20" s="1057">
        <v>0.83</v>
      </c>
    </row>
    <row r="21" ht="14.25" customHeight="1" spans="1:10">
      <c r="A21" s="1036" t="s">
        <v>2193</v>
      </c>
      <c r="B21" s="1018" t="s">
        <v>2194</v>
      </c>
      <c r="C21" s="1019" t="s">
        <v>2187</v>
      </c>
      <c r="D21" s="1037">
        <f>((((E3*(E9/2)*(1/E6))*(E14/E12)*(1/E7))*E8)*(E16/D17))/716.2</f>
        <v>5.26580718083849</v>
      </c>
      <c r="E21" s="1037"/>
      <c r="F21" s="1038" t="s">
        <v>2195</v>
      </c>
      <c r="G21" s="1039"/>
      <c r="H21" s="1039"/>
      <c r="I21" s="1039"/>
      <c r="J21" s="1060" t="s">
        <v>88</v>
      </c>
    </row>
    <row r="22" ht="15" customHeight="1" spans="1:10">
      <c r="A22" s="1040"/>
      <c r="B22" s="1041"/>
      <c r="C22" s="1042"/>
      <c r="D22" s="1043"/>
      <c r="E22" s="1043"/>
      <c r="F22" s="1044"/>
      <c r="G22" s="1045"/>
      <c r="H22" s="1045"/>
      <c r="I22" s="1045"/>
      <c r="J22" s="349"/>
    </row>
    <row r="23" ht="14.25" customHeight="1" spans="1:10">
      <c r="A23" s="1046" t="s">
        <v>2196</v>
      </c>
      <c r="B23" s="1047" t="s">
        <v>2197</v>
      </c>
      <c r="C23" s="1048" t="s">
        <v>2187</v>
      </c>
      <c r="D23" s="1049">
        <f>D19+D21</f>
        <v>6.42428476062296</v>
      </c>
      <c r="E23" s="1050"/>
      <c r="F23" s="1044"/>
      <c r="G23" s="1045"/>
      <c r="H23" s="1045"/>
      <c r="I23" s="1045"/>
      <c r="J23" s="349"/>
    </row>
    <row r="24" ht="15" customHeight="1" spans="1:10">
      <c r="A24" s="1040"/>
      <c r="B24" s="1041"/>
      <c r="C24" s="1042"/>
      <c r="D24" s="1051"/>
      <c r="E24" s="1051"/>
      <c r="F24" s="1052"/>
      <c r="G24" s="1053"/>
      <c r="H24" s="1053"/>
      <c r="I24" s="1053"/>
      <c r="J24" s="350"/>
    </row>
  </sheetData>
  <sheetProtection formatCells="0" formatColumns="0"/>
  <customSheetViews>
    <customSheetView guid="{B9330FFD-B5EF-4680-A375-DB92D4738404}">
      <selection activeCell="H29" sqref="H29"/>
      <pageMargins left="0.7" right="0.7" top="0.75" bottom="0.75" header="0.3" footer="0.3"/>
      <headerFooter/>
    </customSheetView>
  </customSheetViews>
  <mergeCells count="41">
    <mergeCell ref="A1:J1"/>
    <mergeCell ref="B2:D2"/>
    <mergeCell ref="F2:J2"/>
    <mergeCell ref="B3:D3"/>
    <mergeCell ref="G3:J3"/>
    <mergeCell ref="B4:D4"/>
    <mergeCell ref="B5:D5"/>
    <mergeCell ref="B6:D6"/>
    <mergeCell ref="B7:D7"/>
    <mergeCell ref="B8:D8"/>
    <mergeCell ref="F12:J12"/>
    <mergeCell ref="B16:D16"/>
    <mergeCell ref="F18:J18"/>
    <mergeCell ref="A9:A11"/>
    <mergeCell ref="A12:A13"/>
    <mergeCell ref="A14:A15"/>
    <mergeCell ref="A17:A18"/>
    <mergeCell ref="A19:A20"/>
    <mergeCell ref="A21:A22"/>
    <mergeCell ref="A23:A24"/>
    <mergeCell ref="B17:B18"/>
    <mergeCell ref="B19:B20"/>
    <mergeCell ref="B21:B22"/>
    <mergeCell ref="B23:B24"/>
    <mergeCell ref="C17:C18"/>
    <mergeCell ref="C19:C20"/>
    <mergeCell ref="C21:C22"/>
    <mergeCell ref="C23:C24"/>
    <mergeCell ref="E9:E11"/>
    <mergeCell ref="E12:E13"/>
    <mergeCell ref="E14:E15"/>
    <mergeCell ref="F3:F4"/>
    <mergeCell ref="J21:J24"/>
    <mergeCell ref="B9:D11"/>
    <mergeCell ref="B12:D13"/>
    <mergeCell ref="B14:D15"/>
    <mergeCell ref="D17:E18"/>
    <mergeCell ref="D19:E20"/>
    <mergeCell ref="F21:I24"/>
    <mergeCell ref="D21:E22"/>
    <mergeCell ref="D23:E24"/>
  </mergeCells>
  <hyperlinks>
    <hyperlink ref="J21:J24" location="目录!A1" display="目录!A1"/>
  </hyperlinks>
  <pageMargins left="0.7" right="0.7" top="0.75" bottom="0.75" header="0.3" footer="0.3"/>
  <headerFooter/>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2"/>
  <sheetViews>
    <sheetView topLeftCell="C1" workbookViewId="0">
      <selection activeCell="L3" sqref="L3"/>
    </sheetView>
  </sheetViews>
  <sheetFormatPr defaultColWidth="9" defaultRowHeight="15.6"/>
  <cols>
    <col min="10" max="10" width="5.25" customWidth="1"/>
    <col min="11" max="11" width="8.625" customWidth="1"/>
  </cols>
  <sheetData>
    <row r="2" spans="2:9">
      <c r="B2" s="992" t="s">
        <v>2198</v>
      </c>
      <c r="I2" s="158" t="s">
        <v>88</v>
      </c>
    </row>
    <row r="3" spans="2:2">
      <c r="B3"/>
    </row>
    <row r="4" spans="2:11">
      <c r="B4" s="993" t="s">
        <v>2199</v>
      </c>
      <c r="C4" s="993"/>
      <c r="D4" s="993"/>
      <c r="E4" s="993"/>
      <c r="F4" s="993"/>
      <c r="G4" s="993"/>
      <c r="H4" s="993"/>
      <c r="I4" s="993"/>
      <c r="J4" s="313" t="s">
        <v>2200</v>
      </c>
      <c r="K4" s="994">
        <f>K13/1000*((K7+K9)*K5*K10+K7*K6*K11+(K8+K9)*K6*K12+1.1*K9*(K5+K6)*K10)</f>
        <v>2.8028</v>
      </c>
    </row>
    <row r="5" spans="2:11">
      <c r="B5" s="993" t="s">
        <v>2201</v>
      </c>
      <c r="C5" s="993"/>
      <c r="D5" s="993"/>
      <c r="E5" s="993"/>
      <c r="F5" s="993"/>
      <c r="G5" s="993"/>
      <c r="H5" s="993"/>
      <c r="I5" s="993"/>
      <c r="J5" s="313"/>
      <c r="K5" s="995">
        <v>5</v>
      </c>
    </row>
    <row r="6" spans="2:11">
      <c r="B6" s="993" t="s">
        <v>2202</v>
      </c>
      <c r="C6" s="993"/>
      <c r="D6" s="993"/>
      <c r="E6" s="993"/>
      <c r="F6" s="993"/>
      <c r="G6" s="993"/>
      <c r="H6" s="993"/>
      <c r="I6" s="993"/>
      <c r="J6" s="313"/>
      <c r="K6" s="995">
        <v>7</v>
      </c>
    </row>
    <row r="7" spans="2:11">
      <c r="B7" s="993" t="s">
        <v>2203</v>
      </c>
      <c r="C7" s="993"/>
      <c r="D7" s="993"/>
      <c r="E7" s="993"/>
      <c r="F7" s="993"/>
      <c r="G7" s="993"/>
      <c r="H7" s="993"/>
      <c r="I7" s="993"/>
      <c r="J7" s="313"/>
      <c r="K7" s="995">
        <v>26</v>
      </c>
    </row>
    <row r="8" spans="2:11">
      <c r="B8" s="993" t="s">
        <v>2204</v>
      </c>
      <c r="C8" s="993"/>
      <c r="D8" s="993"/>
      <c r="E8" s="993"/>
      <c r="F8" s="993"/>
      <c r="G8" s="993"/>
      <c r="H8" s="993"/>
      <c r="I8" s="993"/>
      <c r="J8" s="313"/>
      <c r="K8" s="995">
        <v>180</v>
      </c>
    </row>
    <row r="9" spans="2:11">
      <c r="B9" s="993" t="s">
        <v>2205</v>
      </c>
      <c r="C9" s="993"/>
      <c r="D9" s="993"/>
      <c r="E9" s="993"/>
      <c r="F9" s="993"/>
      <c r="G9" s="993"/>
      <c r="H9" s="993"/>
      <c r="I9" s="993"/>
      <c r="J9" s="313"/>
      <c r="K9" s="995">
        <v>2</v>
      </c>
    </row>
    <row r="10" spans="2:11">
      <c r="B10" s="993" t="s">
        <v>2206</v>
      </c>
      <c r="C10" s="993"/>
      <c r="D10" s="993"/>
      <c r="E10" s="993"/>
      <c r="F10" s="993"/>
      <c r="G10" s="993"/>
      <c r="H10" s="993"/>
      <c r="I10" s="993"/>
      <c r="J10" s="313"/>
      <c r="K10" s="995">
        <v>0.1</v>
      </c>
    </row>
    <row r="11" spans="2:11">
      <c r="B11" s="993" t="s">
        <v>2207</v>
      </c>
      <c r="C11" s="993"/>
      <c r="D11" s="993"/>
      <c r="E11" s="993"/>
      <c r="F11" s="993"/>
      <c r="G11" s="993"/>
      <c r="H11" s="993"/>
      <c r="I11" s="993"/>
      <c r="J11" s="313"/>
      <c r="K11" s="995">
        <v>0.08</v>
      </c>
    </row>
    <row r="12" spans="2:11">
      <c r="B12" s="993" t="s">
        <v>2208</v>
      </c>
      <c r="C12" s="993"/>
      <c r="D12" s="993"/>
      <c r="E12" s="993"/>
      <c r="F12" s="993"/>
      <c r="G12" s="993"/>
      <c r="H12" s="993"/>
      <c r="I12" s="993"/>
      <c r="J12" s="313"/>
      <c r="K12" s="995">
        <v>0.2</v>
      </c>
    </row>
    <row r="13" spans="2:11">
      <c r="B13" s="993" t="s">
        <v>2209</v>
      </c>
      <c r="C13" s="993"/>
      <c r="D13" s="993"/>
      <c r="E13" s="993"/>
      <c r="F13" s="993"/>
      <c r="G13" s="993"/>
      <c r="H13" s="993"/>
      <c r="I13" s="993"/>
      <c r="J13" s="313"/>
      <c r="K13" s="995">
        <v>9.8</v>
      </c>
    </row>
    <row r="14" spans="2:11">
      <c r="B14" s="993" t="s">
        <v>2210</v>
      </c>
      <c r="C14" s="993"/>
      <c r="D14" s="993"/>
      <c r="E14" s="993"/>
      <c r="F14" s="993"/>
      <c r="G14" s="993"/>
      <c r="H14" s="993"/>
      <c r="I14" s="993"/>
      <c r="J14" s="313" t="s">
        <v>2200</v>
      </c>
      <c r="K14" s="994">
        <f>K4*K15/60*1.1*1/K16</f>
        <v>1.02769333333333</v>
      </c>
    </row>
    <row r="15" spans="2:11">
      <c r="B15" s="993" t="s">
        <v>2211</v>
      </c>
      <c r="C15" s="993"/>
      <c r="D15" s="993"/>
      <c r="E15" s="993"/>
      <c r="F15" s="993"/>
      <c r="G15" s="993"/>
      <c r="H15" s="993"/>
      <c r="I15" s="993"/>
      <c r="J15" s="313"/>
      <c r="K15" s="995">
        <v>15</v>
      </c>
    </row>
    <row r="16" spans="2:11">
      <c r="B16" s="993" t="s">
        <v>2212</v>
      </c>
      <c r="C16" s="993"/>
      <c r="D16" s="993"/>
      <c r="E16" s="993"/>
      <c r="F16" s="993"/>
      <c r="G16" s="993"/>
      <c r="H16" s="993"/>
      <c r="I16" s="993"/>
      <c r="J16" s="313"/>
      <c r="K16" s="995">
        <v>0.75</v>
      </c>
    </row>
    <row r="17" spans="2:11">
      <c r="B17" s="988"/>
      <c r="C17" s="989"/>
      <c r="D17" s="989"/>
      <c r="E17" s="989"/>
      <c r="F17" s="989"/>
      <c r="G17" s="989"/>
      <c r="H17" s="989"/>
      <c r="I17" s="990"/>
      <c r="J17" s="996"/>
      <c r="K17" s="67"/>
    </row>
    <row r="18" spans="2:11">
      <c r="B18" s="993" t="s">
        <v>2213</v>
      </c>
      <c r="C18" s="993"/>
      <c r="D18" s="993"/>
      <c r="E18" s="993"/>
      <c r="F18" s="993"/>
      <c r="G18" s="993"/>
      <c r="H18" s="993"/>
      <c r="I18" s="993"/>
      <c r="J18" s="313" t="s">
        <v>2200</v>
      </c>
      <c r="K18" s="994">
        <f>K4*0.6</f>
        <v>1.68168</v>
      </c>
    </row>
    <row r="19" spans="2:2">
      <c r="B19" t="s">
        <v>106</v>
      </c>
    </row>
    <row r="20" spans="2:2">
      <c r="B20" t="s">
        <v>2214</v>
      </c>
    </row>
    <row r="21" spans="2:2">
      <c r="B21" t="s">
        <v>2215</v>
      </c>
    </row>
    <row r="22" spans="2:2">
      <c r="B22" t="s">
        <v>2216</v>
      </c>
    </row>
  </sheetData>
  <customSheetViews>
    <customSheetView guid="{B9330FFD-B5EF-4680-A375-DB92D4738404}">
      <selection activeCell="I10" sqref="I10"/>
      <pageMargins left="0.7" right="0.7" top="0.75" bottom="0.75" header="0.3" footer="0.3"/>
      <pageSetup paperSize="9" orientation="portrait"/>
      <headerFooter/>
    </customSheetView>
  </customSheetViews>
  <mergeCells count="16">
    <mergeCell ref="B4:I4"/>
    <mergeCell ref="B5:I5"/>
    <mergeCell ref="B6:I6"/>
    <mergeCell ref="B7:I7"/>
    <mergeCell ref="B8:I8"/>
    <mergeCell ref="B9:I9"/>
    <mergeCell ref="B10:I10"/>
    <mergeCell ref="B11:I11"/>
    <mergeCell ref="B12:I12"/>
    <mergeCell ref="B13:I13"/>
    <mergeCell ref="B14:I14"/>
    <mergeCell ref="B15:I15"/>
    <mergeCell ref="B16:I16"/>
    <mergeCell ref="B17:I17"/>
    <mergeCell ref="J17:K17"/>
    <mergeCell ref="B18:I18"/>
  </mergeCells>
  <hyperlinks>
    <hyperlink ref="I2" location="目录!A1" display="目录!A1"/>
  </hyperlinks>
  <pageMargins left="0.7" right="0.7" top="0.75" bottom="0.75" header="0.3" footer="0.3"/>
  <pageSetup paperSize="9" orientation="portrait"/>
  <headerFooter/>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
  <sheetViews>
    <sheetView workbookViewId="0">
      <selection activeCell="R26" sqref="R26"/>
    </sheetView>
  </sheetViews>
  <sheetFormatPr defaultColWidth="9" defaultRowHeight="15.6"/>
  <cols>
    <col min="5" max="5" width="11.125" customWidth="1"/>
  </cols>
  <sheetData>
    <row r="1" ht="20.4" spans="1:9">
      <c r="A1" s="981" t="s">
        <v>34</v>
      </c>
      <c r="B1" s="62"/>
      <c r="C1" s="62"/>
      <c r="D1" s="62"/>
      <c r="E1" s="62"/>
      <c r="F1" s="62"/>
      <c r="G1" s="62"/>
      <c r="H1" s="63"/>
      <c r="I1" s="627" t="s">
        <v>88</v>
      </c>
    </row>
    <row r="2" spans="1:9">
      <c r="A2" s="982" t="s">
        <v>2217</v>
      </c>
      <c r="B2" s="983"/>
      <c r="C2" s="983"/>
      <c r="D2" s="984"/>
      <c r="E2" s="32" t="s">
        <v>914</v>
      </c>
      <c r="F2" s="313"/>
      <c r="G2" s="313"/>
      <c r="H2" s="32" t="s">
        <v>2218</v>
      </c>
      <c r="I2" s="991"/>
    </row>
    <row r="3" spans="1:9">
      <c r="A3" s="985" t="s">
        <v>2219</v>
      </c>
      <c r="B3" s="986"/>
      <c r="C3" s="986"/>
      <c r="D3" s="987"/>
      <c r="E3" s="37" t="s">
        <v>1052</v>
      </c>
      <c r="F3" s="313"/>
      <c r="G3" s="313"/>
      <c r="H3" s="41">
        <f>PRODUCT(H4,H5*H5,H6,H7,H9)</f>
        <v>195.84</v>
      </c>
      <c r="I3" s="41">
        <f>PRODUCT(I4,I5*I5,I6,I7,I9)</f>
        <v>56.7</v>
      </c>
    </row>
    <row r="4" spans="1:9">
      <c r="A4" s="985" t="s">
        <v>2220</v>
      </c>
      <c r="B4" s="986"/>
      <c r="C4" s="986"/>
      <c r="D4" s="987"/>
      <c r="E4" s="37" t="s">
        <v>1052</v>
      </c>
      <c r="F4" s="313"/>
      <c r="G4" s="313"/>
      <c r="H4" s="58">
        <v>360</v>
      </c>
      <c r="I4" s="58">
        <v>360</v>
      </c>
    </row>
    <row r="5" spans="1:9">
      <c r="A5" s="985" t="s">
        <v>2221</v>
      </c>
      <c r="B5" s="986"/>
      <c r="C5" s="986"/>
      <c r="D5" s="987"/>
      <c r="E5" s="37" t="s">
        <v>320</v>
      </c>
      <c r="F5" s="313"/>
      <c r="G5" s="313"/>
      <c r="H5" s="54">
        <v>0.8</v>
      </c>
      <c r="I5" s="54">
        <v>0.5</v>
      </c>
    </row>
    <row r="6" spans="1:9">
      <c r="A6" s="985" t="s">
        <v>2222</v>
      </c>
      <c r="B6" s="986"/>
      <c r="C6" s="986"/>
      <c r="D6" s="987"/>
      <c r="E6" s="37" t="s">
        <v>359</v>
      </c>
      <c r="F6" s="313"/>
      <c r="G6" s="313"/>
      <c r="H6" s="54">
        <v>1</v>
      </c>
      <c r="I6" s="54">
        <v>1</v>
      </c>
    </row>
    <row r="7" ht="16.8" spans="1:9">
      <c r="A7" s="988" t="s">
        <v>2223</v>
      </c>
      <c r="B7" s="989"/>
      <c r="C7" s="989"/>
      <c r="D7" s="990"/>
      <c r="E7" s="37" t="s">
        <v>2224</v>
      </c>
      <c r="F7" s="988" t="s">
        <v>2225</v>
      </c>
      <c r="G7" s="990"/>
      <c r="H7" s="58">
        <v>0.85</v>
      </c>
      <c r="I7" s="58">
        <v>0.7</v>
      </c>
    </row>
    <row r="8" ht="16.8" spans="1:9">
      <c r="A8" s="985" t="s">
        <v>2226</v>
      </c>
      <c r="B8" s="989"/>
      <c r="C8" s="989"/>
      <c r="D8" s="990"/>
      <c r="E8" s="313" t="s">
        <v>2227</v>
      </c>
      <c r="F8" s="37" t="s">
        <v>2228</v>
      </c>
      <c r="G8" s="37" t="s">
        <v>2229</v>
      </c>
      <c r="H8" s="37" t="s">
        <v>2230</v>
      </c>
      <c r="I8" s="37" t="s">
        <v>2231</v>
      </c>
    </row>
    <row r="9" spans="1:9">
      <c r="A9" s="988"/>
      <c r="B9" s="989"/>
      <c r="C9" s="989"/>
      <c r="D9" s="990"/>
      <c r="E9" s="37" t="s">
        <v>1055</v>
      </c>
      <c r="F9" s="37" t="s">
        <v>2232</v>
      </c>
      <c r="G9" s="37" t="s">
        <v>2233</v>
      </c>
      <c r="H9" s="54">
        <v>1</v>
      </c>
      <c r="I9" s="54">
        <v>0.9</v>
      </c>
    </row>
  </sheetData>
  <mergeCells count="11">
    <mergeCell ref="A1:H1"/>
    <mergeCell ref="A2:D2"/>
    <mergeCell ref="A3:D3"/>
    <mergeCell ref="A4:D4"/>
    <mergeCell ref="A5:D5"/>
    <mergeCell ref="A6:D6"/>
    <mergeCell ref="A7:D7"/>
    <mergeCell ref="F7:G7"/>
    <mergeCell ref="A8:D8"/>
    <mergeCell ref="A9:D9"/>
    <mergeCell ref="I1:I2"/>
  </mergeCells>
  <hyperlinks>
    <hyperlink ref="I1:I2" location="目录!A1" display="目录!A1"/>
  </hyperlinks>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I109"/>
  <sheetViews>
    <sheetView topLeftCell="A7" workbookViewId="0">
      <selection activeCell="G18" sqref="G18"/>
    </sheetView>
  </sheetViews>
  <sheetFormatPr defaultColWidth="9" defaultRowHeight="15.6"/>
  <cols>
    <col min="1" max="1" width="28.625" style="965" customWidth="1"/>
    <col min="2" max="2" width="20.25" style="965" customWidth="1"/>
    <col min="3" max="3" width="11.625" style="860" customWidth="1"/>
    <col min="4" max="15" width="9" style="860"/>
    <col min="16" max="16" width="16.75" style="860" customWidth="1"/>
    <col min="17" max="243" width="9" style="860"/>
    <col min="244" max="16384" width="9" style="965"/>
  </cols>
  <sheetData>
    <row r="1" ht="20.25" customHeight="1" spans="1:243">
      <c r="A1" s="966" t="s">
        <v>2234</v>
      </c>
      <c r="B1" s="967"/>
      <c r="C1" s="967"/>
      <c r="D1" s="117" t="s">
        <v>88</v>
      </c>
      <c r="E1" s="965"/>
      <c r="F1" s="965"/>
      <c r="G1" s="965"/>
      <c r="H1" s="965"/>
      <c r="I1" s="965"/>
      <c r="J1" s="965"/>
      <c r="K1" s="965"/>
      <c r="L1" s="965"/>
      <c r="M1" s="965"/>
      <c r="N1" s="965"/>
      <c r="O1" s="965"/>
      <c r="P1" s="965"/>
      <c r="Q1" s="965"/>
      <c r="R1" s="965"/>
      <c r="S1" s="965"/>
      <c r="T1" s="965"/>
      <c r="U1" s="965"/>
      <c r="V1" s="965"/>
      <c r="W1" s="965"/>
      <c r="X1" s="965"/>
      <c r="Y1" s="965"/>
      <c r="Z1" s="965"/>
      <c r="AA1" s="965"/>
      <c r="AB1" s="965"/>
      <c r="AC1" s="965"/>
      <c r="AD1" s="965"/>
      <c r="AE1" s="965"/>
      <c r="AF1" s="965"/>
      <c r="AG1" s="965"/>
      <c r="AH1" s="965"/>
      <c r="AI1" s="965"/>
      <c r="AJ1" s="965"/>
      <c r="AK1" s="965"/>
      <c r="AL1" s="965"/>
      <c r="AM1" s="965"/>
      <c r="AN1" s="965"/>
      <c r="AO1" s="965"/>
      <c r="AP1" s="965"/>
      <c r="AQ1" s="965"/>
      <c r="AR1" s="965"/>
      <c r="AS1" s="965"/>
      <c r="AT1" s="965"/>
      <c r="AU1" s="965"/>
      <c r="AV1" s="965"/>
      <c r="AW1" s="965"/>
      <c r="AX1" s="965"/>
      <c r="AY1" s="965"/>
      <c r="AZ1" s="965"/>
      <c r="BA1" s="965"/>
      <c r="BB1" s="965"/>
      <c r="BC1" s="965"/>
      <c r="BD1" s="965"/>
      <c r="BE1" s="965"/>
      <c r="BF1" s="965"/>
      <c r="BG1" s="965"/>
      <c r="BH1" s="965"/>
      <c r="BI1" s="965"/>
      <c r="BJ1" s="965"/>
      <c r="BK1" s="965"/>
      <c r="BL1" s="965"/>
      <c r="BM1" s="965"/>
      <c r="BN1" s="965"/>
      <c r="BO1" s="965"/>
      <c r="BP1" s="965"/>
      <c r="BQ1" s="965"/>
      <c r="BR1" s="965"/>
      <c r="BS1" s="965"/>
      <c r="BT1" s="965"/>
      <c r="BU1" s="965"/>
      <c r="BV1" s="965"/>
      <c r="BW1" s="965"/>
      <c r="BX1" s="965"/>
      <c r="BY1" s="965"/>
      <c r="BZ1" s="965"/>
      <c r="CA1" s="965"/>
      <c r="CB1" s="965"/>
      <c r="CC1" s="965"/>
      <c r="CD1" s="965"/>
      <c r="CE1" s="965"/>
      <c r="CF1" s="965"/>
      <c r="CG1" s="965"/>
      <c r="CH1" s="965"/>
      <c r="CI1" s="965"/>
      <c r="CJ1" s="965"/>
      <c r="CK1" s="965"/>
      <c r="CL1" s="965"/>
      <c r="CM1" s="965"/>
      <c r="CN1" s="965"/>
      <c r="CO1" s="965"/>
      <c r="CP1" s="965"/>
      <c r="CQ1" s="965"/>
      <c r="CR1" s="965"/>
      <c r="CS1" s="965"/>
      <c r="CT1" s="965"/>
      <c r="CU1" s="965"/>
      <c r="CV1" s="965"/>
      <c r="CW1" s="965"/>
      <c r="CX1" s="965"/>
      <c r="CY1" s="965"/>
      <c r="CZ1" s="965"/>
      <c r="DA1" s="965"/>
      <c r="DB1" s="965"/>
      <c r="DC1" s="965"/>
      <c r="DD1" s="965"/>
      <c r="DE1" s="965"/>
      <c r="DF1" s="965"/>
      <c r="DG1" s="965"/>
      <c r="DH1" s="965"/>
      <c r="DI1" s="965"/>
      <c r="DJ1" s="965"/>
      <c r="DK1" s="965"/>
      <c r="DL1" s="965"/>
      <c r="DM1" s="965"/>
      <c r="DN1" s="965"/>
      <c r="DO1" s="965"/>
      <c r="DP1" s="965"/>
      <c r="DQ1" s="965"/>
      <c r="DR1" s="965"/>
      <c r="DS1" s="965"/>
      <c r="DT1" s="965"/>
      <c r="DU1" s="965"/>
      <c r="DV1" s="965"/>
      <c r="DW1" s="965"/>
      <c r="DX1" s="965"/>
      <c r="DY1" s="965"/>
      <c r="DZ1" s="965"/>
      <c r="EA1" s="965"/>
      <c r="EB1" s="965"/>
      <c r="EC1" s="965"/>
      <c r="ED1" s="965"/>
      <c r="EE1" s="965"/>
      <c r="EF1" s="965"/>
      <c r="EG1" s="965"/>
      <c r="EH1" s="965"/>
      <c r="EI1" s="965"/>
      <c r="EJ1" s="965"/>
      <c r="EK1" s="965"/>
      <c r="EL1" s="965"/>
      <c r="EM1" s="965"/>
      <c r="EN1" s="965"/>
      <c r="EO1" s="965"/>
      <c r="EP1" s="965"/>
      <c r="EQ1" s="965"/>
      <c r="ER1" s="965"/>
      <c r="ES1" s="965"/>
      <c r="ET1" s="965"/>
      <c r="EU1" s="965"/>
      <c r="EV1" s="965"/>
      <c r="EW1" s="965"/>
      <c r="EX1" s="965"/>
      <c r="EY1" s="965"/>
      <c r="EZ1" s="965"/>
      <c r="FA1" s="965"/>
      <c r="FB1" s="965"/>
      <c r="FC1" s="965"/>
      <c r="FD1" s="965"/>
      <c r="FE1" s="965"/>
      <c r="FF1" s="965"/>
      <c r="FG1" s="965"/>
      <c r="FH1" s="965"/>
      <c r="FI1" s="965"/>
      <c r="FJ1" s="965"/>
      <c r="FK1" s="965"/>
      <c r="FL1" s="965"/>
      <c r="FM1" s="965"/>
      <c r="FN1" s="965"/>
      <c r="FO1" s="965"/>
      <c r="FP1" s="965"/>
      <c r="FQ1" s="965"/>
      <c r="FR1" s="965"/>
      <c r="FS1" s="965"/>
      <c r="FT1" s="965"/>
      <c r="FU1" s="965"/>
      <c r="FV1" s="965"/>
      <c r="FW1" s="965"/>
      <c r="FX1" s="965"/>
      <c r="FY1" s="965"/>
      <c r="FZ1" s="965"/>
      <c r="GA1" s="965"/>
      <c r="GB1" s="965"/>
      <c r="GC1" s="965"/>
      <c r="GD1" s="965"/>
      <c r="GE1" s="965"/>
      <c r="GF1" s="965"/>
      <c r="GG1" s="965"/>
      <c r="GH1" s="965"/>
      <c r="GI1" s="965"/>
      <c r="GJ1" s="965"/>
      <c r="GK1" s="965"/>
      <c r="GL1" s="965"/>
      <c r="GM1" s="965"/>
      <c r="GN1" s="965"/>
      <c r="GO1" s="965"/>
      <c r="GP1" s="965"/>
      <c r="GQ1" s="965"/>
      <c r="GR1" s="965"/>
      <c r="GS1" s="965"/>
      <c r="GT1" s="965"/>
      <c r="GU1" s="965"/>
      <c r="GV1" s="965"/>
      <c r="GW1" s="965"/>
      <c r="GX1" s="965"/>
      <c r="GY1" s="965"/>
      <c r="GZ1" s="965"/>
      <c r="HA1" s="965"/>
      <c r="HB1" s="965"/>
      <c r="HC1" s="965"/>
      <c r="HD1" s="965"/>
      <c r="HE1" s="965"/>
      <c r="HF1" s="965"/>
      <c r="HG1" s="965"/>
      <c r="HH1" s="965"/>
      <c r="HI1" s="965"/>
      <c r="HJ1" s="965"/>
      <c r="HK1" s="965"/>
      <c r="HL1" s="965"/>
      <c r="HM1" s="965"/>
      <c r="HN1" s="965"/>
      <c r="HO1" s="965"/>
      <c r="HP1" s="965"/>
      <c r="HQ1" s="965"/>
      <c r="HR1" s="965"/>
      <c r="HS1" s="965"/>
      <c r="HT1" s="965"/>
      <c r="HU1" s="965"/>
      <c r="HV1" s="965"/>
      <c r="HW1" s="965"/>
      <c r="HX1" s="965"/>
      <c r="HY1" s="965"/>
      <c r="HZ1" s="965"/>
      <c r="IA1" s="965"/>
      <c r="IB1" s="965"/>
      <c r="IC1" s="965"/>
      <c r="ID1" s="965"/>
      <c r="IE1" s="965"/>
      <c r="IF1" s="965"/>
      <c r="IG1" s="965"/>
      <c r="IH1" s="965"/>
      <c r="II1" s="965"/>
    </row>
    <row r="2" ht="19.2" spans="1:243">
      <c r="A2" s="968" t="s">
        <v>2235</v>
      </c>
      <c r="B2" s="969">
        <v>0.75</v>
      </c>
      <c r="C2" s="965" t="s">
        <v>761</v>
      </c>
      <c r="D2" s="965"/>
      <c r="E2" s="965"/>
      <c r="F2" s="965"/>
      <c r="G2" s="965"/>
      <c r="H2" s="965"/>
      <c r="I2" s="965"/>
      <c r="J2" s="965"/>
      <c r="K2" s="965"/>
      <c r="L2" s="965"/>
      <c r="M2" s="965"/>
      <c r="N2" s="965"/>
      <c r="O2" s="965"/>
      <c r="P2" s="965"/>
      <c r="Q2" s="965"/>
      <c r="R2" s="965"/>
      <c r="S2" s="965"/>
      <c r="T2" s="965"/>
      <c r="U2" s="965"/>
      <c r="V2" s="965"/>
      <c r="W2" s="965"/>
      <c r="X2" s="965"/>
      <c r="Y2" s="965"/>
      <c r="Z2" s="965"/>
      <c r="AA2" s="965"/>
      <c r="AB2" s="965"/>
      <c r="AC2" s="965"/>
      <c r="AD2" s="965"/>
      <c r="AE2" s="965"/>
      <c r="AF2" s="965"/>
      <c r="AG2" s="965"/>
      <c r="AH2" s="965"/>
      <c r="AI2" s="965"/>
      <c r="AJ2" s="965"/>
      <c r="AK2" s="965"/>
      <c r="AL2" s="965"/>
      <c r="AM2" s="965"/>
      <c r="AN2" s="965"/>
      <c r="AO2" s="965"/>
      <c r="AP2" s="965"/>
      <c r="AQ2" s="965"/>
      <c r="AR2" s="965"/>
      <c r="AS2" s="965"/>
      <c r="AT2" s="965"/>
      <c r="AU2" s="965"/>
      <c r="AV2" s="965"/>
      <c r="AW2" s="965"/>
      <c r="AX2" s="965"/>
      <c r="AY2" s="965"/>
      <c r="AZ2" s="965"/>
      <c r="BA2" s="965"/>
      <c r="BB2" s="965"/>
      <c r="BC2" s="965"/>
      <c r="BD2" s="965"/>
      <c r="BE2" s="965"/>
      <c r="BF2" s="965"/>
      <c r="BG2" s="965"/>
      <c r="BH2" s="965"/>
      <c r="BI2" s="965"/>
      <c r="BJ2" s="965"/>
      <c r="BK2" s="965"/>
      <c r="BL2" s="965"/>
      <c r="BM2" s="965"/>
      <c r="BN2" s="965"/>
      <c r="BO2" s="965"/>
      <c r="BP2" s="965"/>
      <c r="BQ2" s="965"/>
      <c r="BR2" s="965"/>
      <c r="BS2" s="965"/>
      <c r="BT2" s="965"/>
      <c r="BU2" s="965"/>
      <c r="BV2" s="965"/>
      <c r="BW2" s="965"/>
      <c r="BX2" s="965"/>
      <c r="BY2" s="965"/>
      <c r="BZ2" s="965"/>
      <c r="CA2" s="965"/>
      <c r="CB2" s="965"/>
      <c r="CC2" s="965"/>
      <c r="CD2" s="965"/>
      <c r="CE2" s="965"/>
      <c r="CF2" s="965"/>
      <c r="CG2" s="965"/>
      <c r="CH2" s="965"/>
      <c r="CI2" s="965"/>
      <c r="CJ2" s="965"/>
      <c r="CK2" s="965"/>
      <c r="CL2" s="965"/>
      <c r="CM2" s="965"/>
      <c r="CN2" s="965"/>
      <c r="CO2" s="965"/>
      <c r="CP2" s="965"/>
      <c r="CQ2" s="965"/>
      <c r="CR2" s="965"/>
      <c r="CS2" s="965"/>
      <c r="CT2" s="965"/>
      <c r="CU2" s="965"/>
      <c r="CV2" s="965"/>
      <c r="CW2" s="965"/>
      <c r="CX2" s="965"/>
      <c r="CY2" s="965"/>
      <c r="CZ2" s="965"/>
      <c r="DA2" s="965"/>
      <c r="DB2" s="965"/>
      <c r="DC2" s="965"/>
      <c r="DD2" s="965"/>
      <c r="DE2" s="965"/>
      <c r="DF2" s="965"/>
      <c r="DG2" s="965"/>
      <c r="DH2" s="965"/>
      <c r="DI2" s="965"/>
      <c r="DJ2" s="965"/>
      <c r="DK2" s="965"/>
      <c r="DL2" s="965"/>
      <c r="DM2" s="965"/>
      <c r="DN2" s="965"/>
      <c r="DO2" s="965"/>
      <c r="DP2" s="965"/>
      <c r="DQ2" s="965"/>
      <c r="DR2" s="965"/>
      <c r="DS2" s="965"/>
      <c r="DT2" s="965"/>
      <c r="DU2" s="965"/>
      <c r="DV2" s="965"/>
      <c r="DW2" s="965"/>
      <c r="DX2" s="965"/>
      <c r="DY2" s="965"/>
      <c r="DZ2" s="965"/>
      <c r="EA2" s="965"/>
      <c r="EB2" s="965"/>
      <c r="EC2" s="965"/>
      <c r="ED2" s="965"/>
      <c r="EE2" s="965"/>
      <c r="EF2" s="965"/>
      <c r="EG2" s="965"/>
      <c r="EH2" s="965"/>
      <c r="EI2" s="965"/>
      <c r="EJ2" s="965"/>
      <c r="EK2" s="965"/>
      <c r="EL2" s="965"/>
      <c r="EM2" s="965"/>
      <c r="EN2" s="965"/>
      <c r="EO2" s="965"/>
      <c r="EP2" s="965"/>
      <c r="EQ2" s="965"/>
      <c r="ER2" s="965"/>
      <c r="ES2" s="965"/>
      <c r="ET2" s="965"/>
      <c r="EU2" s="965"/>
      <c r="EV2" s="965"/>
      <c r="EW2" s="965"/>
      <c r="EX2" s="965"/>
      <c r="EY2" s="965"/>
      <c r="EZ2" s="965"/>
      <c r="FA2" s="965"/>
      <c r="FB2" s="965"/>
      <c r="FC2" s="965"/>
      <c r="FD2" s="965"/>
      <c r="FE2" s="965"/>
      <c r="FF2" s="965"/>
      <c r="FG2" s="965"/>
      <c r="FH2" s="965"/>
      <c r="FI2" s="965"/>
      <c r="FJ2" s="965"/>
      <c r="FK2" s="965"/>
      <c r="FL2" s="965"/>
      <c r="FM2" s="965"/>
      <c r="FN2" s="965"/>
      <c r="FO2" s="965"/>
      <c r="FP2" s="965"/>
      <c r="FQ2" s="965"/>
      <c r="FR2" s="965"/>
      <c r="FS2" s="965"/>
      <c r="FT2" s="965"/>
      <c r="FU2" s="965"/>
      <c r="FV2" s="965"/>
      <c r="FW2" s="965"/>
      <c r="FX2" s="965"/>
      <c r="FY2" s="965"/>
      <c r="FZ2" s="965"/>
      <c r="GA2" s="965"/>
      <c r="GB2" s="965"/>
      <c r="GC2" s="965"/>
      <c r="GD2" s="965"/>
      <c r="GE2" s="965"/>
      <c r="GF2" s="965"/>
      <c r="GG2" s="965"/>
      <c r="GH2" s="965"/>
      <c r="GI2" s="965"/>
      <c r="GJ2" s="965"/>
      <c r="GK2" s="965"/>
      <c r="GL2" s="965"/>
      <c r="GM2" s="965"/>
      <c r="GN2" s="965"/>
      <c r="GO2" s="965"/>
      <c r="GP2" s="965"/>
      <c r="GQ2" s="965"/>
      <c r="GR2" s="965"/>
      <c r="GS2" s="965"/>
      <c r="GT2" s="965"/>
      <c r="GU2" s="965"/>
      <c r="GV2" s="965"/>
      <c r="GW2" s="965"/>
      <c r="GX2" s="965"/>
      <c r="GY2" s="965"/>
      <c r="GZ2" s="965"/>
      <c r="HA2" s="965"/>
      <c r="HB2" s="965"/>
      <c r="HC2" s="965"/>
      <c r="HD2" s="965"/>
      <c r="HE2" s="965"/>
      <c r="HF2" s="965"/>
      <c r="HG2" s="965"/>
      <c r="HH2" s="965"/>
      <c r="HI2" s="965"/>
      <c r="HJ2" s="965"/>
      <c r="HK2" s="965"/>
      <c r="HL2" s="965"/>
      <c r="HM2" s="965"/>
      <c r="HN2" s="965"/>
      <c r="HO2" s="965"/>
      <c r="HP2" s="965"/>
      <c r="HQ2" s="965"/>
      <c r="HR2" s="965"/>
      <c r="HS2" s="965"/>
      <c r="HT2" s="965"/>
      <c r="HU2" s="965"/>
      <c r="HV2" s="965"/>
      <c r="HW2" s="965"/>
      <c r="HX2" s="965"/>
      <c r="HY2" s="965"/>
      <c r="HZ2" s="965"/>
      <c r="IA2" s="965"/>
      <c r="IB2" s="965"/>
      <c r="IC2" s="965"/>
      <c r="ID2" s="965"/>
      <c r="IE2" s="965"/>
      <c r="IF2" s="965"/>
      <c r="IG2" s="965"/>
      <c r="IH2" s="965"/>
      <c r="II2" s="965"/>
    </row>
    <row r="3" ht="19.2" spans="1:243">
      <c r="A3" s="968" t="s">
        <v>2236</v>
      </c>
      <c r="B3" s="969">
        <v>1380</v>
      </c>
      <c r="C3" s="965" t="s">
        <v>761</v>
      </c>
      <c r="D3" s="965"/>
      <c r="E3" s="965"/>
      <c r="F3" s="965"/>
      <c r="G3" s="965"/>
      <c r="H3" s="965"/>
      <c r="I3" s="965"/>
      <c r="J3" s="965"/>
      <c r="K3" s="965"/>
      <c r="L3" s="965"/>
      <c r="M3" s="965"/>
      <c r="N3" s="965"/>
      <c r="O3" s="965"/>
      <c r="P3" s="965"/>
      <c r="Q3" s="965"/>
      <c r="R3" s="965"/>
      <c r="S3" s="965"/>
      <c r="T3" s="965"/>
      <c r="U3" s="965"/>
      <c r="V3" s="965"/>
      <c r="W3" s="965"/>
      <c r="X3" s="965"/>
      <c r="Y3" s="965"/>
      <c r="Z3" s="965"/>
      <c r="AA3" s="965"/>
      <c r="AB3" s="965"/>
      <c r="AC3" s="965"/>
      <c r="AD3" s="965"/>
      <c r="AE3" s="965"/>
      <c r="AF3" s="965"/>
      <c r="AG3" s="965"/>
      <c r="AH3" s="965"/>
      <c r="AI3" s="965"/>
      <c r="AJ3" s="965"/>
      <c r="AK3" s="965"/>
      <c r="AL3" s="965"/>
      <c r="AM3" s="965"/>
      <c r="AN3" s="965"/>
      <c r="AO3" s="965"/>
      <c r="AP3" s="965"/>
      <c r="AQ3" s="965"/>
      <c r="AR3" s="965"/>
      <c r="AS3" s="965"/>
      <c r="AT3" s="965"/>
      <c r="AU3" s="965"/>
      <c r="AV3" s="965"/>
      <c r="AW3" s="965"/>
      <c r="AX3" s="965"/>
      <c r="AY3" s="965"/>
      <c r="AZ3" s="965"/>
      <c r="BA3" s="965"/>
      <c r="BB3" s="965"/>
      <c r="BC3" s="965"/>
      <c r="BD3" s="965"/>
      <c r="BE3" s="965"/>
      <c r="BF3" s="965"/>
      <c r="BG3" s="965"/>
      <c r="BH3" s="965"/>
      <c r="BI3" s="965"/>
      <c r="BJ3" s="965"/>
      <c r="BK3" s="965"/>
      <c r="BL3" s="965"/>
      <c r="BM3" s="965"/>
      <c r="BN3" s="965"/>
      <c r="BO3" s="965"/>
      <c r="BP3" s="965"/>
      <c r="BQ3" s="965"/>
      <c r="BR3" s="965"/>
      <c r="BS3" s="965"/>
      <c r="BT3" s="965"/>
      <c r="BU3" s="965"/>
      <c r="BV3" s="965"/>
      <c r="BW3" s="965"/>
      <c r="BX3" s="965"/>
      <c r="BY3" s="965"/>
      <c r="BZ3" s="965"/>
      <c r="CA3" s="965"/>
      <c r="CB3" s="965"/>
      <c r="CC3" s="965"/>
      <c r="CD3" s="965"/>
      <c r="CE3" s="965"/>
      <c r="CF3" s="965"/>
      <c r="CG3" s="965"/>
      <c r="CH3" s="965"/>
      <c r="CI3" s="965"/>
      <c r="CJ3" s="965"/>
      <c r="CK3" s="965"/>
      <c r="CL3" s="965"/>
      <c r="CM3" s="965"/>
      <c r="CN3" s="965"/>
      <c r="CO3" s="965"/>
      <c r="CP3" s="965"/>
      <c r="CQ3" s="965"/>
      <c r="CR3" s="965"/>
      <c r="CS3" s="965"/>
      <c r="CT3" s="965"/>
      <c r="CU3" s="965"/>
      <c r="CV3" s="965"/>
      <c r="CW3" s="965"/>
      <c r="CX3" s="965"/>
      <c r="CY3" s="965"/>
      <c r="CZ3" s="965"/>
      <c r="DA3" s="965"/>
      <c r="DB3" s="965"/>
      <c r="DC3" s="965"/>
      <c r="DD3" s="965"/>
      <c r="DE3" s="965"/>
      <c r="DF3" s="965"/>
      <c r="DG3" s="965"/>
      <c r="DH3" s="965"/>
      <c r="DI3" s="965"/>
      <c r="DJ3" s="965"/>
      <c r="DK3" s="965"/>
      <c r="DL3" s="965"/>
      <c r="DM3" s="965"/>
      <c r="DN3" s="965"/>
      <c r="DO3" s="965"/>
      <c r="DP3" s="965"/>
      <c r="DQ3" s="965"/>
      <c r="DR3" s="965"/>
      <c r="DS3" s="965"/>
      <c r="DT3" s="965"/>
      <c r="DU3" s="965"/>
      <c r="DV3" s="965"/>
      <c r="DW3" s="965"/>
      <c r="DX3" s="965"/>
      <c r="DY3" s="965"/>
      <c r="DZ3" s="965"/>
      <c r="EA3" s="965"/>
      <c r="EB3" s="965"/>
      <c r="EC3" s="965"/>
      <c r="ED3" s="965"/>
      <c r="EE3" s="965"/>
      <c r="EF3" s="965"/>
      <c r="EG3" s="965"/>
      <c r="EH3" s="965"/>
      <c r="EI3" s="965"/>
      <c r="EJ3" s="965"/>
      <c r="EK3" s="965"/>
      <c r="EL3" s="965"/>
      <c r="EM3" s="965"/>
      <c r="EN3" s="965"/>
      <c r="EO3" s="965"/>
      <c r="EP3" s="965"/>
      <c r="EQ3" s="965"/>
      <c r="ER3" s="965"/>
      <c r="ES3" s="965"/>
      <c r="ET3" s="965"/>
      <c r="EU3" s="965"/>
      <c r="EV3" s="965"/>
      <c r="EW3" s="965"/>
      <c r="EX3" s="965"/>
      <c r="EY3" s="965"/>
      <c r="EZ3" s="965"/>
      <c r="FA3" s="965"/>
      <c r="FB3" s="965"/>
      <c r="FC3" s="965"/>
      <c r="FD3" s="965"/>
      <c r="FE3" s="965"/>
      <c r="FF3" s="965"/>
      <c r="FG3" s="965"/>
      <c r="FH3" s="965"/>
      <c r="FI3" s="965"/>
      <c r="FJ3" s="965"/>
      <c r="FK3" s="965"/>
      <c r="FL3" s="965"/>
      <c r="FM3" s="965"/>
      <c r="FN3" s="965"/>
      <c r="FO3" s="965"/>
      <c r="FP3" s="965"/>
      <c r="FQ3" s="965"/>
      <c r="FR3" s="965"/>
      <c r="FS3" s="965"/>
      <c r="FT3" s="965"/>
      <c r="FU3" s="965"/>
      <c r="FV3" s="965"/>
      <c r="FW3" s="965"/>
      <c r="FX3" s="965"/>
      <c r="FY3" s="965"/>
      <c r="FZ3" s="965"/>
      <c r="GA3" s="965"/>
      <c r="GB3" s="965"/>
      <c r="GC3" s="965"/>
      <c r="GD3" s="965"/>
      <c r="GE3" s="965"/>
      <c r="GF3" s="965"/>
      <c r="GG3" s="965"/>
      <c r="GH3" s="965"/>
      <c r="GI3" s="965"/>
      <c r="GJ3" s="965"/>
      <c r="GK3" s="965"/>
      <c r="GL3" s="965"/>
      <c r="GM3" s="965"/>
      <c r="GN3" s="965"/>
      <c r="GO3" s="965"/>
      <c r="GP3" s="965"/>
      <c r="GQ3" s="965"/>
      <c r="GR3" s="965"/>
      <c r="GS3" s="965"/>
      <c r="GT3" s="965"/>
      <c r="GU3" s="965"/>
      <c r="GV3" s="965"/>
      <c r="GW3" s="965"/>
      <c r="GX3" s="965"/>
      <c r="GY3" s="965"/>
      <c r="GZ3" s="965"/>
      <c r="HA3" s="965"/>
      <c r="HB3" s="965"/>
      <c r="HC3" s="965"/>
      <c r="HD3" s="965"/>
      <c r="HE3" s="965"/>
      <c r="HF3" s="965"/>
      <c r="HG3" s="965"/>
      <c r="HH3" s="965"/>
      <c r="HI3" s="965"/>
      <c r="HJ3" s="965"/>
      <c r="HK3" s="965"/>
      <c r="HL3" s="965"/>
      <c r="HM3" s="965"/>
      <c r="HN3" s="965"/>
      <c r="HO3" s="965"/>
      <c r="HP3" s="965"/>
      <c r="HQ3" s="965"/>
      <c r="HR3" s="965"/>
      <c r="HS3" s="965"/>
      <c r="HT3" s="965"/>
      <c r="HU3" s="965"/>
      <c r="HV3" s="965"/>
      <c r="HW3" s="965"/>
      <c r="HX3" s="965"/>
      <c r="HY3" s="965"/>
      <c r="HZ3" s="965"/>
      <c r="IA3" s="965"/>
      <c r="IB3" s="965"/>
      <c r="IC3" s="965"/>
      <c r="ID3" s="965"/>
      <c r="IE3" s="965"/>
      <c r="IF3" s="965"/>
      <c r="IG3" s="965"/>
      <c r="IH3" s="965"/>
      <c r="II3" s="965"/>
    </row>
    <row r="4" ht="19.2" spans="1:243">
      <c r="A4" s="968" t="s">
        <v>1375</v>
      </c>
      <c r="B4" s="969">
        <v>30</v>
      </c>
      <c r="C4" s="965"/>
      <c r="D4" s="965"/>
      <c r="E4" s="965"/>
      <c r="F4" s="965"/>
      <c r="G4" s="965"/>
      <c r="H4" s="965"/>
      <c r="I4" s="965"/>
      <c r="J4" s="965"/>
      <c r="K4" s="965"/>
      <c r="L4" s="965"/>
      <c r="M4" s="965"/>
      <c r="N4" s="965"/>
      <c r="O4" s="965"/>
      <c r="P4" s="965"/>
      <c r="Q4" s="965"/>
      <c r="R4" s="965"/>
      <c r="S4" s="965"/>
      <c r="T4" s="965"/>
      <c r="U4" s="965"/>
      <c r="V4" s="965"/>
      <c r="W4" s="965"/>
      <c r="X4" s="965"/>
      <c r="Y4" s="965"/>
      <c r="Z4" s="965"/>
      <c r="AA4" s="965"/>
      <c r="AB4" s="965"/>
      <c r="AC4" s="965"/>
      <c r="AD4" s="965"/>
      <c r="AE4" s="965"/>
      <c r="AF4" s="965"/>
      <c r="AG4" s="965"/>
      <c r="AH4" s="965"/>
      <c r="AI4" s="965"/>
      <c r="AJ4" s="965"/>
      <c r="AK4" s="965"/>
      <c r="AL4" s="965"/>
      <c r="AM4" s="965"/>
      <c r="AN4" s="965"/>
      <c r="AO4" s="965"/>
      <c r="AP4" s="965"/>
      <c r="AQ4" s="965"/>
      <c r="AR4" s="965"/>
      <c r="AS4" s="965"/>
      <c r="AT4" s="965"/>
      <c r="AU4" s="965"/>
      <c r="AV4" s="965"/>
      <c r="AW4" s="965"/>
      <c r="AX4" s="965"/>
      <c r="AY4" s="965"/>
      <c r="AZ4" s="965"/>
      <c r="BA4" s="965"/>
      <c r="BB4" s="965"/>
      <c r="BC4" s="965"/>
      <c r="BD4" s="965"/>
      <c r="BE4" s="965"/>
      <c r="BF4" s="965"/>
      <c r="BG4" s="965"/>
      <c r="BH4" s="965"/>
      <c r="BI4" s="965"/>
      <c r="BJ4" s="965"/>
      <c r="BK4" s="965"/>
      <c r="BL4" s="965"/>
      <c r="BM4" s="965"/>
      <c r="BN4" s="965"/>
      <c r="BO4" s="965"/>
      <c r="BP4" s="965"/>
      <c r="BQ4" s="965"/>
      <c r="BR4" s="965"/>
      <c r="BS4" s="965"/>
      <c r="BT4" s="965"/>
      <c r="BU4" s="965"/>
      <c r="BV4" s="965"/>
      <c r="BW4" s="965"/>
      <c r="BX4" s="965"/>
      <c r="BY4" s="965"/>
      <c r="BZ4" s="965"/>
      <c r="CA4" s="965"/>
      <c r="CB4" s="965"/>
      <c r="CC4" s="965"/>
      <c r="CD4" s="965"/>
      <c r="CE4" s="965"/>
      <c r="CF4" s="965"/>
      <c r="CG4" s="965"/>
      <c r="CH4" s="965"/>
      <c r="CI4" s="965"/>
      <c r="CJ4" s="965"/>
      <c r="CK4" s="965"/>
      <c r="CL4" s="965"/>
      <c r="CM4" s="965"/>
      <c r="CN4" s="965"/>
      <c r="CO4" s="965"/>
      <c r="CP4" s="965"/>
      <c r="CQ4" s="965"/>
      <c r="CR4" s="965"/>
      <c r="CS4" s="965"/>
      <c r="CT4" s="965"/>
      <c r="CU4" s="965"/>
      <c r="CV4" s="965"/>
      <c r="CW4" s="965"/>
      <c r="CX4" s="965"/>
      <c r="CY4" s="965"/>
      <c r="CZ4" s="965"/>
      <c r="DA4" s="965"/>
      <c r="DB4" s="965"/>
      <c r="DC4" s="965"/>
      <c r="DD4" s="965"/>
      <c r="DE4" s="965"/>
      <c r="DF4" s="965"/>
      <c r="DG4" s="965"/>
      <c r="DH4" s="965"/>
      <c r="DI4" s="965"/>
      <c r="DJ4" s="965"/>
      <c r="DK4" s="965"/>
      <c r="DL4" s="965"/>
      <c r="DM4" s="965"/>
      <c r="DN4" s="965"/>
      <c r="DO4" s="965"/>
      <c r="DP4" s="965"/>
      <c r="DQ4" s="965"/>
      <c r="DR4" s="965"/>
      <c r="DS4" s="965"/>
      <c r="DT4" s="965"/>
      <c r="DU4" s="965"/>
      <c r="DV4" s="965"/>
      <c r="DW4" s="965"/>
      <c r="DX4" s="965"/>
      <c r="DY4" s="965"/>
      <c r="DZ4" s="965"/>
      <c r="EA4" s="965"/>
      <c r="EB4" s="965"/>
      <c r="EC4" s="965"/>
      <c r="ED4" s="965"/>
      <c r="EE4" s="965"/>
      <c r="EF4" s="965"/>
      <c r="EG4" s="965"/>
      <c r="EH4" s="965"/>
      <c r="EI4" s="965"/>
      <c r="EJ4" s="965"/>
      <c r="EK4" s="965"/>
      <c r="EL4" s="965"/>
      <c r="EM4" s="965"/>
      <c r="EN4" s="965"/>
      <c r="EO4" s="965"/>
      <c r="EP4" s="965"/>
      <c r="EQ4" s="965"/>
      <c r="ER4" s="965"/>
      <c r="ES4" s="965"/>
      <c r="ET4" s="965"/>
      <c r="EU4" s="965"/>
      <c r="EV4" s="965"/>
      <c r="EW4" s="965"/>
      <c r="EX4" s="965"/>
      <c r="EY4" s="965"/>
      <c r="EZ4" s="965"/>
      <c r="FA4" s="965"/>
      <c r="FB4" s="965"/>
      <c r="FC4" s="965"/>
      <c r="FD4" s="965"/>
      <c r="FE4" s="965"/>
      <c r="FF4" s="965"/>
      <c r="FG4" s="965"/>
      <c r="FH4" s="965"/>
      <c r="FI4" s="965"/>
      <c r="FJ4" s="965"/>
      <c r="FK4" s="965"/>
      <c r="FL4" s="965"/>
      <c r="FM4" s="965"/>
      <c r="FN4" s="965"/>
      <c r="FO4" s="965"/>
      <c r="FP4" s="965"/>
      <c r="FQ4" s="965"/>
      <c r="FR4" s="965"/>
      <c r="FS4" s="965"/>
      <c r="FT4" s="965"/>
      <c r="FU4" s="965"/>
      <c r="FV4" s="965"/>
      <c r="FW4" s="965"/>
      <c r="FX4" s="965"/>
      <c r="FY4" s="965"/>
      <c r="FZ4" s="965"/>
      <c r="GA4" s="965"/>
      <c r="GB4" s="965"/>
      <c r="GC4" s="965"/>
      <c r="GD4" s="965"/>
      <c r="GE4" s="965"/>
      <c r="GF4" s="965"/>
      <c r="GG4" s="965"/>
      <c r="GH4" s="965"/>
      <c r="GI4" s="965"/>
      <c r="GJ4" s="965"/>
      <c r="GK4" s="965"/>
      <c r="GL4" s="965"/>
      <c r="GM4" s="965"/>
      <c r="GN4" s="965"/>
      <c r="GO4" s="965"/>
      <c r="GP4" s="965"/>
      <c r="GQ4" s="965"/>
      <c r="GR4" s="965"/>
      <c r="GS4" s="965"/>
      <c r="GT4" s="965"/>
      <c r="GU4" s="965"/>
      <c r="GV4" s="965"/>
      <c r="GW4" s="965"/>
      <c r="GX4" s="965"/>
      <c r="GY4" s="965"/>
      <c r="GZ4" s="965"/>
      <c r="HA4" s="965"/>
      <c r="HB4" s="965"/>
      <c r="HC4" s="965"/>
      <c r="HD4" s="965"/>
      <c r="HE4" s="965"/>
      <c r="HF4" s="965"/>
      <c r="HG4" s="965"/>
      <c r="HH4" s="965"/>
      <c r="HI4" s="965"/>
      <c r="HJ4" s="965"/>
      <c r="HK4" s="965"/>
      <c r="HL4" s="965"/>
      <c r="HM4" s="965"/>
      <c r="HN4" s="965"/>
      <c r="HO4" s="965"/>
      <c r="HP4" s="965"/>
      <c r="HQ4" s="965"/>
      <c r="HR4" s="965"/>
      <c r="HS4" s="965"/>
      <c r="HT4" s="965"/>
      <c r="HU4" s="965"/>
      <c r="HV4" s="965"/>
      <c r="HW4" s="965"/>
      <c r="HX4" s="965"/>
      <c r="HY4" s="965"/>
      <c r="HZ4" s="965"/>
      <c r="IA4" s="965"/>
      <c r="IB4" s="965"/>
      <c r="IC4" s="965"/>
      <c r="ID4" s="965"/>
      <c r="IE4" s="965"/>
      <c r="IF4" s="965"/>
      <c r="IG4" s="965"/>
      <c r="IH4" s="965"/>
      <c r="II4" s="965"/>
    </row>
    <row r="5" ht="25.8" spans="1:243">
      <c r="A5" s="968" t="s">
        <v>2237</v>
      </c>
      <c r="B5" s="970">
        <f>9550*B2/B3*B4</f>
        <v>155.70652173913</v>
      </c>
      <c r="C5" s="965" t="s">
        <v>2238</v>
      </c>
      <c r="D5" s="965"/>
      <c r="E5" s="965"/>
      <c r="F5" s="965"/>
      <c r="G5" s="965"/>
      <c r="H5" s="965"/>
      <c r="I5" s="965"/>
      <c r="J5" s="965"/>
      <c r="K5" s="965"/>
      <c r="L5" s="965"/>
      <c r="M5" s="965"/>
      <c r="N5" s="965"/>
      <c r="O5" s="965"/>
      <c r="P5" s="965"/>
      <c r="Q5" s="965"/>
      <c r="R5" s="965"/>
      <c r="S5" s="965"/>
      <c r="T5" s="965"/>
      <c r="U5" s="965"/>
      <c r="V5" s="965"/>
      <c r="W5" s="965"/>
      <c r="X5" s="965"/>
      <c r="Y5" s="965"/>
      <c r="Z5" s="965"/>
      <c r="AA5" s="965"/>
      <c r="AB5" s="965"/>
      <c r="AC5" s="965"/>
      <c r="AD5" s="965"/>
      <c r="AE5" s="965"/>
      <c r="AF5" s="965"/>
      <c r="AG5" s="965"/>
      <c r="AH5" s="965"/>
      <c r="AI5" s="965"/>
      <c r="AJ5" s="965"/>
      <c r="AK5" s="965"/>
      <c r="AL5" s="965"/>
      <c r="AM5" s="965"/>
      <c r="AN5" s="965"/>
      <c r="AO5" s="965"/>
      <c r="AP5" s="965"/>
      <c r="AQ5" s="965"/>
      <c r="AR5" s="965"/>
      <c r="AS5" s="965"/>
      <c r="AT5" s="965"/>
      <c r="AU5" s="965"/>
      <c r="AV5" s="965"/>
      <c r="AW5" s="965"/>
      <c r="AX5" s="965"/>
      <c r="AY5" s="965"/>
      <c r="AZ5" s="965"/>
      <c r="BA5" s="965"/>
      <c r="BB5" s="965"/>
      <c r="BC5" s="965"/>
      <c r="BD5" s="965"/>
      <c r="BE5" s="965"/>
      <c r="BF5" s="965"/>
      <c r="BG5" s="965"/>
      <c r="BH5" s="965"/>
      <c r="BI5" s="965"/>
      <c r="BJ5" s="965"/>
      <c r="BK5" s="965"/>
      <c r="BL5" s="965"/>
      <c r="BM5" s="965"/>
      <c r="BN5" s="965"/>
      <c r="BO5" s="965"/>
      <c r="BP5" s="965"/>
      <c r="BQ5" s="965"/>
      <c r="BR5" s="965"/>
      <c r="BS5" s="965"/>
      <c r="BT5" s="965"/>
      <c r="BU5" s="965"/>
      <c r="BV5" s="965"/>
      <c r="BW5" s="965"/>
      <c r="BX5" s="965"/>
      <c r="BY5" s="965"/>
      <c r="BZ5" s="965"/>
      <c r="CA5" s="965"/>
      <c r="CB5" s="965"/>
      <c r="CC5" s="965"/>
      <c r="CD5" s="965"/>
      <c r="CE5" s="965"/>
      <c r="CF5" s="965"/>
      <c r="CG5" s="965"/>
      <c r="CH5" s="965"/>
      <c r="CI5" s="965"/>
      <c r="CJ5" s="965"/>
      <c r="CK5" s="965"/>
      <c r="CL5" s="965"/>
      <c r="CM5" s="965"/>
      <c r="CN5" s="965"/>
      <c r="CO5" s="965"/>
      <c r="CP5" s="965"/>
      <c r="CQ5" s="965"/>
      <c r="CR5" s="965"/>
      <c r="CS5" s="965"/>
      <c r="CT5" s="965"/>
      <c r="CU5" s="965"/>
      <c r="CV5" s="965"/>
      <c r="CW5" s="965"/>
      <c r="CX5" s="965"/>
      <c r="CY5" s="965"/>
      <c r="CZ5" s="965"/>
      <c r="DA5" s="965"/>
      <c r="DB5" s="965"/>
      <c r="DC5" s="965"/>
      <c r="DD5" s="965"/>
      <c r="DE5" s="965"/>
      <c r="DF5" s="965"/>
      <c r="DG5" s="965"/>
      <c r="DH5" s="965"/>
      <c r="DI5" s="965"/>
      <c r="DJ5" s="965"/>
      <c r="DK5" s="965"/>
      <c r="DL5" s="965"/>
      <c r="DM5" s="965"/>
      <c r="DN5" s="965"/>
      <c r="DO5" s="965"/>
      <c r="DP5" s="965"/>
      <c r="DQ5" s="965"/>
      <c r="DR5" s="965"/>
      <c r="DS5" s="965"/>
      <c r="DT5" s="965"/>
      <c r="DU5" s="965"/>
      <c r="DV5" s="965"/>
      <c r="DW5" s="965"/>
      <c r="DX5" s="965"/>
      <c r="DY5" s="965"/>
      <c r="DZ5" s="965"/>
      <c r="EA5" s="965"/>
      <c r="EB5" s="965"/>
      <c r="EC5" s="965"/>
      <c r="ED5" s="965"/>
      <c r="EE5" s="965"/>
      <c r="EF5" s="965"/>
      <c r="EG5" s="965"/>
      <c r="EH5" s="965"/>
      <c r="EI5" s="965"/>
      <c r="EJ5" s="965"/>
      <c r="EK5" s="965"/>
      <c r="EL5" s="965"/>
      <c r="EM5" s="965"/>
      <c r="EN5" s="965"/>
      <c r="EO5" s="965"/>
      <c r="EP5" s="965"/>
      <c r="EQ5" s="965"/>
      <c r="ER5" s="965"/>
      <c r="ES5" s="965"/>
      <c r="ET5" s="965"/>
      <c r="EU5" s="965"/>
      <c r="EV5" s="965"/>
      <c r="EW5" s="965"/>
      <c r="EX5" s="965"/>
      <c r="EY5" s="965"/>
      <c r="EZ5" s="965"/>
      <c r="FA5" s="965"/>
      <c r="FB5" s="965"/>
      <c r="FC5" s="965"/>
      <c r="FD5" s="965"/>
      <c r="FE5" s="965"/>
      <c r="FF5" s="965"/>
      <c r="FG5" s="965"/>
      <c r="FH5" s="965"/>
      <c r="FI5" s="965"/>
      <c r="FJ5" s="965"/>
      <c r="FK5" s="965"/>
      <c r="FL5" s="965"/>
      <c r="FM5" s="965"/>
      <c r="FN5" s="965"/>
      <c r="FO5" s="965"/>
      <c r="FP5" s="965"/>
      <c r="FQ5" s="965"/>
      <c r="FR5" s="965"/>
      <c r="FS5" s="965"/>
      <c r="FT5" s="965"/>
      <c r="FU5" s="965"/>
      <c r="FV5" s="965"/>
      <c r="FW5" s="965"/>
      <c r="FX5" s="965"/>
      <c r="FY5" s="965"/>
      <c r="FZ5" s="965"/>
      <c r="GA5" s="965"/>
      <c r="GB5" s="965"/>
      <c r="GC5" s="965"/>
      <c r="GD5" s="965"/>
      <c r="GE5" s="965"/>
      <c r="GF5" s="965"/>
      <c r="GG5" s="965"/>
      <c r="GH5" s="965"/>
      <c r="GI5" s="965"/>
      <c r="GJ5" s="965"/>
      <c r="GK5" s="965"/>
      <c r="GL5" s="965"/>
      <c r="GM5" s="965"/>
      <c r="GN5" s="965"/>
      <c r="GO5" s="965"/>
      <c r="GP5" s="965"/>
      <c r="GQ5" s="965"/>
      <c r="GR5" s="965"/>
      <c r="GS5" s="965"/>
      <c r="GT5" s="965"/>
      <c r="GU5" s="965"/>
      <c r="GV5" s="965"/>
      <c r="GW5" s="965"/>
      <c r="GX5" s="965"/>
      <c r="GY5" s="965"/>
      <c r="GZ5" s="965"/>
      <c r="HA5" s="965"/>
      <c r="HB5" s="965"/>
      <c r="HC5" s="965"/>
      <c r="HD5" s="965"/>
      <c r="HE5" s="965"/>
      <c r="HF5" s="965"/>
      <c r="HG5" s="965"/>
      <c r="HH5" s="965"/>
      <c r="HI5" s="965"/>
      <c r="HJ5" s="965"/>
      <c r="HK5" s="965"/>
      <c r="HL5" s="965"/>
      <c r="HM5" s="965"/>
      <c r="HN5" s="965"/>
      <c r="HO5" s="965"/>
      <c r="HP5" s="965"/>
      <c r="HQ5" s="965"/>
      <c r="HR5" s="965"/>
      <c r="HS5" s="965"/>
      <c r="HT5" s="965"/>
      <c r="HU5" s="965"/>
      <c r="HV5" s="965"/>
      <c r="HW5" s="965"/>
      <c r="HX5" s="965"/>
      <c r="HY5" s="965"/>
      <c r="HZ5" s="965"/>
      <c r="IA5" s="965"/>
      <c r="IB5" s="965"/>
      <c r="IC5" s="965"/>
      <c r="ID5" s="965"/>
      <c r="IE5" s="965"/>
      <c r="IF5" s="965"/>
      <c r="IG5" s="965"/>
      <c r="IH5" s="965"/>
      <c r="II5" s="965"/>
    </row>
    <row r="6" s="964" customFormat="1" ht="19.2" spans="1:2">
      <c r="A6" s="971" t="s">
        <v>2239</v>
      </c>
      <c r="B6" s="972"/>
    </row>
    <row r="7" ht="19.2" spans="1:243">
      <c r="A7" s="973" t="s">
        <v>2240</v>
      </c>
      <c r="B7" s="974"/>
      <c r="C7" s="965"/>
      <c r="D7" s="965"/>
      <c r="E7" s="965"/>
      <c r="F7" s="965"/>
      <c r="G7" s="965"/>
      <c r="H7" s="965"/>
      <c r="I7" s="965"/>
      <c r="J7" s="965"/>
      <c r="K7" s="965"/>
      <c r="L7" s="965"/>
      <c r="M7" s="965"/>
      <c r="N7" s="965"/>
      <c r="O7" s="965"/>
      <c r="P7" s="965"/>
      <c r="Q7" s="965"/>
      <c r="R7" s="965"/>
      <c r="S7" s="965"/>
      <c r="T7" s="965"/>
      <c r="U7" s="965"/>
      <c r="V7" s="965"/>
      <c r="W7" s="965"/>
      <c r="X7" s="965"/>
      <c r="Y7" s="965"/>
      <c r="Z7" s="965"/>
      <c r="AA7" s="965"/>
      <c r="AB7" s="965"/>
      <c r="AC7" s="965"/>
      <c r="AD7" s="965"/>
      <c r="AE7" s="965"/>
      <c r="AF7" s="965"/>
      <c r="AG7" s="965"/>
      <c r="AH7" s="965"/>
      <c r="AI7" s="965"/>
      <c r="AJ7" s="965"/>
      <c r="AK7" s="965"/>
      <c r="AL7" s="965"/>
      <c r="AM7" s="965"/>
      <c r="AN7" s="965"/>
      <c r="AO7" s="965"/>
      <c r="AP7" s="965"/>
      <c r="AQ7" s="965"/>
      <c r="AR7" s="965"/>
      <c r="AS7" s="965"/>
      <c r="AT7" s="965"/>
      <c r="AU7" s="965"/>
      <c r="AV7" s="965"/>
      <c r="AW7" s="965"/>
      <c r="AX7" s="965"/>
      <c r="AY7" s="965"/>
      <c r="AZ7" s="965"/>
      <c r="BA7" s="965"/>
      <c r="BB7" s="965"/>
      <c r="BC7" s="965"/>
      <c r="BD7" s="965"/>
      <c r="BE7" s="965"/>
      <c r="BF7" s="965"/>
      <c r="BG7" s="965"/>
      <c r="BH7" s="965"/>
      <c r="BI7" s="965"/>
      <c r="BJ7" s="965"/>
      <c r="BK7" s="965"/>
      <c r="BL7" s="965"/>
      <c r="BM7" s="965"/>
      <c r="BN7" s="965"/>
      <c r="BO7" s="965"/>
      <c r="BP7" s="965"/>
      <c r="BQ7" s="965"/>
      <c r="BR7" s="965"/>
      <c r="BS7" s="965"/>
      <c r="BT7" s="965"/>
      <c r="BU7" s="965"/>
      <c r="BV7" s="965"/>
      <c r="BW7" s="965"/>
      <c r="BX7" s="965"/>
      <c r="BY7" s="965"/>
      <c r="BZ7" s="965"/>
      <c r="CA7" s="965"/>
      <c r="CB7" s="965"/>
      <c r="CC7" s="965"/>
      <c r="CD7" s="965"/>
      <c r="CE7" s="965"/>
      <c r="CF7" s="965"/>
      <c r="CG7" s="965"/>
      <c r="CH7" s="965"/>
      <c r="CI7" s="965"/>
      <c r="CJ7" s="965"/>
      <c r="CK7" s="965"/>
      <c r="CL7" s="965"/>
      <c r="CM7" s="965"/>
      <c r="CN7" s="965"/>
      <c r="CO7" s="965"/>
      <c r="CP7" s="965"/>
      <c r="CQ7" s="965"/>
      <c r="CR7" s="965"/>
      <c r="CS7" s="965"/>
      <c r="CT7" s="965"/>
      <c r="CU7" s="965"/>
      <c r="CV7" s="965"/>
      <c r="CW7" s="965"/>
      <c r="CX7" s="965"/>
      <c r="CY7" s="965"/>
      <c r="CZ7" s="965"/>
      <c r="DA7" s="965"/>
      <c r="DB7" s="965"/>
      <c r="DC7" s="965"/>
      <c r="DD7" s="965"/>
      <c r="DE7" s="965"/>
      <c r="DF7" s="965"/>
      <c r="DG7" s="965"/>
      <c r="DH7" s="965"/>
      <c r="DI7" s="965"/>
      <c r="DJ7" s="965"/>
      <c r="DK7" s="965"/>
      <c r="DL7" s="965"/>
      <c r="DM7" s="965"/>
      <c r="DN7" s="965"/>
      <c r="DO7" s="965"/>
      <c r="DP7" s="965"/>
      <c r="DQ7" s="965"/>
      <c r="DR7" s="965"/>
      <c r="DS7" s="965"/>
      <c r="DT7" s="965"/>
      <c r="DU7" s="965"/>
      <c r="DV7" s="965"/>
      <c r="DW7" s="965"/>
      <c r="DX7" s="965"/>
      <c r="DY7" s="965"/>
      <c r="DZ7" s="965"/>
      <c r="EA7" s="965"/>
      <c r="EB7" s="965"/>
      <c r="EC7" s="965"/>
      <c r="ED7" s="965"/>
      <c r="EE7" s="965"/>
      <c r="EF7" s="965"/>
      <c r="EG7" s="965"/>
      <c r="EH7" s="965"/>
      <c r="EI7" s="965"/>
      <c r="EJ7" s="965"/>
      <c r="EK7" s="965"/>
      <c r="EL7" s="965"/>
      <c r="EM7" s="965"/>
      <c r="EN7" s="965"/>
      <c r="EO7" s="965"/>
      <c r="EP7" s="965"/>
      <c r="EQ7" s="965"/>
      <c r="ER7" s="965"/>
      <c r="ES7" s="965"/>
      <c r="ET7" s="965"/>
      <c r="EU7" s="965"/>
      <c r="EV7" s="965"/>
      <c r="EW7" s="965"/>
      <c r="EX7" s="965"/>
      <c r="EY7" s="965"/>
      <c r="EZ7" s="965"/>
      <c r="FA7" s="965"/>
      <c r="FB7" s="965"/>
      <c r="FC7" s="965"/>
      <c r="FD7" s="965"/>
      <c r="FE7" s="965"/>
      <c r="FF7" s="965"/>
      <c r="FG7" s="965"/>
      <c r="FH7" s="965"/>
      <c r="FI7" s="965"/>
      <c r="FJ7" s="965"/>
      <c r="FK7" s="965"/>
      <c r="FL7" s="965"/>
      <c r="FM7" s="965"/>
      <c r="FN7" s="965"/>
      <c r="FO7" s="965"/>
      <c r="FP7" s="965"/>
      <c r="FQ7" s="965"/>
      <c r="FR7" s="965"/>
      <c r="FS7" s="965"/>
      <c r="FT7" s="965"/>
      <c r="FU7" s="965"/>
      <c r="FV7" s="965"/>
      <c r="FW7" s="965"/>
      <c r="FX7" s="965"/>
      <c r="FY7" s="965"/>
      <c r="FZ7" s="965"/>
      <c r="GA7" s="965"/>
      <c r="GB7" s="965"/>
      <c r="GC7" s="965"/>
      <c r="GD7" s="965"/>
      <c r="GE7" s="965"/>
      <c r="GF7" s="965"/>
      <c r="GG7" s="965"/>
      <c r="GH7" s="965"/>
      <c r="GI7" s="965"/>
      <c r="GJ7" s="965"/>
      <c r="GK7" s="965"/>
      <c r="GL7" s="965"/>
      <c r="GM7" s="965"/>
      <c r="GN7" s="965"/>
      <c r="GO7" s="965"/>
      <c r="GP7" s="965"/>
      <c r="GQ7" s="965"/>
      <c r="GR7" s="965"/>
      <c r="GS7" s="965"/>
      <c r="GT7" s="965"/>
      <c r="GU7" s="965"/>
      <c r="GV7" s="965"/>
      <c r="GW7" s="965"/>
      <c r="GX7" s="965"/>
      <c r="GY7" s="965"/>
      <c r="GZ7" s="965"/>
      <c r="HA7" s="965"/>
      <c r="HB7" s="965"/>
      <c r="HC7" s="965"/>
      <c r="HD7" s="965"/>
      <c r="HE7" s="965"/>
      <c r="HF7" s="965"/>
      <c r="HG7" s="965"/>
      <c r="HH7" s="965"/>
      <c r="HI7" s="965"/>
      <c r="HJ7" s="965"/>
      <c r="HK7" s="965"/>
      <c r="HL7" s="965"/>
      <c r="HM7" s="965"/>
      <c r="HN7" s="965"/>
      <c r="HO7" s="965"/>
      <c r="HP7" s="965"/>
      <c r="HQ7" s="965"/>
      <c r="HR7" s="965"/>
      <c r="HS7" s="965"/>
      <c r="HT7" s="965"/>
      <c r="HU7" s="965"/>
      <c r="HV7" s="965"/>
      <c r="HW7" s="965"/>
      <c r="HX7" s="965"/>
      <c r="HY7" s="965"/>
      <c r="HZ7" s="965"/>
      <c r="IA7" s="965"/>
      <c r="IB7" s="965"/>
      <c r="IC7" s="965"/>
      <c r="ID7" s="965"/>
      <c r="IE7" s="965"/>
      <c r="IF7" s="965"/>
      <c r="IG7" s="965"/>
      <c r="IH7" s="965"/>
      <c r="II7" s="965"/>
    </row>
    <row r="8" ht="19.2" spans="1:243">
      <c r="A8" s="975" t="s">
        <v>2241</v>
      </c>
      <c r="B8" s="976"/>
      <c r="C8" s="965"/>
      <c r="D8" s="965"/>
      <c r="E8" s="965"/>
      <c r="F8" s="965"/>
      <c r="G8" s="965"/>
      <c r="H8" s="965"/>
      <c r="I8" s="965"/>
      <c r="J8" s="965"/>
      <c r="K8" s="965"/>
      <c r="L8" s="965"/>
      <c r="M8" s="965"/>
      <c r="N8" s="965"/>
      <c r="O8" s="965"/>
      <c r="P8" s="965"/>
      <c r="Q8" s="965"/>
      <c r="R8" s="965"/>
      <c r="S8" s="965"/>
      <c r="T8" s="965"/>
      <c r="U8" s="965"/>
      <c r="V8" s="965"/>
      <c r="W8" s="965"/>
      <c r="X8" s="965"/>
      <c r="Y8" s="965"/>
      <c r="Z8" s="965"/>
      <c r="AA8" s="965"/>
      <c r="AB8" s="965"/>
      <c r="AC8" s="965"/>
      <c r="AD8" s="965"/>
      <c r="AE8" s="965"/>
      <c r="AF8" s="965"/>
      <c r="AG8" s="965"/>
      <c r="AH8" s="965"/>
      <c r="AI8" s="965"/>
      <c r="AJ8" s="965"/>
      <c r="AK8" s="965"/>
      <c r="AL8" s="965"/>
      <c r="AM8" s="965"/>
      <c r="AN8" s="965"/>
      <c r="AO8" s="965"/>
      <c r="AP8" s="965"/>
      <c r="AQ8" s="965"/>
      <c r="AR8" s="965"/>
      <c r="AS8" s="965"/>
      <c r="AT8" s="965"/>
      <c r="AU8" s="965"/>
      <c r="AV8" s="965"/>
      <c r="AW8" s="965"/>
      <c r="AX8" s="965"/>
      <c r="AY8" s="965"/>
      <c r="AZ8" s="965"/>
      <c r="BA8" s="965"/>
      <c r="BB8" s="965"/>
      <c r="BC8" s="965"/>
      <c r="BD8" s="965"/>
      <c r="BE8" s="965"/>
      <c r="BF8" s="965"/>
      <c r="BG8" s="965"/>
      <c r="BH8" s="965"/>
      <c r="BI8" s="965"/>
      <c r="BJ8" s="965"/>
      <c r="BK8" s="965"/>
      <c r="BL8" s="965"/>
      <c r="BM8" s="965"/>
      <c r="BN8" s="965"/>
      <c r="BO8" s="965"/>
      <c r="BP8" s="965"/>
      <c r="BQ8" s="965"/>
      <c r="BR8" s="965"/>
      <c r="BS8" s="965"/>
      <c r="BT8" s="965"/>
      <c r="BU8" s="965"/>
      <c r="BV8" s="965"/>
      <c r="BW8" s="965"/>
      <c r="BX8" s="965"/>
      <c r="BY8" s="965"/>
      <c r="BZ8" s="965"/>
      <c r="CA8" s="965"/>
      <c r="CB8" s="965"/>
      <c r="CC8" s="965"/>
      <c r="CD8" s="965"/>
      <c r="CE8" s="965"/>
      <c r="CF8" s="965"/>
      <c r="CG8" s="965"/>
      <c r="CH8" s="965"/>
      <c r="CI8" s="965"/>
      <c r="CJ8" s="965"/>
      <c r="CK8" s="965"/>
      <c r="CL8" s="965"/>
      <c r="CM8" s="965"/>
      <c r="CN8" s="965"/>
      <c r="CO8" s="965"/>
      <c r="CP8" s="965"/>
      <c r="CQ8" s="965"/>
      <c r="CR8" s="965"/>
      <c r="CS8" s="965"/>
      <c r="CT8" s="965"/>
      <c r="CU8" s="965"/>
      <c r="CV8" s="965"/>
      <c r="CW8" s="965"/>
      <c r="CX8" s="965"/>
      <c r="CY8" s="965"/>
      <c r="CZ8" s="965"/>
      <c r="DA8" s="965"/>
      <c r="DB8" s="965"/>
      <c r="DC8" s="965"/>
      <c r="DD8" s="965"/>
      <c r="DE8" s="965"/>
      <c r="DF8" s="965"/>
      <c r="DG8" s="965"/>
      <c r="DH8" s="965"/>
      <c r="DI8" s="965"/>
      <c r="DJ8" s="965"/>
      <c r="DK8" s="965"/>
      <c r="DL8" s="965"/>
      <c r="DM8" s="965"/>
      <c r="DN8" s="965"/>
      <c r="DO8" s="965"/>
      <c r="DP8" s="965"/>
      <c r="DQ8" s="965"/>
      <c r="DR8" s="965"/>
      <c r="DS8" s="965"/>
      <c r="DT8" s="965"/>
      <c r="DU8" s="965"/>
      <c r="DV8" s="965"/>
      <c r="DW8" s="965"/>
      <c r="DX8" s="965"/>
      <c r="DY8" s="965"/>
      <c r="DZ8" s="965"/>
      <c r="EA8" s="965"/>
      <c r="EB8" s="965"/>
      <c r="EC8" s="965"/>
      <c r="ED8" s="965"/>
      <c r="EE8" s="965"/>
      <c r="EF8" s="965"/>
      <c r="EG8" s="965"/>
      <c r="EH8" s="965"/>
      <c r="EI8" s="965"/>
      <c r="EJ8" s="965"/>
      <c r="EK8" s="965"/>
      <c r="EL8" s="965"/>
      <c r="EM8" s="965"/>
      <c r="EN8" s="965"/>
      <c r="EO8" s="965"/>
      <c r="EP8" s="965"/>
      <c r="EQ8" s="965"/>
      <c r="ER8" s="965"/>
      <c r="ES8" s="965"/>
      <c r="ET8" s="965"/>
      <c r="EU8" s="965"/>
      <c r="EV8" s="965"/>
      <c r="EW8" s="965"/>
      <c r="EX8" s="965"/>
      <c r="EY8" s="965"/>
      <c r="EZ8" s="965"/>
      <c r="FA8" s="965"/>
      <c r="FB8" s="965"/>
      <c r="FC8" s="965"/>
      <c r="FD8" s="965"/>
      <c r="FE8" s="965"/>
      <c r="FF8" s="965"/>
      <c r="FG8" s="965"/>
      <c r="FH8" s="965"/>
      <c r="FI8" s="965"/>
      <c r="FJ8" s="965"/>
      <c r="FK8" s="965"/>
      <c r="FL8" s="965"/>
      <c r="FM8" s="965"/>
      <c r="FN8" s="965"/>
      <c r="FO8" s="965"/>
      <c r="FP8" s="965"/>
      <c r="FQ8" s="965"/>
      <c r="FR8" s="965"/>
      <c r="FS8" s="965"/>
      <c r="FT8" s="965"/>
      <c r="FU8" s="965"/>
      <c r="FV8" s="965"/>
      <c r="FW8" s="965"/>
      <c r="FX8" s="965"/>
      <c r="FY8" s="965"/>
      <c r="FZ8" s="965"/>
      <c r="GA8" s="965"/>
      <c r="GB8" s="965"/>
      <c r="GC8" s="965"/>
      <c r="GD8" s="965"/>
      <c r="GE8" s="965"/>
      <c r="GF8" s="965"/>
      <c r="GG8" s="965"/>
      <c r="GH8" s="965"/>
      <c r="GI8" s="965"/>
      <c r="GJ8" s="965"/>
      <c r="GK8" s="965"/>
      <c r="GL8" s="965"/>
      <c r="GM8" s="965"/>
      <c r="GN8" s="965"/>
      <c r="GO8" s="965"/>
      <c r="GP8" s="965"/>
      <c r="GQ8" s="965"/>
      <c r="GR8" s="965"/>
      <c r="GS8" s="965"/>
      <c r="GT8" s="965"/>
      <c r="GU8" s="965"/>
      <c r="GV8" s="965"/>
      <c r="GW8" s="965"/>
      <c r="GX8" s="965"/>
      <c r="GY8" s="965"/>
      <c r="GZ8" s="965"/>
      <c r="HA8" s="965"/>
      <c r="HB8" s="965"/>
      <c r="HC8" s="965"/>
      <c r="HD8" s="965"/>
      <c r="HE8" s="965"/>
      <c r="HF8" s="965"/>
      <c r="HG8" s="965"/>
      <c r="HH8" s="965"/>
      <c r="HI8" s="965"/>
      <c r="HJ8" s="965"/>
      <c r="HK8" s="965"/>
      <c r="HL8" s="965"/>
      <c r="HM8" s="965"/>
      <c r="HN8" s="965"/>
      <c r="HO8" s="965"/>
      <c r="HP8" s="965"/>
      <c r="HQ8" s="965"/>
      <c r="HR8" s="965"/>
      <c r="HS8" s="965"/>
      <c r="HT8" s="965"/>
      <c r="HU8" s="965"/>
      <c r="HV8" s="965"/>
      <c r="HW8" s="965"/>
      <c r="HX8" s="965"/>
      <c r="HY8" s="965"/>
      <c r="HZ8" s="965"/>
      <c r="IA8" s="965"/>
      <c r="IB8" s="965"/>
      <c r="IC8" s="965"/>
      <c r="ID8" s="965"/>
      <c r="IE8" s="965"/>
      <c r="IF8" s="965"/>
      <c r="IG8" s="965"/>
      <c r="IH8" s="965"/>
      <c r="II8" s="965"/>
    </row>
    <row r="9" ht="19.2" spans="1:243">
      <c r="A9" s="977" t="s">
        <v>2242</v>
      </c>
      <c r="B9" s="978"/>
      <c r="C9" s="965"/>
      <c r="D9" s="965"/>
      <c r="E9" s="965"/>
      <c r="F9" s="965"/>
      <c r="G9" s="965"/>
      <c r="H9" s="965"/>
      <c r="I9" s="965"/>
      <c r="J9" s="965"/>
      <c r="K9" s="965"/>
      <c r="L9" s="965"/>
      <c r="M9" s="965"/>
      <c r="N9" s="965"/>
      <c r="O9" s="965"/>
      <c r="P9" s="965"/>
      <c r="Q9" s="965"/>
      <c r="R9" s="965"/>
      <c r="S9" s="965"/>
      <c r="T9" s="965"/>
      <c r="U9" s="965"/>
      <c r="V9" s="965"/>
      <c r="W9" s="965"/>
      <c r="X9" s="965"/>
      <c r="Y9" s="965"/>
      <c r="Z9" s="965"/>
      <c r="AA9" s="965"/>
      <c r="AB9" s="965"/>
      <c r="AC9" s="965"/>
      <c r="AD9" s="965"/>
      <c r="AE9" s="965"/>
      <c r="AF9" s="965"/>
      <c r="AG9" s="965"/>
      <c r="AH9" s="965"/>
      <c r="AI9" s="965"/>
      <c r="AJ9" s="965"/>
      <c r="AK9" s="965"/>
      <c r="AL9" s="965"/>
      <c r="AM9" s="965"/>
      <c r="AN9" s="965"/>
      <c r="AO9" s="965"/>
      <c r="AP9" s="965"/>
      <c r="AQ9" s="965"/>
      <c r="AR9" s="965"/>
      <c r="AS9" s="965"/>
      <c r="AT9" s="965"/>
      <c r="AU9" s="965"/>
      <c r="AV9" s="965"/>
      <c r="AW9" s="965"/>
      <c r="AX9" s="965"/>
      <c r="AY9" s="965"/>
      <c r="AZ9" s="965"/>
      <c r="BA9" s="965"/>
      <c r="BB9" s="965"/>
      <c r="BC9" s="965"/>
      <c r="BD9" s="965"/>
      <c r="BE9" s="965"/>
      <c r="BF9" s="965"/>
      <c r="BG9" s="965"/>
      <c r="BH9" s="965"/>
      <c r="BI9" s="965"/>
      <c r="BJ9" s="965"/>
      <c r="BK9" s="965"/>
      <c r="BL9" s="965"/>
      <c r="BM9" s="965"/>
      <c r="BN9" s="965"/>
      <c r="BO9" s="965"/>
      <c r="BP9" s="965"/>
      <c r="BQ9" s="965"/>
      <c r="BR9" s="965"/>
      <c r="BS9" s="965"/>
      <c r="BT9" s="965"/>
      <c r="BU9" s="965"/>
      <c r="BV9" s="965"/>
      <c r="BW9" s="965"/>
      <c r="BX9" s="965"/>
      <c r="BY9" s="965"/>
      <c r="BZ9" s="965"/>
      <c r="CA9" s="965"/>
      <c r="CB9" s="965"/>
      <c r="CC9" s="965"/>
      <c r="CD9" s="965"/>
      <c r="CE9" s="965"/>
      <c r="CF9" s="965"/>
      <c r="CG9" s="965"/>
      <c r="CH9" s="965"/>
      <c r="CI9" s="965"/>
      <c r="CJ9" s="965"/>
      <c r="CK9" s="965"/>
      <c r="CL9" s="965"/>
      <c r="CM9" s="965"/>
      <c r="CN9" s="965"/>
      <c r="CO9" s="965"/>
      <c r="CP9" s="965"/>
      <c r="CQ9" s="965"/>
      <c r="CR9" s="965"/>
      <c r="CS9" s="965"/>
      <c r="CT9" s="965"/>
      <c r="CU9" s="965"/>
      <c r="CV9" s="965"/>
      <c r="CW9" s="965"/>
      <c r="CX9" s="965"/>
      <c r="CY9" s="965"/>
      <c r="CZ9" s="965"/>
      <c r="DA9" s="965"/>
      <c r="DB9" s="965"/>
      <c r="DC9" s="965"/>
      <c r="DD9" s="965"/>
      <c r="DE9" s="965"/>
      <c r="DF9" s="965"/>
      <c r="DG9" s="965"/>
      <c r="DH9" s="965"/>
      <c r="DI9" s="965"/>
      <c r="DJ9" s="965"/>
      <c r="DK9" s="965"/>
      <c r="DL9" s="965"/>
      <c r="DM9" s="965"/>
      <c r="DN9" s="965"/>
      <c r="DO9" s="965"/>
      <c r="DP9" s="965"/>
      <c r="DQ9" s="965"/>
      <c r="DR9" s="965"/>
      <c r="DS9" s="965"/>
      <c r="DT9" s="965"/>
      <c r="DU9" s="965"/>
      <c r="DV9" s="965"/>
      <c r="DW9" s="965"/>
      <c r="DX9" s="965"/>
      <c r="DY9" s="965"/>
      <c r="DZ9" s="965"/>
      <c r="EA9" s="965"/>
      <c r="EB9" s="965"/>
      <c r="EC9" s="965"/>
      <c r="ED9" s="965"/>
      <c r="EE9" s="965"/>
      <c r="EF9" s="965"/>
      <c r="EG9" s="965"/>
      <c r="EH9" s="965"/>
      <c r="EI9" s="965"/>
      <c r="EJ9" s="965"/>
      <c r="EK9" s="965"/>
      <c r="EL9" s="965"/>
      <c r="EM9" s="965"/>
      <c r="EN9" s="965"/>
      <c r="EO9" s="965"/>
      <c r="EP9" s="965"/>
      <c r="EQ9" s="965"/>
      <c r="ER9" s="965"/>
      <c r="ES9" s="965"/>
      <c r="ET9" s="965"/>
      <c r="EU9" s="965"/>
      <c r="EV9" s="965"/>
      <c r="EW9" s="965"/>
      <c r="EX9" s="965"/>
      <c r="EY9" s="965"/>
      <c r="EZ9" s="965"/>
      <c r="FA9" s="965"/>
      <c r="FB9" s="965"/>
      <c r="FC9" s="965"/>
      <c r="FD9" s="965"/>
      <c r="FE9" s="965"/>
      <c r="FF9" s="965"/>
      <c r="FG9" s="965"/>
      <c r="FH9" s="965"/>
      <c r="FI9" s="965"/>
      <c r="FJ9" s="965"/>
      <c r="FK9" s="965"/>
      <c r="FL9" s="965"/>
      <c r="FM9" s="965"/>
      <c r="FN9" s="965"/>
      <c r="FO9" s="965"/>
      <c r="FP9" s="965"/>
      <c r="FQ9" s="965"/>
      <c r="FR9" s="965"/>
      <c r="FS9" s="965"/>
      <c r="FT9" s="965"/>
      <c r="FU9" s="965"/>
      <c r="FV9" s="965"/>
      <c r="FW9" s="965"/>
      <c r="FX9" s="965"/>
      <c r="FY9" s="965"/>
      <c r="FZ9" s="965"/>
      <c r="GA9" s="965"/>
      <c r="GB9" s="965"/>
      <c r="GC9" s="965"/>
      <c r="GD9" s="965"/>
      <c r="GE9" s="965"/>
      <c r="GF9" s="965"/>
      <c r="GG9" s="965"/>
      <c r="GH9" s="965"/>
      <c r="GI9" s="965"/>
      <c r="GJ9" s="965"/>
      <c r="GK9" s="965"/>
      <c r="GL9" s="965"/>
      <c r="GM9" s="965"/>
      <c r="GN9" s="965"/>
      <c r="GO9" s="965"/>
      <c r="GP9" s="965"/>
      <c r="GQ9" s="965"/>
      <c r="GR9" s="965"/>
      <c r="GS9" s="965"/>
      <c r="GT9" s="965"/>
      <c r="GU9" s="965"/>
      <c r="GV9" s="965"/>
      <c r="GW9" s="965"/>
      <c r="GX9" s="965"/>
      <c r="GY9" s="965"/>
      <c r="GZ9" s="965"/>
      <c r="HA9" s="965"/>
      <c r="HB9" s="965"/>
      <c r="HC9" s="965"/>
      <c r="HD9" s="965"/>
      <c r="HE9" s="965"/>
      <c r="HF9" s="965"/>
      <c r="HG9" s="965"/>
      <c r="HH9" s="965"/>
      <c r="HI9" s="965"/>
      <c r="HJ9" s="965"/>
      <c r="HK9" s="965"/>
      <c r="HL9" s="965"/>
      <c r="HM9" s="965"/>
      <c r="HN9" s="965"/>
      <c r="HO9" s="965"/>
      <c r="HP9" s="965"/>
      <c r="HQ9" s="965"/>
      <c r="HR9" s="965"/>
      <c r="HS9" s="965"/>
      <c r="HT9" s="965"/>
      <c r="HU9" s="965"/>
      <c r="HV9" s="965"/>
      <c r="HW9" s="965"/>
      <c r="HX9" s="965"/>
      <c r="HY9" s="965"/>
      <c r="HZ9" s="965"/>
      <c r="IA9" s="965"/>
      <c r="IB9" s="965"/>
      <c r="IC9" s="965"/>
      <c r="ID9" s="965"/>
      <c r="IE9" s="965"/>
      <c r="IF9" s="965"/>
      <c r="IG9" s="965"/>
      <c r="IH9" s="965"/>
      <c r="II9" s="965"/>
    </row>
    <row r="10" spans="1:243">
      <c r="A10" s="979" t="s">
        <v>2243</v>
      </c>
      <c r="B10" s="980" t="s">
        <v>106</v>
      </c>
      <c r="C10" s="965"/>
      <c r="D10" s="965"/>
      <c r="E10" s="965"/>
      <c r="F10" s="965"/>
      <c r="G10" s="965"/>
      <c r="H10" s="965"/>
      <c r="I10" s="965"/>
      <c r="J10" s="965"/>
      <c r="K10" s="965"/>
      <c r="L10" s="965"/>
      <c r="M10" s="965"/>
      <c r="N10" s="965"/>
      <c r="O10" s="965"/>
      <c r="P10" s="965"/>
      <c r="Q10" s="965"/>
      <c r="R10" s="965"/>
      <c r="S10" s="965"/>
      <c r="T10" s="965"/>
      <c r="U10" s="965"/>
      <c r="V10" s="965"/>
      <c r="W10" s="965"/>
      <c r="X10" s="965"/>
      <c r="Y10" s="965"/>
      <c r="Z10" s="965"/>
      <c r="AA10" s="965"/>
      <c r="AB10" s="965"/>
      <c r="AC10" s="965"/>
      <c r="AD10" s="965"/>
      <c r="AE10" s="965"/>
      <c r="AF10" s="965"/>
      <c r="AG10" s="965"/>
      <c r="AH10" s="965"/>
      <c r="AI10" s="965"/>
      <c r="AJ10" s="965"/>
      <c r="AK10" s="965"/>
      <c r="AL10" s="965"/>
      <c r="AM10" s="965"/>
      <c r="AN10" s="965"/>
      <c r="AO10" s="965"/>
      <c r="AP10" s="965"/>
      <c r="AQ10" s="965"/>
      <c r="AR10" s="965"/>
      <c r="AS10" s="965"/>
      <c r="AT10" s="965"/>
      <c r="AU10" s="965"/>
      <c r="AV10" s="965"/>
      <c r="AW10" s="965"/>
      <c r="AX10" s="965"/>
      <c r="AY10" s="965"/>
      <c r="AZ10" s="965"/>
      <c r="BA10" s="965"/>
      <c r="BB10" s="965"/>
      <c r="BC10" s="965"/>
      <c r="BD10" s="965"/>
      <c r="BE10" s="965"/>
      <c r="BF10" s="965"/>
      <c r="BG10" s="965"/>
      <c r="BH10" s="965"/>
      <c r="BI10" s="965"/>
      <c r="BJ10" s="965"/>
      <c r="BK10" s="965"/>
      <c r="BL10" s="965"/>
      <c r="BM10" s="965"/>
      <c r="BN10" s="965"/>
      <c r="BO10" s="965"/>
      <c r="BP10" s="965"/>
      <c r="BQ10" s="965"/>
      <c r="BR10" s="965"/>
      <c r="BS10" s="965"/>
      <c r="BT10" s="965"/>
      <c r="BU10" s="965"/>
      <c r="BV10" s="965"/>
      <c r="BW10" s="965"/>
      <c r="BX10" s="965"/>
      <c r="BY10" s="965"/>
      <c r="BZ10" s="965"/>
      <c r="CA10" s="965"/>
      <c r="CB10" s="965"/>
      <c r="CC10" s="965"/>
      <c r="CD10" s="965"/>
      <c r="CE10" s="965"/>
      <c r="CF10" s="965"/>
      <c r="CG10" s="965"/>
      <c r="CH10" s="965"/>
      <c r="CI10" s="965"/>
      <c r="CJ10" s="965"/>
      <c r="CK10" s="965"/>
      <c r="CL10" s="965"/>
      <c r="CM10" s="965"/>
      <c r="CN10" s="965"/>
      <c r="CO10" s="965"/>
      <c r="CP10" s="965"/>
      <c r="CQ10" s="965"/>
      <c r="CR10" s="965"/>
      <c r="CS10" s="965"/>
      <c r="CT10" s="965"/>
      <c r="CU10" s="965"/>
      <c r="CV10" s="965"/>
      <c r="CW10" s="965"/>
      <c r="CX10" s="965"/>
      <c r="CY10" s="965"/>
      <c r="CZ10" s="965"/>
      <c r="DA10" s="965"/>
      <c r="DB10" s="965"/>
      <c r="DC10" s="965"/>
      <c r="DD10" s="965"/>
      <c r="DE10" s="965"/>
      <c r="DF10" s="965"/>
      <c r="DG10" s="965"/>
      <c r="DH10" s="965"/>
      <c r="DI10" s="965"/>
      <c r="DJ10" s="965"/>
      <c r="DK10" s="965"/>
      <c r="DL10" s="965"/>
      <c r="DM10" s="965"/>
      <c r="DN10" s="965"/>
      <c r="DO10" s="965"/>
      <c r="DP10" s="965"/>
      <c r="DQ10" s="965"/>
      <c r="DR10" s="965"/>
      <c r="DS10" s="965"/>
      <c r="DT10" s="965"/>
      <c r="DU10" s="965"/>
      <c r="DV10" s="965"/>
      <c r="DW10" s="965"/>
      <c r="DX10" s="965"/>
      <c r="DY10" s="965"/>
      <c r="DZ10" s="965"/>
      <c r="EA10" s="965"/>
      <c r="EB10" s="965"/>
      <c r="EC10" s="965"/>
      <c r="ED10" s="965"/>
      <c r="EE10" s="965"/>
      <c r="EF10" s="965"/>
      <c r="EG10" s="965"/>
      <c r="EH10" s="965"/>
      <c r="EI10" s="965"/>
      <c r="EJ10" s="965"/>
      <c r="EK10" s="965"/>
      <c r="EL10" s="965"/>
      <c r="EM10" s="965"/>
      <c r="EN10" s="965"/>
      <c r="EO10" s="965"/>
      <c r="EP10" s="965"/>
      <c r="EQ10" s="965"/>
      <c r="ER10" s="965"/>
      <c r="ES10" s="965"/>
      <c r="ET10" s="965"/>
      <c r="EU10" s="965"/>
      <c r="EV10" s="965"/>
      <c r="EW10" s="965"/>
      <c r="EX10" s="965"/>
      <c r="EY10" s="965"/>
      <c r="EZ10" s="965"/>
      <c r="FA10" s="965"/>
      <c r="FB10" s="965"/>
      <c r="FC10" s="965"/>
      <c r="FD10" s="965"/>
      <c r="FE10" s="965"/>
      <c r="FF10" s="965"/>
      <c r="FG10" s="965"/>
      <c r="FH10" s="965"/>
      <c r="FI10" s="965"/>
      <c r="FJ10" s="965"/>
      <c r="FK10" s="965"/>
      <c r="FL10" s="965"/>
      <c r="FM10" s="965"/>
      <c r="FN10" s="965"/>
      <c r="FO10" s="965"/>
      <c r="FP10" s="965"/>
      <c r="FQ10" s="965"/>
      <c r="FR10" s="965"/>
      <c r="FS10" s="965"/>
      <c r="FT10" s="965"/>
      <c r="FU10" s="965"/>
      <c r="FV10" s="965"/>
      <c r="FW10" s="965"/>
      <c r="FX10" s="965"/>
      <c r="FY10" s="965"/>
      <c r="FZ10" s="965"/>
      <c r="GA10" s="965"/>
      <c r="GB10" s="965"/>
      <c r="GC10" s="965"/>
      <c r="GD10" s="965"/>
      <c r="GE10" s="965"/>
      <c r="GF10" s="965"/>
      <c r="GG10" s="965"/>
      <c r="GH10" s="965"/>
      <c r="GI10" s="965"/>
      <c r="GJ10" s="965"/>
      <c r="GK10" s="965"/>
      <c r="GL10" s="965"/>
      <c r="GM10" s="965"/>
      <c r="GN10" s="965"/>
      <c r="GO10" s="965"/>
      <c r="GP10" s="965"/>
      <c r="GQ10" s="965"/>
      <c r="GR10" s="965"/>
      <c r="GS10" s="965"/>
      <c r="GT10" s="965"/>
      <c r="GU10" s="965"/>
      <c r="GV10" s="965"/>
      <c r="GW10" s="965"/>
      <c r="GX10" s="965"/>
      <c r="GY10" s="965"/>
      <c r="GZ10" s="965"/>
      <c r="HA10" s="965"/>
      <c r="HB10" s="965"/>
      <c r="HC10" s="965"/>
      <c r="HD10" s="965"/>
      <c r="HE10" s="965"/>
      <c r="HF10" s="965"/>
      <c r="HG10" s="965"/>
      <c r="HH10" s="965"/>
      <c r="HI10" s="965"/>
      <c r="HJ10" s="965"/>
      <c r="HK10" s="965"/>
      <c r="HL10" s="965"/>
      <c r="HM10" s="965"/>
      <c r="HN10" s="965"/>
      <c r="HO10" s="965"/>
      <c r="HP10" s="965"/>
      <c r="HQ10" s="965"/>
      <c r="HR10" s="965"/>
      <c r="HS10" s="965"/>
      <c r="HT10" s="965"/>
      <c r="HU10" s="965"/>
      <c r="HV10" s="965"/>
      <c r="HW10" s="965"/>
      <c r="HX10" s="965"/>
      <c r="HY10" s="965"/>
      <c r="HZ10" s="965"/>
      <c r="IA10" s="965"/>
      <c r="IB10" s="965"/>
      <c r="IC10" s="965"/>
      <c r="ID10" s="965"/>
      <c r="IE10" s="965"/>
      <c r="IF10" s="965"/>
      <c r="IG10" s="965"/>
      <c r="IH10" s="965"/>
      <c r="II10" s="965"/>
    </row>
    <row r="11" spans="3:243">
      <c r="C11" s="965"/>
      <c r="D11" s="965"/>
      <c r="E11" s="965"/>
      <c r="F11" s="965"/>
      <c r="G11" s="965"/>
      <c r="H11" s="965"/>
      <c r="I11" s="965"/>
      <c r="J11" s="965"/>
      <c r="K11" s="965"/>
      <c r="L11" s="965"/>
      <c r="M11" s="965"/>
      <c r="N11" s="965"/>
      <c r="O11" s="965"/>
      <c r="P11" s="965"/>
      <c r="Q11" s="965"/>
      <c r="R11" s="965"/>
      <c r="S11" s="965"/>
      <c r="T11" s="965"/>
      <c r="U11" s="965"/>
      <c r="V11" s="965"/>
      <c r="W11" s="965"/>
      <c r="X11" s="965"/>
      <c r="Y11" s="965"/>
      <c r="Z11" s="965"/>
      <c r="AA11" s="965"/>
      <c r="AB11" s="965"/>
      <c r="AC11" s="965"/>
      <c r="AD11" s="965"/>
      <c r="AE11" s="965"/>
      <c r="AF11" s="965"/>
      <c r="AG11" s="965"/>
      <c r="AH11" s="965"/>
      <c r="AI11" s="965"/>
      <c r="AJ11" s="965"/>
      <c r="AK11" s="965"/>
      <c r="AL11" s="965"/>
      <c r="AM11" s="965"/>
      <c r="AN11" s="965"/>
      <c r="AO11" s="965"/>
      <c r="AP11" s="965"/>
      <c r="AQ11" s="965"/>
      <c r="AR11" s="965"/>
      <c r="AS11" s="965"/>
      <c r="AT11" s="965"/>
      <c r="AU11" s="965"/>
      <c r="AV11" s="965"/>
      <c r="AW11" s="965"/>
      <c r="AX11" s="965"/>
      <c r="AY11" s="965"/>
      <c r="AZ11" s="965"/>
      <c r="BA11" s="965"/>
      <c r="BB11" s="965"/>
      <c r="BC11" s="965"/>
      <c r="BD11" s="965"/>
      <c r="BE11" s="965"/>
      <c r="BF11" s="965"/>
      <c r="BG11" s="965"/>
      <c r="BH11" s="965"/>
      <c r="BI11" s="965"/>
      <c r="BJ11" s="965"/>
      <c r="BK11" s="965"/>
      <c r="BL11" s="965"/>
      <c r="BM11" s="965"/>
      <c r="BN11" s="965"/>
      <c r="BO11" s="965"/>
      <c r="BP11" s="965"/>
      <c r="BQ11" s="965"/>
      <c r="BR11" s="965"/>
      <c r="BS11" s="965"/>
      <c r="BT11" s="965"/>
      <c r="BU11" s="965"/>
      <c r="BV11" s="965"/>
      <c r="BW11" s="965"/>
      <c r="BX11" s="965"/>
      <c r="BY11" s="965"/>
      <c r="BZ11" s="965"/>
      <c r="CA11" s="965"/>
      <c r="CB11" s="965"/>
      <c r="CC11" s="965"/>
      <c r="CD11" s="965"/>
      <c r="CE11" s="965"/>
      <c r="CF11" s="965"/>
      <c r="CG11" s="965"/>
      <c r="CH11" s="965"/>
      <c r="CI11" s="965"/>
      <c r="CJ11" s="965"/>
      <c r="CK11" s="965"/>
      <c r="CL11" s="965"/>
      <c r="CM11" s="965"/>
      <c r="CN11" s="965"/>
      <c r="CO11" s="965"/>
      <c r="CP11" s="965"/>
      <c r="CQ11" s="965"/>
      <c r="CR11" s="965"/>
      <c r="CS11" s="965"/>
      <c r="CT11" s="965"/>
      <c r="CU11" s="965"/>
      <c r="CV11" s="965"/>
      <c r="CW11" s="965"/>
      <c r="CX11" s="965"/>
      <c r="CY11" s="965"/>
      <c r="CZ11" s="965"/>
      <c r="DA11" s="965"/>
      <c r="DB11" s="965"/>
      <c r="DC11" s="965"/>
      <c r="DD11" s="965"/>
      <c r="DE11" s="965"/>
      <c r="DF11" s="965"/>
      <c r="DG11" s="965"/>
      <c r="DH11" s="965"/>
      <c r="DI11" s="965"/>
      <c r="DJ11" s="965"/>
      <c r="DK11" s="965"/>
      <c r="DL11" s="965"/>
      <c r="DM11" s="965"/>
      <c r="DN11" s="965"/>
      <c r="DO11" s="965"/>
      <c r="DP11" s="965"/>
      <c r="DQ11" s="965"/>
      <c r="DR11" s="965"/>
      <c r="DS11" s="965"/>
      <c r="DT11" s="965"/>
      <c r="DU11" s="965"/>
      <c r="DV11" s="965"/>
      <c r="DW11" s="965"/>
      <c r="DX11" s="965"/>
      <c r="DY11" s="965"/>
      <c r="DZ11" s="965"/>
      <c r="EA11" s="965"/>
      <c r="EB11" s="965"/>
      <c r="EC11" s="965"/>
      <c r="ED11" s="965"/>
      <c r="EE11" s="965"/>
      <c r="EF11" s="965"/>
      <c r="EG11" s="965"/>
      <c r="EH11" s="965"/>
      <c r="EI11" s="965"/>
      <c r="EJ11" s="965"/>
      <c r="EK11" s="965"/>
      <c r="EL11" s="965"/>
      <c r="EM11" s="965"/>
      <c r="EN11" s="965"/>
      <c r="EO11" s="965"/>
      <c r="EP11" s="965"/>
      <c r="EQ11" s="965"/>
      <c r="ER11" s="965"/>
      <c r="ES11" s="965"/>
      <c r="ET11" s="965"/>
      <c r="EU11" s="965"/>
      <c r="EV11" s="965"/>
      <c r="EW11" s="965"/>
      <c r="EX11" s="965"/>
      <c r="EY11" s="965"/>
      <c r="EZ11" s="965"/>
      <c r="FA11" s="965"/>
      <c r="FB11" s="965"/>
      <c r="FC11" s="965"/>
      <c r="FD11" s="965"/>
      <c r="FE11" s="965"/>
      <c r="FF11" s="965"/>
      <c r="FG11" s="965"/>
      <c r="FH11" s="965"/>
      <c r="FI11" s="965"/>
      <c r="FJ11" s="965"/>
      <c r="FK11" s="965"/>
      <c r="FL11" s="965"/>
      <c r="FM11" s="965"/>
      <c r="FN11" s="965"/>
      <c r="FO11" s="965"/>
      <c r="FP11" s="965"/>
      <c r="FQ11" s="965"/>
      <c r="FR11" s="965"/>
      <c r="FS11" s="965"/>
      <c r="FT11" s="965"/>
      <c r="FU11" s="965"/>
      <c r="FV11" s="965"/>
      <c r="FW11" s="965"/>
      <c r="FX11" s="965"/>
      <c r="FY11" s="965"/>
      <c r="FZ11" s="965"/>
      <c r="GA11" s="965"/>
      <c r="GB11" s="965"/>
      <c r="GC11" s="965"/>
      <c r="GD11" s="965"/>
      <c r="GE11" s="965"/>
      <c r="GF11" s="965"/>
      <c r="GG11" s="965"/>
      <c r="GH11" s="965"/>
      <c r="GI11" s="965"/>
      <c r="GJ11" s="965"/>
      <c r="GK11" s="965"/>
      <c r="GL11" s="965"/>
      <c r="GM11" s="965"/>
      <c r="GN11" s="965"/>
      <c r="GO11" s="965"/>
      <c r="GP11" s="965"/>
      <c r="GQ11" s="965"/>
      <c r="GR11" s="965"/>
      <c r="GS11" s="965"/>
      <c r="GT11" s="965"/>
      <c r="GU11" s="965"/>
      <c r="GV11" s="965"/>
      <c r="GW11" s="965"/>
      <c r="GX11" s="965"/>
      <c r="GY11" s="965"/>
      <c r="GZ11" s="965"/>
      <c r="HA11" s="965"/>
      <c r="HB11" s="965"/>
      <c r="HC11" s="965"/>
      <c r="HD11" s="965"/>
      <c r="HE11" s="965"/>
      <c r="HF11" s="965"/>
      <c r="HG11" s="965"/>
      <c r="HH11" s="965"/>
      <c r="HI11" s="965"/>
      <c r="HJ11" s="965"/>
      <c r="HK11" s="965"/>
      <c r="HL11" s="965"/>
      <c r="HM11" s="965"/>
      <c r="HN11" s="965"/>
      <c r="HO11" s="965"/>
      <c r="HP11" s="965"/>
      <c r="HQ11" s="965"/>
      <c r="HR11" s="965"/>
      <c r="HS11" s="965"/>
      <c r="HT11" s="965"/>
      <c r="HU11" s="965"/>
      <c r="HV11" s="965"/>
      <c r="HW11" s="965"/>
      <c r="HX11" s="965"/>
      <c r="HY11" s="965"/>
      <c r="HZ11" s="965"/>
      <c r="IA11" s="965"/>
      <c r="IB11" s="965"/>
      <c r="IC11" s="965"/>
      <c r="ID11" s="965"/>
      <c r="IE11" s="965"/>
      <c r="IF11" s="965"/>
      <c r="IG11" s="965"/>
      <c r="IH11" s="965"/>
      <c r="II11" s="965"/>
    </row>
    <row r="12" spans="3:243">
      <c r="C12" s="965"/>
      <c r="D12" s="965"/>
      <c r="E12" s="965"/>
      <c r="F12" s="965"/>
      <c r="G12" s="965"/>
      <c r="H12" s="965"/>
      <c r="I12" s="965"/>
      <c r="J12" s="965"/>
      <c r="K12" s="965"/>
      <c r="L12" s="965"/>
      <c r="M12" s="965"/>
      <c r="N12" s="965"/>
      <c r="O12" s="965"/>
      <c r="P12" s="965"/>
      <c r="Q12" s="965"/>
      <c r="R12" s="965"/>
      <c r="S12" s="965"/>
      <c r="T12" s="965"/>
      <c r="U12" s="965"/>
      <c r="V12" s="965"/>
      <c r="W12" s="965"/>
      <c r="X12" s="965"/>
      <c r="Y12" s="965"/>
      <c r="Z12" s="965"/>
      <c r="AA12" s="965"/>
      <c r="AB12" s="965"/>
      <c r="AC12" s="965"/>
      <c r="AD12" s="965"/>
      <c r="AE12" s="965"/>
      <c r="AF12" s="965"/>
      <c r="AG12" s="965"/>
      <c r="AH12" s="965"/>
      <c r="AI12" s="965"/>
      <c r="AJ12" s="965"/>
      <c r="AK12" s="965"/>
      <c r="AL12" s="965"/>
      <c r="AM12" s="965"/>
      <c r="AN12" s="965"/>
      <c r="AO12" s="965"/>
      <c r="AP12" s="965"/>
      <c r="AQ12" s="965"/>
      <c r="AR12" s="965"/>
      <c r="AS12" s="965"/>
      <c r="AT12" s="965"/>
      <c r="AU12" s="965"/>
      <c r="AV12" s="965"/>
      <c r="AW12" s="965"/>
      <c r="AX12" s="965"/>
      <c r="AY12" s="965"/>
      <c r="AZ12" s="965"/>
      <c r="BA12" s="965"/>
      <c r="BB12" s="965"/>
      <c r="BC12" s="965"/>
      <c r="BD12" s="965"/>
      <c r="BE12" s="965"/>
      <c r="BF12" s="965"/>
      <c r="BG12" s="965"/>
      <c r="BH12" s="965"/>
      <c r="BI12" s="965"/>
      <c r="BJ12" s="965"/>
      <c r="BK12" s="965"/>
      <c r="BL12" s="965"/>
      <c r="BM12" s="965"/>
      <c r="BN12" s="965"/>
      <c r="BO12" s="965"/>
      <c r="BP12" s="965"/>
      <c r="BQ12" s="965"/>
      <c r="BR12" s="965"/>
      <c r="BS12" s="965"/>
      <c r="BT12" s="965"/>
      <c r="BU12" s="965"/>
      <c r="BV12" s="965"/>
      <c r="BW12" s="965"/>
      <c r="BX12" s="965"/>
      <c r="BY12" s="965"/>
      <c r="BZ12" s="965"/>
      <c r="CA12" s="965"/>
      <c r="CB12" s="965"/>
      <c r="CC12" s="965"/>
      <c r="CD12" s="965"/>
      <c r="CE12" s="965"/>
      <c r="CF12" s="965"/>
      <c r="CG12" s="965"/>
      <c r="CH12" s="965"/>
      <c r="CI12" s="965"/>
      <c r="CJ12" s="965"/>
      <c r="CK12" s="965"/>
      <c r="CL12" s="965"/>
      <c r="CM12" s="965"/>
      <c r="CN12" s="965"/>
      <c r="CO12" s="965"/>
      <c r="CP12" s="965"/>
      <c r="CQ12" s="965"/>
      <c r="CR12" s="965"/>
      <c r="CS12" s="965"/>
      <c r="CT12" s="965"/>
      <c r="CU12" s="965"/>
      <c r="CV12" s="965"/>
      <c r="CW12" s="965"/>
      <c r="CX12" s="965"/>
      <c r="CY12" s="965"/>
      <c r="CZ12" s="965"/>
      <c r="DA12" s="965"/>
      <c r="DB12" s="965"/>
      <c r="DC12" s="965"/>
      <c r="DD12" s="965"/>
      <c r="DE12" s="965"/>
      <c r="DF12" s="965"/>
      <c r="DG12" s="965"/>
      <c r="DH12" s="965"/>
      <c r="DI12" s="965"/>
      <c r="DJ12" s="965"/>
      <c r="DK12" s="965"/>
      <c r="DL12" s="965"/>
      <c r="DM12" s="965"/>
      <c r="DN12" s="965"/>
      <c r="DO12" s="965"/>
      <c r="DP12" s="965"/>
      <c r="DQ12" s="965"/>
      <c r="DR12" s="965"/>
      <c r="DS12" s="965"/>
      <c r="DT12" s="965"/>
      <c r="DU12" s="965"/>
      <c r="DV12" s="965"/>
      <c r="DW12" s="965"/>
      <c r="DX12" s="965"/>
      <c r="DY12" s="965"/>
      <c r="DZ12" s="965"/>
      <c r="EA12" s="965"/>
      <c r="EB12" s="965"/>
      <c r="EC12" s="965"/>
      <c r="ED12" s="965"/>
      <c r="EE12" s="965"/>
      <c r="EF12" s="965"/>
      <c r="EG12" s="965"/>
      <c r="EH12" s="965"/>
      <c r="EI12" s="965"/>
      <c r="EJ12" s="965"/>
      <c r="EK12" s="965"/>
      <c r="EL12" s="965"/>
      <c r="EM12" s="965"/>
      <c r="EN12" s="965"/>
      <c r="EO12" s="965"/>
      <c r="EP12" s="965"/>
      <c r="EQ12" s="965"/>
      <c r="ER12" s="965"/>
      <c r="ES12" s="965"/>
      <c r="ET12" s="965"/>
      <c r="EU12" s="965"/>
      <c r="EV12" s="965"/>
      <c r="EW12" s="965"/>
      <c r="EX12" s="965"/>
      <c r="EY12" s="965"/>
      <c r="EZ12" s="965"/>
      <c r="FA12" s="965"/>
      <c r="FB12" s="965"/>
      <c r="FC12" s="965"/>
      <c r="FD12" s="965"/>
      <c r="FE12" s="965"/>
      <c r="FF12" s="965"/>
      <c r="FG12" s="965"/>
      <c r="FH12" s="965"/>
      <c r="FI12" s="965"/>
      <c r="FJ12" s="965"/>
      <c r="FK12" s="965"/>
      <c r="FL12" s="965"/>
      <c r="FM12" s="965"/>
      <c r="FN12" s="965"/>
      <c r="FO12" s="965"/>
      <c r="FP12" s="965"/>
      <c r="FQ12" s="965"/>
      <c r="FR12" s="965"/>
      <c r="FS12" s="965"/>
      <c r="FT12" s="965"/>
      <c r="FU12" s="965"/>
      <c r="FV12" s="965"/>
      <c r="FW12" s="965"/>
      <c r="FX12" s="965"/>
      <c r="FY12" s="965"/>
      <c r="FZ12" s="965"/>
      <c r="GA12" s="965"/>
      <c r="GB12" s="965"/>
      <c r="GC12" s="965"/>
      <c r="GD12" s="965"/>
      <c r="GE12" s="965"/>
      <c r="GF12" s="965"/>
      <c r="GG12" s="965"/>
      <c r="GH12" s="965"/>
      <c r="GI12" s="965"/>
      <c r="GJ12" s="965"/>
      <c r="GK12" s="965"/>
      <c r="GL12" s="965"/>
      <c r="GM12" s="965"/>
      <c r="GN12" s="965"/>
      <c r="GO12" s="965"/>
      <c r="GP12" s="965"/>
      <c r="GQ12" s="965"/>
      <c r="GR12" s="965"/>
      <c r="GS12" s="965"/>
      <c r="GT12" s="965"/>
      <c r="GU12" s="965"/>
      <c r="GV12" s="965"/>
      <c r="GW12" s="965"/>
      <c r="GX12" s="965"/>
      <c r="GY12" s="965"/>
      <c r="GZ12" s="965"/>
      <c r="HA12" s="965"/>
      <c r="HB12" s="965"/>
      <c r="HC12" s="965"/>
      <c r="HD12" s="965"/>
      <c r="HE12" s="965"/>
      <c r="HF12" s="965"/>
      <c r="HG12" s="965"/>
      <c r="HH12" s="965"/>
      <c r="HI12" s="965"/>
      <c r="HJ12" s="965"/>
      <c r="HK12" s="965"/>
      <c r="HL12" s="965"/>
      <c r="HM12" s="965"/>
      <c r="HN12" s="965"/>
      <c r="HO12" s="965"/>
      <c r="HP12" s="965"/>
      <c r="HQ12" s="965"/>
      <c r="HR12" s="965"/>
      <c r="HS12" s="965"/>
      <c r="HT12" s="965"/>
      <c r="HU12" s="965"/>
      <c r="HV12" s="965"/>
      <c r="HW12" s="965"/>
      <c r="HX12" s="965"/>
      <c r="HY12" s="965"/>
      <c r="HZ12" s="965"/>
      <c r="IA12" s="965"/>
      <c r="IB12" s="965"/>
      <c r="IC12" s="965"/>
      <c r="ID12" s="965"/>
      <c r="IE12" s="965"/>
      <c r="IF12" s="965"/>
      <c r="IG12" s="965"/>
      <c r="IH12" s="965"/>
      <c r="II12" s="965"/>
    </row>
    <row r="13" spans="3:243">
      <c r="C13" s="965"/>
      <c r="D13" s="965"/>
      <c r="E13" s="965"/>
      <c r="F13" s="965"/>
      <c r="G13" s="965"/>
      <c r="H13" s="965"/>
      <c r="I13" s="965"/>
      <c r="J13" s="965"/>
      <c r="K13" s="965"/>
      <c r="L13" s="965"/>
      <c r="M13" s="965"/>
      <c r="N13" s="965"/>
      <c r="O13" s="965"/>
      <c r="P13" s="965"/>
      <c r="Q13" s="965"/>
      <c r="R13" s="965"/>
      <c r="S13" s="965"/>
      <c r="T13" s="965"/>
      <c r="U13" s="965"/>
      <c r="V13" s="965"/>
      <c r="W13" s="965"/>
      <c r="X13" s="965"/>
      <c r="Y13" s="965"/>
      <c r="Z13" s="965"/>
      <c r="AA13" s="965"/>
      <c r="AB13" s="965"/>
      <c r="AC13" s="965"/>
      <c r="AD13" s="965"/>
      <c r="AE13" s="965"/>
      <c r="AF13" s="965"/>
      <c r="AG13" s="965"/>
      <c r="AH13" s="965"/>
      <c r="AI13" s="965"/>
      <c r="AJ13" s="965"/>
      <c r="AK13" s="965"/>
      <c r="AL13" s="965"/>
      <c r="AM13" s="965"/>
      <c r="AN13" s="965"/>
      <c r="AO13" s="965"/>
      <c r="AP13" s="965"/>
      <c r="AQ13" s="965"/>
      <c r="AR13" s="965"/>
      <c r="AS13" s="965"/>
      <c r="AT13" s="965"/>
      <c r="AU13" s="965"/>
      <c r="AV13" s="965"/>
      <c r="AW13" s="965"/>
      <c r="AX13" s="965"/>
      <c r="AY13" s="965"/>
      <c r="AZ13" s="965"/>
      <c r="BA13" s="965"/>
      <c r="BB13" s="965"/>
      <c r="BC13" s="965"/>
      <c r="BD13" s="965"/>
      <c r="BE13" s="965"/>
      <c r="BF13" s="965"/>
      <c r="BG13" s="965"/>
      <c r="BH13" s="965"/>
      <c r="BI13" s="965"/>
      <c r="BJ13" s="965"/>
      <c r="BK13" s="965"/>
      <c r="BL13" s="965"/>
      <c r="BM13" s="965"/>
      <c r="BN13" s="965"/>
      <c r="BO13" s="965"/>
      <c r="BP13" s="965"/>
      <c r="BQ13" s="965"/>
      <c r="BR13" s="965"/>
      <c r="BS13" s="965"/>
      <c r="BT13" s="965"/>
      <c r="BU13" s="965"/>
      <c r="BV13" s="965"/>
      <c r="BW13" s="965"/>
      <c r="BX13" s="965"/>
      <c r="BY13" s="965"/>
      <c r="BZ13" s="965"/>
      <c r="CA13" s="965"/>
      <c r="CB13" s="965"/>
      <c r="CC13" s="965"/>
      <c r="CD13" s="965"/>
      <c r="CE13" s="965"/>
      <c r="CF13" s="965"/>
      <c r="CG13" s="965"/>
      <c r="CH13" s="965"/>
      <c r="CI13" s="965"/>
      <c r="CJ13" s="965"/>
      <c r="CK13" s="965"/>
      <c r="CL13" s="965"/>
      <c r="CM13" s="965"/>
      <c r="CN13" s="965"/>
      <c r="CO13" s="965"/>
      <c r="CP13" s="965"/>
      <c r="CQ13" s="965"/>
      <c r="CR13" s="965"/>
      <c r="CS13" s="965"/>
      <c r="CT13" s="965"/>
      <c r="CU13" s="965"/>
      <c r="CV13" s="965"/>
      <c r="CW13" s="965"/>
      <c r="CX13" s="965"/>
      <c r="CY13" s="965"/>
      <c r="CZ13" s="965"/>
      <c r="DA13" s="965"/>
      <c r="DB13" s="965"/>
      <c r="DC13" s="965"/>
      <c r="DD13" s="965"/>
      <c r="DE13" s="965"/>
      <c r="DF13" s="965"/>
      <c r="DG13" s="965"/>
      <c r="DH13" s="965"/>
      <c r="DI13" s="965"/>
      <c r="DJ13" s="965"/>
      <c r="DK13" s="965"/>
      <c r="DL13" s="965"/>
      <c r="DM13" s="965"/>
      <c r="DN13" s="965"/>
      <c r="DO13" s="965"/>
      <c r="DP13" s="965"/>
      <c r="DQ13" s="965"/>
      <c r="DR13" s="965"/>
      <c r="DS13" s="965"/>
      <c r="DT13" s="965"/>
      <c r="DU13" s="965"/>
      <c r="DV13" s="965"/>
      <c r="DW13" s="965"/>
      <c r="DX13" s="965"/>
      <c r="DY13" s="965"/>
      <c r="DZ13" s="965"/>
      <c r="EA13" s="965"/>
      <c r="EB13" s="965"/>
      <c r="EC13" s="965"/>
      <c r="ED13" s="965"/>
      <c r="EE13" s="965"/>
      <c r="EF13" s="965"/>
      <c r="EG13" s="965"/>
      <c r="EH13" s="965"/>
      <c r="EI13" s="965"/>
      <c r="EJ13" s="965"/>
      <c r="EK13" s="965"/>
      <c r="EL13" s="965"/>
      <c r="EM13" s="965"/>
      <c r="EN13" s="965"/>
      <c r="EO13" s="965"/>
      <c r="EP13" s="965"/>
      <c r="EQ13" s="965"/>
      <c r="ER13" s="965"/>
      <c r="ES13" s="965"/>
      <c r="ET13" s="965"/>
      <c r="EU13" s="965"/>
      <c r="EV13" s="965"/>
      <c r="EW13" s="965"/>
      <c r="EX13" s="965"/>
      <c r="EY13" s="965"/>
      <c r="EZ13" s="965"/>
      <c r="FA13" s="965"/>
      <c r="FB13" s="965"/>
      <c r="FC13" s="965"/>
      <c r="FD13" s="965"/>
      <c r="FE13" s="965"/>
      <c r="FF13" s="965"/>
      <c r="FG13" s="965"/>
      <c r="FH13" s="965"/>
      <c r="FI13" s="965"/>
      <c r="FJ13" s="965"/>
      <c r="FK13" s="965"/>
      <c r="FL13" s="965"/>
      <c r="FM13" s="965"/>
      <c r="FN13" s="965"/>
      <c r="FO13" s="965"/>
      <c r="FP13" s="965"/>
      <c r="FQ13" s="965"/>
      <c r="FR13" s="965"/>
      <c r="FS13" s="965"/>
      <c r="FT13" s="965"/>
      <c r="FU13" s="965"/>
      <c r="FV13" s="965"/>
      <c r="FW13" s="965"/>
      <c r="FX13" s="965"/>
      <c r="FY13" s="965"/>
      <c r="FZ13" s="965"/>
      <c r="GA13" s="965"/>
      <c r="GB13" s="965"/>
      <c r="GC13" s="965"/>
      <c r="GD13" s="965"/>
      <c r="GE13" s="965"/>
      <c r="GF13" s="965"/>
      <c r="GG13" s="965"/>
      <c r="GH13" s="965"/>
      <c r="GI13" s="965"/>
      <c r="GJ13" s="965"/>
      <c r="GK13" s="965"/>
      <c r="GL13" s="965"/>
      <c r="GM13" s="965"/>
      <c r="GN13" s="965"/>
      <c r="GO13" s="965"/>
      <c r="GP13" s="965"/>
      <c r="GQ13" s="965"/>
      <c r="GR13" s="965"/>
      <c r="GS13" s="965"/>
      <c r="GT13" s="965"/>
      <c r="GU13" s="965"/>
      <c r="GV13" s="965"/>
      <c r="GW13" s="965"/>
      <c r="GX13" s="965"/>
      <c r="GY13" s="965"/>
      <c r="GZ13" s="965"/>
      <c r="HA13" s="965"/>
      <c r="HB13" s="965"/>
      <c r="HC13" s="965"/>
      <c r="HD13" s="965"/>
      <c r="HE13" s="965"/>
      <c r="HF13" s="965"/>
      <c r="HG13" s="965"/>
      <c r="HH13" s="965"/>
      <c r="HI13" s="965"/>
      <c r="HJ13" s="965"/>
      <c r="HK13" s="965"/>
      <c r="HL13" s="965"/>
      <c r="HM13" s="965"/>
      <c r="HN13" s="965"/>
      <c r="HO13" s="965"/>
      <c r="HP13" s="965"/>
      <c r="HQ13" s="965"/>
      <c r="HR13" s="965"/>
      <c r="HS13" s="965"/>
      <c r="HT13" s="965"/>
      <c r="HU13" s="965"/>
      <c r="HV13" s="965"/>
      <c r="HW13" s="965"/>
      <c r="HX13" s="965"/>
      <c r="HY13" s="965"/>
      <c r="HZ13" s="965"/>
      <c r="IA13" s="965"/>
      <c r="IB13" s="965"/>
      <c r="IC13" s="965"/>
      <c r="ID13" s="965"/>
      <c r="IE13" s="965"/>
      <c r="IF13" s="965"/>
      <c r="IG13" s="965"/>
      <c r="IH13" s="965"/>
      <c r="II13" s="965"/>
    </row>
    <row r="14" spans="3:243">
      <c r="C14" s="965"/>
      <c r="D14" s="965"/>
      <c r="E14" s="965"/>
      <c r="F14" s="965"/>
      <c r="G14" s="965"/>
      <c r="H14" s="965"/>
      <c r="I14" s="965"/>
      <c r="J14" s="965"/>
      <c r="K14" s="965"/>
      <c r="L14" s="965"/>
      <c r="M14" s="965"/>
      <c r="N14" s="965"/>
      <c r="O14" s="965"/>
      <c r="P14" s="965"/>
      <c r="Q14" s="965"/>
      <c r="R14" s="965"/>
      <c r="S14" s="965"/>
      <c r="T14" s="965"/>
      <c r="U14" s="965"/>
      <c r="V14" s="965"/>
      <c r="W14" s="965"/>
      <c r="X14" s="965"/>
      <c r="Y14" s="965"/>
      <c r="Z14" s="965"/>
      <c r="AA14" s="965"/>
      <c r="AB14" s="965"/>
      <c r="AC14" s="965"/>
      <c r="AD14" s="965"/>
      <c r="AE14" s="965"/>
      <c r="AF14" s="965"/>
      <c r="AG14" s="965"/>
      <c r="AH14" s="965"/>
      <c r="AI14" s="965"/>
      <c r="AJ14" s="965"/>
      <c r="AK14" s="965"/>
      <c r="AL14" s="965"/>
      <c r="AM14" s="965"/>
      <c r="AN14" s="965"/>
      <c r="AO14" s="965"/>
      <c r="AP14" s="965"/>
      <c r="AQ14" s="965"/>
      <c r="AR14" s="965"/>
      <c r="AS14" s="965"/>
      <c r="AT14" s="965"/>
      <c r="AU14" s="965"/>
      <c r="AV14" s="965"/>
      <c r="AW14" s="965"/>
      <c r="AX14" s="965"/>
      <c r="AY14" s="965"/>
      <c r="AZ14" s="965"/>
      <c r="BA14" s="965"/>
      <c r="BB14" s="965"/>
      <c r="BC14" s="965"/>
      <c r="BD14" s="965"/>
      <c r="BE14" s="965"/>
      <c r="BF14" s="965"/>
      <c r="BG14" s="965"/>
      <c r="BH14" s="965"/>
      <c r="BI14" s="965"/>
      <c r="BJ14" s="965"/>
      <c r="BK14" s="965"/>
      <c r="BL14" s="965"/>
      <c r="BM14" s="965"/>
      <c r="BN14" s="965"/>
      <c r="BO14" s="965"/>
      <c r="BP14" s="965"/>
      <c r="BQ14" s="965"/>
      <c r="BR14" s="965"/>
      <c r="BS14" s="965"/>
      <c r="BT14" s="965"/>
      <c r="BU14" s="965"/>
      <c r="BV14" s="965"/>
      <c r="BW14" s="965"/>
      <c r="BX14" s="965"/>
      <c r="BY14" s="965"/>
      <c r="BZ14" s="965"/>
      <c r="CA14" s="965"/>
      <c r="CB14" s="965"/>
      <c r="CC14" s="965"/>
      <c r="CD14" s="965"/>
      <c r="CE14" s="965"/>
      <c r="CF14" s="965"/>
      <c r="CG14" s="965"/>
      <c r="CH14" s="965"/>
      <c r="CI14" s="965"/>
      <c r="CJ14" s="965"/>
      <c r="CK14" s="965"/>
      <c r="CL14" s="965"/>
      <c r="CM14" s="965"/>
      <c r="CN14" s="965"/>
      <c r="CO14" s="965"/>
      <c r="CP14" s="965"/>
      <c r="CQ14" s="965"/>
      <c r="CR14" s="965"/>
      <c r="CS14" s="965"/>
      <c r="CT14" s="965"/>
      <c r="CU14" s="965"/>
      <c r="CV14" s="965"/>
      <c r="CW14" s="965"/>
      <c r="CX14" s="965"/>
      <c r="CY14" s="965"/>
      <c r="CZ14" s="965"/>
      <c r="DA14" s="965"/>
      <c r="DB14" s="965"/>
      <c r="DC14" s="965"/>
      <c r="DD14" s="965"/>
      <c r="DE14" s="965"/>
      <c r="DF14" s="965"/>
      <c r="DG14" s="965"/>
      <c r="DH14" s="965"/>
      <c r="DI14" s="965"/>
      <c r="DJ14" s="965"/>
      <c r="DK14" s="965"/>
      <c r="DL14" s="965"/>
      <c r="DM14" s="965"/>
      <c r="DN14" s="965"/>
      <c r="DO14" s="965"/>
      <c r="DP14" s="965"/>
      <c r="DQ14" s="965"/>
      <c r="DR14" s="965"/>
      <c r="DS14" s="965"/>
      <c r="DT14" s="965"/>
      <c r="DU14" s="965"/>
      <c r="DV14" s="965"/>
      <c r="DW14" s="965"/>
      <c r="DX14" s="965"/>
      <c r="DY14" s="965"/>
      <c r="DZ14" s="965"/>
      <c r="EA14" s="965"/>
      <c r="EB14" s="965"/>
      <c r="EC14" s="965"/>
      <c r="ED14" s="965"/>
      <c r="EE14" s="965"/>
      <c r="EF14" s="965"/>
      <c r="EG14" s="965"/>
      <c r="EH14" s="965"/>
      <c r="EI14" s="965"/>
      <c r="EJ14" s="965"/>
      <c r="EK14" s="965"/>
      <c r="EL14" s="965"/>
      <c r="EM14" s="965"/>
      <c r="EN14" s="965"/>
      <c r="EO14" s="965"/>
      <c r="EP14" s="965"/>
      <c r="EQ14" s="965"/>
      <c r="ER14" s="965"/>
      <c r="ES14" s="965"/>
      <c r="ET14" s="965"/>
      <c r="EU14" s="965"/>
      <c r="EV14" s="965"/>
      <c r="EW14" s="965"/>
      <c r="EX14" s="965"/>
      <c r="EY14" s="965"/>
      <c r="EZ14" s="965"/>
      <c r="FA14" s="965"/>
      <c r="FB14" s="965"/>
      <c r="FC14" s="965"/>
      <c r="FD14" s="965"/>
      <c r="FE14" s="965"/>
      <c r="FF14" s="965"/>
      <c r="FG14" s="965"/>
      <c r="FH14" s="965"/>
      <c r="FI14" s="965"/>
      <c r="FJ14" s="965"/>
      <c r="FK14" s="965"/>
      <c r="FL14" s="965"/>
      <c r="FM14" s="965"/>
      <c r="FN14" s="965"/>
      <c r="FO14" s="965"/>
      <c r="FP14" s="965"/>
      <c r="FQ14" s="965"/>
      <c r="FR14" s="965"/>
      <c r="FS14" s="965"/>
      <c r="FT14" s="965"/>
      <c r="FU14" s="965"/>
      <c r="FV14" s="965"/>
      <c r="FW14" s="965"/>
      <c r="FX14" s="965"/>
      <c r="FY14" s="965"/>
      <c r="FZ14" s="965"/>
      <c r="GA14" s="965"/>
      <c r="GB14" s="965"/>
      <c r="GC14" s="965"/>
      <c r="GD14" s="965"/>
      <c r="GE14" s="965"/>
      <c r="GF14" s="965"/>
      <c r="GG14" s="965"/>
      <c r="GH14" s="965"/>
      <c r="GI14" s="965"/>
      <c r="GJ14" s="965"/>
      <c r="GK14" s="965"/>
      <c r="GL14" s="965"/>
      <c r="GM14" s="965"/>
      <c r="GN14" s="965"/>
      <c r="GO14" s="965"/>
      <c r="GP14" s="965"/>
      <c r="GQ14" s="965"/>
      <c r="GR14" s="965"/>
      <c r="GS14" s="965"/>
      <c r="GT14" s="965"/>
      <c r="GU14" s="965"/>
      <c r="GV14" s="965"/>
      <c r="GW14" s="965"/>
      <c r="GX14" s="965"/>
      <c r="GY14" s="965"/>
      <c r="GZ14" s="965"/>
      <c r="HA14" s="965"/>
      <c r="HB14" s="965"/>
      <c r="HC14" s="965"/>
      <c r="HD14" s="965"/>
      <c r="HE14" s="965"/>
      <c r="HF14" s="965"/>
      <c r="HG14" s="965"/>
      <c r="HH14" s="965"/>
      <c r="HI14" s="965"/>
      <c r="HJ14" s="965"/>
      <c r="HK14" s="965"/>
      <c r="HL14" s="965"/>
      <c r="HM14" s="965"/>
      <c r="HN14" s="965"/>
      <c r="HO14" s="965"/>
      <c r="HP14" s="965"/>
      <c r="HQ14" s="965"/>
      <c r="HR14" s="965"/>
      <c r="HS14" s="965"/>
      <c r="HT14" s="965"/>
      <c r="HU14" s="965"/>
      <c r="HV14" s="965"/>
      <c r="HW14" s="965"/>
      <c r="HX14" s="965"/>
      <c r="HY14" s="965"/>
      <c r="HZ14" s="965"/>
      <c r="IA14" s="965"/>
      <c r="IB14" s="965"/>
      <c r="IC14" s="965"/>
      <c r="ID14" s="965"/>
      <c r="IE14" s="965"/>
      <c r="IF14" s="965"/>
      <c r="IG14" s="965"/>
      <c r="IH14" s="965"/>
      <c r="II14" s="965"/>
    </row>
    <row r="15" spans="3:243">
      <c r="C15" s="965"/>
      <c r="D15" s="965"/>
      <c r="E15" s="965"/>
      <c r="F15" s="965"/>
      <c r="G15" s="965"/>
      <c r="H15" s="965"/>
      <c r="I15" s="965"/>
      <c r="J15" s="965"/>
      <c r="K15" s="965"/>
      <c r="L15" s="965"/>
      <c r="M15" s="965"/>
      <c r="N15" s="965"/>
      <c r="O15" s="965"/>
      <c r="P15" s="965"/>
      <c r="Q15" s="965"/>
      <c r="R15" s="965"/>
      <c r="S15" s="965"/>
      <c r="T15" s="965"/>
      <c r="U15" s="965"/>
      <c r="V15" s="965"/>
      <c r="W15" s="965"/>
      <c r="X15" s="965"/>
      <c r="Y15" s="965"/>
      <c r="Z15" s="965"/>
      <c r="AA15" s="965"/>
      <c r="AB15" s="965"/>
      <c r="AC15" s="965"/>
      <c r="AD15" s="965"/>
      <c r="AE15" s="965"/>
      <c r="AF15" s="965"/>
      <c r="AG15" s="965"/>
      <c r="AH15" s="965"/>
      <c r="AI15" s="965"/>
      <c r="AJ15" s="965"/>
      <c r="AK15" s="965"/>
      <c r="AL15" s="965"/>
      <c r="AM15" s="965"/>
      <c r="AN15" s="965"/>
      <c r="AO15" s="965"/>
      <c r="AP15" s="965"/>
      <c r="AQ15" s="965"/>
      <c r="AR15" s="965"/>
      <c r="AS15" s="965"/>
      <c r="AT15" s="965"/>
      <c r="AU15" s="965"/>
      <c r="AV15" s="965"/>
      <c r="AW15" s="965"/>
      <c r="AX15" s="965"/>
      <c r="AY15" s="965"/>
      <c r="AZ15" s="965"/>
      <c r="BA15" s="965"/>
      <c r="BB15" s="965"/>
      <c r="BC15" s="965"/>
      <c r="BD15" s="965"/>
      <c r="BE15" s="965"/>
      <c r="BF15" s="965"/>
      <c r="BG15" s="965"/>
      <c r="BH15" s="965"/>
      <c r="BI15" s="965"/>
      <c r="BJ15" s="965"/>
      <c r="BK15" s="965"/>
      <c r="BL15" s="965"/>
      <c r="BM15" s="965"/>
      <c r="BN15" s="965"/>
      <c r="BO15" s="965"/>
      <c r="BP15" s="965"/>
      <c r="BQ15" s="965"/>
      <c r="BR15" s="965"/>
      <c r="BS15" s="965"/>
      <c r="BT15" s="965"/>
      <c r="BU15" s="965"/>
      <c r="BV15" s="965"/>
      <c r="BW15" s="965"/>
      <c r="BX15" s="965"/>
      <c r="BY15" s="965"/>
      <c r="BZ15" s="965"/>
      <c r="CA15" s="965"/>
      <c r="CB15" s="965"/>
      <c r="CC15" s="965"/>
      <c r="CD15" s="965"/>
      <c r="CE15" s="965"/>
      <c r="CF15" s="965"/>
      <c r="CG15" s="965"/>
      <c r="CH15" s="965"/>
      <c r="CI15" s="965"/>
      <c r="CJ15" s="965"/>
      <c r="CK15" s="965"/>
      <c r="CL15" s="965"/>
      <c r="CM15" s="965"/>
      <c r="CN15" s="965"/>
      <c r="CO15" s="965"/>
      <c r="CP15" s="965"/>
      <c r="CQ15" s="965"/>
      <c r="CR15" s="965"/>
      <c r="CS15" s="965"/>
      <c r="CT15" s="965"/>
      <c r="CU15" s="965"/>
      <c r="CV15" s="965"/>
      <c r="CW15" s="965"/>
      <c r="CX15" s="965"/>
      <c r="CY15" s="965"/>
      <c r="CZ15" s="965"/>
      <c r="DA15" s="965"/>
      <c r="DB15" s="965"/>
      <c r="DC15" s="965"/>
      <c r="DD15" s="965"/>
      <c r="DE15" s="965"/>
      <c r="DF15" s="965"/>
      <c r="DG15" s="965"/>
      <c r="DH15" s="965"/>
      <c r="DI15" s="965"/>
      <c r="DJ15" s="965"/>
      <c r="DK15" s="965"/>
      <c r="DL15" s="965"/>
      <c r="DM15" s="965"/>
      <c r="DN15" s="965"/>
      <c r="DO15" s="965"/>
      <c r="DP15" s="965"/>
      <c r="DQ15" s="965"/>
      <c r="DR15" s="965"/>
      <c r="DS15" s="965"/>
      <c r="DT15" s="965"/>
      <c r="DU15" s="965"/>
      <c r="DV15" s="965"/>
      <c r="DW15" s="965"/>
      <c r="DX15" s="965"/>
      <c r="DY15" s="965"/>
      <c r="DZ15" s="965"/>
      <c r="EA15" s="965"/>
      <c r="EB15" s="965"/>
      <c r="EC15" s="965"/>
      <c r="ED15" s="965"/>
      <c r="EE15" s="965"/>
      <c r="EF15" s="965"/>
      <c r="EG15" s="965"/>
      <c r="EH15" s="965"/>
      <c r="EI15" s="965"/>
      <c r="EJ15" s="965"/>
      <c r="EK15" s="965"/>
      <c r="EL15" s="965"/>
      <c r="EM15" s="965"/>
      <c r="EN15" s="965"/>
      <c r="EO15" s="965"/>
      <c r="EP15" s="965"/>
      <c r="EQ15" s="965"/>
      <c r="ER15" s="965"/>
      <c r="ES15" s="965"/>
      <c r="ET15" s="965"/>
      <c r="EU15" s="965"/>
      <c r="EV15" s="965"/>
      <c r="EW15" s="965"/>
      <c r="EX15" s="965"/>
      <c r="EY15" s="965"/>
      <c r="EZ15" s="965"/>
      <c r="FA15" s="965"/>
      <c r="FB15" s="965"/>
      <c r="FC15" s="965"/>
      <c r="FD15" s="965"/>
      <c r="FE15" s="965"/>
      <c r="FF15" s="965"/>
      <c r="FG15" s="965"/>
      <c r="FH15" s="965"/>
      <c r="FI15" s="965"/>
      <c r="FJ15" s="965"/>
      <c r="FK15" s="965"/>
      <c r="FL15" s="965"/>
      <c r="FM15" s="965"/>
      <c r="FN15" s="965"/>
      <c r="FO15" s="965"/>
      <c r="FP15" s="965"/>
      <c r="FQ15" s="965"/>
      <c r="FR15" s="965"/>
      <c r="FS15" s="965"/>
      <c r="FT15" s="965"/>
      <c r="FU15" s="965"/>
      <c r="FV15" s="965"/>
      <c r="FW15" s="965"/>
      <c r="FX15" s="965"/>
      <c r="FY15" s="965"/>
      <c r="FZ15" s="965"/>
      <c r="GA15" s="965"/>
      <c r="GB15" s="965"/>
      <c r="GC15" s="965"/>
      <c r="GD15" s="965"/>
      <c r="GE15" s="965"/>
      <c r="GF15" s="965"/>
      <c r="GG15" s="965"/>
      <c r="GH15" s="965"/>
      <c r="GI15" s="965"/>
      <c r="GJ15" s="965"/>
      <c r="GK15" s="965"/>
      <c r="GL15" s="965"/>
      <c r="GM15" s="965"/>
      <c r="GN15" s="965"/>
      <c r="GO15" s="965"/>
      <c r="GP15" s="965"/>
      <c r="GQ15" s="965"/>
      <c r="GR15" s="965"/>
      <c r="GS15" s="965"/>
      <c r="GT15" s="965"/>
      <c r="GU15" s="965"/>
      <c r="GV15" s="965"/>
      <c r="GW15" s="965"/>
      <c r="GX15" s="965"/>
      <c r="GY15" s="965"/>
      <c r="GZ15" s="965"/>
      <c r="HA15" s="965"/>
      <c r="HB15" s="965"/>
      <c r="HC15" s="965"/>
      <c r="HD15" s="965"/>
      <c r="HE15" s="965"/>
      <c r="HF15" s="965"/>
      <c r="HG15" s="965"/>
      <c r="HH15" s="965"/>
      <c r="HI15" s="965"/>
      <c r="HJ15" s="965"/>
      <c r="HK15" s="965"/>
      <c r="HL15" s="965"/>
      <c r="HM15" s="965"/>
      <c r="HN15" s="965"/>
      <c r="HO15" s="965"/>
      <c r="HP15" s="965"/>
      <c r="HQ15" s="965"/>
      <c r="HR15" s="965"/>
      <c r="HS15" s="965"/>
      <c r="HT15" s="965"/>
      <c r="HU15" s="965"/>
      <c r="HV15" s="965"/>
      <c r="HW15" s="965"/>
      <c r="HX15" s="965"/>
      <c r="HY15" s="965"/>
      <c r="HZ15" s="965"/>
      <c r="IA15" s="965"/>
      <c r="IB15" s="965"/>
      <c r="IC15" s="965"/>
      <c r="ID15" s="965"/>
      <c r="IE15" s="965"/>
      <c r="IF15" s="965"/>
      <c r="IG15" s="965"/>
      <c r="IH15" s="965"/>
      <c r="II15" s="965"/>
    </row>
    <row r="16" spans="3:243">
      <c r="C16" s="965"/>
      <c r="D16" s="965"/>
      <c r="E16" s="965"/>
      <c r="F16" s="965"/>
      <c r="G16" s="965"/>
      <c r="H16" s="965"/>
      <c r="I16" s="965"/>
      <c r="J16" s="965"/>
      <c r="K16" s="965"/>
      <c r="L16" s="965"/>
      <c r="M16" s="965"/>
      <c r="N16" s="965"/>
      <c r="O16" s="965"/>
      <c r="P16" s="965"/>
      <c r="Q16" s="965"/>
      <c r="R16" s="965"/>
      <c r="S16" s="965"/>
      <c r="T16" s="965"/>
      <c r="U16" s="965"/>
      <c r="V16" s="965"/>
      <c r="W16" s="965"/>
      <c r="X16" s="965"/>
      <c r="Y16" s="965"/>
      <c r="Z16" s="965"/>
      <c r="AA16" s="965"/>
      <c r="AB16" s="965"/>
      <c r="AC16" s="965"/>
      <c r="AD16" s="965"/>
      <c r="AE16" s="965"/>
      <c r="AF16" s="965"/>
      <c r="AG16" s="965"/>
      <c r="AH16" s="965"/>
      <c r="AI16" s="965"/>
      <c r="AJ16" s="965"/>
      <c r="AK16" s="965"/>
      <c r="AL16" s="965"/>
      <c r="AM16" s="965"/>
      <c r="AN16" s="965"/>
      <c r="AO16" s="965"/>
      <c r="AP16" s="965"/>
      <c r="AQ16" s="965"/>
      <c r="AR16" s="965"/>
      <c r="AS16" s="965"/>
      <c r="AT16" s="965"/>
      <c r="AU16" s="965"/>
      <c r="AV16" s="965"/>
      <c r="AW16" s="965"/>
      <c r="AX16" s="965"/>
      <c r="AY16" s="965"/>
      <c r="AZ16" s="965"/>
      <c r="BA16" s="965"/>
      <c r="BB16" s="965"/>
      <c r="BC16" s="965"/>
      <c r="BD16" s="965"/>
      <c r="BE16" s="965"/>
      <c r="BF16" s="965"/>
      <c r="BG16" s="965"/>
      <c r="BH16" s="965"/>
      <c r="BI16" s="965"/>
      <c r="BJ16" s="965"/>
      <c r="BK16" s="965"/>
      <c r="BL16" s="965"/>
      <c r="BM16" s="965"/>
      <c r="BN16" s="965"/>
      <c r="BO16" s="965"/>
      <c r="BP16" s="965"/>
      <c r="BQ16" s="965"/>
      <c r="BR16" s="965"/>
      <c r="BS16" s="965"/>
      <c r="BT16" s="965"/>
      <c r="BU16" s="965"/>
      <c r="BV16" s="965"/>
      <c r="BW16" s="965"/>
      <c r="BX16" s="965"/>
      <c r="BY16" s="965"/>
      <c r="BZ16" s="965"/>
      <c r="CA16" s="965"/>
      <c r="CB16" s="965"/>
      <c r="CC16" s="965"/>
      <c r="CD16" s="965"/>
      <c r="CE16" s="965"/>
      <c r="CF16" s="965"/>
      <c r="CG16" s="965"/>
      <c r="CH16" s="965"/>
      <c r="CI16" s="965"/>
      <c r="CJ16" s="965"/>
      <c r="CK16" s="965"/>
      <c r="CL16" s="965"/>
      <c r="CM16" s="965"/>
      <c r="CN16" s="965"/>
      <c r="CO16" s="965"/>
      <c r="CP16" s="965"/>
      <c r="CQ16" s="965"/>
      <c r="CR16" s="965"/>
      <c r="CS16" s="965"/>
      <c r="CT16" s="965"/>
      <c r="CU16" s="965"/>
      <c r="CV16" s="965"/>
      <c r="CW16" s="965"/>
      <c r="CX16" s="965"/>
      <c r="CY16" s="965"/>
      <c r="CZ16" s="965"/>
      <c r="DA16" s="965"/>
      <c r="DB16" s="965"/>
      <c r="DC16" s="965"/>
      <c r="DD16" s="965"/>
      <c r="DE16" s="965"/>
      <c r="DF16" s="965"/>
      <c r="DG16" s="965"/>
      <c r="DH16" s="965"/>
      <c r="DI16" s="965"/>
      <c r="DJ16" s="965"/>
      <c r="DK16" s="965"/>
      <c r="DL16" s="965"/>
      <c r="DM16" s="965"/>
      <c r="DN16" s="965"/>
      <c r="DO16" s="965"/>
      <c r="DP16" s="965"/>
      <c r="DQ16" s="965"/>
      <c r="DR16" s="965"/>
      <c r="DS16" s="965"/>
      <c r="DT16" s="965"/>
      <c r="DU16" s="965"/>
      <c r="DV16" s="965"/>
      <c r="DW16" s="965"/>
      <c r="DX16" s="965"/>
      <c r="DY16" s="965"/>
      <c r="DZ16" s="965"/>
      <c r="EA16" s="965"/>
      <c r="EB16" s="965"/>
      <c r="EC16" s="965"/>
      <c r="ED16" s="965"/>
      <c r="EE16" s="965"/>
      <c r="EF16" s="965"/>
      <c r="EG16" s="965"/>
      <c r="EH16" s="965"/>
      <c r="EI16" s="965"/>
      <c r="EJ16" s="965"/>
      <c r="EK16" s="965"/>
      <c r="EL16" s="965"/>
      <c r="EM16" s="965"/>
      <c r="EN16" s="965"/>
      <c r="EO16" s="965"/>
      <c r="EP16" s="965"/>
      <c r="EQ16" s="965"/>
      <c r="ER16" s="965"/>
      <c r="ES16" s="965"/>
      <c r="ET16" s="965"/>
      <c r="EU16" s="965"/>
      <c r="EV16" s="965"/>
      <c r="EW16" s="965"/>
      <c r="EX16" s="965"/>
      <c r="EY16" s="965"/>
      <c r="EZ16" s="965"/>
      <c r="FA16" s="965"/>
      <c r="FB16" s="965"/>
      <c r="FC16" s="965"/>
      <c r="FD16" s="965"/>
      <c r="FE16" s="965"/>
      <c r="FF16" s="965"/>
      <c r="FG16" s="965"/>
      <c r="FH16" s="965"/>
      <c r="FI16" s="965"/>
      <c r="FJ16" s="965"/>
      <c r="FK16" s="965"/>
      <c r="FL16" s="965"/>
      <c r="FM16" s="965"/>
      <c r="FN16" s="965"/>
      <c r="FO16" s="965"/>
      <c r="FP16" s="965"/>
      <c r="FQ16" s="965"/>
      <c r="FR16" s="965"/>
      <c r="FS16" s="965"/>
      <c r="FT16" s="965"/>
      <c r="FU16" s="965"/>
      <c r="FV16" s="965"/>
      <c r="FW16" s="965"/>
      <c r="FX16" s="965"/>
      <c r="FY16" s="965"/>
      <c r="FZ16" s="965"/>
      <c r="GA16" s="965"/>
      <c r="GB16" s="965"/>
      <c r="GC16" s="965"/>
      <c r="GD16" s="965"/>
      <c r="GE16" s="965"/>
      <c r="GF16" s="965"/>
      <c r="GG16" s="965"/>
      <c r="GH16" s="965"/>
      <c r="GI16" s="965"/>
      <c r="GJ16" s="965"/>
      <c r="GK16" s="965"/>
      <c r="GL16" s="965"/>
      <c r="GM16" s="965"/>
      <c r="GN16" s="965"/>
      <c r="GO16" s="965"/>
      <c r="GP16" s="965"/>
      <c r="GQ16" s="965"/>
      <c r="GR16" s="965"/>
      <c r="GS16" s="965"/>
      <c r="GT16" s="965"/>
      <c r="GU16" s="965"/>
      <c r="GV16" s="965"/>
      <c r="GW16" s="965"/>
      <c r="GX16" s="965"/>
      <c r="GY16" s="965"/>
      <c r="GZ16" s="965"/>
      <c r="HA16" s="965"/>
      <c r="HB16" s="965"/>
      <c r="HC16" s="965"/>
      <c r="HD16" s="965"/>
      <c r="HE16" s="965"/>
      <c r="HF16" s="965"/>
      <c r="HG16" s="965"/>
      <c r="HH16" s="965"/>
      <c r="HI16" s="965"/>
      <c r="HJ16" s="965"/>
      <c r="HK16" s="965"/>
      <c r="HL16" s="965"/>
      <c r="HM16" s="965"/>
      <c r="HN16" s="965"/>
      <c r="HO16" s="965"/>
      <c r="HP16" s="965"/>
      <c r="HQ16" s="965"/>
      <c r="HR16" s="965"/>
      <c r="HS16" s="965"/>
      <c r="HT16" s="965"/>
      <c r="HU16" s="965"/>
      <c r="HV16" s="965"/>
      <c r="HW16" s="965"/>
      <c r="HX16" s="965"/>
      <c r="HY16" s="965"/>
      <c r="HZ16" s="965"/>
      <c r="IA16" s="965"/>
      <c r="IB16" s="965"/>
      <c r="IC16" s="965"/>
      <c r="ID16" s="965"/>
      <c r="IE16" s="965"/>
      <c r="IF16" s="965"/>
      <c r="IG16" s="965"/>
      <c r="IH16" s="965"/>
      <c r="II16" s="965"/>
    </row>
    <row r="17" spans="3:243">
      <c r="C17" s="965"/>
      <c r="D17" s="965"/>
      <c r="E17" s="965"/>
      <c r="F17" s="965"/>
      <c r="G17" s="965"/>
      <c r="H17" s="965"/>
      <c r="I17" s="965"/>
      <c r="J17" s="965"/>
      <c r="K17" s="965"/>
      <c r="L17" s="965"/>
      <c r="M17" s="965"/>
      <c r="N17" s="965"/>
      <c r="O17" s="965"/>
      <c r="P17" s="965"/>
      <c r="Q17" s="965"/>
      <c r="R17" s="965"/>
      <c r="S17" s="965"/>
      <c r="T17" s="965"/>
      <c r="U17" s="965"/>
      <c r="V17" s="965"/>
      <c r="W17" s="965"/>
      <c r="X17" s="965"/>
      <c r="Y17" s="965"/>
      <c r="Z17" s="965"/>
      <c r="AA17" s="965"/>
      <c r="AB17" s="965"/>
      <c r="AC17" s="965"/>
      <c r="AD17" s="965"/>
      <c r="AE17" s="965"/>
      <c r="AF17" s="965"/>
      <c r="AG17" s="965"/>
      <c r="AH17" s="965"/>
      <c r="AI17" s="965"/>
      <c r="AJ17" s="965"/>
      <c r="AK17" s="965"/>
      <c r="AL17" s="965"/>
      <c r="AM17" s="965"/>
      <c r="AN17" s="965"/>
      <c r="AO17" s="965"/>
      <c r="AP17" s="965"/>
      <c r="AQ17" s="965"/>
      <c r="AR17" s="965"/>
      <c r="AS17" s="965"/>
      <c r="AT17" s="965"/>
      <c r="AU17" s="965"/>
      <c r="AV17" s="965"/>
      <c r="AW17" s="965"/>
      <c r="AX17" s="965"/>
      <c r="AY17" s="965"/>
      <c r="AZ17" s="965"/>
      <c r="BA17" s="965"/>
      <c r="BB17" s="965"/>
      <c r="BC17" s="965"/>
      <c r="BD17" s="965"/>
      <c r="BE17" s="965"/>
      <c r="BF17" s="965"/>
      <c r="BG17" s="965"/>
      <c r="BH17" s="965"/>
      <c r="BI17" s="965"/>
      <c r="BJ17" s="965"/>
      <c r="BK17" s="965"/>
      <c r="BL17" s="965"/>
      <c r="BM17" s="965"/>
      <c r="BN17" s="965"/>
      <c r="BO17" s="965"/>
      <c r="BP17" s="965"/>
      <c r="BQ17" s="965"/>
      <c r="BR17" s="965"/>
      <c r="BS17" s="965"/>
      <c r="BT17" s="965"/>
      <c r="BU17" s="965"/>
      <c r="BV17" s="965"/>
      <c r="BW17" s="965"/>
      <c r="BX17" s="965"/>
      <c r="BY17" s="965"/>
      <c r="BZ17" s="965"/>
      <c r="CA17" s="965"/>
      <c r="CB17" s="965"/>
      <c r="CC17" s="965"/>
      <c r="CD17" s="965"/>
      <c r="CE17" s="965"/>
      <c r="CF17" s="965"/>
      <c r="CG17" s="965"/>
      <c r="CH17" s="965"/>
      <c r="CI17" s="965"/>
      <c r="CJ17" s="965"/>
      <c r="CK17" s="965"/>
      <c r="CL17" s="965"/>
      <c r="CM17" s="965"/>
      <c r="CN17" s="965"/>
      <c r="CO17" s="965"/>
      <c r="CP17" s="965"/>
      <c r="CQ17" s="965"/>
      <c r="CR17" s="965"/>
      <c r="CS17" s="965"/>
      <c r="CT17" s="965"/>
      <c r="CU17" s="965"/>
      <c r="CV17" s="965"/>
      <c r="CW17" s="965"/>
      <c r="CX17" s="965"/>
      <c r="CY17" s="965"/>
      <c r="CZ17" s="965"/>
      <c r="DA17" s="965"/>
      <c r="DB17" s="965"/>
      <c r="DC17" s="965"/>
      <c r="DD17" s="965"/>
      <c r="DE17" s="965"/>
      <c r="DF17" s="965"/>
      <c r="DG17" s="965"/>
      <c r="DH17" s="965"/>
      <c r="DI17" s="965"/>
      <c r="DJ17" s="965"/>
      <c r="DK17" s="965"/>
      <c r="DL17" s="965"/>
      <c r="DM17" s="965"/>
      <c r="DN17" s="965"/>
      <c r="DO17" s="965"/>
      <c r="DP17" s="965"/>
      <c r="DQ17" s="965"/>
      <c r="DR17" s="965"/>
      <c r="DS17" s="965"/>
      <c r="DT17" s="965"/>
      <c r="DU17" s="965"/>
      <c r="DV17" s="965"/>
      <c r="DW17" s="965"/>
      <c r="DX17" s="965"/>
      <c r="DY17" s="965"/>
      <c r="DZ17" s="965"/>
      <c r="EA17" s="965"/>
      <c r="EB17" s="965"/>
      <c r="EC17" s="965"/>
      <c r="ED17" s="965"/>
      <c r="EE17" s="965"/>
      <c r="EF17" s="965"/>
      <c r="EG17" s="965"/>
      <c r="EH17" s="965"/>
      <c r="EI17" s="965"/>
      <c r="EJ17" s="965"/>
      <c r="EK17" s="965"/>
      <c r="EL17" s="965"/>
      <c r="EM17" s="965"/>
      <c r="EN17" s="965"/>
      <c r="EO17" s="965"/>
      <c r="EP17" s="965"/>
      <c r="EQ17" s="965"/>
      <c r="ER17" s="965"/>
      <c r="ES17" s="965"/>
      <c r="ET17" s="965"/>
      <c r="EU17" s="965"/>
      <c r="EV17" s="965"/>
      <c r="EW17" s="965"/>
      <c r="EX17" s="965"/>
      <c r="EY17" s="965"/>
      <c r="EZ17" s="965"/>
      <c r="FA17" s="965"/>
      <c r="FB17" s="965"/>
      <c r="FC17" s="965"/>
      <c r="FD17" s="965"/>
      <c r="FE17" s="965"/>
      <c r="FF17" s="965"/>
      <c r="FG17" s="965"/>
      <c r="FH17" s="965"/>
      <c r="FI17" s="965"/>
      <c r="FJ17" s="965"/>
      <c r="FK17" s="965"/>
      <c r="FL17" s="965"/>
      <c r="FM17" s="965"/>
      <c r="FN17" s="965"/>
      <c r="FO17" s="965"/>
      <c r="FP17" s="965"/>
      <c r="FQ17" s="965"/>
      <c r="FR17" s="965"/>
      <c r="FS17" s="965"/>
      <c r="FT17" s="965"/>
      <c r="FU17" s="965"/>
      <c r="FV17" s="965"/>
      <c r="FW17" s="965"/>
      <c r="FX17" s="965"/>
      <c r="FY17" s="965"/>
      <c r="FZ17" s="965"/>
      <c r="GA17" s="965"/>
      <c r="GB17" s="965"/>
      <c r="GC17" s="965"/>
      <c r="GD17" s="965"/>
      <c r="GE17" s="965"/>
      <c r="GF17" s="965"/>
      <c r="GG17" s="965"/>
      <c r="GH17" s="965"/>
      <c r="GI17" s="965"/>
      <c r="GJ17" s="965"/>
      <c r="GK17" s="965"/>
      <c r="GL17" s="965"/>
      <c r="GM17" s="965"/>
      <c r="GN17" s="965"/>
      <c r="GO17" s="965"/>
      <c r="GP17" s="965"/>
      <c r="GQ17" s="965"/>
      <c r="GR17" s="965"/>
      <c r="GS17" s="965"/>
      <c r="GT17" s="965"/>
      <c r="GU17" s="965"/>
      <c r="GV17" s="965"/>
      <c r="GW17" s="965"/>
      <c r="GX17" s="965"/>
      <c r="GY17" s="965"/>
      <c r="GZ17" s="965"/>
      <c r="HA17" s="965"/>
      <c r="HB17" s="965"/>
      <c r="HC17" s="965"/>
      <c r="HD17" s="965"/>
      <c r="HE17" s="965"/>
      <c r="HF17" s="965"/>
      <c r="HG17" s="965"/>
      <c r="HH17" s="965"/>
      <c r="HI17" s="965"/>
      <c r="HJ17" s="965"/>
      <c r="HK17" s="965"/>
      <c r="HL17" s="965"/>
      <c r="HM17" s="965"/>
      <c r="HN17" s="965"/>
      <c r="HO17" s="965"/>
      <c r="HP17" s="965"/>
      <c r="HQ17" s="965"/>
      <c r="HR17" s="965"/>
      <c r="HS17" s="965"/>
      <c r="HT17" s="965"/>
      <c r="HU17" s="965"/>
      <c r="HV17" s="965"/>
      <c r="HW17" s="965"/>
      <c r="HX17" s="965"/>
      <c r="HY17" s="965"/>
      <c r="HZ17" s="965"/>
      <c r="IA17" s="965"/>
      <c r="IB17" s="965"/>
      <c r="IC17" s="965"/>
      <c r="ID17" s="965"/>
      <c r="IE17" s="965"/>
      <c r="IF17" s="965"/>
      <c r="IG17" s="965"/>
      <c r="IH17" s="965"/>
      <c r="II17" s="965"/>
    </row>
    <row r="18" spans="3:243">
      <c r="C18" s="965"/>
      <c r="D18" s="965"/>
      <c r="E18" s="965"/>
      <c r="F18" s="965"/>
      <c r="G18" s="965"/>
      <c r="H18" s="965"/>
      <c r="I18" s="965"/>
      <c r="J18" s="965"/>
      <c r="K18" s="965"/>
      <c r="L18" s="965"/>
      <c r="M18" s="965"/>
      <c r="N18" s="965"/>
      <c r="O18" s="965"/>
      <c r="P18" s="965"/>
      <c r="Q18" s="965"/>
      <c r="R18" s="965"/>
      <c r="S18" s="965"/>
      <c r="T18" s="965"/>
      <c r="U18" s="965"/>
      <c r="V18" s="965"/>
      <c r="W18" s="965"/>
      <c r="X18" s="965"/>
      <c r="Y18" s="965"/>
      <c r="Z18" s="965"/>
      <c r="AA18" s="965"/>
      <c r="AB18" s="965"/>
      <c r="AC18" s="965"/>
      <c r="AD18" s="965"/>
      <c r="AE18" s="965"/>
      <c r="AF18" s="965"/>
      <c r="AG18" s="965"/>
      <c r="AH18" s="965"/>
      <c r="AI18" s="965"/>
      <c r="AJ18" s="965"/>
      <c r="AK18" s="965"/>
      <c r="AL18" s="965"/>
      <c r="AM18" s="965"/>
      <c r="AN18" s="965"/>
      <c r="AO18" s="965"/>
      <c r="AP18" s="965"/>
      <c r="AQ18" s="965"/>
      <c r="AR18" s="965"/>
      <c r="AS18" s="965"/>
      <c r="AT18" s="965"/>
      <c r="AU18" s="965"/>
      <c r="AV18" s="965"/>
      <c r="AW18" s="965"/>
      <c r="AX18" s="965"/>
      <c r="AY18" s="965"/>
      <c r="AZ18" s="965"/>
      <c r="BA18" s="965"/>
      <c r="BB18" s="965"/>
      <c r="BC18" s="965"/>
      <c r="BD18" s="965"/>
      <c r="BE18" s="965"/>
      <c r="BF18" s="965"/>
      <c r="BG18" s="965"/>
      <c r="BH18" s="965"/>
      <c r="BI18" s="965"/>
      <c r="BJ18" s="965"/>
      <c r="BK18" s="965"/>
      <c r="BL18" s="965"/>
      <c r="BM18" s="965"/>
      <c r="BN18" s="965"/>
      <c r="BO18" s="965"/>
      <c r="BP18" s="965"/>
      <c r="BQ18" s="965"/>
      <c r="BR18" s="965"/>
      <c r="BS18" s="965"/>
      <c r="BT18" s="965"/>
      <c r="BU18" s="965"/>
      <c r="BV18" s="965"/>
      <c r="BW18" s="965"/>
      <c r="BX18" s="965"/>
      <c r="BY18" s="965"/>
      <c r="BZ18" s="965"/>
      <c r="CA18" s="965"/>
      <c r="CB18" s="965"/>
      <c r="CC18" s="965"/>
      <c r="CD18" s="965"/>
      <c r="CE18" s="965"/>
      <c r="CF18" s="965"/>
      <c r="CG18" s="965"/>
      <c r="CH18" s="965"/>
      <c r="CI18" s="965"/>
      <c r="CJ18" s="965"/>
      <c r="CK18" s="965"/>
      <c r="CL18" s="965"/>
      <c r="CM18" s="965"/>
      <c r="CN18" s="965"/>
      <c r="CO18" s="965"/>
      <c r="CP18" s="965"/>
      <c r="CQ18" s="965"/>
      <c r="CR18" s="965"/>
      <c r="CS18" s="965"/>
      <c r="CT18" s="965"/>
      <c r="CU18" s="965"/>
      <c r="CV18" s="965"/>
      <c r="CW18" s="965"/>
      <c r="CX18" s="965"/>
      <c r="CY18" s="965"/>
      <c r="CZ18" s="965"/>
      <c r="DA18" s="965"/>
      <c r="DB18" s="965"/>
      <c r="DC18" s="965"/>
      <c r="DD18" s="965"/>
      <c r="DE18" s="965"/>
      <c r="DF18" s="965"/>
      <c r="DG18" s="965"/>
      <c r="DH18" s="965"/>
      <c r="DI18" s="965"/>
      <c r="DJ18" s="965"/>
      <c r="DK18" s="965"/>
      <c r="DL18" s="965"/>
      <c r="DM18" s="965"/>
      <c r="DN18" s="965"/>
      <c r="DO18" s="965"/>
      <c r="DP18" s="965"/>
      <c r="DQ18" s="965"/>
      <c r="DR18" s="965"/>
      <c r="DS18" s="965"/>
      <c r="DT18" s="965"/>
      <c r="DU18" s="965"/>
      <c r="DV18" s="965"/>
      <c r="DW18" s="965"/>
      <c r="DX18" s="965"/>
      <c r="DY18" s="965"/>
      <c r="DZ18" s="965"/>
      <c r="EA18" s="965"/>
      <c r="EB18" s="965"/>
      <c r="EC18" s="965"/>
      <c r="ED18" s="965"/>
      <c r="EE18" s="965"/>
      <c r="EF18" s="965"/>
      <c r="EG18" s="965"/>
      <c r="EH18" s="965"/>
      <c r="EI18" s="965"/>
      <c r="EJ18" s="965"/>
      <c r="EK18" s="965"/>
      <c r="EL18" s="965"/>
      <c r="EM18" s="965"/>
      <c r="EN18" s="965"/>
      <c r="EO18" s="965"/>
      <c r="EP18" s="965"/>
      <c r="EQ18" s="965"/>
      <c r="ER18" s="965"/>
      <c r="ES18" s="965"/>
      <c r="ET18" s="965"/>
      <c r="EU18" s="965"/>
      <c r="EV18" s="965"/>
      <c r="EW18" s="965"/>
      <c r="EX18" s="965"/>
      <c r="EY18" s="965"/>
      <c r="EZ18" s="965"/>
      <c r="FA18" s="965"/>
      <c r="FB18" s="965"/>
      <c r="FC18" s="965"/>
      <c r="FD18" s="965"/>
      <c r="FE18" s="965"/>
      <c r="FF18" s="965"/>
      <c r="FG18" s="965"/>
      <c r="FH18" s="965"/>
      <c r="FI18" s="965"/>
      <c r="FJ18" s="965"/>
      <c r="FK18" s="965"/>
      <c r="FL18" s="965"/>
      <c r="FM18" s="965"/>
      <c r="FN18" s="965"/>
      <c r="FO18" s="965"/>
      <c r="FP18" s="965"/>
      <c r="FQ18" s="965"/>
      <c r="FR18" s="965"/>
      <c r="FS18" s="965"/>
      <c r="FT18" s="965"/>
      <c r="FU18" s="965"/>
      <c r="FV18" s="965"/>
      <c r="FW18" s="965"/>
      <c r="FX18" s="965"/>
      <c r="FY18" s="965"/>
      <c r="FZ18" s="965"/>
      <c r="GA18" s="965"/>
      <c r="GB18" s="965"/>
      <c r="GC18" s="965"/>
      <c r="GD18" s="965"/>
      <c r="GE18" s="965"/>
      <c r="GF18" s="965"/>
      <c r="GG18" s="965"/>
      <c r="GH18" s="965"/>
      <c r="GI18" s="965"/>
      <c r="GJ18" s="965"/>
      <c r="GK18" s="965"/>
      <c r="GL18" s="965"/>
      <c r="GM18" s="965"/>
      <c r="GN18" s="965"/>
      <c r="GO18" s="965"/>
      <c r="GP18" s="965"/>
      <c r="GQ18" s="965"/>
      <c r="GR18" s="965"/>
      <c r="GS18" s="965"/>
      <c r="GT18" s="965"/>
      <c r="GU18" s="965"/>
      <c r="GV18" s="965"/>
      <c r="GW18" s="965"/>
      <c r="GX18" s="965"/>
      <c r="GY18" s="965"/>
      <c r="GZ18" s="965"/>
      <c r="HA18" s="965"/>
      <c r="HB18" s="965"/>
      <c r="HC18" s="965"/>
      <c r="HD18" s="965"/>
      <c r="HE18" s="965"/>
      <c r="HF18" s="965"/>
      <c r="HG18" s="965"/>
      <c r="HH18" s="965"/>
      <c r="HI18" s="965"/>
      <c r="HJ18" s="965"/>
      <c r="HK18" s="965"/>
      <c r="HL18" s="965"/>
      <c r="HM18" s="965"/>
      <c r="HN18" s="965"/>
      <c r="HO18" s="965"/>
      <c r="HP18" s="965"/>
      <c r="HQ18" s="965"/>
      <c r="HR18" s="965"/>
      <c r="HS18" s="965"/>
      <c r="HT18" s="965"/>
      <c r="HU18" s="965"/>
      <c r="HV18" s="965"/>
      <c r="HW18" s="965"/>
      <c r="HX18" s="965"/>
      <c r="HY18" s="965"/>
      <c r="HZ18" s="965"/>
      <c r="IA18" s="965"/>
      <c r="IB18" s="965"/>
      <c r="IC18" s="965"/>
      <c r="ID18" s="965"/>
      <c r="IE18" s="965"/>
      <c r="IF18" s="965"/>
      <c r="IG18" s="965"/>
      <c r="IH18" s="965"/>
      <c r="II18" s="965"/>
    </row>
    <row r="19" spans="3:243">
      <c r="C19" s="965"/>
      <c r="D19" s="965"/>
      <c r="E19" s="965"/>
      <c r="F19" s="965"/>
      <c r="G19" s="965"/>
      <c r="H19" s="965"/>
      <c r="I19" s="965"/>
      <c r="J19" s="965"/>
      <c r="K19" s="965"/>
      <c r="L19" s="965"/>
      <c r="M19" s="965"/>
      <c r="N19" s="965"/>
      <c r="O19" s="965"/>
      <c r="P19" s="965"/>
      <c r="Q19" s="965"/>
      <c r="R19" s="965"/>
      <c r="S19" s="965"/>
      <c r="T19" s="965"/>
      <c r="U19" s="965"/>
      <c r="V19" s="965"/>
      <c r="W19" s="965"/>
      <c r="X19" s="965"/>
      <c r="Y19" s="965"/>
      <c r="Z19" s="965"/>
      <c r="AA19" s="965"/>
      <c r="AB19" s="965"/>
      <c r="AC19" s="965"/>
      <c r="AD19" s="965"/>
      <c r="AE19" s="965"/>
      <c r="AF19" s="965"/>
      <c r="AG19" s="965"/>
      <c r="AH19" s="965"/>
      <c r="AI19" s="965"/>
      <c r="AJ19" s="965"/>
      <c r="AK19" s="965"/>
      <c r="AL19" s="965"/>
      <c r="AM19" s="965"/>
      <c r="AN19" s="965"/>
      <c r="AO19" s="965"/>
      <c r="AP19" s="965"/>
      <c r="AQ19" s="965"/>
      <c r="AR19" s="965"/>
      <c r="AS19" s="965"/>
      <c r="AT19" s="965"/>
      <c r="AU19" s="965"/>
      <c r="AV19" s="965"/>
      <c r="AW19" s="965"/>
      <c r="AX19" s="965"/>
      <c r="AY19" s="965"/>
      <c r="AZ19" s="965"/>
      <c r="BA19" s="965"/>
      <c r="BB19" s="965"/>
      <c r="BC19" s="965"/>
      <c r="BD19" s="965"/>
      <c r="BE19" s="965"/>
      <c r="BF19" s="965"/>
      <c r="BG19" s="965"/>
      <c r="BH19" s="965"/>
      <c r="BI19" s="965"/>
      <c r="BJ19" s="965"/>
      <c r="BK19" s="965"/>
      <c r="BL19" s="965"/>
      <c r="BM19" s="965"/>
      <c r="BN19" s="965"/>
      <c r="BO19" s="965"/>
      <c r="BP19" s="965"/>
      <c r="BQ19" s="965"/>
      <c r="BR19" s="965"/>
      <c r="BS19" s="965"/>
      <c r="BT19" s="965"/>
      <c r="BU19" s="965"/>
      <c r="BV19" s="965"/>
      <c r="BW19" s="965"/>
      <c r="BX19" s="965"/>
      <c r="BY19" s="965"/>
      <c r="BZ19" s="965"/>
      <c r="CA19" s="965"/>
      <c r="CB19" s="965"/>
      <c r="CC19" s="965"/>
      <c r="CD19" s="965"/>
      <c r="CE19" s="965"/>
      <c r="CF19" s="965"/>
      <c r="CG19" s="965"/>
      <c r="CH19" s="965"/>
      <c r="CI19" s="965"/>
      <c r="CJ19" s="965"/>
      <c r="CK19" s="965"/>
      <c r="CL19" s="965"/>
      <c r="CM19" s="965"/>
      <c r="CN19" s="965"/>
      <c r="CO19" s="965"/>
      <c r="CP19" s="965"/>
      <c r="CQ19" s="965"/>
      <c r="CR19" s="965"/>
      <c r="CS19" s="965"/>
      <c r="CT19" s="965"/>
      <c r="CU19" s="965"/>
      <c r="CV19" s="965"/>
      <c r="CW19" s="965"/>
      <c r="CX19" s="965"/>
      <c r="CY19" s="965"/>
      <c r="CZ19" s="965"/>
      <c r="DA19" s="965"/>
      <c r="DB19" s="965"/>
      <c r="DC19" s="965"/>
      <c r="DD19" s="965"/>
      <c r="DE19" s="965"/>
      <c r="DF19" s="965"/>
      <c r="DG19" s="965"/>
      <c r="DH19" s="965"/>
      <c r="DI19" s="965"/>
      <c r="DJ19" s="965"/>
      <c r="DK19" s="965"/>
      <c r="DL19" s="965"/>
      <c r="DM19" s="965"/>
      <c r="DN19" s="965"/>
      <c r="DO19" s="965"/>
      <c r="DP19" s="965"/>
      <c r="DQ19" s="965"/>
      <c r="DR19" s="965"/>
      <c r="DS19" s="965"/>
      <c r="DT19" s="965"/>
      <c r="DU19" s="965"/>
      <c r="DV19" s="965"/>
      <c r="DW19" s="965"/>
      <c r="DX19" s="965"/>
      <c r="DY19" s="965"/>
      <c r="DZ19" s="965"/>
      <c r="EA19" s="965"/>
      <c r="EB19" s="965"/>
      <c r="EC19" s="965"/>
      <c r="ED19" s="965"/>
      <c r="EE19" s="965"/>
      <c r="EF19" s="965"/>
      <c r="EG19" s="965"/>
      <c r="EH19" s="965"/>
      <c r="EI19" s="965"/>
      <c r="EJ19" s="965"/>
      <c r="EK19" s="965"/>
      <c r="EL19" s="965"/>
      <c r="EM19" s="965"/>
      <c r="EN19" s="965"/>
      <c r="EO19" s="965"/>
      <c r="EP19" s="965"/>
      <c r="EQ19" s="965"/>
      <c r="ER19" s="965"/>
      <c r="ES19" s="965"/>
      <c r="ET19" s="965"/>
      <c r="EU19" s="965"/>
      <c r="EV19" s="965"/>
      <c r="EW19" s="965"/>
      <c r="EX19" s="965"/>
      <c r="EY19" s="965"/>
      <c r="EZ19" s="965"/>
      <c r="FA19" s="965"/>
      <c r="FB19" s="965"/>
      <c r="FC19" s="965"/>
      <c r="FD19" s="965"/>
      <c r="FE19" s="965"/>
      <c r="FF19" s="965"/>
      <c r="FG19" s="965"/>
      <c r="FH19" s="965"/>
      <c r="FI19" s="965"/>
      <c r="FJ19" s="965"/>
      <c r="FK19" s="965"/>
      <c r="FL19" s="965"/>
      <c r="FM19" s="965"/>
      <c r="FN19" s="965"/>
      <c r="FO19" s="965"/>
      <c r="FP19" s="965"/>
      <c r="FQ19" s="965"/>
      <c r="FR19" s="965"/>
      <c r="FS19" s="965"/>
      <c r="FT19" s="965"/>
      <c r="FU19" s="965"/>
      <c r="FV19" s="965"/>
      <c r="FW19" s="965"/>
      <c r="FX19" s="965"/>
      <c r="FY19" s="965"/>
      <c r="FZ19" s="965"/>
      <c r="GA19" s="965"/>
      <c r="GB19" s="965"/>
      <c r="GC19" s="965"/>
      <c r="GD19" s="965"/>
      <c r="GE19" s="965"/>
      <c r="GF19" s="965"/>
      <c r="GG19" s="965"/>
      <c r="GH19" s="965"/>
      <c r="GI19" s="965"/>
      <c r="GJ19" s="965"/>
      <c r="GK19" s="965"/>
      <c r="GL19" s="965"/>
      <c r="GM19" s="965"/>
      <c r="GN19" s="965"/>
      <c r="GO19" s="965"/>
      <c r="GP19" s="965"/>
      <c r="GQ19" s="965"/>
      <c r="GR19" s="965"/>
      <c r="GS19" s="965"/>
      <c r="GT19" s="965"/>
      <c r="GU19" s="965"/>
      <c r="GV19" s="965"/>
      <c r="GW19" s="965"/>
      <c r="GX19" s="965"/>
      <c r="GY19" s="965"/>
      <c r="GZ19" s="965"/>
      <c r="HA19" s="965"/>
      <c r="HB19" s="965"/>
      <c r="HC19" s="965"/>
      <c r="HD19" s="965"/>
      <c r="HE19" s="965"/>
      <c r="HF19" s="965"/>
      <c r="HG19" s="965"/>
      <c r="HH19" s="965"/>
      <c r="HI19" s="965"/>
      <c r="HJ19" s="965"/>
      <c r="HK19" s="965"/>
      <c r="HL19" s="965"/>
      <c r="HM19" s="965"/>
      <c r="HN19" s="965"/>
      <c r="HO19" s="965"/>
      <c r="HP19" s="965"/>
      <c r="HQ19" s="965"/>
      <c r="HR19" s="965"/>
      <c r="HS19" s="965"/>
      <c r="HT19" s="965"/>
      <c r="HU19" s="965"/>
      <c r="HV19" s="965"/>
      <c r="HW19" s="965"/>
      <c r="HX19" s="965"/>
      <c r="HY19" s="965"/>
      <c r="HZ19" s="965"/>
      <c r="IA19" s="965"/>
      <c r="IB19" s="965"/>
      <c r="IC19" s="965"/>
      <c r="ID19" s="965"/>
      <c r="IE19" s="965"/>
      <c r="IF19" s="965"/>
      <c r="IG19" s="965"/>
      <c r="IH19" s="965"/>
      <c r="II19" s="965"/>
    </row>
    <row r="20" spans="3:243">
      <c r="C20" s="965"/>
      <c r="D20" s="965"/>
      <c r="E20" s="965"/>
      <c r="F20" s="965"/>
      <c r="G20" s="965"/>
      <c r="H20" s="965"/>
      <c r="I20" s="965"/>
      <c r="J20" s="965"/>
      <c r="K20" s="965"/>
      <c r="L20" s="965"/>
      <c r="M20" s="965"/>
      <c r="N20" s="965"/>
      <c r="O20" s="965"/>
      <c r="P20" s="965"/>
      <c r="Q20" s="965"/>
      <c r="R20" s="965"/>
      <c r="S20" s="965"/>
      <c r="T20" s="965"/>
      <c r="U20" s="965"/>
      <c r="V20" s="965"/>
      <c r="W20" s="965"/>
      <c r="X20" s="965"/>
      <c r="Y20" s="965"/>
      <c r="Z20" s="965"/>
      <c r="AA20" s="965"/>
      <c r="AB20" s="965"/>
      <c r="AC20" s="965"/>
      <c r="AD20" s="965"/>
      <c r="AE20" s="965"/>
      <c r="AF20" s="965"/>
      <c r="AG20" s="965"/>
      <c r="AH20" s="965"/>
      <c r="AI20" s="965"/>
      <c r="AJ20" s="965"/>
      <c r="AK20" s="965"/>
      <c r="AL20" s="965"/>
      <c r="AM20" s="965"/>
      <c r="AN20" s="965"/>
      <c r="AO20" s="965"/>
      <c r="AP20" s="965"/>
      <c r="AQ20" s="965"/>
      <c r="AR20" s="965"/>
      <c r="AS20" s="965"/>
      <c r="AT20" s="965"/>
      <c r="AU20" s="965"/>
      <c r="AV20" s="965"/>
      <c r="AW20" s="965"/>
      <c r="AX20" s="965"/>
      <c r="AY20" s="965"/>
      <c r="AZ20" s="965"/>
      <c r="BA20" s="965"/>
      <c r="BB20" s="965"/>
      <c r="BC20" s="965"/>
      <c r="BD20" s="965"/>
      <c r="BE20" s="965"/>
      <c r="BF20" s="965"/>
      <c r="BG20" s="965"/>
      <c r="BH20" s="965"/>
      <c r="BI20" s="965"/>
      <c r="BJ20" s="965"/>
      <c r="BK20" s="965"/>
      <c r="BL20" s="965"/>
      <c r="BM20" s="965"/>
      <c r="BN20" s="965"/>
      <c r="BO20" s="965"/>
      <c r="BP20" s="965"/>
      <c r="BQ20" s="965"/>
      <c r="BR20" s="965"/>
      <c r="BS20" s="965"/>
      <c r="BT20" s="965"/>
      <c r="BU20" s="965"/>
      <c r="BV20" s="965"/>
      <c r="BW20" s="965"/>
      <c r="BX20" s="965"/>
      <c r="BY20" s="965"/>
      <c r="BZ20" s="965"/>
      <c r="CA20" s="965"/>
      <c r="CB20" s="965"/>
      <c r="CC20" s="965"/>
      <c r="CD20" s="965"/>
      <c r="CE20" s="965"/>
      <c r="CF20" s="965"/>
      <c r="CG20" s="965"/>
      <c r="CH20" s="965"/>
      <c r="CI20" s="965"/>
      <c r="CJ20" s="965"/>
      <c r="CK20" s="965"/>
      <c r="CL20" s="965"/>
      <c r="CM20" s="965"/>
      <c r="CN20" s="965"/>
      <c r="CO20" s="965"/>
      <c r="CP20" s="965"/>
      <c r="CQ20" s="965"/>
      <c r="CR20" s="965"/>
      <c r="CS20" s="965"/>
      <c r="CT20" s="965"/>
      <c r="CU20" s="965"/>
      <c r="CV20" s="965"/>
      <c r="CW20" s="965"/>
      <c r="CX20" s="965"/>
      <c r="CY20" s="965"/>
      <c r="CZ20" s="965"/>
      <c r="DA20" s="965"/>
      <c r="DB20" s="965"/>
      <c r="DC20" s="965"/>
      <c r="DD20" s="965"/>
      <c r="DE20" s="965"/>
      <c r="DF20" s="965"/>
      <c r="DG20" s="965"/>
      <c r="DH20" s="965"/>
      <c r="DI20" s="965"/>
      <c r="DJ20" s="965"/>
      <c r="DK20" s="965"/>
      <c r="DL20" s="965"/>
      <c r="DM20" s="965"/>
      <c r="DN20" s="965"/>
      <c r="DO20" s="965"/>
      <c r="DP20" s="965"/>
      <c r="DQ20" s="965"/>
      <c r="DR20" s="965"/>
      <c r="DS20" s="965"/>
      <c r="DT20" s="965"/>
      <c r="DU20" s="965"/>
      <c r="DV20" s="965"/>
      <c r="DW20" s="965"/>
      <c r="DX20" s="965"/>
      <c r="DY20" s="965"/>
      <c r="DZ20" s="965"/>
      <c r="EA20" s="965"/>
      <c r="EB20" s="965"/>
      <c r="EC20" s="965"/>
      <c r="ED20" s="965"/>
      <c r="EE20" s="965"/>
      <c r="EF20" s="965"/>
      <c r="EG20" s="965"/>
      <c r="EH20" s="965"/>
      <c r="EI20" s="965"/>
      <c r="EJ20" s="965"/>
      <c r="EK20" s="965"/>
      <c r="EL20" s="965"/>
      <c r="EM20" s="965"/>
      <c r="EN20" s="965"/>
      <c r="EO20" s="965"/>
      <c r="EP20" s="965"/>
      <c r="EQ20" s="965"/>
      <c r="ER20" s="965"/>
      <c r="ES20" s="965"/>
      <c r="ET20" s="965"/>
      <c r="EU20" s="965"/>
      <c r="EV20" s="965"/>
      <c r="EW20" s="965"/>
      <c r="EX20" s="965"/>
      <c r="EY20" s="965"/>
      <c r="EZ20" s="965"/>
      <c r="FA20" s="965"/>
      <c r="FB20" s="965"/>
      <c r="FC20" s="965"/>
      <c r="FD20" s="965"/>
      <c r="FE20" s="965"/>
      <c r="FF20" s="965"/>
      <c r="FG20" s="965"/>
      <c r="FH20" s="965"/>
      <c r="FI20" s="965"/>
      <c r="FJ20" s="965"/>
      <c r="FK20" s="965"/>
      <c r="FL20" s="965"/>
      <c r="FM20" s="965"/>
      <c r="FN20" s="965"/>
      <c r="FO20" s="965"/>
      <c r="FP20" s="965"/>
      <c r="FQ20" s="965"/>
      <c r="FR20" s="965"/>
      <c r="FS20" s="965"/>
      <c r="FT20" s="965"/>
      <c r="FU20" s="965"/>
      <c r="FV20" s="965"/>
      <c r="FW20" s="965"/>
      <c r="FX20" s="965"/>
      <c r="FY20" s="965"/>
      <c r="FZ20" s="965"/>
      <c r="GA20" s="965"/>
      <c r="GB20" s="965"/>
      <c r="GC20" s="965"/>
      <c r="GD20" s="965"/>
      <c r="GE20" s="965"/>
      <c r="GF20" s="965"/>
      <c r="GG20" s="965"/>
      <c r="GH20" s="965"/>
      <c r="GI20" s="965"/>
      <c r="GJ20" s="965"/>
      <c r="GK20" s="965"/>
      <c r="GL20" s="965"/>
      <c r="GM20" s="965"/>
      <c r="GN20" s="965"/>
      <c r="GO20" s="965"/>
      <c r="GP20" s="965"/>
      <c r="GQ20" s="965"/>
      <c r="GR20" s="965"/>
      <c r="GS20" s="965"/>
      <c r="GT20" s="965"/>
      <c r="GU20" s="965"/>
      <c r="GV20" s="965"/>
      <c r="GW20" s="965"/>
      <c r="GX20" s="965"/>
      <c r="GY20" s="965"/>
      <c r="GZ20" s="965"/>
      <c r="HA20" s="965"/>
      <c r="HB20" s="965"/>
      <c r="HC20" s="965"/>
      <c r="HD20" s="965"/>
      <c r="HE20" s="965"/>
      <c r="HF20" s="965"/>
      <c r="HG20" s="965"/>
      <c r="HH20" s="965"/>
      <c r="HI20" s="965"/>
      <c r="HJ20" s="965"/>
      <c r="HK20" s="965"/>
      <c r="HL20" s="965"/>
      <c r="HM20" s="965"/>
      <c r="HN20" s="965"/>
      <c r="HO20" s="965"/>
      <c r="HP20" s="965"/>
      <c r="HQ20" s="965"/>
      <c r="HR20" s="965"/>
      <c r="HS20" s="965"/>
      <c r="HT20" s="965"/>
      <c r="HU20" s="965"/>
      <c r="HV20" s="965"/>
      <c r="HW20" s="965"/>
      <c r="HX20" s="965"/>
      <c r="HY20" s="965"/>
      <c r="HZ20" s="965"/>
      <c r="IA20" s="965"/>
      <c r="IB20" s="965"/>
      <c r="IC20" s="965"/>
      <c r="ID20" s="965"/>
      <c r="IE20" s="965"/>
      <c r="IF20" s="965"/>
      <c r="IG20" s="965"/>
      <c r="IH20" s="965"/>
      <c r="II20" s="965"/>
    </row>
    <row r="21" spans="3:243">
      <c r="C21" s="965"/>
      <c r="D21" s="965"/>
      <c r="E21" s="965"/>
      <c r="F21" s="965"/>
      <c r="G21" s="965"/>
      <c r="H21" s="965"/>
      <c r="I21" s="965"/>
      <c r="J21" s="965"/>
      <c r="K21" s="965"/>
      <c r="L21" s="965"/>
      <c r="M21" s="965"/>
      <c r="N21" s="965"/>
      <c r="O21" s="965"/>
      <c r="P21" s="965"/>
      <c r="Q21" s="965"/>
      <c r="R21" s="965"/>
      <c r="S21" s="965"/>
      <c r="T21" s="965"/>
      <c r="U21" s="965"/>
      <c r="V21" s="965"/>
      <c r="W21" s="965"/>
      <c r="X21" s="965"/>
      <c r="Y21" s="965"/>
      <c r="Z21" s="965"/>
      <c r="AA21" s="965"/>
      <c r="AB21" s="965"/>
      <c r="AC21" s="965"/>
      <c r="AD21" s="965"/>
      <c r="AE21" s="965"/>
      <c r="AF21" s="965"/>
      <c r="AG21" s="965"/>
      <c r="AH21" s="965"/>
      <c r="AI21" s="965"/>
      <c r="AJ21" s="965"/>
      <c r="AK21" s="965"/>
      <c r="AL21" s="965"/>
      <c r="AM21" s="965"/>
      <c r="AN21" s="965"/>
      <c r="AO21" s="965"/>
      <c r="AP21" s="965"/>
      <c r="AQ21" s="965"/>
      <c r="AR21" s="965"/>
      <c r="AS21" s="965"/>
      <c r="AT21" s="965"/>
      <c r="AU21" s="965"/>
      <c r="AV21" s="965"/>
      <c r="AW21" s="965"/>
      <c r="AX21" s="965"/>
      <c r="AY21" s="965"/>
      <c r="AZ21" s="965"/>
      <c r="BA21" s="965"/>
      <c r="BB21" s="965"/>
      <c r="BC21" s="965"/>
      <c r="BD21" s="965"/>
      <c r="BE21" s="965"/>
      <c r="BF21" s="965"/>
      <c r="BG21" s="965"/>
      <c r="BH21" s="965"/>
      <c r="BI21" s="965"/>
      <c r="BJ21" s="965"/>
      <c r="BK21" s="965"/>
      <c r="BL21" s="965"/>
      <c r="BM21" s="965"/>
      <c r="BN21" s="965"/>
      <c r="BO21" s="965"/>
      <c r="BP21" s="965"/>
      <c r="BQ21" s="965"/>
      <c r="BR21" s="965"/>
      <c r="BS21" s="965"/>
      <c r="BT21" s="965"/>
      <c r="BU21" s="965"/>
      <c r="BV21" s="965"/>
      <c r="BW21" s="965"/>
      <c r="BX21" s="965"/>
      <c r="BY21" s="965"/>
      <c r="BZ21" s="965"/>
      <c r="CA21" s="965"/>
      <c r="CB21" s="965"/>
      <c r="CC21" s="965"/>
      <c r="CD21" s="965"/>
      <c r="CE21" s="965"/>
      <c r="CF21" s="965"/>
      <c r="CG21" s="965"/>
      <c r="CH21" s="965"/>
      <c r="CI21" s="965"/>
      <c r="CJ21" s="965"/>
      <c r="CK21" s="965"/>
      <c r="CL21" s="965"/>
      <c r="CM21" s="965"/>
      <c r="CN21" s="965"/>
      <c r="CO21" s="965"/>
      <c r="CP21" s="965"/>
      <c r="CQ21" s="965"/>
      <c r="CR21" s="965"/>
      <c r="CS21" s="965"/>
      <c r="CT21" s="965"/>
      <c r="CU21" s="965"/>
      <c r="CV21" s="965"/>
      <c r="CW21" s="965"/>
      <c r="CX21" s="965"/>
      <c r="CY21" s="965"/>
      <c r="CZ21" s="965"/>
      <c r="DA21" s="965"/>
      <c r="DB21" s="965"/>
      <c r="DC21" s="965"/>
      <c r="DD21" s="965"/>
      <c r="DE21" s="965"/>
      <c r="DF21" s="965"/>
      <c r="DG21" s="965"/>
      <c r="DH21" s="965"/>
      <c r="DI21" s="965"/>
      <c r="DJ21" s="965"/>
      <c r="DK21" s="965"/>
      <c r="DL21" s="965"/>
      <c r="DM21" s="965"/>
      <c r="DN21" s="965"/>
      <c r="DO21" s="965"/>
      <c r="DP21" s="965"/>
      <c r="DQ21" s="965"/>
      <c r="DR21" s="965"/>
      <c r="DS21" s="965"/>
      <c r="DT21" s="965"/>
      <c r="DU21" s="965"/>
      <c r="DV21" s="965"/>
      <c r="DW21" s="965"/>
      <c r="DX21" s="965"/>
      <c r="DY21" s="965"/>
      <c r="DZ21" s="965"/>
      <c r="EA21" s="965"/>
      <c r="EB21" s="965"/>
      <c r="EC21" s="965"/>
      <c r="ED21" s="965"/>
      <c r="EE21" s="965"/>
      <c r="EF21" s="965"/>
      <c r="EG21" s="965"/>
      <c r="EH21" s="965"/>
      <c r="EI21" s="965"/>
      <c r="EJ21" s="965"/>
      <c r="EK21" s="965"/>
      <c r="EL21" s="965"/>
      <c r="EM21" s="965"/>
      <c r="EN21" s="965"/>
      <c r="EO21" s="965"/>
      <c r="EP21" s="965"/>
      <c r="EQ21" s="965"/>
      <c r="ER21" s="965"/>
      <c r="ES21" s="965"/>
      <c r="ET21" s="965"/>
      <c r="EU21" s="965"/>
      <c r="EV21" s="965"/>
      <c r="EW21" s="965"/>
      <c r="EX21" s="965"/>
      <c r="EY21" s="965"/>
      <c r="EZ21" s="965"/>
      <c r="FA21" s="965"/>
      <c r="FB21" s="965"/>
      <c r="FC21" s="965"/>
      <c r="FD21" s="965"/>
      <c r="FE21" s="965"/>
      <c r="FF21" s="965"/>
      <c r="FG21" s="965"/>
      <c r="FH21" s="965"/>
      <c r="FI21" s="965"/>
      <c r="FJ21" s="965"/>
      <c r="FK21" s="965"/>
      <c r="FL21" s="965"/>
      <c r="FM21" s="965"/>
      <c r="FN21" s="965"/>
      <c r="FO21" s="965"/>
      <c r="FP21" s="965"/>
      <c r="FQ21" s="965"/>
      <c r="FR21" s="965"/>
      <c r="FS21" s="965"/>
      <c r="FT21" s="965"/>
      <c r="FU21" s="965"/>
      <c r="FV21" s="965"/>
      <c r="FW21" s="965"/>
      <c r="FX21" s="965"/>
      <c r="FY21" s="965"/>
      <c r="FZ21" s="965"/>
      <c r="GA21" s="965"/>
      <c r="GB21" s="965"/>
      <c r="GC21" s="965"/>
      <c r="GD21" s="965"/>
      <c r="GE21" s="965"/>
      <c r="GF21" s="965"/>
      <c r="GG21" s="965"/>
      <c r="GH21" s="965"/>
      <c r="GI21" s="965"/>
      <c r="GJ21" s="965"/>
      <c r="GK21" s="965"/>
      <c r="GL21" s="965"/>
      <c r="GM21" s="965"/>
      <c r="GN21" s="965"/>
      <c r="GO21" s="965"/>
      <c r="GP21" s="965"/>
      <c r="GQ21" s="965"/>
      <c r="GR21" s="965"/>
      <c r="GS21" s="965"/>
      <c r="GT21" s="965"/>
      <c r="GU21" s="965"/>
      <c r="GV21" s="965"/>
      <c r="GW21" s="965"/>
      <c r="GX21" s="965"/>
      <c r="GY21" s="965"/>
      <c r="GZ21" s="965"/>
      <c r="HA21" s="965"/>
      <c r="HB21" s="965"/>
      <c r="HC21" s="965"/>
      <c r="HD21" s="965"/>
      <c r="HE21" s="965"/>
      <c r="HF21" s="965"/>
      <c r="HG21" s="965"/>
      <c r="HH21" s="965"/>
      <c r="HI21" s="965"/>
      <c r="HJ21" s="965"/>
      <c r="HK21" s="965"/>
      <c r="HL21" s="965"/>
      <c r="HM21" s="965"/>
      <c r="HN21" s="965"/>
      <c r="HO21" s="965"/>
      <c r="HP21" s="965"/>
      <c r="HQ21" s="965"/>
      <c r="HR21" s="965"/>
      <c r="HS21" s="965"/>
      <c r="HT21" s="965"/>
      <c r="HU21" s="965"/>
      <c r="HV21" s="965"/>
      <c r="HW21" s="965"/>
      <c r="HX21" s="965"/>
      <c r="HY21" s="965"/>
      <c r="HZ21" s="965"/>
      <c r="IA21" s="965"/>
      <c r="IB21" s="965"/>
      <c r="IC21" s="965"/>
      <c r="ID21" s="965"/>
      <c r="IE21" s="965"/>
      <c r="IF21" s="965"/>
      <c r="IG21" s="965"/>
      <c r="IH21" s="965"/>
      <c r="II21" s="965"/>
    </row>
    <row r="22" spans="3:243">
      <c r="C22" s="965"/>
      <c r="D22" s="965"/>
      <c r="E22" s="965"/>
      <c r="F22" s="965"/>
      <c r="G22" s="965"/>
      <c r="H22" s="965"/>
      <c r="I22" s="965"/>
      <c r="J22" s="965"/>
      <c r="K22" s="965"/>
      <c r="L22" s="965"/>
      <c r="M22" s="965"/>
      <c r="N22" s="965"/>
      <c r="O22" s="965"/>
      <c r="P22" s="965"/>
      <c r="Q22" s="965"/>
      <c r="R22" s="965"/>
      <c r="S22" s="965"/>
      <c r="T22" s="965"/>
      <c r="U22" s="965"/>
      <c r="V22" s="965"/>
      <c r="W22" s="965"/>
      <c r="X22" s="965"/>
      <c r="Y22" s="965"/>
      <c r="Z22" s="965"/>
      <c r="AA22" s="965"/>
      <c r="AB22" s="965"/>
      <c r="AC22" s="965"/>
      <c r="AD22" s="965"/>
      <c r="AE22" s="965"/>
      <c r="AF22" s="965"/>
      <c r="AG22" s="965"/>
      <c r="AH22" s="965"/>
      <c r="AI22" s="965"/>
      <c r="AJ22" s="965"/>
      <c r="AK22" s="965"/>
      <c r="AL22" s="965"/>
      <c r="AM22" s="965"/>
      <c r="AN22" s="965"/>
      <c r="AO22" s="965"/>
      <c r="AP22" s="965"/>
      <c r="AQ22" s="965"/>
      <c r="AR22" s="965"/>
      <c r="AS22" s="965"/>
      <c r="AT22" s="965"/>
      <c r="AU22" s="965"/>
      <c r="AV22" s="965"/>
      <c r="AW22" s="965"/>
      <c r="AX22" s="965"/>
      <c r="AY22" s="965"/>
      <c r="AZ22" s="965"/>
      <c r="BA22" s="965"/>
      <c r="BB22" s="965"/>
      <c r="BC22" s="965"/>
      <c r="BD22" s="965"/>
      <c r="BE22" s="965"/>
      <c r="BF22" s="965"/>
      <c r="BG22" s="965"/>
      <c r="BH22" s="965"/>
      <c r="BI22" s="965"/>
      <c r="BJ22" s="965"/>
      <c r="BK22" s="965"/>
      <c r="BL22" s="965"/>
      <c r="BM22" s="965"/>
      <c r="BN22" s="965"/>
      <c r="BO22" s="965"/>
      <c r="BP22" s="965"/>
      <c r="BQ22" s="965"/>
      <c r="BR22" s="965"/>
      <c r="BS22" s="965"/>
      <c r="BT22" s="965"/>
      <c r="BU22" s="965"/>
      <c r="BV22" s="965"/>
      <c r="BW22" s="965"/>
      <c r="BX22" s="965"/>
      <c r="BY22" s="965"/>
      <c r="BZ22" s="965"/>
      <c r="CA22" s="965"/>
      <c r="CB22" s="965"/>
      <c r="CC22" s="965"/>
      <c r="CD22" s="965"/>
      <c r="CE22" s="965"/>
      <c r="CF22" s="965"/>
      <c r="CG22" s="965"/>
      <c r="CH22" s="965"/>
      <c r="CI22" s="965"/>
      <c r="CJ22" s="965"/>
      <c r="CK22" s="965"/>
      <c r="CL22" s="965"/>
      <c r="CM22" s="965"/>
      <c r="CN22" s="965"/>
      <c r="CO22" s="965"/>
      <c r="CP22" s="965"/>
      <c r="CQ22" s="965"/>
      <c r="CR22" s="965"/>
      <c r="CS22" s="965"/>
      <c r="CT22" s="965"/>
      <c r="CU22" s="965"/>
      <c r="CV22" s="965"/>
      <c r="CW22" s="965"/>
      <c r="CX22" s="965"/>
      <c r="CY22" s="965"/>
      <c r="CZ22" s="965"/>
      <c r="DA22" s="965"/>
      <c r="DB22" s="965"/>
      <c r="DC22" s="965"/>
      <c r="DD22" s="965"/>
      <c r="DE22" s="965"/>
      <c r="DF22" s="965"/>
      <c r="DG22" s="965"/>
      <c r="DH22" s="965"/>
      <c r="DI22" s="965"/>
      <c r="DJ22" s="965"/>
      <c r="DK22" s="965"/>
      <c r="DL22" s="965"/>
      <c r="DM22" s="965"/>
      <c r="DN22" s="965"/>
      <c r="DO22" s="965"/>
      <c r="DP22" s="965"/>
      <c r="DQ22" s="965"/>
      <c r="DR22" s="965"/>
      <c r="DS22" s="965"/>
      <c r="DT22" s="965"/>
      <c r="DU22" s="965"/>
      <c r="DV22" s="965"/>
      <c r="DW22" s="965"/>
      <c r="DX22" s="965"/>
      <c r="DY22" s="965"/>
      <c r="DZ22" s="965"/>
      <c r="EA22" s="965"/>
      <c r="EB22" s="965"/>
      <c r="EC22" s="965"/>
      <c r="ED22" s="965"/>
      <c r="EE22" s="965"/>
      <c r="EF22" s="965"/>
      <c r="EG22" s="965"/>
      <c r="EH22" s="965"/>
      <c r="EI22" s="965"/>
      <c r="EJ22" s="965"/>
      <c r="EK22" s="965"/>
      <c r="EL22" s="965"/>
      <c r="EM22" s="965"/>
      <c r="EN22" s="965"/>
      <c r="EO22" s="965"/>
      <c r="EP22" s="965"/>
      <c r="EQ22" s="965"/>
      <c r="ER22" s="965"/>
      <c r="ES22" s="965"/>
      <c r="ET22" s="965"/>
      <c r="EU22" s="965"/>
      <c r="EV22" s="965"/>
      <c r="EW22" s="965"/>
      <c r="EX22" s="965"/>
      <c r="EY22" s="965"/>
      <c r="EZ22" s="965"/>
      <c r="FA22" s="965"/>
      <c r="FB22" s="965"/>
      <c r="FC22" s="965"/>
      <c r="FD22" s="965"/>
      <c r="FE22" s="965"/>
      <c r="FF22" s="965"/>
      <c r="FG22" s="965"/>
      <c r="FH22" s="965"/>
      <c r="FI22" s="965"/>
      <c r="FJ22" s="965"/>
      <c r="FK22" s="965"/>
      <c r="FL22" s="965"/>
      <c r="FM22" s="965"/>
      <c r="FN22" s="965"/>
      <c r="FO22" s="965"/>
      <c r="FP22" s="965"/>
      <c r="FQ22" s="965"/>
      <c r="FR22" s="965"/>
      <c r="FS22" s="965"/>
      <c r="FT22" s="965"/>
      <c r="FU22" s="965"/>
      <c r="FV22" s="965"/>
      <c r="FW22" s="965"/>
      <c r="FX22" s="965"/>
      <c r="FY22" s="965"/>
      <c r="FZ22" s="965"/>
      <c r="GA22" s="965"/>
      <c r="GB22" s="965"/>
      <c r="GC22" s="965"/>
      <c r="GD22" s="965"/>
      <c r="GE22" s="965"/>
      <c r="GF22" s="965"/>
      <c r="GG22" s="965"/>
      <c r="GH22" s="965"/>
      <c r="GI22" s="965"/>
      <c r="GJ22" s="965"/>
      <c r="GK22" s="965"/>
      <c r="GL22" s="965"/>
      <c r="GM22" s="965"/>
      <c r="GN22" s="965"/>
      <c r="GO22" s="965"/>
      <c r="GP22" s="965"/>
      <c r="GQ22" s="965"/>
      <c r="GR22" s="965"/>
      <c r="GS22" s="965"/>
      <c r="GT22" s="965"/>
      <c r="GU22" s="965"/>
      <c r="GV22" s="965"/>
      <c r="GW22" s="965"/>
      <c r="GX22" s="965"/>
      <c r="GY22" s="965"/>
      <c r="GZ22" s="965"/>
      <c r="HA22" s="965"/>
      <c r="HB22" s="965"/>
      <c r="HC22" s="965"/>
      <c r="HD22" s="965"/>
      <c r="HE22" s="965"/>
      <c r="HF22" s="965"/>
      <c r="HG22" s="965"/>
      <c r="HH22" s="965"/>
      <c r="HI22" s="965"/>
      <c r="HJ22" s="965"/>
      <c r="HK22" s="965"/>
      <c r="HL22" s="965"/>
      <c r="HM22" s="965"/>
      <c r="HN22" s="965"/>
      <c r="HO22" s="965"/>
      <c r="HP22" s="965"/>
      <c r="HQ22" s="965"/>
      <c r="HR22" s="965"/>
      <c r="HS22" s="965"/>
      <c r="HT22" s="965"/>
      <c r="HU22" s="965"/>
      <c r="HV22" s="965"/>
      <c r="HW22" s="965"/>
      <c r="HX22" s="965"/>
      <c r="HY22" s="965"/>
      <c r="HZ22" s="965"/>
      <c r="IA22" s="965"/>
      <c r="IB22" s="965"/>
      <c r="IC22" s="965"/>
      <c r="ID22" s="965"/>
      <c r="IE22" s="965"/>
      <c r="IF22" s="965"/>
      <c r="IG22" s="965"/>
      <c r="IH22" s="965"/>
      <c r="II22" s="965"/>
    </row>
    <row r="23" spans="3:243">
      <c r="C23" s="965"/>
      <c r="D23" s="965"/>
      <c r="E23" s="965"/>
      <c r="F23" s="965"/>
      <c r="G23" s="965"/>
      <c r="H23" s="965"/>
      <c r="I23" s="965"/>
      <c r="J23" s="965"/>
      <c r="K23" s="965"/>
      <c r="L23" s="965"/>
      <c r="M23" s="965"/>
      <c r="N23" s="965"/>
      <c r="O23" s="965"/>
      <c r="P23" s="965"/>
      <c r="Q23" s="965"/>
      <c r="R23" s="965"/>
      <c r="S23" s="965"/>
      <c r="T23" s="965"/>
      <c r="U23" s="965"/>
      <c r="V23" s="965"/>
      <c r="W23" s="965"/>
      <c r="X23" s="965"/>
      <c r="Y23" s="965"/>
      <c r="Z23" s="965"/>
      <c r="AA23" s="965"/>
      <c r="AB23" s="965"/>
      <c r="AC23" s="965"/>
      <c r="AD23" s="965"/>
      <c r="AE23" s="965"/>
      <c r="AF23" s="965"/>
      <c r="AG23" s="965"/>
      <c r="AH23" s="965"/>
      <c r="AI23" s="965"/>
      <c r="AJ23" s="965"/>
      <c r="AK23" s="965"/>
      <c r="AL23" s="965"/>
      <c r="AM23" s="965"/>
      <c r="AN23" s="965"/>
      <c r="AO23" s="965"/>
      <c r="AP23" s="965"/>
      <c r="AQ23" s="965"/>
      <c r="AR23" s="965"/>
      <c r="AS23" s="965"/>
      <c r="AT23" s="965"/>
      <c r="AU23" s="965"/>
      <c r="AV23" s="965"/>
      <c r="AW23" s="965"/>
      <c r="AX23" s="965"/>
      <c r="AY23" s="965"/>
      <c r="AZ23" s="965"/>
      <c r="BA23" s="965"/>
      <c r="BB23" s="965"/>
      <c r="BC23" s="965"/>
      <c r="BD23" s="965"/>
      <c r="BE23" s="965"/>
      <c r="BF23" s="965"/>
      <c r="BG23" s="965"/>
      <c r="BH23" s="965"/>
      <c r="BI23" s="965"/>
      <c r="BJ23" s="965"/>
      <c r="BK23" s="965"/>
      <c r="BL23" s="965"/>
      <c r="BM23" s="965"/>
      <c r="BN23" s="965"/>
      <c r="BO23" s="965"/>
      <c r="BP23" s="965"/>
      <c r="BQ23" s="965"/>
      <c r="BR23" s="965"/>
      <c r="BS23" s="965"/>
      <c r="BT23" s="965"/>
      <c r="BU23" s="965"/>
      <c r="BV23" s="965"/>
      <c r="BW23" s="965"/>
      <c r="BX23" s="965"/>
      <c r="BY23" s="965"/>
      <c r="BZ23" s="965"/>
      <c r="CA23" s="965"/>
      <c r="CB23" s="965"/>
      <c r="CC23" s="965"/>
      <c r="CD23" s="965"/>
      <c r="CE23" s="965"/>
      <c r="CF23" s="965"/>
      <c r="CG23" s="965"/>
      <c r="CH23" s="965"/>
      <c r="CI23" s="965"/>
      <c r="CJ23" s="965"/>
      <c r="CK23" s="965"/>
      <c r="CL23" s="965"/>
      <c r="CM23" s="965"/>
      <c r="CN23" s="965"/>
      <c r="CO23" s="965"/>
      <c r="CP23" s="965"/>
      <c r="CQ23" s="965"/>
      <c r="CR23" s="965"/>
      <c r="CS23" s="965"/>
      <c r="CT23" s="965"/>
      <c r="CU23" s="965"/>
      <c r="CV23" s="965"/>
      <c r="CW23" s="965"/>
      <c r="CX23" s="965"/>
      <c r="CY23" s="965"/>
      <c r="CZ23" s="965"/>
      <c r="DA23" s="965"/>
      <c r="DB23" s="965"/>
      <c r="DC23" s="965"/>
      <c r="DD23" s="965"/>
      <c r="DE23" s="965"/>
      <c r="DF23" s="965"/>
      <c r="DG23" s="965"/>
      <c r="DH23" s="965"/>
      <c r="DI23" s="965"/>
      <c r="DJ23" s="965"/>
      <c r="DK23" s="965"/>
      <c r="DL23" s="965"/>
      <c r="DM23" s="965"/>
      <c r="DN23" s="965"/>
      <c r="DO23" s="965"/>
      <c r="DP23" s="965"/>
      <c r="DQ23" s="965"/>
      <c r="DR23" s="965"/>
      <c r="DS23" s="965"/>
      <c r="DT23" s="965"/>
      <c r="DU23" s="965"/>
      <c r="DV23" s="965"/>
      <c r="DW23" s="965"/>
      <c r="DX23" s="965"/>
      <c r="DY23" s="965"/>
      <c r="DZ23" s="965"/>
      <c r="EA23" s="965"/>
      <c r="EB23" s="965"/>
      <c r="EC23" s="965"/>
      <c r="ED23" s="965"/>
      <c r="EE23" s="965"/>
      <c r="EF23" s="965"/>
      <c r="EG23" s="965"/>
      <c r="EH23" s="965"/>
      <c r="EI23" s="965"/>
      <c r="EJ23" s="965"/>
      <c r="EK23" s="965"/>
      <c r="EL23" s="965"/>
      <c r="EM23" s="965"/>
      <c r="EN23" s="965"/>
      <c r="EO23" s="965"/>
      <c r="EP23" s="965"/>
      <c r="EQ23" s="965"/>
      <c r="ER23" s="965"/>
      <c r="ES23" s="965"/>
      <c r="ET23" s="965"/>
      <c r="EU23" s="965"/>
      <c r="EV23" s="965"/>
      <c r="EW23" s="965"/>
      <c r="EX23" s="965"/>
      <c r="EY23" s="965"/>
      <c r="EZ23" s="965"/>
      <c r="FA23" s="965"/>
      <c r="FB23" s="965"/>
      <c r="FC23" s="965"/>
      <c r="FD23" s="965"/>
      <c r="FE23" s="965"/>
      <c r="FF23" s="965"/>
      <c r="FG23" s="965"/>
      <c r="FH23" s="965"/>
      <c r="FI23" s="965"/>
      <c r="FJ23" s="965"/>
      <c r="FK23" s="965"/>
      <c r="FL23" s="965"/>
      <c r="FM23" s="965"/>
      <c r="FN23" s="965"/>
      <c r="FO23" s="965"/>
      <c r="FP23" s="965"/>
      <c r="FQ23" s="965"/>
      <c r="FR23" s="965"/>
      <c r="FS23" s="965"/>
      <c r="FT23" s="965"/>
      <c r="FU23" s="965"/>
      <c r="FV23" s="965"/>
      <c r="FW23" s="965"/>
      <c r="FX23" s="965"/>
      <c r="FY23" s="965"/>
      <c r="FZ23" s="965"/>
      <c r="GA23" s="965"/>
      <c r="GB23" s="965"/>
      <c r="GC23" s="965"/>
      <c r="GD23" s="965"/>
      <c r="GE23" s="965"/>
      <c r="GF23" s="965"/>
      <c r="GG23" s="965"/>
      <c r="GH23" s="965"/>
      <c r="GI23" s="965"/>
      <c r="GJ23" s="965"/>
      <c r="GK23" s="965"/>
      <c r="GL23" s="965"/>
      <c r="GM23" s="965"/>
      <c r="GN23" s="965"/>
      <c r="GO23" s="965"/>
      <c r="GP23" s="965"/>
      <c r="GQ23" s="965"/>
      <c r="GR23" s="965"/>
      <c r="GS23" s="965"/>
      <c r="GT23" s="965"/>
      <c r="GU23" s="965"/>
      <c r="GV23" s="965"/>
      <c r="GW23" s="965"/>
      <c r="GX23" s="965"/>
      <c r="GY23" s="965"/>
      <c r="GZ23" s="965"/>
      <c r="HA23" s="965"/>
      <c r="HB23" s="965"/>
      <c r="HC23" s="965"/>
      <c r="HD23" s="965"/>
      <c r="HE23" s="965"/>
      <c r="HF23" s="965"/>
      <c r="HG23" s="965"/>
      <c r="HH23" s="965"/>
      <c r="HI23" s="965"/>
      <c r="HJ23" s="965"/>
      <c r="HK23" s="965"/>
      <c r="HL23" s="965"/>
      <c r="HM23" s="965"/>
      <c r="HN23" s="965"/>
      <c r="HO23" s="965"/>
      <c r="HP23" s="965"/>
      <c r="HQ23" s="965"/>
      <c r="HR23" s="965"/>
      <c r="HS23" s="965"/>
      <c r="HT23" s="965"/>
      <c r="HU23" s="965"/>
      <c r="HV23" s="965"/>
      <c r="HW23" s="965"/>
      <c r="HX23" s="965"/>
      <c r="HY23" s="965"/>
      <c r="HZ23" s="965"/>
      <c r="IA23" s="965"/>
      <c r="IB23" s="965"/>
      <c r="IC23" s="965"/>
      <c r="ID23" s="965"/>
      <c r="IE23" s="965"/>
      <c r="IF23" s="965"/>
      <c r="IG23" s="965"/>
      <c r="IH23" s="965"/>
      <c r="II23" s="965"/>
    </row>
    <row r="24" spans="3:243">
      <c r="C24" s="965"/>
      <c r="D24" s="965"/>
      <c r="E24" s="965"/>
      <c r="F24" s="965"/>
      <c r="G24" s="965"/>
      <c r="H24" s="965"/>
      <c r="I24" s="965"/>
      <c r="J24" s="965"/>
      <c r="K24" s="965"/>
      <c r="L24" s="965"/>
      <c r="M24" s="965"/>
      <c r="N24" s="965"/>
      <c r="O24" s="965"/>
      <c r="P24" s="965"/>
      <c r="Q24" s="965"/>
      <c r="R24" s="965"/>
      <c r="S24" s="965"/>
      <c r="T24" s="965"/>
      <c r="U24" s="965"/>
      <c r="V24" s="965"/>
      <c r="W24" s="965"/>
      <c r="X24" s="965"/>
      <c r="Y24" s="965"/>
      <c r="Z24" s="965"/>
      <c r="AA24" s="965"/>
      <c r="AB24" s="965"/>
      <c r="AC24" s="965"/>
      <c r="AD24" s="965"/>
      <c r="AE24" s="965"/>
      <c r="AF24" s="965"/>
      <c r="AG24" s="965"/>
      <c r="AH24" s="965"/>
      <c r="AI24" s="965"/>
      <c r="AJ24" s="965"/>
      <c r="AK24" s="965"/>
      <c r="AL24" s="965"/>
      <c r="AM24" s="965"/>
      <c r="AN24" s="965"/>
      <c r="AO24" s="965"/>
      <c r="AP24" s="965"/>
      <c r="AQ24" s="965"/>
      <c r="AR24" s="965"/>
      <c r="AS24" s="965"/>
      <c r="AT24" s="965"/>
      <c r="AU24" s="965"/>
      <c r="AV24" s="965"/>
      <c r="AW24" s="965"/>
      <c r="AX24" s="965"/>
      <c r="AY24" s="965"/>
      <c r="AZ24" s="965"/>
      <c r="BA24" s="965"/>
      <c r="BB24" s="965"/>
      <c r="BC24" s="965"/>
      <c r="BD24" s="965"/>
      <c r="BE24" s="965"/>
      <c r="BF24" s="965"/>
      <c r="BG24" s="965"/>
      <c r="BH24" s="965"/>
      <c r="BI24" s="965"/>
      <c r="BJ24" s="965"/>
      <c r="BK24" s="965"/>
      <c r="BL24" s="965"/>
      <c r="BM24" s="965"/>
      <c r="BN24" s="965"/>
      <c r="BO24" s="965"/>
      <c r="BP24" s="965"/>
      <c r="BQ24" s="965"/>
      <c r="BR24" s="965"/>
      <c r="BS24" s="965"/>
      <c r="BT24" s="965"/>
      <c r="BU24" s="965"/>
      <c r="BV24" s="965"/>
      <c r="BW24" s="965"/>
      <c r="BX24" s="965"/>
      <c r="BY24" s="965"/>
      <c r="BZ24" s="965"/>
      <c r="CA24" s="965"/>
      <c r="CB24" s="965"/>
      <c r="CC24" s="965"/>
      <c r="CD24" s="965"/>
      <c r="CE24" s="965"/>
      <c r="CF24" s="965"/>
      <c r="CG24" s="965"/>
      <c r="CH24" s="965"/>
      <c r="CI24" s="965"/>
      <c r="CJ24" s="965"/>
      <c r="CK24" s="965"/>
      <c r="CL24" s="965"/>
      <c r="CM24" s="965"/>
      <c r="CN24" s="965"/>
      <c r="CO24" s="965"/>
      <c r="CP24" s="965"/>
      <c r="CQ24" s="965"/>
      <c r="CR24" s="965"/>
      <c r="CS24" s="965"/>
      <c r="CT24" s="965"/>
      <c r="CU24" s="965"/>
      <c r="CV24" s="965"/>
      <c r="CW24" s="965"/>
      <c r="CX24" s="965"/>
      <c r="CY24" s="965"/>
      <c r="CZ24" s="965"/>
      <c r="DA24" s="965"/>
      <c r="DB24" s="965"/>
      <c r="DC24" s="965"/>
      <c r="DD24" s="965"/>
      <c r="DE24" s="965"/>
      <c r="DF24" s="965"/>
      <c r="DG24" s="965"/>
      <c r="DH24" s="965"/>
      <c r="DI24" s="965"/>
      <c r="DJ24" s="965"/>
      <c r="DK24" s="965"/>
      <c r="DL24" s="965"/>
      <c r="DM24" s="965"/>
      <c r="DN24" s="965"/>
      <c r="DO24" s="965"/>
      <c r="DP24" s="965"/>
      <c r="DQ24" s="965"/>
      <c r="DR24" s="965"/>
      <c r="DS24" s="965"/>
      <c r="DT24" s="965"/>
      <c r="DU24" s="965"/>
      <c r="DV24" s="965"/>
      <c r="DW24" s="965"/>
      <c r="DX24" s="965"/>
      <c r="DY24" s="965"/>
      <c r="DZ24" s="965"/>
      <c r="EA24" s="965"/>
      <c r="EB24" s="965"/>
      <c r="EC24" s="965"/>
      <c r="ED24" s="965"/>
      <c r="EE24" s="965"/>
      <c r="EF24" s="965"/>
      <c r="EG24" s="965"/>
      <c r="EH24" s="965"/>
      <c r="EI24" s="965"/>
      <c r="EJ24" s="965"/>
      <c r="EK24" s="965"/>
      <c r="EL24" s="965"/>
      <c r="EM24" s="965"/>
      <c r="EN24" s="965"/>
      <c r="EO24" s="965"/>
      <c r="EP24" s="965"/>
      <c r="EQ24" s="965"/>
      <c r="ER24" s="965"/>
      <c r="ES24" s="965"/>
      <c r="ET24" s="965"/>
      <c r="EU24" s="965"/>
      <c r="EV24" s="965"/>
      <c r="EW24" s="965"/>
      <c r="EX24" s="965"/>
      <c r="EY24" s="965"/>
      <c r="EZ24" s="965"/>
      <c r="FA24" s="965"/>
      <c r="FB24" s="965"/>
      <c r="FC24" s="965"/>
      <c r="FD24" s="965"/>
      <c r="FE24" s="965"/>
      <c r="FF24" s="965"/>
      <c r="FG24" s="965"/>
      <c r="FH24" s="965"/>
      <c r="FI24" s="965"/>
      <c r="FJ24" s="965"/>
      <c r="FK24" s="965"/>
      <c r="FL24" s="965"/>
      <c r="FM24" s="965"/>
      <c r="FN24" s="965"/>
      <c r="FO24" s="965"/>
      <c r="FP24" s="965"/>
      <c r="FQ24" s="965"/>
      <c r="FR24" s="965"/>
      <c r="FS24" s="965"/>
      <c r="FT24" s="965"/>
      <c r="FU24" s="965"/>
      <c r="FV24" s="965"/>
      <c r="FW24" s="965"/>
      <c r="FX24" s="965"/>
      <c r="FY24" s="965"/>
      <c r="FZ24" s="965"/>
      <c r="GA24" s="965"/>
      <c r="GB24" s="965"/>
      <c r="GC24" s="965"/>
      <c r="GD24" s="965"/>
      <c r="GE24" s="965"/>
      <c r="GF24" s="965"/>
      <c r="GG24" s="965"/>
      <c r="GH24" s="965"/>
      <c r="GI24" s="965"/>
      <c r="GJ24" s="965"/>
      <c r="GK24" s="965"/>
      <c r="GL24" s="965"/>
      <c r="GM24" s="965"/>
      <c r="GN24" s="965"/>
      <c r="GO24" s="965"/>
      <c r="GP24" s="965"/>
      <c r="GQ24" s="965"/>
      <c r="GR24" s="965"/>
      <c r="GS24" s="965"/>
      <c r="GT24" s="965"/>
      <c r="GU24" s="965"/>
      <c r="GV24" s="965"/>
      <c r="GW24" s="965"/>
      <c r="GX24" s="965"/>
      <c r="GY24" s="965"/>
      <c r="GZ24" s="965"/>
      <c r="HA24" s="965"/>
      <c r="HB24" s="965"/>
      <c r="HC24" s="965"/>
      <c r="HD24" s="965"/>
      <c r="HE24" s="965"/>
      <c r="HF24" s="965"/>
      <c r="HG24" s="965"/>
      <c r="HH24" s="965"/>
      <c r="HI24" s="965"/>
      <c r="HJ24" s="965"/>
      <c r="HK24" s="965"/>
      <c r="HL24" s="965"/>
      <c r="HM24" s="965"/>
      <c r="HN24" s="965"/>
      <c r="HO24" s="965"/>
      <c r="HP24" s="965"/>
      <c r="HQ24" s="965"/>
      <c r="HR24" s="965"/>
      <c r="HS24" s="965"/>
      <c r="HT24" s="965"/>
      <c r="HU24" s="965"/>
      <c r="HV24" s="965"/>
      <c r="HW24" s="965"/>
      <c r="HX24" s="965"/>
      <c r="HY24" s="965"/>
      <c r="HZ24" s="965"/>
      <c r="IA24" s="965"/>
      <c r="IB24" s="965"/>
      <c r="IC24" s="965"/>
      <c r="ID24" s="965"/>
      <c r="IE24" s="965"/>
      <c r="IF24" s="965"/>
      <c r="IG24" s="965"/>
      <c r="IH24" s="965"/>
      <c r="II24" s="965"/>
    </row>
    <row r="25" spans="3:243">
      <c r="C25" s="965"/>
      <c r="D25" s="965"/>
      <c r="E25" s="965"/>
      <c r="F25" s="965"/>
      <c r="G25" s="965"/>
      <c r="H25" s="965"/>
      <c r="I25" s="965"/>
      <c r="J25" s="965"/>
      <c r="K25" s="965"/>
      <c r="L25" s="965"/>
      <c r="M25" s="965"/>
      <c r="N25" s="965"/>
      <c r="O25" s="965"/>
      <c r="P25" s="965"/>
      <c r="Q25" s="965"/>
      <c r="R25" s="965"/>
      <c r="S25" s="965"/>
      <c r="T25" s="965"/>
      <c r="U25" s="965"/>
      <c r="V25" s="965"/>
      <c r="W25" s="965"/>
      <c r="X25" s="965"/>
      <c r="Y25" s="965"/>
      <c r="Z25" s="965"/>
      <c r="AA25" s="965"/>
      <c r="AB25" s="965"/>
      <c r="AC25" s="965"/>
      <c r="AD25" s="965"/>
      <c r="AE25" s="965"/>
      <c r="AF25" s="965"/>
      <c r="AG25" s="965"/>
      <c r="AH25" s="965"/>
      <c r="AI25" s="965"/>
      <c r="AJ25" s="965"/>
      <c r="AK25" s="965"/>
      <c r="AL25" s="965"/>
      <c r="AM25" s="965"/>
      <c r="AN25" s="965"/>
      <c r="AO25" s="965"/>
      <c r="AP25" s="965"/>
      <c r="AQ25" s="965"/>
      <c r="AR25" s="965"/>
      <c r="AS25" s="965"/>
      <c r="AT25" s="965"/>
      <c r="AU25" s="965"/>
      <c r="AV25" s="965"/>
      <c r="AW25" s="965"/>
      <c r="AX25" s="965"/>
      <c r="AY25" s="965"/>
      <c r="AZ25" s="965"/>
      <c r="BA25" s="965"/>
      <c r="BB25" s="965"/>
      <c r="BC25" s="965"/>
      <c r="BD25" s="965"/>
      <c r="BE25" s="965"/>
      <c r="BF25" s="965"/>
      <c r="BG25" s="965"/>
      <c r="BH25" s="965"/>
      <c r="BI25" s="965"/>
      <c r="BJ25" s="965"/>
      <c r="BK25" s="965"/>
      <c r="BL25" s="965"/>
      <c r="BM25" s="965"/>
      <c r="BN25" s="965"/>
      <c r="BO25" s="965"/>
      <c r="BP25" s="965"/>
      <c r="BQ25" s="965"/>
      <c r="BR25" s="965"/>
      <c r="BS25" s="965"/>
      <c r="BT25" s="965"/>
      <c r="BU25" s="965"/>
      <c r="BV25" s="965"/>
      <c r="BW25" s="965"/>
      <c r="BX25" s="965"/>
      <c r="BY25" s="965"/>
      <c r="BZ25" s="965"/>
      <c r="CA25" s="965"/>
      <c r="CB25" s="965"/>
      <c r="CC25" s="965"/>
      <c r="CD25" s="965"/>
      <c r="CE25" s="965"/>
      <c r="CF25" s="965"/>
      <c r="CG25" s="965"/>
      <c r="CH25" s="965"/>
      <c r="CI25" s="965"/>
      <c r="CJ25" s="965"/>
      <c r="CK25" s="965"/>
      <c r="CL25" s="965"/>
      <c r="CM25" s="965"/>
      <c r="CN25" s="965"/>
      <c r="CO25" s="965"/>
      <c r="CP25" s="965"/>
      <c r="CQ25" s="965"/>
      <c r="CR25" s="965"/>
      <c r="CS25" s="965"/>
      <c r="CT25" s="965"/>
      <c r="CU25" s="965"/>
      <c r="CV25" s="965"/>
      <c r="CW25" s="965"/>
      <c r="CX25" s="965"/>
      <c r="CY25" s="965"/>
      <c r="CZ25" s="965"/>
      <c r="DA25" s="965"/>
      <c r="DB25" s="965"/>
      <c r="DC25" s="965"/>
      <c r="DD25" s="965"/>
      <c r="DE25" s="965"/>
      <c r="DF25" s="965"/>
      <c r="DG25" s="965"/>
      <c r="DH25" s="965"/>
      <c r="DI25" s="965"/>
      <c r="DJ25" s="965"/>
      <c r="DK25" s="965"/>
      <c r="DL25" s="965"/>
      <c r="DM25" s="965"/>
      <c r="DN25" s="965"/>
      <c r="DO25" s="965"/>
      <c r="DP25" s="965"/>
      <c r="DQ25" s="965"/>
      <c r="DR25" s="965"/>
      <c r="DS25" s="965"/>
      <c r="DT25" s="965"/>
      <c r="DU25" s="965"/>
      <c r="DV25" s="965"/>
      <c r="DW25" s="965"/>
      <c r="DX25" s="965"/>
      <c r="DY25" s="965"/>
      <c r="DZ25" s="965"/>
      <c r="EA25" s="965"/>
      <c r="EB25" s="965"/>
      <c r="EC25" s="965"/>
      <c r="ED25" s="965"/>
      <c r="EE25" s="965"/>
      <c r="EF25" s="965"/>
      <c r="EG25" s="965"/>
      <c r="EH25" s="965"/>
      <c r="EI25" s="965"/>
      <c r="EJ25" s="965"/>
      <c r="EK25" s="965"/>
      <c r="EL25" s="965"/>
      <c r="EM25" s="965"/>
      <c r="EN25" s="965"/>
      <c r="EO25" s="965"/>
      <c r="EP25" s="965"/>
      <c r="EQ25" s="965"/>
      <c r="ER25" s="965"/>
      <c r="ES25" s="965"/>
      <c r="ET25" s="965"/>
      <c r="EU25" s="965"/>
      <c r="EV25" s="965"/>
      <c r="EW25" s="965"/>
      <c r="EX25" s="965"/>
      <c r="EY25" s="965"/>
      <c r="EZ25" s="965"/>
      <c r="FA25" s="965"/>
      <c r="FB25" s="965"/>
      <c r="FC25" s="965"/>
      <c r="FD25" s="965"/>
      <c r="FE25" s="965"/>
      <c r="FF25" s="965"/>
      <c r="FG25" s="965"/>
      <c r="FH25" s="965"/>
      <c r="FI25" s="965"/>
      <c r="FJ25" s="965"/>
      <c r="FK25" s="965"/>
      <c r="FL25" s="965"/>
      <c r="FM25" s="965"/>
      <c r="FN25" s="965"/>
      <c r="FO25" s="965"/>
      <c r="FP25" s="965"/>
      <c r="FQ25" s="965"/>
      <c r="FR25" s="965"/>
      <c r="FS25" s="965"/>
      <c r="FT25" s="965"/>
      <c r="FU25" s="965"/>
      <c r="FV25" s="965"/>
      <c r="FW25" s="965"/>
      <c r="FX25" s="965"/>
      <c r="FY25" s="965"/>
      <c r="FZ25" s="965"/>
      <c r="GA25" s="965"/>
      <c r="GB25" s="965"/>
      <c r="GC25" s="965"/>
      <c r="GD25" s="965"/>
      <c r="GE25" s="965"/>
      <c r="GF25" s="965"/>
      <c r="GG25" s="965"/>
      <c r="GH25" s="965"/>
      <c r="GI25" s="965"/>
      <c r="GJ25" s="965"/>
      <c r="GK25" s="965"/>
      <c r="GL25" s="965"/>
      <c r="GM25" s="965"/>
      <c r="GN25" s="965"/>
      <c r="GO25" s="965"/>
      <c r="GP25" s="965"/>
      <c r="GQ25" s="965"/>
      <c r="GR25" s="965"/>
      <c r="GS25" s="965"/>
      <c r="GT25" s="965"/>
      <c r="GU25" s="965"/>
      <c r="GV25" s="965"/>
      <c r="GW25" s="965"/>
      <c r="GX25" s="965"/>
      <c r="GY25" s="965"/>
      <c r="GZ25" s="965"/>
      <c r="HA25" s="965"/>
      <c r="HB25" s="965"/>
      <c r="HC25" s="965"/>
      <c r="HD25" s="965"/>
      <c r="HE25" s="965"/>
      <c r="HF25" s="965"/>
      <c r="HG25" s="965"/>
      <c r="HH25" s="965"/>
      <c r="HI25" s="965"/>
      <c r="HJ25" s="965"/>
      <c r="HK25" s="965"/>
      <c r="HL25" s="965"/>
      <c r="HM25" s="965"/>
      <c r="HN25" s="965"/>
      <c r="HO25" s="965"/>
      <c r="HP25" s="965"/>
      <c r="HQ25" s="965"/>
      <c r="HR25" s="965"/>
      <c r="HS25" s="965"/>
      <c r="HT25" s="965"/>
      <c r="HU25" s="965"/>
      <c r="HV25" s="965"/>
      <c r="HW25" s="965"/>
      <c r="HX25" s="965"/>
      <c r="HY25" s="965"/>
      <c r="HZ25" s="965"/>
      <c r="IA25" s="965"/>
      <c r="IB25" s="965"/>
      <c r="IC25" s="965"/>
      <c r="ID25" s="965"/>
      <c r="IE25" s="965"/>
      <c r="IF25" s="965"/>
      <c r="IG25" s="965"/>
      <c r="IH25" s="965"/>
      <c r="II25" s="965"/>
    </row>
    <row r="26" spans="3:243">
      <c r="C26" s="965"/>
      <c r="D26" s="965"/>
      <c r="E26" s="965"/>
      <c r="F26" s="965"/>
      <c r="G26" s="965"/>
      <c r="H26" s="965"/>
      <c r="I26" s="965"/>
      <c r="J26" s="965"/>
      <c r="K26" s="965"/>
      <c r="L26" s="965"/>
      <c r="M26" s="965"/>
      <c r="N26" s="965"/>
      <c r="O26" s="965"/>
      <c r="P26" s="965"/>
      <c r="Q26" s="965"/>
      <c r="R26" s="965"/>
      <c r="S26" s="965"/>
      <c r="T26" s="965"/>
      <c r="U26" s="965"/>
      <c r="V26" s="965"/>
      <c r="W26" s="965"/>
      <c r="X26" s="965"/>
      <c r="Y26" s="965"/>
      <c r="Z26" s="965"/>
      <c r="AA26" s="965"/>
      <c r="AB26" s="965"/>
      <c r="AC26" s="965"/>
      <c r="AD26" s="965"/>
      <c r="AE26" s="965"/>
      <c r="AF26" s="965"/>
      <c r="AG26" s="965"/>
      <c r="AH26" s="965"/>
      <c r="AI26" s="965"/>
      <c r="AJ26" s="965"/>
      <c r="AK26" s="965"/>
      <c r="AL26" s="965"/>
      <c r="AM26" s="965"/>
      <c r="AN26" s="965"/>
      <c r="AO26" s="965"/>
      <c r="AP26" s="965"/>
      <c r="AQ26" s="965"/>
      <c r="AR26" s="965"/>
      <c r="AS26" s="965"/>
      <c r="AT26" s="965"/>
      <c r="AU26" s="965"/>
      <c r="AV26" s="965"/>
      <c r="AW26" s="965"/>
      <c r="AX26" s="965"/>
      <c r="AY26" s="965"/>
      <c r="AZ26" s="965"/>
      <c r="BA26" s="965"/>
      <c r="BB26" s="965"/>
      <c r="BC26" s="965"/>
      <c r="BD26" s="965"/>
      <c r="BE26" s="965"/>
      <c r="BF26" s="965"/>
      <c r="BG26" s="965"/>
      <c r="BH26" s="965"/>
      <c r="BI26" s="965"/>
      <c r="BJ26" s="965"/>
      <c r="BK26" s="965"/>
      <c r="BL26" s="965"/>
      <c r="BM26" s="965"/>
      <c r="BN26" s="965"/>
      <c r="BO26" s="965"/>
      <c r="BP26" s="965"/>
      <c r="BQ26" s="965"/>
      <c r="BR26" s="965"/>
      <c r="BS26" s="965"/>
      <c r="BT26" s="965"/>
      <c r="BU26" s="965"/>
      <c r="BV26" s="965"/>
      <c r="BW26" s="965"/>
      <c r="BX26" s="965"/>
      <c r="BY26" s="965"/>
      <c r="BZ26" s="965"/>
      <c r="CA26" s="965"/>
      <c r="CB26" s="965"/>
      <c r="CC26" s="965"/>
      <c r="CD26" s="965"/>
      <c r="CE26" s="965"/>
      <c r="CF26" s="965"/>
      <c r="CG26" s="965"/>
      <c r="CH26" s="965"/>
      <c r="CI26" s="965"/>
      <c r="CJ26" s="965"/>
      <c r="CK26" s="965"/>
      <c r="CL26" s="965"/>
      <c r="CM26" s="965"/>
      <c r="CN26" s="965"/>
      <c r="CO26" s="965"/>
      <c r="CP26" s="965"/>
      <c r="CQ26" s="965"/>
      <c r="CR26" s="965"/>
      <c r="CS26" s="965"/>
      <c r="CT26" s="965"/>
      <c r="CU26" s="965"/>
      <c r="CV26" s="965"/>
      <c r="CW26" s="965"/>
      <c r="CX26" s="965"/>
      <c r="CY26" s="965"/>
      <c r="CZ26" s="965"/>
      <c r="DA26" s="965"/>
      <c r="DB26" s="965"/>
      <c r="DC26" s="965"/>
      <c r="DD26" s="965"/>
      <c r="DE26" s="965"/>
      <c r="DF26" s="965"/>
      <c r="DG26" s="965"/>
      <c r="DH26" s="965"/>
      <c r="DI26" s="965"/>
      <c r="DJ26" s="965"/>
      <c r="DK26" s="965"/>
      <c r="DL26" s="965"/>
      <c r="DM26" s="965"/>
      <c r="DN26" s="965"/>
      <c r="DO26" s="965"/>
      <c r="DP26" s="965"/>
      <c r="DQ26" s="965"/>
      <c r="DR26" s="965"/>
      <c r="DS26" s="965"/>
      <c r="DT26" s="965"/>
      <c r="DU26" s="965"/>
      <c r="DV26" s="965"/>
      <c r="DW26" s="965"/>
      <c r="DX26" s="965"/>
      <c r="DY26" s="965"/>
      <c r="DZ26" s="965"/>
      <c r="EA26" s="965"/>
      <c r="EB26" s="965"/>
      <c r="EC26" s="965"/>
      <c r="ED26" s="965"/>
      <c r="EE26" s="965"/>
      <c r="EF26" s="965"/>
      <c r="EG26" s="965"/>
      <c r="EH26" s="965"/>
      <c r="EI26" s="965"/>
      <c r="EJ26" s="965"/>
      <c r="EK26" s="965"/>
      <c r="EL26" s="965"/>
      <c r="EM26" s="965"/>
      <c r="EN26" s="965"/>
      <c r="EO26" s="965"/>
      <c r="EP26" s="965"/>
      <c r="EQ26" s="965"/>
      <c r="ER26" s="965"/>
      <c r="ES26" s="965"/>
      <c r="ET26" s="965"/>
      <c r="EU26" s="965"/>
      <c r="EV26" s="965"/>
      <c r="EW26" s="965"/>
      <c r="EX26" s="965"/>
      <c r="EY26" s="965"/>
      <c r="EZ26" s="965"/>
      <c r="FA26" s="965"/>
      <c r="FB26" s="965"/>
      <c r="FC26" s="965"/>
      <c r="FD26" s="965"/>
      <c r="FE26" s="965"/>
      <c r="FF26" s="965"/>
      <c r="FG26" s="965"/>
      <c r="FH26" s="965"/>
      <c r="FI26" s="965"/>
      <c r="FJ26" s="965"/>
      <c r="FK26" s="965"/>
      <c r="FL26" s="965"/>
      <c r="FM26" s="965"/>
      <c r="FN26" s="965"/>
      <c r="FO26" s="965"/>
      <c r="FP26" s="965"/>
      <c r="FQ26" s="965"/>
      <c r="FR26" s="965"/>
      <c r="FS26" s="965"/>
      <c r="FT26" s="965"/>
      <c r="FU26" s="965"/>
      <c r="FV26" s="965"/>
      <c r="FW26" s="965"/>
      <c r="FX26" s="965"/>
      <c r="FY26" s="965"/>
      <c r="FZ26" s="965"/>
      <c r="GA26" s="965"/>
      <c r="GB26" s="965"/>
      <c r="GC26" s="965"/>
      <c r="GD26" s="965"/>
      <c r="GE26" s="965"/>
      <c r="GF26" s="965"/>
      <c r="GG26" s="965"/>
      <c r="GH26" s="965"/>
      <c r="GI26" s="965"/>
      <c r="GJ26" s="965"/>
      <c r="GK26" s="965"/>
      <c r="GL26" s="965"/>
      <c r="GM26" s="965"/>
      <c r="GN26" s="965"/>
      <c r="GO26" s="965"/>
      <c r="GP26" s="965"/>
      <c r="GQ26" s="965"/>
      <c r="GR26" s="965"/>
      <c r="GS26" s="965"/>
      <c r="GT26" s="965"/>
      <c r="GU26" s="965"/>
      <c r="GV26" s="965"/>
      <c r="GW26" s="965"/>
      <c r="GX26" s="965"/>
      <c r="GY26" s="965"/>
      <c r="GZ26" s="965"/>
      <c r="HA26" s="965"/>
      <c r="HB26" s="965"/>
      <c r="HC26" s="965"/>
      <c r="HD26" s="965"/>
      <c r="HE26" s="965"/>
      <c r="HF26" s="965"/>
      <c r="HG26" s="965"/>
      <c r="HH26" s="965"/>
      <c r="HI26" s="965"/>
      <c r="HJ26" s="965"/>
      <c r="HK26" s="965"/>
      <c r="HL26" s="965"/>
      <c r="HM26" s="965"/>
      <c r="HN26" s="965"/>
      <c r="HO26" s="965"/>
      <c r="HP26" s="965"/>
      <c r="HQ26" s="965"/>
      <c r="HR26" s="965"/>
      <c r="HS26" s="965"/>
      <c r="HT26" s="965"/>
      <c r="HU26" s="965"/>
      <c r="HV26" s="965"/>
      <c r="HW26" s="965"/>
      <c r="HX26" s="965"/>
      <c r="HY26" s="965"/>
      <c r="HZ26" s="965"/>
      <c r="IA26" s="965"/>
      <c r="IB26" s="965"/>
      <c r="IC26" s="965"/>
      <c r="ID26" s="965"/>
      <c r="IE26" s="965"/>
      <c r="IF26" s="965"/>
      <c r="IG26" s="965"/>
      <c r="IH26" s="965"/>
      <c r="II26" s="965"/>
    </row>
    <row r="27" spans="3:243">
      <c r="C27" s="965"/>
      <c r="D27" s="965"/>
      <c r="E27" s="965"/>
      <c r="F27" s="965"/>
      <c r="G27" s="965"/>
      <c r="H27" s="965"/>
      <c r="I27" s="965"/>
      <c r="J27" s="965"/>
      <c r="K27" s="965"/>
      <c r="L27" s="965"/>
      <c r="M27" s="965"/>
      <c r="N27" s="965"/>
      <c r="O27" s="965"/>
      <c r="P27" s="965"/>
      <c r="Q27" s="965"/>
      <c r="R27" s="965"/>
      <c r="S27" s="965"/>
      <c r="T27" s="965"/>
      <c r="U27" s="965"/>
      <c r="V27" s="965"/>
      <c r="W27" s="965"/>
      <c r="X27" s="965"/>
      <c r="Y27" s="965"/>
      <c r="Z27" s="965"/>
      <c r="AA27" s="965"/>
      <c r="AB27" s="965"/>
      <c r="AC27" s="965"/>
      <c r="AD27" s="965"/>
      <c r="AE27" s="965"/>
      <c r="AF27" s="965"/>
      <c r="AG27" s="965"/>
      <c r="AH27" s="965"/>
      <c r="AI27" s="965"/>
      <c r="AJ27" s="965"/>
      <c r="AK27" s="965"/>
      <c r="AL27" s="965"/>
      <c r="AM27" s="965"/>
      <c r="AN27" s="965"/>
      <c r="AO27" s="965"/>
      <c r="AP27" s="965"/>
      <c r="AQ27" s="965"/>
      <c r="AR27" s="965"/>
      <c r="AS27" s="965"/>
      <c r="AT27" s="965"/>
      <c r="AU27" s="965"/>
      <c r="AV27" s="965"/>
      <c r="AW27" s="965"/>
      <c r="AX27" s="965"/>
      <c r="AY27" s="965"/>
      <c r="AZ27" s="965"/>
      <c r="BA27" s="965"/>
      <c r="BB27" s="965"/>
      <c r="BC27" s="965"/>
      <c r="BD27" s="965"/>
      <c r="BE27" s="965"/>
      <c r="BF27" s="965"/>
      <c r="BG27" s="965"/>
      <c r="BH27" s="965"/>
      <c r="BI27" s="965"/>
      <c r="BJ27" s="965"/>
      <c r="BK27" s="965"/>
      <c r="BL27" s="965"/>
      <c r="BM27" s="965"/>
      <c r="BN27" s="965"/>
      <c r="BO27" s="965"/>
      <c r="BP27" s="965"/>
      <c r="BQ27" s="965"/>
      <c r="BR27" s="965"/>
      <c r="BS27" s="965"/>
      <c r="BT27" s="965"/>
      <c r="BU27" s="965"/>
      <c r="BV27" s="965"/>
      <c r="BW27" s="965"/>
      <c r="BX27" s="965"/>
      <c r="BY27" s="965"/>
      <c r="BZ27" s="965"/>
      <c r="CA27" s="965"/>
      <c r="CB27" s="965"/>
      <c r="CC27" s="965"/>
      <c r="CD27" s="965"/>
      <c r="CE27" s="965"/>
      <c r="CF27" s="965"/>
      <c r="CG27" s="965"/>
      <c r="CH27" s="965"/>
      <c r="CI27" s="965"/>
      <c r="CJ27" s="965"/>
      <c r="CK27" s="965"/>
      <c r="CL27" s="965"/>
      <c r="CM27" s="965"/>
      <c r="CN27" s="965"/>
      <c r="CO27" s="965"/>
      <c r="CP27" s="965"/>
      <c r="CQ27" s="965"/>
      <c r="CR27" s="965"/>
      <c r="CS27" s="965"/>
      <c r="CT27" s="965"/>
      <c r="CU27" s="965"/>
      <c r="CV27" s="965"/>
      <c r="CW27" s="965"/>
      <c r="CX27" s="965"/>
      <c r="CY27" s="965"/>
      <c r="CZ27" s="965"/>
      <c r="DA27" s="965"/>
      <c r="DB27" s="965"/>
      <c r="DC27" s="965"/>
      <c r="DD27" s="965"/>
      <c r="DE27" s="965"/>
      <c r="DF27" s="965"/>
      <c r="DG27" s="965"/>
      <c r="DH27" s="965"/>
      <c r="DI27" s="965"/>
      <c r="DJ27" s="965"/>
      <c r="DK27" s="965"/>
      <c r="DL27" s="965"/>
      <c r="DM27" s="965"/>
      <c r="DN27" s="965"/>
      <c r="DO27" s="965"/>
      <c r="DP27" s="965"/>
      <c r="DQ27" s="965"/>
      <c r="DR27" s="965"/>
      <c r="DS27" s="965"/>
      <c r="DT27" s="965"/>
      <c r="DU27" s="965"/>
      <c r="DV27" s="965"/>
      <c r="DW27" s="965"/>
      <c r="DX27" s="965"/>
      <c r="DY27" s="965"/>
      <c r="DZ27" s="965"/>
      <c r="EA27" s="965"/>
      <c r="EB27" s="965"/>
      <c r="EC27" s="965"/>
      <c r="ED27" s="965"/>
      <c r="EE27" s="965"/>
      <c r="EF27" s="965"/>
      <c r="EG27" s="965"/>
      <c r="EH27" s="965"/>
      <c r="EI27" s="965"/>
      <c r="EJ27" s="965"/>
      <c r="EK27" s="965"/>
      <c r="EL27" s="965"/>
      <c r="EM27" s="965"/>
      <c r="EN27" s="965"/>
      <c r="EO27" s="965"/>
      <c r="EP27" s="965"/>
      <c r="EQ27" s="965"/>
      <c r="ER27" s="965"/>
      <c r="ES27" s="965"/>
      <c r="ET27" s="965"/>
      <c r="EU27" s="965"/>
      <c r="EV27" s="965"/>
      <c r="EW27" s="965"/>
      <c r="EX27" s="965"/>
      <c r="EY27" s="965"/>
      <c r="EZ27" s="965"/>
      <c r="FA27" s="965"/>
      <c r="FB27" s="965"/>
      <c r="FC27" s="965"/>
      <c r="FD27" s="965"/>
      <c r="FE27" s="965"/>
      <c r="FF27" s="965"/>
      <c r="FG27" s="965"/>
      <c r="FH27" s="965"/>
      <c r="FI27" s="965"/>
      <c r="FJ27" s="965"/>
      <c r="FK27" s="965"/>
      <c r="FL27" s="965"/>
      <c r="FM27" s="965"/>
      <c r="FN27" s="965"/>
      <c r="FO27" s="965"/>
      <c r="FP27" s="965"/>
      <c r="FQ27" s="965"/>
      <c r="FR27" s="965"/>
      <c r="FS27" s="965"/>
      <c r="FT27" s="965"/>
      <c r="FU27" s="965"/>
      <c r="FV27" s="965"/>
      <c r="FW27" s="965"/>
      <c r="FX27" s="965"/>
      <c r="FY27" s="965"/>
      <c r="FZ27" s="965"/>
      <c r="GA27" s="965"/>
      <c r="GB27" s="965"/>
      <c r="GC27" s="965"/>
      <c r="GD27" s="965"/>
      <c r="GE27" s="965"/>
      <c r="GF27" s="965"/>
      <c r="GG27" s="965"/>
      <c r="GH27" s="965"/>
      <c r="GI27" s="965"/>
      <c r="GJ27" s="965"/>
      <c r="GK27" s="965"/>
      <c r="GL27" s="965"/>
      <c r="GM27" s="965"/>
      <c r="GN27" s="965"/>
      <c r="GO27" s="965"/>
      <c r="GP27" s="965"/>
      <c r="GQ27" s="965"/>
      <c r="GR27" s="965"/>
      <c r="GS27" s="965"/>
      <c r="GT27" s="965"/>
      <c r="GU27" s="965"/>
      <c r="GV27" s="965"/>
      <c r="GW27" s="965"/>
      <c r="GX27" s="965"/>
      <c r="GY27" s="965"/>
      <c r="GZ27" s="965"/>
      <c r="HA27" s="965"/>
      <c r="HB27" s="965"/>
      <c r="HC27" s="965"/>
      <c r="HD27" s="965"/>
      <c r="HE27" s="965"/>
      <c r="HF27" s="965"/>
      <c r="HG27" s="965"/>
      <c r="HH27" s="965"/>
      <c r="HI27" s="965"/>
      <c r="HJ27" s="965"/>
      <c r="HK27" s="965"/>
      <c r="HL27" s="965"/>
      <c r="HM27" s="965"/>
      <c r="HN27" s="965"/>
      <c r="HO27" s="965"/>
      <c r="HP27" s="965"/>
      <c r="HQ27" s="965"/>
      <c r="HR27" s="965"/>
      <c r="HS27" s="965"/>
      <c r="HT27" s="965"/>
      <c r="HU27" s="965"/>
      <c r="HV27" s="965"/>
      <c r="HW27" s="965"/>
      <c r="HX27" s="965"/>
      <c r="HY27" s="965"/>
      <c r="HZ27" s="965"/>
      <c r="IA27" s="965"/>
      <c r="IB27" s="965"/>
      <c r="IC27" s="965"/>
      <c r="ID27" s="965"/>
      <c r="IE27" s="965"/>
      <c r="IF27" s="965"/>
      <c r="IG27" s="965"/>
      <c r="IH27" s="965"/>
      <c r="II27" s="965"/>
    </row>
    <row r="28" spans="3:243">
      <c r="C28" s="965"/>
      <c r="D28" s="965"/>
      <c r="E28" s="965"/>
      <c r="F28" s="965"/>
      <c r="G28" s="965"/>
      <c r="H28" s="965"/>
      <c r="I28" s="965"/>
      <c r="J28" s="965"/>
      <c r="K28" s="965"/>
      <c r="L28" s="965"/>
      <c r="M28" s="965"/>
      <c r="N28" s="965"/>
      <c r="O28" s="965"/>
      <c r="P28" s="965"/>
      <c r="Q28" s="965"/>
      <c r="R28" s="965"/>
      <c r="S28" s="965"/>
      <c r="T28" s="965"/>
      <c r="U28" s="965"/>
      <c r="V28" s="965"/>
      <c r="W28" s="965"/>
      <c r="X28" s="965"/>
      <c r="Y28" s="965"/>
      <c r="Z28" s="965"/>
      <c r="AA28" s="965"/>
      <c r="AB28" s="965"/>
      <c r="AC28" s="965"/>
      <c r="AD28" s="965"/>
      <c r="AE28" s="965"/>
      <c r="AF28" s="965"/>
      <c r="AG28" s="965"/>
      <c r="AH28" s="965"/>
      <c r="AI28" s="965"/>
      <c r="AJ28" s="965"/>
      <c r="AK28" s="965"/>
      <c r="AL28" s="965"/>
      <c r="AM28" s="965"/>
      <c r="AN28" s="965"/>
      <c r="AO28" s="965"/>
      <c r="AP28" s="965"/>
      <c r="AQ28" s="965"/>
      <c r="AR28" s="965"/>
      <c r="AS28" s="965"/>
      <c r="AT28" s="965"/>
      <c r="AU28" s="965"/>
      <c r="AV28" s="965"/>
      <c r="AW28" s="965"/>
      <c r="AX28" s="965"/>
      <c r="AY28" s="965"/>
      <c r="AZ28" s="965"/>
      <c r="BA28" s="965"/>
      <c r="BB28" s="965"/>
      <c r="BC28" s="965"/>
      <c r="BD28" s="965"/>
      <c r="BE28" s="965"/>
      <c r="BF28" s="965"/>
      <c r="BG28" s="965"/>
      <c r="BH28" s="965"/>
      <c r="BI28" s="965"/>
      <c r="BJ28" s="965"/>
      <c r="BK28" s="965"/>
      <c r="BL28" s="965"/>
      <c r="BM28" s="965"/>
      <c r="BN28" s="965"/>
      <c r="BO28" s="965"/>
      <c r="BP28" s="965"/>
      <c r="BQ28" s="965"/>
      <c r="BR28" s="965"/>
      <c r="BS28" s="965"/>
      <c r="BT28" s="965"/>
      <c r="BU28" s="965"/>
      <c r="BV28" s="965"/>
      <c r="BW28" s="965"/>
      <c r="BX28" s="965"/>
      <c r="BY28" s="965"/>
      <c r="BZ28" s="965"/>
      <c r="CA28" s="965"/>
      <c r="CB28" s="965"/>
      <c r="CC28" s="965"/>
      <c r="CD28" s="965"/>
      <c r="CE28" s="965"/>
      <c r="CF28" s="965"/>
      <c r="CG28" s="965"/>
      <c r="CH28" s="965"/>
      <c r="CI28" s="965"/>
      <c r="CJ28" s="965"/>
      <c r="CK28" s="965"/>
      <c r="CL28" s="965"/>
      <c r="CM28" s="965"/>
      <c r="CN28" s="965"/>
      <c r="CO28" s="965"/>
      <c r="CP28" s="965"/>
      <c r="CQ28" s="965"/>
      <c r="CR28" s="965"/>
      <c r="CS28" s="965"/>
      <c r="CT28" s="965"/>
      <c r="CU28" s="965"/>
      <c r="CV28" s="965"/>
      <c r="CW28" s="965"/>
      <c r="CX28" s="965"/>
      <c r="CY28" s="965"/>
      <c r="CZ28" s="965"/>
      <c r="DA28" s="965"/>
      <c r="DB28" s="965"/>
      <c r="DC28" s="965"/>
      <c r="DD28" s="965"/>
      <c r="DE28" s="965"/>
      <c r="DF28" s="965"/>
      <c r="DG28" s="965"/>
      <c r="DH28" s="965"/>
      <c r="DI28" s="965"/>
      <c r="DJ28" s="965"/>
      <c r="DK28" s="965"/>
      <c r="DL28" s="965"/>
      <c r="DM28" s="965"/>
      <c r="DN28" s="965"/>
      <c r="DO28" s="965"/>
      <c r="DP28" s="965"/>
      <c r="DQ28" s="965"/>
      <c r="DR28" s="965"/>
      <c r="DS28" s="965"/>
      <c r="DT28" s="965"/>
      <c r="DU28" s="965"/>
      <c r="DV28" s="965"/>
      <c r="DW28" s="965"/>
      <c r="DX28" s="965"/>
      <c r="DY28" s="965"/>
      <c r="DZ28" s="965"/>
      <c r="EA28" s="965"/>
      <c r="EB28" s="965"/>
      <c r="EC28" s="965"/>
      <c r="ED28" s="965"/>
      <c r="EE28" s="965"/>
      <c r="EF28" s="965"/>
      <c r="EG28" s="965"/>
      <c r="EH28" s="965"/>
      <c r="EI28" s="965"/>
      <c r="EJ28" s="965"/>
      <c r="EK28" s="965"/>
      <c r="EL28" s="965"/>
      <c r="EM28" s="965"/>
      <c r="EN28" s="965"/>
      <c r="EO28" s="965"/>
      <c r="EP28" s="965"/>
      <c r="EQ28" s="965"/>
      <c r="ER28" s="965"/>
      <c r="ES28" s="965"/>
      <c r="ET28" s="965"/>
      <c r="EU28" s="965"/>
      <c r="EV28" s="965"/>
      <c r="EW28" s="965"/>
      <c r="EX28" s="965"/>
      <c r="EY28" s="965"/>
      <c r="EZ28" s="965"/>
      <c r="FA28" s="965"/>
      <c r="FB28" s="965"/>
      <c r="FC28" s="965"/>
      <c r="FD28" s="965"/>
      <c r="FE28" s="965"/>
      <c r="FF28" s="965"/>
      <c r="FG28" s="965"/>
      <c r="FH28" s="965"/>
      <c r="FI28" s="965"/>
      <c r="FJ28" s="965"/>
      <c r="FK28" s="965"/>
      <c r="FL28" s="965"/>
      <c r="FM28" s="965"/>
      <c r="FN28" s="965"/>
      <c r="FO28" s="965"/>
      <c r="FP28" s="965"/>
      <c r="FQ28" s="965"/>
      <c r="FR28" s="965"/>
      <c r="FS28" s="965"/>
      <c r="FT28" s="965"/>
      <c r="FU28" s="965"/>
      <c r="FV28" s="965"/>
      <c r="FW28" s="965"/>
      <c r="FX28" s="965"/>
      <c r="FY28" s="965"/>
      <c r="FZ28" s="965"/>
      <c r="GA28" s="965"/>
      <c r="GB28" s="965"/>
      <c r="GC28" s="965"/>
      <c r="GD28" s="965"/>
      <c r="GE28" s="965"/>
      <c r="GF28" s="965"/>
      <c r="GG28" s="965"/>
      <c r="GH28" s="965"/>
      <c r="GI28" s="965"/>
      <c r="GJ28" s="965"/>
      <c r="GK28" s="965"/>
      <c r="GL28" s="965"/>
      <c r="GM28" s="965"/>
      <c r="GN28" s="965"/>
      <c r="GO28" s="965"/>
      <c r="GP28" s="965"/>
      <c r="GQ28" s="965"/>
      <c r="GR28" s="965"/>
      <c r="GS28" s="965"/>
      <c r="GT28" s="965"/>
      <c r="GU28" s="965"/>
      <c r="GV28" s="965"/>
      <c r="GW28" s="965"/>
      <c r="GX28" s="965"/>
      <c r="GY28" s="965"/>
      <c r="GZ28" s="965"/>
      <c r="HA28" s="965"/>
      <c r="HB28" s="965"/>
      <c r="HC28" s="965"/>
      <c r="HD28" s="965"/>
      <c r="HE28" s="965"/>
      <c r="HF28" s="965"/>
      <c r="HG28" s="965"/>
      <c r="HH28" s="965"/>
      <c r="HI28" s="965"/>
      <c r="HJ28" s="965"/>
      <c r="HK28" s="965"/>
      <c r="HL28" s="965"/>
      <c r="HM28" s="965"/>
      <c r="HN28" s="965"/>
      <c r="HO28" s="965"/>
      <c r="HP28" s="965"/>
      <c r="HQ28" s="965"/>
      <c r="HR28" s="965"/>
      <c r="HS28" s="965"/>
      <c r="HT28" s="965"/>
      <c r="HU28" s="965"/>
      <c r="HV28" s="965"/>
      <c r="HW28" s="965"/>
      <c r="HX28" s="965"/>
      <c r="HY28" s="965"/>
      <c r="HZ28" s="965"/>
      <c r="IA28" s="965"/>
      <c r="IB28" s="965"/>
      <c r="IC28" s="965"/>
      <c r="ID28" s="965"/>
      <c r="IE28" s="965"/>
      <c r="IF28" s="965"/>
      <c r="IG28" s="965"/>
      <c r="IH28" s="965"/>
      <c r="II28" s="965"/>
    </row>
    <row r="29" spans="3:243">
      <c r="C29" s="965"/>
      <c r="D29" s="965"/>
      <c r="E29" s="965"/>
      <c r="F29" s="965"/>
      <c r="G29" s="965"/>
      <c r="H29" s="965"/>
      <c r="I29" s="965"/>
      <c r="J29" s="965"/>
      <c r="K29" s="965"/>
      <c r="L29" s="965"/>
      <c r="M29" s="965"/>
      <c r="N29" s="965"/>
      <c r="O29" s="965"/>
      <c r="P29" s="965"/>
      <c r="Q29" s="965"/>
      <c r="R29" s="965"/>
      <c r="S29" s="965"/>
      <c r="T29" s="965"/>
      <c r="U29" s="965"/>
      <c r="V29" s="965"/>
      <c r="W29" s="965"/>
      <c r="X29" s="965"/>
      <c r="Y29" s="965"/>
      <c r="Z29" s="965"/>
      <c r="AA29" s="965"/>
      <c r="AB29" s="965"/>
      <c r="AC29" s="965"/>
      <c r="AD29" s="965"/>
      <c r="AE29" s="965"/>
      <c r="AF29" s="965"/>
      <c r="AG29" s="965"/>
      <c r="AH29" s="965"/>
      <c r="AI29" s="965"/>
      <c r="AJ29" s="965"/>
      <c r="AK29" s="965"/>
      <c r="AL29" s="965"/>
      <c r="AM29" s="965"/>
      <c r="AN29" s="965"/>
      <c r="AO29" s="965"/>
      <c r="AP29" s="965"/>
      <c r="AQ29" s="965"/>
      <c r="AR29" s="965"/>
      <c r="AS29" s="965"/>
      <c r="AT29" s="965"/>
      <c r="AU29" s="965"/>
      <c r="AV29" s="965"/>
      <c r="AW29" s="965"/>
      <c r="AX29" s="965"/>
      <c r="AY29" s="965"/>
      <c r="AZ29" s="965"/>
      <c r="BA29" s="965"/>
      <c r="BB29" s="965"/>
      <c r="BC29" s="965"/>
      <c r="BD29" s="965"/>
      <c r="BE29" s="965"/>
      <c r="BF29" s="965"/>
      <c r="BG29" s="965"/>
      <c r="BH29" s="965"/>
      <c r="BI29" s="965"/>
      <c r="BJ29" s="965"/>
      <c r="BK29" s="965"/>
      <c r="BL29" s="965"/>
      <c r="BM29" s="965"/>
      <c r="BN29" s="965"/>
      <c r="BO29" s="965"/>
      <c r="BP29" s="965"/>
      <c r="BQ29" s="965"/>
      <c r="BR29" s="965"/>
      <c r="BS29" s="965"/>
      <c r="BT29" s="965"/>
      <c r="BU29" s="965"/>
      <c r="BV29" s="965"/>
      <c r="BW29" s="965"/>
      <c r="BX29" s="965"/>
      <c r="BY29" s="965"/>
      <c r="BZ29" s="965"/>
      <c r="CA29" s="965"/>
      <c r="CB29" s="965"/>
      <c r="CC29" s="965"/>
      <c r="CD29" s="965"/>
      <c r="CE29" s="965"/>
      <c r="CF29" s="965"/>
      <c r="CG29" s="965"/>
      <c r="CH29" s="965"/>
      <c r="CI29" s="965"/>
      <c r="CJ29" s="965"/>
      <c r="CK29" s="965"/>
      <c r="CL29" s="965"/>
      <c r="CM29" s="965"/>
      <c r="CN29" s="965"/>
      <c r="CO29" s="965"/>
      <c r="CP29" s="965"/>
      <c r="CQ29" s="965"/>
      <c r="CR29" s="965"/>
      <c r="CS29" s="965"/>
      <c r="CT29" s="965"/>
      <c r="CU29" s="965"/>
      <c r="CV29" s="965"/>
      <c r="CW29" s="965"/>
      <c r="CX29" s="965"/>
      <c r="CY29" s="965"/>
      <c r="CZ29" s="965"/>
      <c r="DA29" s="965"/>
      <c r="DB29" s="965"/>
      <c r="DC29" s="965"/>
      <c r="DD29" s="965"/>
      <c r="DE29" s="965"/>
      <c r="DF29" s="965"/>
      <c r="DG29" s="965"/>
      <c r="DH29" s="965"/>
      <c r="DI29" s="965"/>
      <c r="DJ29" s="965"/>
      <c r="DK29" s="965"/>
      <c r="DL29" s="965"/>
      <c r="DM29" s="965"/>
      <c r="DN29" s="965"/>
      <c r="DO29" s="965"/>
      <c r="DP29" s="965"/>
      <c r="DQ29" s="965"/>
      <c r="DR29" s="965"/>
      <c r="DS29" s="965"/>
      <c r="DT29" s="965"/>
      <c r="DU29" s="965"/>
      <c r="DV29" s="965"/>
      <c r="DW29" s="965"/>
      <c r="DX29" s="965"/>
      <c r="DY29" s="965"/>
      <c r="DZ29" s="965"/>
      <c r="EA29" s="965"/>
      <c r="EB29" s="965"/>
      <c r="EC29" s="965"/>
      <c r="ED29" s="965"/>
      <c r="EE29" s="965"/>
      <c r="EF29" s="965"/>
      <c r="EG29" s="965"/>
      <c r="EH29" s="965"/>
      <c r="EI29" s="965"/>
      <c r="EJ29" s="965"/>
      <c r="EK29" s="965"/>
      <c r="EL29" s="965"/>
      <c r="EM29" s="965"/>
      <c r="EN29" s="965"/>
      <c r="EO29" s="965"/>
      <c r="EP29" s="965"/>
      <c r="EQ29" s="965"/>
      <c r="ER29" s="965"/>
      <c r="ES29" s="965"/>
      <c r="ET29" s="965"/>
      <c r="EU29" s="965"/>
      <c r="EV29" s="965"/>
      <c r="EW29" s="965"/>
      <c r="EX29" s="965"/>
      <c r="EY29" s="965"/>
      <c r="EZ29" s="965"/>
      <c r="FA29" s="965"/>
      <c r="FB29" s="965"/>
      <c r="FC29" s="965"/>
      <c r="FD29" s="965"/>
      <c r="FE29" s="965"/>
      <c r="FF29" s="965"/>
      <c r="FG29" s="965"/>
      <c r="FH29" s="965"/>
      <c r="FI29" s="965"/>
      <c r="FJ29" s="965"/>
      <c r="FK29" s="965"/>
      <c r="FL29" s="965"/>
      <c r="FM29" s="965"/>
      <c r="FN29" s="965"/>
      <c r="FO29" s="965"/>
      <c r="FP29" s="965"/>
      <c r="FQ29" s="965"/>
      <c r="FR29" s="965"/>
      <c r="FS29" s="965"/>
      <c r="FT29" s="965"/>
      <c r="FU29" s="965"/>
      <c r="FV29" s="965"/>
      <c r="FW29" s="965"/>
      <c r="FX29" s="965"/>
      <c r="FY29" s="965"/>
      <c r="FZ29" s="965"/>
      <c r="GA29" s="965"/>
      <c r="GB29" s="965"/>
      <c r="GC29" s="965"/>
      <c r="GD29" s="965"/>
      <c r="GE29" s="965"/>
      <c r="GF29" s="965"/>
      <c r="GG29" s="965"/>
      <c r="GH29" s="965"/>
      <c r="GI29" s="965"/>
      <c r="GJ29" s="965"/>
      <c r="GK29" s="965"/>
      <c r="GL29" s="965"/>
      <c r="GM29" s="965"/>
      <c r="GN29" s="965"/>
      <c r="GO29" s="965"/>
      <c r="GP29" s="965"/>
      <c r="GQ29" s="965"/>
      <c r="GR29" s="965"/>
      <c r="GS29" s="965"/>
      <c r="GT29" s="965"/>
      <c r="GU29" s="965"/>
      <c r="GV29" s="965"/>
      <c r="GW29" s="965"/>
      <c r="GX29" s="965"/>
      <c r="GY29" s="965"/>
      <c r="GZ29" s="965"/>
      <c r="HA29" s="965"/>
      <c r="HB29" s="965"/>
      <c r="HC29" s="965"/>
      <c r="HD29" s="965"/>
      <c r="HE29" s="965"/>
      <c r="HF29" s="965"/>
      <c r="HG29" s="965"/>
      <c r="HH29" s="965"/>
      <c r="HI29" s="965"/>
      <c r="HJ29" s="965"/>
      <c r="HK29" s="965"/>
      <c r="HL29" s="965"/>
      <c r="HM29" s="965"/>
      <c r="HN29" s="965"/>
      <c r="HO29" s="965"/>
      <c r="HP29" s="965"/>
      <c r="HQ29" s="965"/>
      <c r="HR29" s="965"/>
      <c r="HS29" s="965"/>
      <c r="HT29" s="965"/>
      <c r="HU29" s="965"/>
      <c r="HV29" s="965"/>
      <c r="HW29" s="965"/>
      <c r="HX29" s="965"/>
      <c r="HY29" s="965"/>
      <c r="HZ29" s="965"/>
      <c r="IA29" s="965"/>
      <c r="IB29" s="965"/>
      <c r="IC29" s="965"/>
      <c r="ID29" s="965"/>
      <c r="IE29" s="965"/>
      <c r="IF29" s="965"/>
      <c r="IG29" s="965"/>
      <c r="IH29" s="965"/>
      <c r="II29" s="965"/>
    </row>
    <row r="30" spans="3:243">
      <c r="C30" s="965"/>
      <c r="D30" s="965"/>
      <c r="E30" s="965"/>
      <c r="F30" s="965"/>
      <c r="G30" s="965"/>
      <c r="H30" s="965"/>
      <c r="I30" s="965"/>
      <c r="J30" s="965"/>
      <c r="K30" s="965"/>
      <c r="L30" s="965"/>
      <c r="M30" s="965"/>
      <c r="N30" s="965"/>
      <c r="O30" s="965"/>
      <c r="P30" s="965"/>
      <c r="Q30" s="965"/>
      <c r="R30" s="965"/>
      <c r="S30" s="965"/>
      <c r="T30" s="965"/>
      <c r="U30" s="965"/>
      <c r="V30" s="965"/>
      <c r="W30" s="965"/>
      <c r="X30" s="965"/>
      <c r="Y30" s="965"/>
      <c r="Z30" s="965"/>
      <c r="AA30" s="965"/>
      <c r="AB30" s="965"/>
      <c r="AC30" s="965"/>
      <c r="AD30" s="965"/>
      <c r="AE30" s="965"/>
      <c r="AF30" s="965"/>
      <c r="AG30" s="965"/>
      <c r="AH30" s="965"/>
      <c r="AI30" s="965"/>
      <c r="AJ30" s="965"/>
      <c r="AK30" s="965"/>
      <c r="AL30" s="965"/>
      <c r="AM30" s="965"/>
      <c r="AN30" s="965"/>
      <c r="AO30" s="965"/>
      <c r="AP30" s="965"/>
      <c r="AQ30" s="965"/>
      <c r="AR30" s="965"/>
      <c r="AS30" s="965"/>
      <c r="AT30" s="965"/>
      <c r="AU30" s="965"/>
      <c r="AV30" s="965"/>
      <c r="AW30" s="965"/>
      <c r="AX30" s="965"/>
      <c r="AY30" s="965"/>
      <c r="AZ30" s="965"/>
      <c r="BA30" s="965"/>
      <c r="BB30" s="965"/>
      <c r="BC30" s="965"/>
      <c r="BD30" s="965"/>
      <c r="BE30" s="965"/>
      <c r="BF30" s="965"/>
      <c r="BG30" s="965"/>
      <c r="BH30" s="965"/>
      <c r="BI30" s="965"/>
      <c r="BJ30" s="965"/>
      <c r="BK30" s="965"/>
      <c r="BL30" s="965"/>
      <c r="BM30" s="965"/>
      <c r="BN30" s="965"/>
      <c r="BO30" s="965"/>
      <c r="BP30" s="965"/>
      <c r="BQ30" s="965"/>
      <c r="BR30" s="965"/>
      <c r="BS30" s="965"/>
      <c r="BT30" s="965"/>
      <c r="BU30" s="965"/>
      <c r="BV30" s="965"/>
      <c r="BW30" s="965"/>
      <c r="BX30" s="965"/>
      <c r="BY30" s="965"/>
      <c r="BZ30" s="965"/>
      <c r="CA30" s="965"/>
      <c r="CB30" s="965"/>
      <c r="CC30" s="965"/>
      <c r="CD30" s="965"/>
      <c r="CE30" s="965"/>
      <c r="CF30" s="965"/>
      <c r="CG30" s="965"/>
      <c r="CH30" s="965"/>
      <c r="CI30" s="965"/>
      <c r="CJ30" s="965"/>
      <c r="CK30" s="965"/>
      <c r="CL30" s="965"/>
      <c r="CM30" s="965"/>
      <c r="CN30" s="965"/>
      <c r="CO30" s="965"/>
      <c r="CP30" s="965"/>
      <c r="CQ30" s="965"/>
      <c r="CR30" s="965"/>
      <c r="CS30" s="965"/>
      <c r="CT30" s="965"/>
      <c r="CU30" s="965"/>
      <c r="CV30" s="965"/>
      <c r="CW30" s="965"/>
      <c r="CX30" s="965"/>
      <c r="CY30" s="965"/>
      <c r="CZ30" s="965"/>
      <c r="DA30" s="965"/>
      <c r="DB30" s="965"/>
      <c r="DC30" s="965"/>
      <c r="DD30" s="965"/>
      <c r="DE30" s="965"/>
      <c r="DF30" s="965"/>
      <c r="DG30" s="965"/>
      <c r="DH30" s="965"/>
      <c r="DI30" s="965"/>
      <c r="DJ30" s="965"/>
      <c r="DK30" s="965"/>
      <c r="DL30" s="965"/>
      <c r="DM30" s="965"/>
      <c r="DN30" s="965"/>
      <c r="DO30" s="965"/>
      <c r="DP30" s="965"/>
      <c r="DQ30" s="965"/>
      <c r="DR30" s="965"/>
      <c r="DS30" s="965"/>
      <c r="DT30" s="965"/>
      <c r="DU30" s="965"/>
      <c r="DV30" s="965"/>
      <c r="DW30" s="965"/>
      <c r="DX30" s="965"/>
      <c r="DY30" s="965"/>
      <c r="DZ30" s="965"/>
      <c r="EA30" s="965"/>
      <c r="EB30" s="965"/>
      <c r="EC30" s="965"/>
      <c r="ED30" s="965"/>
      <c r="EE30" s="965"/>
      <c r="EF30" s="965"/>
      <c r="EG30" s="965"/>
      <c r="EH30" s="965"/>
      <c r="EI30" s="965"/>
      <c r="EJ30" s="965"/>
      <c r="EK30" s="965"/>
      <c r="EL30" s="965"/>
      <c r="EM30" s="965"/>
      <c r="EN30" s="965"/>
      <c r="EO30" s="965"/>
      <c r="EP30" s="965"/>
      <c r="EQ30" s="965"/>
      <c r="ER30" s="965"/>
      <c r="ES30" s="965"/>
      <c r="ET30" s="965"/>
      <c r="EU30" s="965"/>
      <c r="EV30" s="965"/>
      <c r="EW30" s="965"/>
      <c r="EX30" s="965"/>
      <c r="EY30" s="965"/>
      <c r="EZ30" s="965"/>
      <c r="FA30" s="965"/>
      <c r="FB30" s="965"/>
      <c r="FC30" s="965"/>
      <c r="FD30" s="965"/>
      <c r="FE30" s="965"/>
      <c r="FF30" s="965"/>
      <c r="FG30" s="965"/>
      <c r="FH30" s="965"/>
      <c r="FI30" s="965"/>
      <c r="FJ30" s="965"/>
      <c r="FK30" s="965"/>
      <c r="FL30" s="965"/>
      <c r="FM30" s="965"/>
      <c r="FN30" s="965"/>
      <c r="FO30" s="965"/>
      <c r="FP30" s="965"/>
      <c r="FQ30" s="965"/>
      <c r="FR30" s="965"/>
      <c r="FS30" s="965"/>
      <c r="FT30" s="965"/>
      <c r="FU30" s="965"/>
      <c r="FV30" s="965"/>
      <c r="FW30" s="965"/>
      <c r="FX30" s="965"/>
      <c r="FY30" s="965"/>
      <c r="FZ30" s="965"/>
      <c r="GA30" s="965"/>
      <c r="GB30" s="965"/>
      <c r="GC30" s="965"/>
      <c r="GD30" s="965"/>
      <c r="GE30" s="965"/>
      <c r="GF30" s="965"/>
      <c r="GG30" s="965"/>
      <c r="GH30" s="965"/>
      <c r="GI30" s="965"/>
      <c r="GJ30" s="965"/>
      <c r="GK30" s="965"/>
      <c r="GL30" s="965"/>
      <c r="GM30" s="965"/>
      <c r="GN30" s="965"/>
      <c r="GO30" s="965"/>
      <c r="GP30" s="965"/>
      <c r="GQ30" s="965"/>
      <c r="GR30" s="965"/>
      <c r="GS30" s="965"/>
      <c r="GT30" s="965"/>
      <c r="GU30" s="965"/>
      <c r="GV30" s="965"/>
      <c r="GW30" s="965"/>
      <c r="GX30" s="965"/>
      <c r="GY30" s="965"/>
      <c r="GZ30" s="965"/>
      <c r="HA30" s="965"/>
      <c r="HB30" s="965"/>
      <c r="HC30" s="965"/>
      <c r="HD30" s="965"/>
      <c r="HE30" s="965"/>
      <c r="HF30" s="965"/>
      <c r="HG30" s="965"/>
      <c r="HH30" s="965"/>
      <c r="HI30" s="965"/>
      <c r="HJ30" s="965"/>
      <c r="HK30" s="965"/>
      <c r="HL30" s="965"/>
      <c r="HM30" s="965"/>
      <c r="HN30" s="965"/>
      <c r="HO30" s="965"/>
      <c r="HP30" s="965"/>
      <c r="HQ30" s="965"/>
      <c r="HR30" s="965"/>
      <c r="HS30" s="965"/>
      <c r="HT30" s="965"/>
      <c r="HU30" s="965"/>
      <c r="HV30" s="965"/>
      <c r="HW30" s="965"/>
      <c r="HX30" s="965"/>
      <c r="HY30" s="965"/>
      <c r="HZ30" s="965"/>
      <c r="IA30" s="965"/>
      <c r="IB30" s="965"/>
      <c r="IC30" s="965"/>
      <c r="ID30" s="965"/>
      <c r="IE30" s="965"/>
      <c r="IF30" s="965"/>
      <c r="IG30" s="965"/>
      <c r="IH30" s="965"/>
      <c r="II30" s="965"/>
    </row>
    <row r="31" spans="3:243">
      <c r="C31" s="965"/>
      <c r="D31" s="965"/>
      <c r="E31" s="965"/>
      <c r="F31" s="965"/>
      <c r="G31" s="965"/>
      <c r="H31" s="965"/>
      <c r="I31" s="965"/>
      <c r="J31" s="965"/>
      <c r="K31" s="965"/>
      <c r="L31" s="965"/>
      <c r="M31" s="965"/>
      <c r="N31" s="965"/>
      <c r="O31" s="965"/>
      <c r="P31" s="965"/>
      <c r="Q31" s="965"/>
      <c r="R31" s="965"/>
      <c r="S31" s="965"/>
      <c r="T31" s="965"/>
      <c r="U31" s="965"/>
      <c r="V31" s="965"/>
      <c r="W31" s="965"/>
      <c r="X31" s="965"/>
      <c r="Y31" s="965"/>
      <c r="Z31" s="965"/>
      <c r="AA31" s="965"/>
      <c r="AB31" s="965"/>
      <c r="AC31" s="965"/>
      <c r="AD31" s="965"/>
      <c r="AE31" s="965"/>
      <c r="AF31" s="965"/>
      <c r="AG31" s="965"/>
      <c r="AH31" s="965"/>
      <c r="AI31" s="965"/>
      <c r="AJ31" s="965"/>
      <c r="AK31" s="965"/>
      <c r="AL31" s="965"/>
      <c r="AM31" s="965"/>
      <c r="AN31" s="965"/>
      <c r="AO31" s="965"/>
      <c r="AP31" s="965"/>
      <c r="AQ31" s="965"/>
      <c r="AR31" s="965"/>
      <c r="AS31" s="965"/>
      <c r="AT31" s="965"/>
      <c r="AU31" s="965"/>
      <c r="AV31" s="965"/>
      <c r="AW31" s="965"/>
      <c r="AX31" s="965"/>
      <c r="AY31" s="965"/>
      <c r="AZ31" s="965"/>
      <c r="BA31" s="965"/>
      <c r="BB31" s="965"/>
      <c r="BC31" s="965"/>
      <c r="BD31" s="965"/>
      <c r="BE31" s="965"/>
      <c r="BF31" s="965"/>
      <c r="BG31" s="965"/>
      <c r="BH31" s="965"/>
      <c r="BI31" s="965"/>
      <c r="BJ31" s="965"/>
      <c r="BK31" s="965"/>
      <c r="BL31" s="965"/>
      <c r="BM31" s="965"/>
      <c r="BN31" s="965"/>
      <c r="BO31" s="965"/>
      <c r="BP31" s="965"/>
      <c r="BQ31" s="965"/>
      <c r="BR31" s="965"/>
      <c r="BS31" s="965"/>
      <c r="BT31" s="965"/>
      <c r="BU31" s="965"/>
      <c r="BV31" s="965"/>
      <c r="BW31" s="965"/>
      <c r="BX31" s="965"/>
      <c r="BY31" s="965"/>
      <c r="BZ31" s="965"/>
      <c r="CA31" s="965"/>
      <c r="CB31" s="965"/>
      <c r="CC31" s="965"/>
      <c r="CD31" s="965"/>
      <c r="CE31" s="965"/>
      <c r="CF31" s="965"/>
      <c r="CG31" s="965"/>
      <c r="CH31" s="965"/>
      <c r="CI31" s="965"/>
      <c r="CJ31" s="965"/>
      <c r="CK31" s="965"/>
      <c r="CL31" s="965"/>
      <c r="CM31" s="965"/>
      <c r="CN31" s="965"/>
      <c r="CO31" s="965"/>
      <c r="CP31" s="965"/>
      <c r="CQ31" s="965"/>
      <c r="CR31" s="965"/>
      <c r="CS31" s="965"/>
      <c r="CT31" s="965"/>
      <c r="CU31" s="965"/>
      <c r="CV31" s="965"/>
      <c r="CW31" s="965"/>
      <c r="CX31" s="965"/>
      <c r="CY31" s="965"/>
      <c r="CZ31" s="965"/>
      <c r="DA31" s="965"/>
      <c r="DB31" s="965"/>
      <c r="DC31" s="965"/>
      <c r="DD31" s="965"/>
      <c r="DE31" s="965"/>
      <c r="DF31" s="965"/>
      <c r="DG31" s="965"/>
      <c r="DH31" s="965"/>
      <c r="DI31" s="965"/>
      <c r="DJ31" s="965"/>
      <c r="DK31" s="965"/>
      <c r="DL31" s="965"/>
      <c r="DM31" s="965"/>
      <c r="DN31" s="965"/>
      <c r="DO31" s="965"/>
      <c r="DP31" s="965"/>
      <c r="DQ31" s="965"/>
      <c r="DR31" s="965"/>
      <c r="DS31" s="965"/>
      <c r="DT31" s="965"/>
      <c r="DU31" s="965"/>
      <c r="DV31" s="965"/>
      <c r="DW31" s="965"/>
      <c r="DX31" s="965"/>
      <c r="DY31" s="965"/>
      <c r="DZ31" s="965"/>
      <c r="EA31" s="965"/>
      <c r="EB31" s="965"/>
      <c r="EC31" s="965"/>
      <c r="ED31" s="965"/>
      <c r="EE31" s="965"/>
      <c r="EF31" s="965"/>
      <c r="EG31" s="965"/>
      <c r="EH31" s="965"/>
      <c r="EI31" s="965"/>
      <c r="EJ31" s="965"/>
      <c r="EK31" s="965"/>
      <c r="EL31" s="965"/>
      <c r="EM31" s="965"/>
      <c r="EN31" s="965"/>
      <c r="EO31" s="965"/>
      <c r="EP31" s="965"/>
      <c r="EQ31" s="965"/>
      <c r="ER31" s="965"/>
      <c r="ES31" s="965"/>
      <c r="ET31" s="965"/>
      <c r="EU31" s="965"/>
      <c r="EV31" s="965"/>
      <c r="EW31" s="965"/>
      <c r="EX31" s="965"/>
      <c r="EY31" s="965"/>
      <c r="EZ31" s="965"/>
      <c r="FA31" s="965"/>
      <c r="FB31" s="965"/>
      <c r="FC31" s="965"/>
      <c r="FD31" s="965"/>
      <c r="FE31" s="965"/>
      <c r="FF31" s="965"/>
      <c r="FG31" s="965"/>
      <c r="FH31" s="965"/>
      <c r="FI31" s="965"/>
      <c r="FJ31" s="965"/>
      <c r="FK31" s="965"/>
      <c r="FL31" s="965"/>
      <c r="FM31" s="965"/>
      <c r="FN31" s="965"/>
      <c r="FO31" s="965"/>
      <c r="FP31" s="965"/>
      <c r="FQ31" s="965"/>
      <c r="FR31" s="965"/>
      <c r="FS31" s="965"/>
      <c r="FT31" s="965"/>
      <c r="FU31" s="965"/>
      <c r="FV31" s="965"/>
      <c r="FW31" s="965"/>
      <c r="FX31" s="965"/>
      <c r="FY31" s="965"/>
      <c r="FZ31" s="965"/>
      <c r="GA31" s="965"/>
      <c r="GB31" s="965"/>
      <c r="GC31" s="965"/>
      <c r="GD31" s="965"/>
      <c r="GE31" s="965"/>
      <c r="GF31" s="965"/>
      <c r="GG31" s="965"/>
      <c r="GH31" s="965"/>
      <c r="GI31" s="965"/>
      <c r="GJ31" s="965"/>
      <c r="GK31" s="965"/>
      <c r="GL31" s="965"/>
      <c r="GM31" s="965"/>
      <c r="GN31" s="965"/>
      <c r="GO31" s="965"/>
      <c r="GP31" s="965"/>
      <c r="GQ31" s="965"/>
      <c r="GR31" s="965"/>
      <c r="GS31" s="965"/>
      <c r="GT31" s="965"/>
      <c r="GU31" s="965"/>
      <c r="GV31" s="965"/>
      <c r="GW31" s="965"/>
      <c r="GX31" s="965"/>
      <c r="GY31" s="965"/>
      <c r="GZ31" s="965"/>
      <c r="HA31" s="965"/>
      <c r="HB31" s="965"/>
      <c r="HC31" s="965"/>
      <c r="HD31" s="965"/>
      <c r="HE31" s="965"/>
      <c r="HF31" s="965"/>
      <c r="HG31" s="965"/>
      <c r="HH31" s="965"/>
      <c r="HI31" s="965"/>
      <c r="HJ31" s="965"/>
      <c r="HK31" s="965"/>
      <c r="HL31" s="965"/>
      <c r="HM31" s="965"/>
      <c r="HN31" s="965"/>
      <c r="HO31" s="965"/>
      <c r="HP31" s="965"/>
      <c r="HQ31" s="965"/>
      <c r="HR31" s="965"/>
      <c r="HS31" s="965"/>
      <c r="HT31" s="965"/>
      <c r="HU31" s="965"/>
      <c r="HV31" s="965"/>
      <c r="HW31" s="965"/>
      <c r="HX31" s="965"/>
      <c r="HY31" s="965"/>
      <c r="HZ31" s="965"/>
      <c r="IA31" s="965"/>
      <c r="IB31" s="965"/>
      <c r="IC31" s="965"/>
      <c r="ID31" s="965"/>
      <c r="IE31" s="965"/>
      <c r="IF31" s="965"/>
      <c r="IG31" s="965"/>
      <c r="IH31" s="965"/>
      <c r="II31" s="965"/>
    </row>
    <row r="32" spans="3:243">
      <c r="C32" s="965"/>
      <c r="D32" s="965"/>
      <c r="E32" s="965"/>
      <c r="F32" s="965"/>
      <c r="G32" s="965"/>
      <c r="H32" s="965"/>
      <c r="I32" s="965"/>
      <c r="J32" s="965"/>
      <c r="K32" s="965"/>
      <c r="L32" s="965"/>
      <c r="M32" s="965"/>
      <c r="N32" s="965"/>
      <c r="O32" s="965"/>
      <c r="P32" s="965"/>
      <c r="Q32" s="965"/>
      <c r="R32" s="965"/>
      <c r="S32" s="965"/>
      <c r="T32" s="965"/>
      <c r="U32" s="965"/>
      <c r="V32" s="965"/>
      <c r="W32" s="965"/>
      <c r="X32" s="965"/>
      <c r="Y32" s="965"/>
      <c r="Z32" s="965"/>
      <c r="AA32" s="965"/>
      <c r="AB32" s="965"/>
      <c r="AC32" s="965"/>
      <c r="AD32" s="965"/>
      <c r="AE32" s="965"/>
      <c r="AF32" s="965"/>
      <c r="AG32" s="965"/>
      <c r="AH32" s="965"/>
      <c r="AI32" s="965"/>
      <c r="AJ32" s="965"/>
      <c r="AK32" s="965"/>
      <c r="AL32" s="965"/>
      <c r="AM32" s="965"/>
      <c r="AN32" s="965"/>
      <c r="AO32" s="965"/>
      <c r="AP32" s="965"/>
      <c r="AQ32" s="965"/>
      <c r="AR32" s="965"/>
      <c r="AS32" s="965"/>
      <c r="AT32" s="965"/>
      <c r="AU32" s="965"/>
      <c r="AV32" s="965"/>
      <c r="AW32" s="965"/>
      <c r="AX32" s="965"/>
      <c r="AY32" s="965"/>
      <c r="AZ32" s="965"/>
      <c r="BA32" s="965"/>
      <c r="BB32" s="965"/>
      <c r="BC32" s="965"/>
      <c r="BD32" s="965"/>
      <c r="BE32" s="965"/>
      <c r="BF32" s="965"/>
      <c r="BG32" s="965"/>
      <c r="BH32" s="965"/>
      <c r="BI32" s="965"/>
      <c r="BJ32" s="965"/>
      <c r="BK32" s="965"/>
      <c r="BL32" s="965"/>
      <c r="BM32" s="965"/>
      <c r="BN32" s="965"/>
      <c r="BO32" s="965"/>
      <c r="BP32" s="965"/>
      <c r="BQ32" s="965"/>
      <c r="BR32" s="965"/>
      <c r="BS32" s="965"/>
      <c r="BT32" s="965"/>
      <c r="BU32" s="965"/>
      <c r="BV32" s="965"/>
      <c r="BW32" s="965"/>
      <c r="BX32" s="965"/>
      <c r="BY32" s="965"/>
      <c r="BZ32" s="965"/>
      <c r="CA32" s="965"/>
      <c r="CB32" s="965"/>
      <c r="CC32" s="965"/>
      <c r="CD32" s="965"/>
      <c r="CE32" s="965"/>
      <c r="CF32" s="965"/>
      <c r="CG32" s="965"/>
      <c r="CH32" s="965"/>
      <c r="CI32" s="965"/>
      <c r="CJ32" s="965"/>
      <c r="CK32" s="965"/>
      <c r="CL32" s="965"/>
      <c r="CM32" s="965"/>
      <c r="CN32" s="965"/>
      <c r="CO32" s="965"/>
      <c r="CP32" s="965"/>
      <c r="CQ32" s="965"/>
      <c r="CR32" s="965"/>
      <c r="CS32" s="965"/>
      <c r="CT32" s="965"/>
      <c r="CU32" s="965"/>
      <c r="CV32" s="965"/>
      <c r="CW32" s="965"/>
      <c r="CX32" s="965"/>
      <c r="CY32" s="965"/>
      <c r="CZ32" s="965"/>
      <c r="DA32" s="965"/>
      <c r="DB32" s="965"/>
      <c r="DC32" s="965"/>
      <c r="DD32" s="965"/>
      <c r="DE32" s="965"/>
      <c r="DF32" s="965"/>
      <c r="DG32" s="965"/>
      <c r="DH32" s="965"/>
      <c r="DI32" s="965"/>
      <c r="DJ32" s="965"/>
      <c r="DK32" s="965"/>
      <c r="DL32" s="965"/>
      <c r="DM32" s="965"/>
      <c r="DN32" s="965"/>
      <c r="DO32" s="965"/>
      <c r="DP32" s="965"/>
      <c r="DQ32" s="965"/>
      <c r="DR32" s="965"/>
      <c r="DS32" s="965"/>
      <c r="DT32" s="965"/>
      <c r="DU32" s="965"/>
      <c r="DV32" s="965"/>
      <c r="DW32" s="965"/>
      <c r="DX32" s="965"/>
      <c r="DY32" s="965"/>
      <c r="DZ32" s="965"/>
      <c r="EA32" s="965"/>
      <c r="EB32" s="965"/>
      <c r="EC32" s="965"/>
      <c r="ED32" s="965"/>
      <c r="EE32" s="965"/>
      <c r="EF32" s="965"/>
      <c r="EG32" s="965"/>
      <c r="EH32" s="965"/>
      <c r="EI32" s="965"/>
      <c r="EJ32" s="965"/>
      <c r="EK32" s="965"/>
      <c r="EL32" s="965"/>
      <c r="EM32" s="965"/>
      <c r="EN32" s="965"/>
      <c r="EO32" s="965"/>
      <c r="EP32" s="965"/>
      <c r="EQ32" s="965"/>
      <c r="ER32" s="965"/>
      <c r="ES32" s="965"/>
      <c r="ET32" s="965"/>
      <c r="EU32" s="965"/>
      <c r="EV32" s="965"/>
      <c r="EW32" s="965"/>
      <c r="EX32" s="965"/>
      <c r="EY32" s="965"/>
      <c r="EZ32" s="965"/>
      <c r="FA32" s="965"/>
      <c r="FB32" s="965"/>
      <c r="FC32" s="965"/>
      <c r="FD32" s="965"/>
      <c r="FE32" s="965"/>
      <c r="FF32" s="965"/>
      <c r="FG32" s="965"/>
      <c r="FH32" s="965"/>
      <c r="FI32" s="965"/>
      <c r="FJ32" s="965"/>
      <c r="FK32" s="965"/>
      <c r="FL32" s="965"/>
      <c r="FM32" s="965"/>
      <c r="FN32" s="965"/>
      <c r="FO32" s="965"/>
      <c r="FP32" s="965"/>
      <c r="FQ32" s="965"/>
      <c r="FR32" s="965"/>
      <c r="FS32" s="965"/>
      <c r="FT32" s="965"/>
      <c r="FU32" s="965"/>
      <c r="FV32" s="965"/>
      <c r="FW32" s="965"/>
      <c r="FX32" s="965"/>
      <c r="FY32" s="965"/>
      <c r="FZ32" s="965"/>
      <c r="GA32" s="965"/>
      <c r="GB32" s="965"/>
      <c r="GC32" s="965"/>
      <c r="GD32" s="965"/>
      <c r="GE32" s="965"/>
      <c r="GF32" s="965"/>
      <c r="GG32" s="965"/>
      <c r="GH32" s="965"/>
      <c r="GI32" s="965"/>
      <c r="GJ32" s="965"/>
      <c r="GK32" s="965"/>
      <c r="GL32" s="965"/>
      <c r="GM32" s="965"/>
      <c r="GN32" s="965"/>
      <c r="GO32" s="965"/>
      <c r="GP32" s="965"/>
      <c r="GQ32" s="965"/>
      <c r="GR32" s="965"/>
      <c r="GS32" s="965"/>
      <c r="GT32" s="965"/>
      <c r="GU32" s="965"/>
      <c r="GV32" s="965"/>
      <c r="GW32" s="965"/>
      <c r="GX32" s="965"/>
      <c r="GY32" s="965"/>
      <c r="GZ32" s="965"/>
      <c r="HA32" s="965"/>
      <c r="HB32" s="965"/>
      <c r="HC32" s="965"/>
      <c r="HD32" s="965"/>
      <c r="HE32" s="965"/>
      <c r="HF32" s="965"/>
      <c r="HG32" s="965"/>
      <c r="HH32" s="965"/>
      <c r="HI32" s="965"/>
      <c r="HJ32" s="965"/>
      <c r="HK32" s="965"/>
      <c r="HL32" s="965"/>
      <c r="HM32" s="965"/>
      <c r="HN32" s="965"/>
      <c r="HO32" s="965"/>
      <c r="HP32" s="965"/>
      <c r="HQ32" s="965"/>
      <c r="HR32" s="965"/>
      <c r="HS32" s="965"/>
      <c r="HT32" s="965"/>
      <c r="HU32" s="965"/>
      <c r="HV32" s="965"/>
      <c r="HW32" s="965"/>
      <c r="HX32" s="965"/>
      <c r="HY32" s="965"/>
      <c r="HZ32" s="965"/>
      <c r="IA32" s="965"/>
      <c r="IB32" s="965"/>
      <c r="IC32" s="965"/>
      <c r="ID32" s="965"/>
      <c r="IE32" s="965"/>
      <c r="IF32" s="965"/>
      <c r="IG32" s="965"/>
      <c r="IH32" s="965"/>
      <c r="II32" s="965"/>
    </row>
    <row r="33" spans="3:243">
      <c r="C33" s="965"/>
      <c r="D33" s="965"/>
      <c r="E33" s="965"/>
      <c r="F33" s="965"/>
      <c r="G33" s="965"/>
      <c r="H33" s="965"/>
      <c r="I33" s="965"/>
      <c r="J33" s="965"/>
      <c r="K33" s="965"/>
      <c r="L33" s="965"/>
      <c r="M33" s="965"/>
      <c r="N33" s="965"/>
      <c r="O33" s="965"/>
      <c r="P33" s="965"/>
      <c r="Q33" s="965"/>
      <c r="R33" s="965"/>
      <c r="S33" s="965"/>
      <c r="T33" s="965"/>
      <c r="U33" s="965"/>
      <c r="V33" s="965"/>
      <c r="W33" s="965"/>
      <c r="X33" s="965"/>
      <c r="Y33" s="965"/>
      <c r="Z33" s="965"/>
      <c r="AA33" s="965"/>
      <c r="AB33" s="965"/>
      <c r="AC33" s="965"/>
      <c r="AD33" s="965"/>
      <c r="AE33" s="965"/>
      <c r="AF33" s="965"/>
      <c r="AG33" s="965"/>
      <c r="AH33" s="965"/>
      <c r="AI33" s="965"/>
      <c r="AJ33" s="965"/>
      <c r="AK33" s="965"/>
      <c r="AL33" s="965"/>
      <c r="AM33" s="965"/>
      <c r="AN33" s="965"/>
      <c r="AO33" s="965"/>
      <c r="AP33" s="965"/>
      <c r="AQ33" s="965"/>
      <c r="AR33" s="965"/>
      <c r="AS33" s="965"/>
      <c r="AT33" s="965"/>
      <c r="AU33" s="965"/>
      <c r="AV33" s="965"/>
      <c r="AW33" s="965"/>
      <c r="AX33" s="965"/>
      <c r="AY33" s="965"/>
      <c r="AZ33" s="965"/>
      <c r="BA33" s="965"/>
      <c r="BB33" s="965"/>
      <c r="BC33" s="965"/>
      <c r="BD33" s="965"/>
      <c r="BE33" s="965"/>
      <c r="BF33" s="965"/>
      <c r="BG33" s="965"/>
      <c r="BH33" s="965"/>
      <c r="BI33" s="965"/>
      <c r="BJ33" s="965"/>
      <c r="BK33" s="965"/>
      <c r="BL33" s="965"/>
      <c r="BM33" s="965"/>
      <c r="BN33" s="965"/>
      <c r="BO33" s="965"/>
      <c r="BP33" s="965"/>
      <c r="BQ33" s="965"/>
      <c r="BR33" s="965"/>
      <c r="BS33" s="965"/>
      <c r="BT33" s="965"/>
      <c r="BU33" s="965"/>
      <c r="BV33" s="965"/>
      <c r="BW33" s="965"/>
      <c r="BX33" s="965"/>
      <c r="BY33" s="965"/>
      <c r="BZ33" s="965"/>
      <c r="CA33" s="965"/>
      <c r="CB33" s="965"/>
      <c r="CC33" s="965"/>
      <c r="CD33" s="965"/>
      <c r="CE33" s="965"/>
      <c r="CF33" s="965"/>
      <c r="CG33" s="965"/>
      <c r="CH33" s="965"/>
      <c r="CI33" s="965"/>
      <c r="CJ33" s="965"/>
      <c r="CK33" s="965"/>
      <c r="CL33" s="965"/>
      <c r="CM33" s="965"/>
      <c r="CN33" s="965"/>
      <c r="CO33" s="965"/>
      <c r="CP33" s="965"/>
      <c r="CQ33" s="965"/>
      <c r="CR33" s="965"/>
      <c r="CS33" s="965"/>
      <c r="CT33" s="965"/>
      <c r="CU33" s="965"/>
      <c r="CV33" s="965"/>
      <c r="CW33" s="965"/>
      <c r="CX33" s="965"/>
      <c r="CY33" s="965"/>
      <c r="CZ33" s="965"/>
      <c r="DA33" s="965"/>
      <c r="DB33" s="965"/>
      <c r="DC33" s="965"/>
      <c r="DD33" s="965"/>
      <c r="DE33" s="965"/>
      <c r="DF33" s="965"/>
      <c r="DG33" s="965"/>
      <c r="DH33" s="965"/>
      <c r="DI33" s="965"/>
      <c r="DJ33" s="965"/>
      <c r="DK33" s="965"/>
      <c r="DL33" s="965"/>
      <c r="DM33" s="965"/>
      <c r="DN33" s="965"/>
      <c r="DO33" s="965"/>
      <c r="DP33" s="965"/>
      <c r="DQ33" s="965"/>
      <c r="DR33" s="965"/>
      <c r="DS33" s="965"/>
      <c r="DT33" s="965"/>
      <c r="DU33" s="965"/>
      <c r="DV33" s="965"/>
      <c r="DW33" s="965"/>
      <c r="DX33" s="965"/>
      <c r="DY33" s="965"/>
      <c r="DZ33" s="965"/>
      <c r="EA33" s="965"/>
      <c r="EB33" s="965"/>
      <c r="EC33" s="965"/>
      <c r="ED33" s="965"/>
      <c r="EE33" s="965"/>
      <c r="EF33" s="965"/>
      <c r="EG33" s="965"/>
      <c r="EH33" s="965"/>
      <c r="EI33" s="965"/>
      <c r="EJ33" s="965"/>
      <c r="EK33" s="965"/>
      <c r="EL33" s="965"/>
      <c r="EM33" s="965"/>
      <c r="EN33" s="965"/>
      <c r="EO33" s="965"/>
      <c r="EP33" s="965"/>
      <c r="EQ33" s="965"/>
      <c r="ER33" s="965"/>
      <c r="ES33" s="965"/>
      <c r="ET33" s="965"/>
      <c r="EU33" s="965"/>
      <c r="EV33" s="965"/>
      <c r="EW33" s="965"/>
      <c r="EX33" s="965"/>
      <c r="EY33" s="965"/>
      <c r="EZ33" s="965"/>
      <c r="FA33" s="965"/>
      <c r="FB33" s="965"/>
      <c r="FC33" s="965"/>
      <c r="FD33" s="965"/>
      <c r="FE33" s="965"/>
      <c r="FF33" s="965"/>
      <c r="FG33" s="965"/>
      <c r="FH33" s="965"/>
      <c r="FI33" s="965"/>
      <c r="FJ33" s="965"/>
      <c r="FK33" s="965"/>
      <c r="FL33" s="965"/>
      <c r="FM33" s="965"/>
      <c r="FN33" s="965"/>
      <c r="FO33" s="965"/>
      <c r="FP33" s="965"/>
      <c r="FQ33" s="965"/>
      <c r="FR33" s="965"/>
      <c r="FS33" s="965"/>
      <c r="FT33" s="965"/>
      <c r="FU33" s="965"/>
      <c r="FV33" s="965"/>
      <c r="FW33" s="965"/>
      <c r="FX33" s="965"/>
      <c r="FY33" s="965"/>
      <c r="FZ33" s="965"/>
      <c r="GA33" s="965"/>
      <c r="GB33" s="965"/>
      <c r="GC33" s="965"/>
      <c r="GD33" s="965"/>
      <c r="GE33" s="965"/>
      <c r="GF33" s="965"/>
      <c r="GG33" s="965"/>
      <c r="GH33" s="965"/>
      <c r="GI33" s="965"/>
      <c r="GJ33" s="965"/>
      <c r="GK33" s="965"/>
      <c r="GL33" s="965"/>
      <c r="GM33" s="965"/>
      <c r="GN33" s="965"/>
      <c r="GO33" s="965"/>
      <c r="GP33" s="965"/>
      <c r="GQ33" s="965"/>
      <c r="GR33" s="965"/>
      <c r="GS33" s="965"/>
      <c r="GT33" s="965"/>
      <c r="GU33" s="965"/>
      <c r="GV33" s="965"/>
      <c r="GW33" s="965"/>
      <c r="GX33" s="965"/>
      <c r="GY33" s="965"/>
      <c r="GZ33" s="965"/>
      <c r="HA33" s="965"/>
      <c r="HB33" s="965"/>
      <c r="HC33" s="965"/>
      <c r="HD33" s="965"/>
      <c r="HE33" s="965"/>
      <c r="HF33" s="965"/>
      <c r="HG33" s="965"/>
      <c r="HH33" s="965"/>
      <c r="HI33" s="965"/>
      <c r="HJ33" s="965"/>
      <c r="HK33" s="965"/>
      <c r="HL33" s="965"/>
      <c r="HM33" s="965"/>
      <c r="HN33" s="965"/>
      <c r="HO33" s="965"/>
      <c r="HP33" s="965"/>
      <c r="HQ33" s="965"/>
      <c r="HR33" s="965"/>
      <c r="HS33" s="965"/>
      <c r="HT33" s="965"/>
      <c r="HU33" s="965"/>
      <c r="HV33" s="965"/>
      <c r="HW33" s="965"/>
      <c r="HX33" s="965"/>
      <c r="HY33" s="965"/>
      <c r="HZ33" s="965"/>
      <c r="IA33" s="965"/>
      <c r="IB33" s="965"/>
      <c r="IC33" s="965"/>
      <c r="ID33" s="965"/>
      <c r="IE33" s="965"/>
      <c r="IF33" s="965"/>
      <c r="IG33" s="965"/>
      <c r="IH33" s="965"/>
      <c r="II33" s="965"/>
    </row>
    <row r="34" spans="3:243">
      <c r="C34" s="965"/>
      <c r="D34" s="965"/>
      <c r="E34" s="965"/>
      <c r="F34" s="965"/>
      <c r="G34" s="965"/>
      <c r="H34" s="965"/>
      <c r="I34" s="965"/>
      <c r="J34" s="965"/>
      <c r="K34" s="965"/>
      <c r="L34" s="965"/>
      <c r="M34" s="965"/>
      <c r="N34" s="965"/>
      <c r="O34" s="965"/>
      <c r="P34" s="965"/>
      <c r="Q34" s="965"/>
      <c r="R34" s="965"/>
      <c r="S34" s="965"/>
      <c r="T34" s="965"/>
      <c r="U34" s="965"/>
      <c r="V34" s="965"/>
      <c r="W34" s="965"/>
      <c r="X34" s="965"/>
      <c r="Y34" s="965"/>
      <c r="Z34" s="965"/>
      <c r="AA34" s="965"/>
      <c r="AB34" s="965"/>
      <c r="AC34" s="965"/>
      <c r="AD34" s="965"/>
      <c r="AE34" s="965"/>
      <c r="AF34" s="965"/>
      <c r="AG34" s="965"/>
      <c r="AH34" s="965"/>
      <c r="AI34" s="965"/>
      <c r="AJ34" s="965"/>
      <c r="AK34" s="965"/>
      <c r="AL34" s="965"/>
      <c r="AM34" s="965"/>
      <c r="AN34" s="965"/>
      <c r="AO34" s="965"/>
      <c r="AP34" s="965"/>
      <c r="AQ34" s="965"/>
      <c r="AR34" s="965"/>
      <c r="AS34" s="965"/>
      <c r="AT34" s="965"/>
      <c r="AU34" s="965"/>
      <c r="AV34" s="965"/>
      <c r="AW34" s="965"/>
      <c r="AX34" s="965"/>
      <c r="AY34" s="965"/>
      <c r="AZ34" s="965"/>
      <c r="BA34" s="965"/>
      <c r="BB34" s="965"/>
      <c r="BC34" s="965"/>
      <c r="BD34" s="965"/>
      <c r="BE34" s="965"/>
      <c r="BF34" s="965"/>
      <c r="BG34" s="965"/>
      <c r="BH34" s="965"/>
      <c r="BI34" s="965"/>
      <c r="BJ34" s="965"/>
      <c r="BK34" s="965"/>
      <c r="BL34" s="965"/>
      <c r="BM34" s="965"/>
      <c r="BN34" s="965"/>
      <c r="BO34" s="965"/>
      <c r="BP34" s="965"/>
      <c r="BQ34" s="965"/>
      <c r="BR34" s="965"/>
      <c r="BS34" s="965"/>
      <c r="BT34" s="965"/>
      <c r="BU34" s="965"/>
      <c r="BV34" s="965"/>
      <c r="BW34" s="965"/>
      <c r="BX34" s="965"/>
      <c r="BY34" s="965"/>
      <c r="BZ34" s="965"/>
      <c r="CA34" s="965"/>
      <c r="CB34" s="965"/>
      <c r="CC34" s="965"/>
      <c r="CD34" s="965"/>
      <c r="CE34" s="965"/>
      <c r="CF34" s="965"/>
      <c r="CG34" s="965"/>
      <c r="CH34" s="965"/>
      <c r="CI34" s="965"/>
      <c r="CJ34" s="965"/>
      <c r="CK34" s="965"/>
      <c r="CL34" s="965"/>
      <c r="CM34" s="965"/>
      <c r="CN34" s="965"/>
      <c r="CO34" s="965"/>
      <c r="CP34" s="965"/>
      <c r="CQ34" s="965"/>
      <c r="CR34" s="965"/>
      <c r="CS34" s="965"/>
      <c r="CT34" s="965"/>
      <c r="CU34" s="965"/>
      <c r="CV34" s="965"/>
      <c r="CW34" s="965"/>
      <c r="CX34" s="965"/>
      <c r="CY34" s="965"/>
      <c r="CZ34" s="965"/>
      <c r="DA34" s="965"/>
      <c r="DB34" s="965"/>
      <c r="DC34" s="965"/>
      <c r="DD34" s="965"/>
      <c r="DE34" s="965"/>
      <c r="DF34" s="965"/>
      <c r="DG34" s="965"/>
      <c r="DH34" s="965"/>
      <c r="DI34" s="965"/>
      <c r="DJ34" s="965"/>
      <c r="DK34" s="965"/>
      <c r="DL34" s="965"/>
      <c r="DM34" s="965"/>
      <c r="DN34" s="965"/>
      <c r="DO34" s="965"/>
      <c r="DP34" s="965"/>
      <c r="DQ34" s="965"/>
      <c r="DR34" s="965"/>
      <c r="DS34" s="965"/>
      <c r="DT34" s="965"/>
      <c r="DU34" s="965"/>
      <c r="DV34" s="965"/>
      <c r="DW34" s="965"/>
      <c r="DX34" s="965"/>
      <c r="DY34" s="965"/>
      <c r="DZ34" s="965"/>
      <c r="EA34" s="965"/>
      <c r="EB34" s="965"/>
      <c r="EC34" s="965"/>
      <c r="ED34" s="965"/>
      <c r="EE34" s="965"/>
      <c r="EF34" s="965"/>
      <c r="EG34" s="965"/>
      <c r="EH34" s="965"/>
      <c r="EI34" s="965"/>
      <c r="EJ34" s="965"/>
      <c r="EK34" s="965"/>
      <c r="EL34" s="965"/>
      <c r="EM34" s="965"/>
      <c r="EN34" s="965"/>
      <c r="EO34" s="965"/>
      <c r="EP34" s="965"/>
      <c r="EQ34" s="965"/>
      <c r="ER34" s="965"/>
      <c r="ES34" s="965"/>
      <c r="ET34" s="965"/>
      <c r="EU34" s="965"/>
      <c r="EV34" s="965"/>
      <c r="EW34" s="965"/>
      <c r="EX34" s="965"/>
      <c r="EY34" s="965"/>
      <c r="EZ34" s="965"/>
      <c r="FA34" s="965"/>
      <c r="FB34" s="965"/>
      <c r="FC34" s="965"/>
      <c r="FD34" s="965"/>
      <c r="FE34" s="965"/>
      <c r="FF34" s="965"/>
      <c r="FG34" s="965"/>
      <c r="FH34" s="965"/>
      <c r="FI34" s="965"/>
      <c r="FJ34" s="965"/>
      <c r="FK34" s="965"/>
      <c r="FL34" s="965"/>
      <c r="FM34" s="965"/>
      <c r="FN34" s="965"/>
      <c r="FO34" s="965"/>
      <c r="FP34" s="965"/>
      <c r="FQ34" s="965"/>
      <c r="FR34" s="965"/>
      <c r="FS34" s="965"/>
      <c r="FT34" s="965"/>
      <c r="FU34" s="965"/>
      <c r="FV34" s="965"/>
      <c r="FW34" s="965"/>
      <c r="FX34" s="965"/>
      <c r="FY34" s="965"/>
      <c r="FZ34" s="965"/>
      <c r="GA34" s="965"/>
      <c r="GB34" s="965"/>
      <c r="GC34" s="965"/>
      <c r="GD34" s="965"/>
      <c r="GE34" s="965"/>
      <c r="GF34" s="965"/>
      <c r="GG34" s="965"/>
      <c r="GH34" s="965"/>
      <c r="GI34" s="965"/>
      <c r="GJ34" s="965"/>
      <c r="GK34" s="965"/>
      <c r="GL34" s="965"/>
      <c r="GM34" s="965"/>
      <c r="GN34" s="965"/>
      <c r="GO34" s="965"/>
      <c r="GP34" s="965"/>
      <c r="GQ34" s="965"/>
      <c r="GR34" s="965"/>
      <c r="GS34" s="965"/>
      <c r="GT34" s="965"/>
      <c r="GU34" s="965"/>
      <c r="GV34" s="965"/>
      <c r="GW34" s="965"/>
      <c r="GX34" s="965"/>
      <c r="GY34" s="965"/>
      <c r="GZ34" s="965"/>
      <c r="HA34" s="965"/>
      <c r="HB34" s="965"/>
      <c r="HC34" s="965"/>
      <c r="HD34" s="965"/>
      <c r="HE34" s="965"/>
      <c r="HF34" s="965"/>
      <c r="HG34" s="965"/>
      <c r="HH34" s="965"/>
      <c r="HI34" s="965"/>
      <c r="HJ34" s="965"/>
      <c r="HK34" s="965"/>
      <c r="HL34" s="965"/>
      <c r="HM34" s="965"/>
      <c r="HN34" s="965"/>
      <c r="HO34" s="965"/>
      <c r="HP34" s="965"/>
      <c r="HQ34" s="965"/>
      <c r="HR34" s="965"/>
      <c r="HS34" s="965"/>
      <c r="HT34" s="965"/>
      <c r="HU34" s="965"/>
      <c r="HV34" s="965"/>
      <c r="HW34" s="965"/>
      <c r="HX34" s="965"/>
      <c r="HY34" s="965"/>
      <c r="HZ34" s="965"/>
      <c r="IA34" s="965"/>
      <c r="IB34" s="965"/>
      <c r="IC34" s="965"/>
      <c r="ID34" s="965"/>
      <c r="IE34" s="965"/>
      <c r="IF34" s="965"/>
      <c r="IG34" s="965"/>
      <c r="IH34" s="965"/>
      <c r="II34" s="965"/>
    </row>
    <row r="35" spans="3:243">
      <c r="C35" s="965"/>
      <c r="D35" s="965"/>
      <c r="E35" s="965"/>
      <c r="F35" s="965"/>
      <c r="G35" s="965"/>
      <c r="H35" s="965"/>
      <c r="I35" s="965"/>
      <c r="J35" s="965"/>
      <c r="K35" s="965"/>
      <c r="L35" s="965"/>
      <c r="M35" s="965"/>
      <c r="N35" s="965"/>
      <c r="O35" s="965"/>
      <c r="P35" s="965"/>
      <c r="Q35" s="965"/>
      <c r="R35" s="965"/>
      <c r="S35" s="965"/>
      <c r="T35" s="965"/>
      <c r="U35" s="965"/>
      <c r="V35" s="965"/>
      <c r="W35" s="965"/>
      <c r="X35" s="965"/>
      <c r="Y35" s="965"/>
      <c r="Z35" s="965"/>
      <c r="AA35" s="965"/>
      <c r="AB35" s="965"/>
      <c r="AC35" s="965"/>
      <c r="AD35" s="965"/>
      <c r="AE35" s="965"/>
      <c r="AF35" s="965"/>
      <c r="AG35" s="965"/>
      <c r="AH35" s="965"/>
      <c r="AI35" s="965"/>
      <c r="AJ35" s="965"/>
      <c r="AK35" s="965"/>
      <c r="AL35" s="965"/>
      <c r="AM35" s="965"/>
      <c r="AN35" s="965"/>
      <c r="AO35" s="965"/>
      <c r="AP35" s="965"/>
      <c r="AQ35" s="965"/>
      <c r="AR35" s="965"/>
      <c r="AS35" s="965"/>
      <c r="AT35" s="965"/>
      <c r="AU35" s="965"/>
      <c r="AV35" s="965"/>
      <c r="AW35" s="965"/>
      <c r="AX35" s="965"/>
      <c r="AY35" s="965"/>
      <c r="AZ35" s="965"/>
      <c r="BA35" s="965"/>
      <c r="BB35" s="965"/>
      <c r="BC35" s="965"/>
      <c r="BD35" s="965"/>
      <c r="BE35" s="965"/>
      <c r="BF35" s="965"/>
      <c r="BG35" s="965"/>
      <c r="BH35" s="965"/>
      <c r="BI35" s="965"/>
      <c r="BJ35" s="965"/>
      <c r="BK35" s="965"/>
      <c r="BL35" s="965"/>
      <c r="BM35" s="965"/>
      <c r="BN35" s="965"/>
      <c r="BO35" s="965"/>
      <c r="BP35" s="965"/>
      <c r="BQ35" s="965"/>
      <c r="BR35" s="965"/>
      <c r="BS35" s="965"/>
      <c r="BT35" s="965"/>
      <c r="BU35" s="965"/>
      <c r="BV35" s="965"/>
      <c r="BW35" s="965"/>
      <c r="BX35" s="965"/>
      <c r="BY35" s="965"/>
      <c r="BZ35" s="965"/>
      <c r="CA35" s="965"/>
      <c r="CB35" s="965"/>
      <c r="CC35" s="965"/>
      <c r="CD35" s="965"/>
      <c r="CE35" s="965"/>
      <c r="CF35" s="965"/>
      <c r="CG35" s="965"/>
      <c r="CH35" s="965"/>
      <c r="CI35" s="965"/>
      <c r="CJ35" s="965"/>
      <c r="CK35" s="965"/>
      <c r="CL35" s="965"/>
      <c r="CM35" s="965"/>
      <c r="CN35" s="965"/>
      <c r="CO35" s="965"/>
      <c r="CP35" s="965"/>
      <c r="CQ35" s="965"/>
      <c r="CR35" s="965"/>
      <c r="CS35" s="965"/>
      <c r="CT35" s="965"/>
      <c r="CU35" s="965"/>
      <c r="CV35" s="965"/>
      <c r="CW35" s="965"/>
      <c r="CX35" s="965"/>
      <c r="CY35" s="965"/>
      <c r="CZ35" s="965"/>
      <c r="DA35" s="965"/>
      <c r="DB35" s="965"/>
      <c r="DC35" s="965"/>
      <c r="DD35" s="965"/>
      <c r="DE35" s="965"/>
      <c r="DF35" s="965"/>
      <c r="DG35" s="965"/>
      <c r="DH35" s="965"/>
      <c r="DI35" s="965"/>
      <c r="DJ35" s="965"/>
      <c r="DK35" s="965"/>
      <c r="DL35" s="965"/>
      <c r="DM35" s="965"/>
      <c r="DN35" s="965"/>
      <c r="DO35" s="965"/>
      <c r="DP35" s="965"/>
      <c r="DQ35" s="965"/>
      <c r="DR35" s="965"/>
      <c r="DS35" s="965"/>
      <c r="DT35" s="965"/>
      <c r="DU35" s="965"/>
      <c r="DV35" s="965"/>
      <c r="DW35" s="965"/>
      <c r="DX35" s="965"/>
      <c r="DY35" s="965"/>
      <c r="DZ35" s="965"/>
      <c r="EA35" s="965"/>
      <c r="EB35" s="965"/>
      <c r="EC35" s="965"/>
      <c r="ED35" s="965"/>
      <c r="EE35" s="965"/>
      <c r="EF35" s="965"/>
      <c r="EG35" s="965"/>
      <c r="EH35" s="965"/>
      <c r="EI35" s="965"/>
      <c r="EJ35" s="965"/>
      <c r="EK35" s="965"/>
      <c r="EL35" s="965"/>
      <c r="EM35" s="965"/>
      <c r="EN35" s="965"/>
      <c r="EO35" s="965"/>
      <c r="EP35" s="965"/>
      <c r="EQ35" s="965"/>
      <c r="ER35" s="965"/>
      <c r="ES35" s="965"/>
      <c r="ET35" s="965"/>
      <c r="EU35" s="965"/>
      <c r="EV35" s="965"/>
      <c r="EW35" s="965"/>
      <c r="EX35" s="965"/>
      <c r="EY35" s="965"/>
      <c r="EZ35" s="965"/>
      <c r="FA35" s="965"/>
      <c r="FB35" s="965"/>
      <c r="FC35" s="965"/>
      <c r="FD35" s="965"/>
      <c r="FE35" s="965"/>
      <c r="FF35" s="965"/>
      <c r="FG35" s="965"/>
      <c r="FH35" s="965"/>
      <c r="FI35" s="965"/>
      <c r="FJ35" s="965"/>
      <c r="FK35" s="965"/>
      <c r="FL35" s="965"/>
      <c r="FM35" s="965"/>
      <c r="FN35" s="965"/>
      <c r="FO35" s="965"/>
      <c r="FP35" s="965"/>
      <c r="FQ35" s="965"/>
      <c r="FR35" s="965"/>
      <c r="FS35" s="965"/>
      <c r="FT35" s="965"/>
      <c r="FU35" s="965"/>
      <c r="FV35" s="965"/>
      <c r="FW35" s="965"/>
      <c r="FX35" s="965"/>
      <c r="FY35" s="965"/>
      <c r="FZ35" s="965"/>
      <c r="GA35" s="965"/>
      <c r="GB35" s="965"/>
      <c r="GC35" s="965"/>
      <c r="GD35" s="965"/>
      <c r="GE35" s="965"/>
      <c r="GF35" s="965"/>
      <c r="GG35" s="965"/>
      <c r="GH35" s="965"/>
      <c r="GI35" s="965"/>
      <c r="GJ35" s="965"/>
      <c r="GK35" s="965"/>
      <c r="GL35" s="965"/>
      <c r="GM35" s="965"/>
      <c r="GN35" s="965"/>
      <c r="GO35" s="965"/>
      <c r="GP35" s="965"/>
      <c r="GQ35" s="965"/>
      <c r="GR35" s="965"/>
      <c r="GS35" s="965"/>
      <c r="GT35" s="965"/>
      <c r="GU35" s="965"/>
      <c r="GV35" s="965"/>
      <c r="GW35" s="965"/>
      <c r="GX35" s="965"/>
      <c r="GY35" s="965"/>
      <c r="GZ35" s="965"/>
      <c r="HA35" s="965"/>
      <c r="HB35" s="965"/>
      <c r="HC35" s="965"/>
      <c r="HD35" s="965"/>
      <c r="HE35" s="965"/>
      <c r="HF35" s="965"/>
      <c r="HG35" s="965"/>
      <c r="HH35" s="965"/>
      <c r="HI35" s="965"/>
      <c r="HJ35" s="965"/>
      <c r="HK35" s="965"/>
      <c r="HL35" s="965"/>
      <c r="HM35" s="965"/>
      <c r="HN35" s="965"/>
      <c r="HO35" s="965"/>
      <c r="HP35" s="965"/>
      <c r="HQ35" s="965"/>
      <c r="HR35" s="965"/>
      <c r="HS35" s="965"/>
      <c r="HT35" s="965"/>
      <c r="HU35" s="965"/>
      <c r="HV35" s="965"/>
      <c r="HW35" s="965"/>
      <c r="HX35" s="965"/>
      <c r="HY35" s="965"/>
      <c r="HZ35" s="965"/>
      <c r="IA35" s="965"/>
      <c r="IB35" s="965"/>
      <c r="IC35" s="965"/>
      <c r="ID35" s="965"/>
      <c r="IE35" s="965"/>
      <c r="IF35" s="965"/>
      <c r="IG35" s="965"/>
      <c r="IH35" s="965"/>
      <c r="II35" s="965"/>
    </row>
    <row r="36" spans="3:243">
      <c r="C36" s="965"/>
      <c r="D36" s="965"/>
      <c r="E36" s="965"/>
      <c r="F36" s="965"/>
      <c r="G36" s="965"/>
      <c r="H36" s="965"/>
      <c r="I36" s="965"/>
      <c r="J36" s="965"/>
      <c r="K36" s="965"/>
      <c r="L36" s="965"/>
      <c r="M36" s="965"/>
      <c r="N36" s="965"/>
      <c r="O36" s="965"/>
      <c r="P36" s="965"/>
      <c r="Q36" s="965"/>
      <c r="R36" s="965"/>
      <c r="S36" s="965"/>
      <c r="T36" s="965"/>
      <c r="U36" s="965"/>
      <c r="V36" s="965"/>
      <c r="W36" s="965"/>
      <c r="X36" s="965"/>
      <c r="Y36" s="965"/>
      <c r="Z36" s="965"/>
      <c r="AA36" s="965"/>
      <c r="AB36" s="965"/>
      <c r="AC36" s="965"/>
      <c r="AD36" s="965"/>
      <c r="AE36" s="965"/>
      <c r="AF36" s="965"/>
      <c r="AG36" s="965"/>
      <c r="AH36" s="965"/>
      <c r="AI36" s="965"/>
      <c r="AJ36" s="965"/>
      <c r="AK36" s="965"/>
      <c r="AL36" s="965"/>
      <c r="AM36" s="965"/>
      <c r="AN36" s="965"/>
      <c r="AO36" s="965"/>
      <c r="AP36" s="965"/>
      <c r="AQ36" s="965"/>
      <c r="AR36" s="965"/>
      <c r="AS36" s="965"/>
      <c r="AT36" s="965"/>
      <c r="AU36" s="965"/>
      <c r="AV36" s="965"/>
      <c r="AW36" s="965"/>
      <c r="AX36" s="965"/>
      <c r="AY36" s="965"/>
      <c r="AZ36" s="965"/>
      <c r="BA36" s="965"/>
      <c r="BB36" s="965"/>
      <c r="BC36" s="965"/>
      <c r="BD36" s="965"/>
      <c r="BE36" s="965"/>
      <c r="BF36" s="965"/>
      <c r="BG36" s="965"/>
      <c r="BH36" s="965"/>
      <c r="BI36" s="965"/>
      <c r="BJ36" s="965"/>
      <c r="BK36" s="965"/>
      <c r="BL36" s="965"/>
      <c r="BM36" s="965"/>
      <c r="BN36" s="965"/>
      <c r="BO36" s="965"/>
      <c r="BP36" s="965"/>
      <c r="BQ36" s="965"/>
      <c r="BR36" s="965"/>
      <c r="BS36" s="965"/>
      <c r="BT36" s="965"/>
      <c r="BU36" s="965"/>
      <c r="BV36" s="965"/>
      <c r="BW36" s="965"/>
      <c r="BX36" s="965"/>
      <c r="BY36" s="965"/>
      <c r="BZ36" s="965"/>
      <c r="CA36" s="965"/>
      <c r="CB36" s="965"/>
      <c r="CC36" s="965"/>
      <c r="CD36" s="965"/>
      <c r="CE36" s="965"/>
      <c r="CF36" s="965"/>
      <c r="CG36" s="965"/>
      <c r="CH36" s="965"/>
      <c r="CI36" s="965"/>
      <c r="CJ36" s="965"/>
      <c r="CK36" s="965"/>
      <c r="CL36" s="965"/>
      <c r="CM36" s="965"/>
      <c r="CN36" s="965"/>
      <c r="CO36" s="965"/>
      <c r="CP36" s="965"/>
      <c r="CQ36" s="965"/>
      <c r="CR36" s="965"/>
      <c r="CS36" s="965"/>
      <c r="CT36" s="965"/>
      <c r="CU36" s="965"/>
      <c r="CV36" s="965"/>
      <c r="CW36" s="965"/>
      <c r="CX36" s="965"/>
      <c r="CY36" s="965"/>
      <c r="CZ36" s="965"/>
      <c r="DA36" s="965"/>
      <c r="DB36" s="965"/>
      <c r="DC36" s="965"/>
      <c r="DD36" s="965"/>
      <c r="DE36" s="965"/>
      <c r="DF36" s="965"/>
      <c r="DG36" s="965"/>
      <c r="DH36" s="965"/>
      <c r="DI36" s="965"/>
      <c r="DJ36" s="965"/>
      <c r="DK36" s="965"/>
      <c r="DL36" s="965"/>
      <c r="DM36" s="965"/>
      <c r="DN36" s="965"/>
      <c r="DO36" s="965"/>
      <c r="DP36" s="965"/>
      <c r="DQ36" s="965"/>
      <c r="DR36" s="965"/>
      <c r="DS36" s="965"/>
      <c r="DT36" s="965"/>
      <c r="DU36" s="965"/>
      <c r="DV36" s="965"/>
      <c r="DW36" s="965"/>
      <c r="DX36" s="965"/>
      <c r="DY36" s="965"/>
      <c r="DZ36" s="965"/>
      <c r="EA36" s="965"/>
      <c r="EB36" s="965"/>
      <c r="EC36" s="965"/>
      <c r="ED36" s="965"/>
      <c r="EE36" s="965"/>
      <c r="EF36" s="965"/>
      <c r="EG36" s="965"/>
      <c r="EH36" s="965"/>
      <c r="EI36" s="965"/>
      <c r="EJ36" s="965"/>
      <c r="EK36" s="965"/>
      <c r="EL36" s="965"/>
      <c r="EM36" s="965"/>
      <c r="EN36" s="965"/>
      <c r="EO36" s="965"/>
      <c r="EP36" s="965"/>
      <c r="EQ36" s="965"/>
      <c r="ER36" s="965"/>
      <c r="ES36" s="965"/>
      <c r="ET36" s="965"/>
      <c r="EU36" s="965"/>
      <c r="EV36" s="965"/>
      <c r="EW36" s="965"/>
      <c r="EX36" s="965"/>
      <c r="EY36" s="965"/>
      <c r="EZ36" s="965"/>
      <c r="FA36" s="965"/>
      <c r="FB36" s="965"/>
      <c r="FC36" s="965"/>
      <c r="FD36" s="965"/>
      <c r="FE36" s="965"/>
      <c r="FF36" s="965"/>
      <c r="FG36" s="965"/>
      <c r="FH36" s="965"/>
      <c r="FI36" s="965"/>
      <c r="FJ36" s="965"/>
      <c r="FK36" s="965"/>
      <c r="FL36" s="965"/>
      <c r="FM36" s="965"/>
      <c r="FN36" s="965"/>
      <c r="FO36" s="965"/>
      <c r="FP36" s="965"/>
      <c r="FQ36" s="965"/>
      <c r="FR36" s="965"/>
      <c r="FS36" s="965"/>
      <c r="FT36" s="965"/>
      <c r="FU36" s="965"/>
      <c r="FV36" s="965"/>
      <c r="FW36" s="965"/>
      <c r="FX36" s="965"/>
      <c r="FY36" s="965"/>
      <c r="FZ36" s="965"/>
      <c r="GA36" s="965"/>
      <c r="GB36" s="965"/>
      <c r="GC36" s="965"/>
      <c r="GD36" s="965"/>
      <c r="GE36" s="965"/>
      <c r="GF36" s="965"/>
      <c r="GG36" s="965"/>
      <c r="GH36" s="965"/>
      <c r="GI36" s="965"/>
      <c r="GJ36" s="965"/>
      <c r="GK36" s="965"/>
      <c r="GL36" s="965"/>
      <c r="GM36" s="965"/>
      <c r="GN36" s="965"/>
      <c r="GO36" s="965"/>
      <c r="GP36" s="965"/>
      <c r="GQ36" s="965"/>
      <c r="GR36" s="965"/>
      <c r="GS36" s="965"/>
      <c r="GT36" s="965"/>
      <c r="GU36" s="965"/>
      <c r="GV36" s="965"/>
      <c r="GW36" s="965"/>
      <c r="GX36" s="965"/>
      <c r="GY36" s="965"/>
      <c r="GZ36" s="965"/>
      <c r="HA36" s="965"/>
      <c r="HB36" s="965"/>
      <c r="HC36" s="965"/>
      <c r="HD36" s="965"/>
      <c r="HE36" s="965"/>
      <c r="HF36" s="965"/>
      <c r="HG36" s="965"/>
      <c r="HH36" s="965"/>
      <c r="HI36" s="965"/>
      <c r="HJ36" s="965"/>
      <c r="HK36" s="965"/>
      <c r="HL36" s="965"/>
      <c r="HM36" s="965"/>
      <c r="HN36" s="965"/>
      <c r="HO36" s="965"/>
      <c r="HP36" s="965"/>
      <c r="HQ36" s="965"/>
      <c r="HR36" s="965"/>
      <c r="HS36" s="965"/>
      <c r="HT36" s="965"/>
      <c r="HU36" s="965"/>
      <c r="HV36" s="965"/>
      <c r="HW36" s="965"/>
      <c r="HX36" s="965"/>
      <c r="HY36" s="965"/>
      <c r="HZ36" s="965"/>
      <c r="IA36" s="965"/>
      <c r="IB36" s="965"/>
      <c r="IC36" s="965"/>
      <c r="ID36" s="965"/>
      <c r="IE36" s="965"/>
      <c r="IF36" s="965"/>
      <c r="IG36" s="965"/>
      <c r="IH36" s="965"/>
      <c r="II36" s="965"/>
    </row>
    <row r="37" spans="3:243">
      <c r="C37" s="965"/>
      <c r="D37" s="965"/>
      <c r="E37" s="965"/>
      <c r="F37" s="965"/>
      <c r="G37" s="965"/>
      <c r="H37" s="965"/>
      <c r="I37" s="965"/>
      <c r="J37" s="965"/>
      <c r="K37" s="965"/>
      <c r="L37" s="965"/>
      <c r="M37" s="965"/>
      <c r="N37" s="965"/>
      <c r="O37" s="965"/>
      <c r="P37" s="965"/>
      <c r="Q37" s="965"/>
      <c r="R37" s="965"/>
      <c r="S37" s="965"/>
      <c r="T37" s="965"/>
      <c r="U37" s="965"/>
      <c r="V37" s="965"/>
      <c r="W37" s="965"/>
      <c r="X37" s="965"/>
      <c r="Y37" s="965"/>
      <c r="Z37" s="965"/>
      <c r="AA37" s="965"/>
      <c r="AB37" s="965"/>
      <c r="AC37" s="965"/>
      <c r="AD37" s="965"/>
      <c r="AE37" s="965"/>
      <c r="AF37" s="965"/>
      <c r="AG37" s="965"/>
      <c r="AH37" s="965"/>
      <c r="AI37" s="965"/>
      <c r="AJ37" s="965"/>
      <c r="AK37" s="965"/>
      <c r="AL37" s="965"/>
      <c r="AM37" s="965"/>
      <c r="AN37" s="965"/>
      <c r="AO37" s="965"/>
      <c r="AP37" s="965"/>
      <c r="AQ37" s="965"/>
      <c r="AR37" s="965"/>
      <c r="AS37" s="965"/>
      <c r="AT37" s="965"/>
      <c r="AU37" s="965"/>
      <c r="AV37" s="965"/>
      <c r="AW37" s="965"/>
      <c r="AX37" s="965"/>
      <c r="AY37" s="965"/>
      <c r="AZ37" s="965"/>
      <c r="BA37" s="965"/>
      <c r="BB37" s="965"/>
      <c r="BC37" s="965"/>
      <c r="BD37" s="965"/>
      <c r="BE37" s="965"/>
      <c r="BF37" s="965"/>
      <c r="BG37" s="965"/>
      <c r="BH37" s="965"/>
      <c r="BI37" s="965"/>
      <c r="BJ37" s="965"/>
      <c r="BK37" s="965"/>
      <c r="BL37" s="965"/>
      <c r="BM37" s="965"/>
      <c r="BN37" s="965"/>
      <c r="BO37" s="965"/>
      <c r="BP37" s="965"/>
      <c r="BQ37" s="965"/>
      <c r="BR37" s="965"/>
      <c r="BS37" s="965"/>
      <c r="BT37" s="965"/>
      <c r="BU37" s="965"/>
      <c r="BV37" s="965"/>
      <c r="BW37" s="965"/>
      <c r="BX37" s="965"/>
      <c r="BY37" s="965"/>
      <c r="BZ37" s="965"/>
      <c r="CA37" s="965"/>
      <c r="CB37" s="965"/>
      <c r="CC37" s="965"/>
      <c r="CD37" s="965"/>
      <c r="CE37" s="965"/>
      <c r="CF37" s="965"/>
      <c r="CG37" s="965"/>
      <c r="CH37" s="965"/>
      <c r="CI37" s="965"/>
      <c r="CJ37" s="965"/>
      <c r="CK37" s="965"/>
      <c r="CL37" s="965"/>
      <c r="CM37" s="965"/>
      <c r="CN37" s="965"/>
      <c r="CO37" s="965"/>
      <c r="CP37" s="965"/>
      <c r="CQ37" s="965"/>
      <c r="CR37" s="965"/>
      <c r="CS37" s="965"/>
      <c r="CT37" s="965"/>
      <c r="CU37" s="965"/>
      <c r="CV37" s="965"/>
      <c r="CW37" s="965"/>
      <c r="CX37" s="965"/>
      <c r="CY37" s="965"/>
      <c r="CZ37" s="965"/>
      <c r="DA37" s="965"/>
      <c r="DB37" s="965"/>
      <c r="DC37" s="965"/>
      <c r="DD37" s="965"/>
      <c r="DE37" s="965"/>
      <c r="DF37" s="965"/>
      <c r="DG37" s="965"/>
      <c r="DH37" s="965"/>
      <c r="DI37" s="965"/>
      <c r="DJ37" s="965"/>
      <c r="DK37" s="965"/>
      <c r="DL37" s="965"/>
      <c r="DM37" s="965"/>
      <c r="DN37" s="965"/>
      <c r="DO37" s="965"/>
      <c r="DP37" s="965"/>
      <c r="DQ37" s="965"/>
      <c r="DR37" s="965"/>
      <c r="DS37" s="965"/>
      <c r="DT37" s="965"/>
      <c r="DU37" s="965"/>
      <c r="DV37" s="965"/>
      <c r="DW37" s="965"/>
      <c r="DX37" s="965"/>
      <c r="DY37" s="965"/>
      <c r="DZ37" s="965"/>
      <c r="EA37" s="965"/>
      <c r="EB37" s="965"/>
      <c r="EC37" s="965"/>
      <c r="ED37" s="965"/>
      <c r="EE37" s="965"/>
      <c r="EF37" s="965"/>
      <c r="EG37" s="965"/>
      <c r="EH37" s="965"/>
      <c r="EI37" s="965"/>
      <c r="EJ37" s="965"/>
      <c r="EK37" s="965"/>
      <c r="EL37" s="965"/>
      <c r="EM37" s="965"/>
      <c r="EN37" s="965"/>
      <c r="EO37" s="965"/>
      <c r="EP37" s="965"/>
      <c r="EQ37" s="965"/>
      <c r="ER37" s="965"/>
      <c r="ES37" s="965"/>
      <c r="ET37" s="965"/>
      <c r="EU37" s="965"/>
      <c r="EV37" s="965"/>
      <c r="EW37" s="965"/>
      <c r="EX37" s="965"/>
      <c r="EY37" s="965"/>
      <c r="EZ37" s="965"/>
      <c r="FA37" s="965"/>
      <c r="FB37" s="965"/>
      <c r="FC37" s="965"/>
      <c r="FD37" s="965"/>
      <c r="FE37" s="965"/>
      <c r="FF37" s="965"/>
      <c r="FG37" s="965"/>
      <c r="FH37" s="965"/>
      <c r="FI37" s="965"/>
      <c r="FJ37" s="965"/>
      <c r="FK37" s="965"/>
      <c r="FL37" s="965"/>
      <c r="FM37" s="965"/>
      <c r="FN37" s="965"/>
      <c r="FO37" s="965"/>
      <c r="FP37" s="965"/>
      <c r="FQ37" s="965"/>
      <c r="FR37" s="965"/>
      <c r="FS37" s="965"/>
      <c r="FT37" s="965"/>
      <c r="FU37" s="965"/>
      <c r="FV37" s="965"/>
      <c r="FW37" s="965"/>
      <c r="FX37" s="965"/>
      <c r="FY37" s="965"/>
      <c r="FZ37" s="965"/>
      <c r="GA37" s="965"/>
      <c r="GB37" s="965"/>
      <c r="GC37" s="965"/>
      <c r="GD37" s="965"/>
      <c r="GE37" s="965"/>
      <c r="GF37" s="965"/>
      <c r="GG37" s="965"/>
      <c r="GH37" s="965"/>
      <c r="GI37" s="965"/>
      <c r="GJ37" s="965"/>
      <c r="GK37" s="965"/>
      <c r="GL37" s="965"/>
      <c r="GM37" s="965"/>
      <c r="GN37" s="965"/>
      <c r="GO37" s="965"/>
      <c r="GP37" s="965"/>
      <c r="GQ37" s="965"/>
      <c r="GR37" s="965"/>
      <c r="GS37" s="965"/>
      <c r="GT37" s="965"/>
      <c r="GU37" s="965"/>
      <c r="GV37" s="965"/>
      <c r="GW37" s="965"/>
      <c r="GX37" s="965"/>
      <c r="GY37" s="965"/>
      <c r="GZ37" s="965"/>
      <c r="HA37" s="965"/>
      <c r="HB37" s="965"/>
      <c r="HC37" s="965"/>
      <c r="HD37" s="965"/>
      <c r="HE37" s="965"/>
      <c r="HF37" s="965"/>
      <c r="HG37" s="965"/>
      <c r="HH37" s="965"/>
      <c r="HI37" s="965"/>
      <c r="HJ37" s="965"/>
      <c r="HK37" s="965"/>
      <c r="HL37" s="965"/>
      <c r="HM37" s="965"/>
      <c r="HN37" s="965"/>
      <c r="HO37" s="965"/>
      <c r="HP37" s="965"/>
      <c r="HQ37" s="965"/>
      <c r="HR37" s="965"/>
      <c r="HS37" s="965"/>
      <c r="HT37" s="965"/>
      <c r="HU37" s="965"/>
      <c r="HV37" s="965"/>
      <c r="HW37" s="965"/>
      <c r="HX37" s="965"/>
      <c r="HY37" s="965"/>
      <c r="HZ37" s="965"/>
      <c r="IA37" s="965"/>
      <c r="IB37" s="965"/>
      <c r="IC37" s="965"/>
      <c r="ID37" s="965"/>
      <c r="IE37" s="965"/>
      <c r="IF37" s="965"/>
      <c r="IG37" s="965"/>
      <c r="IH37" s="965"/>
      <c r="II37" s="965"/>
    </row>
    <row r="38" spans="3:243">
      <c r="C38" s="965"/>
      <c r="D38" s="965"/>
      <c r="E38" s="965"/>
      <c r="F38" s="965"/>
      <c r="G38" s="965"/>
      <c r="H38" s="965"/>
      <c r="I38" s="965"/>
      <c r="J38" s="965"/>
      <c r="K38" s="965"/>
      <c r="L38" s="965"/>
      <c r="M38" s="965"/>
      <c r="N38" s="965"/>
      <c r="O38" s="965"/>
      <c r="P38" s="965"/>
      <c r="Q38" s="965"/>
      <c r="R38" s="965"/>
      <c r="S38" s="965"/>
      <c r="T38" s="965"/>
      <c r="U38" s="965"/>
      <c r="V38" s="965"/>
      <c r="W38" s="965"/>
      <c r="X38" s="965"/>
      <c r="Y38" s="965"/>
      <c r="Z38" s="965"/>
      <c r="AA38" s="965"/>
      <c r="AB38" s="965"/>
      <c r="AC38" s="965"/>
      <c r="AD38" s="965"/>
      <c r="AE38" s="965"/>
      <c r="AF38" s="965"/>
      <c r="AG38" s="965"/>
      <c r="AH38" s="965"/>
      <c r="AI38" s="965"/>
      <c r="AJ38" s="965"/>
      <c r="AK38" s="965"/>
      <c r="AL38" s="965"/>
      <c r="AM38" s="965"/>
      <c r="AN38" s="965"/>
      <c r="AO38" s="965"/>
      <c r="AP38" s="965"/>
      <c r="AQ38" s="965"/>
      <c r="AR38" s="965"/>
      <c r="AS38" s="965"/>
      <c r="AT38" s="965"/>
      <c r="AU38" s="965"/>
      <c r="AV38" s="965"/>
      <c r="AW38" s="965"/>
      <c r="AX38" s="965"/>
      <c r="AY38" s="965"/>
      <c r="AZ38" s="965"/>
      <c r="BA38" s="965"/>
      <c r="BB38" s="965"/>
      <c r="BC38" s="965"/>
      <c r="BD38" s="965"/>
      <c r="BE38" s="965"/>
      <c r="BF38" s="965"/>
      <c r="BG38" s="965"/>
      <c r="BH38" s="965"/>
      <c r="BI38" s="965"/>
      <c r="BJ38" s="965"/>
      <c r="BK38" s="965"/>
      <c r="BL38" s="965"/>
      <c r="BM38" s="965"/>
      <c r="BN38" s="965"/>
      <c r="BO38" s="965"/>
      <c r="BP38" s="965"/>
      <c r="BQ38" s="965"/>
      <c r="BR38" s="965"/>
      <c r="BS38" s="965"/>
      <c r="BT38" s="965"/>
      <c r="BU38" s="965"/>
      <c r="BV38" s="965"/>
      <c r="BW38" s="965"/>
      <c r="BX38" s="965"/>
      <c r="BY38" s="965"/>
      <c r="BZ38" s="965"/>
      <c r="CA38" s="965"/>
      <c r="CB38" s="965"/>
      <c r="CC38" s="965"/>
      <c r="CD38" s="965"/>
      <c r="CE38" s="965"/>
      <c r="CF38" s="965"/>
      <c r="CG38" s="965"/>
      <c r="CH38" s="965"/>
      <c r="CI38" s="965"/>
      <c r="CJ38" s="965"/>
      <c r="CK38" s="965"/>
      <c r="CL38" s="965"/>
      <c r="CM38" s="965"/>
      <c r="CN38" s="965"/>
      <c r="CO38" s="965"/>
      <c r="CP38" s="965"/>
      <c r="CQ38" s="965"/>
      <c r="CR38" s="965"/>
      <c r="CS38" s="965"/>
      <c r="CT38" s="965"/>
      <c r="CU38" s="965"/>
      <c r="CV38" s="965"/>
      <c r="CW38" s="965"/>
      <c r="CX38" s="965"/>
      <c r="CY38" s="965"/>
      <c r="CZ38" s="965"/>
      <c r="DA38" s="965"/>
      <c r="DB38" s="965"/>
      <c r="DC38" s="965"/>
      <c r="DD38" s="965"/>
      <c r="DE38" s="965"/>
      <c r="DF38" s="965"/>
      <c r="DG38" s="965"/>
      <c r="DH38" s="965"/>
      <c r="DI38" s="965"/>
      <c r="DJ38" s="965"/>
      <c r="DK38" s="965"/>
      <c r="DL38" s="965"/>
      <c r="DM38" s="965"/>
      <c r="DN38" s="965"/>
      <c r="DO38" s="965"/>
      <c r="DP38" s="965"/>
      <c r="DQ38" s="965"/>
      <c r="DR38" s="965"/>
      <c r="DS38" s="965"/>
      <c r="DT38" s="965"/>
      <c r="DU38" s="965"/>
      <c r="DV38" s="965"/>
      <c r="DW38" s="965"/>
      <c r="DX38" s="965"/>
      <c r="DY38" s="965"/>
      <c r="DZ38" s="965"/>
      <c r="EA38" s="965"/>
      <c r="EB38" s="965"/>
      <c r="EC38" s="965"/>
      <c r="ED38" s="965"/>
      <c r="EE38" s="965"/>
      <c r="EF38" s="965"/>
      <c r="EG38" s="965"/>
      <c r="EH38" s="965"/>
      <c r="EI38" s="965"/>
      <c r="EJ38" s="965"/>
      <c r="EK38" s="965"/>
      <c r="EL38" s="965"/>
      <c r="EM38" s="965"/>
      <c r="EN38" s="965"/>
      <c r="EO38" s="965"/>
      <c r="EP38" s="965"/>
      <c r="EQ38" s="965"/>
      <c r="ER38" s="965"/>
      <c r="ES38" s="965"/>
      <c r="ET38" s="965"/>
      <c r="EU38" s="965"/>
      <c r="EV38" s="965"/>
      <c r="EW38" s="965"/>
      <c r="EX38" s="965"/>
      <c r="EY38" s="965"/>
      <c r="EZ38" s="965"/>
      <c r="FA38" s="965"/>
      <c r="FB38" s="965"/>
      <c r="FC38" s="965"/>
      <c r="FD38" s="965"/>
      <c r="FE38" s="965"/>
      <c r="FF38" s="965"/>
      <c r="FG38" s="965"/>
      <c r="FH38" s="965"/>
      <c r="FI38" s="965"/>
      <c r="FJ38" s="965"/>
      <c r="FK38" s="965"/>
      <c r="FL38" s="965"/>
      <c r="FM38" s="965"/>
      <c r="FN38" s="965"/>
      <c r="FO38" s="965"/>
      <c r="FP38" s="965"/>
      <c r="FQ38" s="965"/>
      <c r="FR38" s="965"/>
      <c r="FS38" s="965"/>
      <c r="FT38" s="965"/>
      <c r="FU38" s="965"/>
      <c r="FV38" s="965"/>
      <c r="FW38" s="965"/>
      <c r="FX38" s="965"/>
      <c r="FY38" s="965"/>
      <c r="FZ38" s="965"/>
      <c r="GA38" s="965"/>
      <c r="GB38" s="965"/>
      <c r="GC38" s="965"/>
      <c r="GD38" s="965"/>
      <c r="GE38" s="965"/>
      <c r="GF38" s="965"/>
      <c r="GG38" s="965"/>
      <c r="GH38" s="965"/>
      <c r="GI38" s="965"/>
      <c r="GJ38" s="965"/>
      <c r="GK38" s="965"/>
      <c r="GL38" s="965"/>
      <c r="GM38" s="965"/>
      <c r="GN38" s="965"/>
      <c r="GO38" s="965"/>
      <c r="GP38" s="965"/>
      <c r="GQ38" s="965"/>
      <c r="GR38" s="965"/>
      <c r="GS38" s="965"/>
      <c r="GT38" s="965"/>
      <c r="GU38" s="965"/>
      <c r="GV38" s="965"/>
      <c r="GW38" s="965"/>
      <c r="GX38" s="965"/>
      <c r="GY38" s="965"/>
      <c r="GZ38" s="965"/>
      <c r="HA38" s="965"/>
      <c r="HB38" s="965"/>
      <c r="HC38" s="965"/>
      <c r="HD38" s="965"/>
      <c r="HE38" s="965"/>
      <c r="HF38" s="965"/>
      <c r="HG38" s="965"/>
      <c r="HH38" s="965"/>
      <c r="HI38" s="965"/>
      <c r="HJ38" s="965"/>
      <c r="HK38" s="965"/>
      <c r="HL38" s="965"/>
      <c r="HM38" s="965"/>
      <c r="HN38" s="965"/>
      <c r="HO38" s="965"/>
      <c r="HP38" s="965"/>
      <c r="HQ38" s="965"/>
      <c r="HR38" s="965"/>
      <c r="HS38" s="965"/>
      <c r="HT38" s="965"/>
      <c r="HU38" s="965"/>
      <c r="HV38" s="965"/>
      <c r="HW38" s="965"/>
      <c r="HX38" s="965"/>
      <c r="HY38" s="965"/>
      <c r="HZ38" s="965"/>
      <c r="IA38" s="965"/>
      <c r="IB38" s="965"/>
      <c r="IC38" s="965"/>
      <c r="ID38" s="965"/>
      <c r="IE38" s="965"/>
      <c r="IF38" s="965"/>
      <c r="IG38" s="965"/>
      <c r="IH38" s="965"/>
      <c r="II38" s="965"/>
    </row>
    <row r="39" spans="3:243">
      <c r="C39" s="965"/>
      <c r="D39" s="965"/>
      <c r="E39" s="965"/>
      <c r="F39" s="965"/>
      <c r="G39" s="965"/>
      <c r="H39" s="965"/>
      <c r="I39" s="965"/>
      <c r="J39" s="965"/>
      <c r="K39" s="965"/>
      <c r="L39" s="965"/>
      <c r="M39" s="965"/>
      <c r="N39" s="965"/>
      <c r="O39" s="965"/>
      <c r="P39" s="965"/>
      <c r="Q39" s="965"/>
      <c r="R39" s="965"/>
      <c r="S39" s="965"/>
      <c r="T39" s="965"/>
      <c r="U39" s="965"/>
      <c r="V39" s="965"/>
      <c r="W39" s="965"/>
      <c r="X39" s="965"/>
      <c r="Y39" s="965"/>
      <c r="Z39" s="965"/>
      <c r="AA39" s="965"/>
      <c r="AB39" s="965"/>
      <c r="AC39" s="965"/>
      <c r="AD39" s="965"/>
      <c r="AE39" s="965"/>
      <c r="AF39" s="965"/>
      <c r="AG39" s="965"/>
      <c r="AH39" s="965"/>
      <c r="AI39" s="965"/>
      <c r="AJ39" s="965"/>
      <c r="AK39" s="965"/>
      <c r="AL39" s="965"/>
      <c r="AM39" s="965"/>
      <c r="AN39" s="965"/>
      <c r="AO39" s="965"/>
      <c r="AP39" s="965"/>
      <c r="AQ39" s="965"/>
      <c r="AR39" s="965"/>
      <c r="AS39" s="965"/>
      <c r="AT39" s="965"/>
      <c r="AU39" s="965"/>
      <c r="AV39" s="965"/>
      <c r="AW39" s="965"/>
      <c r="AX39" s="965"/>
      <c r="AY39" s="965"/>
      <c r="AZ39" s="965"/>
      <c r="BA39" s="965"/>
      <c r="BB39" s="965"/>
      <c r="BC39" s="965"/>
      <c r="BD39" s="965"/>
      <c r="BE39" s="965"/>
      <c r="BF39" s="965"/>
      <c r="BG39" s="965"/>
      <c r="BH39" s="965"/>
      <c r="BI39" s="965"/>
      <c r="BJ39" s="965"/>
      <c r="BK39" s="965"/>
      <c r="BL39" s="965"/>
      <c r="BM39" s="965"/>
      <c r="BN39" s="965"/>
      <c r="BO39" s="965"/>
      <c r="BP39" s="965"/>
      <c r="BQ39" s="965"/>
      <c r="BR39" s="965"/>
      <c r="BS39" s="965"/>
      <c r="BT39" s="965"/>
      <c r="BU39" s="965"/>
      <c r="BV39" s="965"/>
      <c r="BW39" s="965"/>
      <c r="BX39" s="965"/>
      <c r="BY39" s="965"/>
      <c r="BZ39" s="965"/>
      <c r="CA39" s="965"/>
      <c r="CB39" s="965"/>
      <c r="CC39" s="965"/>
      <c r="CD39" s="965"/>
      <c r="CE39" s="965"/>
      <c r="CF39" s="965"/>
      <c r="CG39" s="965"/>
      <c r="CH39" s="965"/>
      <c r="CI39" s="965"/>
      <c r="CJ39" s="965"/>
      <c r="CK39" s="965"/>
      <c r="CL39" s="965"/>
      <c r="CM39" s="965"/>
      <c r="CN39" s="965"/>
      <c r="CO39" s="965"/>
      <c r="CP39" s="965"/>
      <c r="CQ39" s="965"/>
      <c r="CR39" s="965"/>
      <c r="CS39" s="965"/>
      <c r="CT39" s="965"/>
      <c r="CU39" s="965"/>
      <c r="CV39" s="965"/>
      <c r="CW39" s="965"/>
      <c r="CX39" s="965"/>
      <c r="CY39" s="965"/>
      <c r="CZ39" s="965"/>
      <c r="DA39" s="965"/>
      <c r="DB39" s="965"/>
      <c r="DC39" s="965"/>
      <c r="DD39" s="965"/>
      <c r="DE39" s="965"/>
      <c r="DF39" s="965"/>
      <c r="DG39" s="965"/>
      <c r="DH39" s="965"/>
      <c r="DI39" s="965"/>
      <c r="DJ39" s="965"/>
      <c r="DK39" s="965"/>
      <c r="DL39" s="965"/>
      <c r="DM39" s="965"/>
      <c r="DN39" s="965"/>
      <c r="DO39" s="965"/>
      <c r="DP39" s="965"/>
      <c r="DQ39" s="965"/>
      <c r="DR39" s="965"/>
      <c r="DS39" s="965"/>
      <c r="DT39" s="965"/>
      <c r="DU39" s="965"/>
      <c r="DV39" s="965"/>
      <c r="DW39" s="965"/>
      <c r="DX39" s="965"/>
      <c r="DY39" s="965"/>
      <c r="DZ39" s="965"/>
      <c r="EA39" s="965"/>
      <c r="EB39" s="965"/>
      <c r="EC39" s="965"/>
      <c r="ED39" s="965"/>
      <c r="EE39" s="965"/>
      <c r="EF39" s="965"/>
      <c r="EG39" s="965"/>
      <c r="EH39" s="965"/>
      <c r="EI39" s="965"/>
      <c r="EJ39" s="965"/>
      <c r="EK39" s="965"/>
      <c r="EL39" s="965"/>
      <c r="EM39" s="965"/>
      <c r="EN39" s="965"/>
      <c r="EO39" s="965"/>
      <c r="EP39" s="965"/>
      <c r="EQ39" s="965"/>
      <c r="ER39" s="965"/>
      <c r="ES39" s="965"/>
      <c r="ET39" s="965"/>
      <c r="EU39" s="965"/>
      <c r="EV39" s="965"/>
      <c r="EW39" s="965"/>
      <c r="EX39" s="965"/>
      <c r="EY39" s="965"/>
      <c r="EZ39" s="965"/>
      <c r="FA39" s="965"/>
      <c r="FB39" s="965"/>
      <c r="FC39" s="965"/>
      <c r="FD39" s="965"/>
      <c r="FE39" s="965"/>
      <c r="FF39" s="965"/>
      <c r="FG39" s="965"/>
      <c r="FH39" s="965"/>
      <c r="FI39" s="965"/>
      <c r="FJ39" s="965"/>
      <c r="FK39" s="965"/>
      <c r="FL39" s="965"/>
      <c r="FM39" s="965"/>
      <c r="FN39" s="965"/>
      <c r="FO39" s="965"/>
      <c r="FP39" s="965"/>
      <c r="FQ39" s="965"/>
      <c r="FR39" s="965"/>
      <c r="FS39" s="965"/>
      <c r="FT39" s="965"/>
      <c r="FU39" s="965"/>
      <c r="FV39" s="965"/>
      <c r="FW39" s="965"/>
      <c r="FX39" s="965"/>
      <c r="FY39" s="965"/>
      <c r="FZ39" s="965"/>
      <c r="GA39" s="965"/>
      <c r="GB39" s="965"/>
      <c r="GC39" s="965"/>
      <c r="GD39" s="965"/>
      <c r="GE39" s="965"/>
      <c r="GF39" s="965"/>
      <c r="GG39" s="965"/>
      <c r="GH39" s="965"/>
      <c r="GI39" s="965"/>
      <c r="GJ39" s="965"/>
      <c r="GK39" s="965"/>
      <c r="GL39" s="965"/>
      <c r="GM39" s="965"/>
      <c r="GN39" s="965"/>
      <c r="GO39" s="965"/>
      <c r="GP39" s="965"/>
      <c r="GQ39" s="965"/>
      <c r="GR39" s="965"/>
      <c r="GS39" s="965"/>
      <c r="GT39" s="965"/>
      <c r="GU39" s="965"/>
      <c r="GV39" s="965"/>
      <c r="GW39" s="965"/>
      <c r="GX39" s="965"/>
      <c r="GY39" s="965"/>
      <c r="GZ39" s="965"/>
      <c r="HA39" s="965"/>
      <c r="HB39" s="965"/>
      <c r="HC39" s="965"/>
      <c r="HD39" s="965"/>
      <c r="HE39" s="965"/>
      <c r="HF39" s="965"/>
      <c r="HG39" s="965"/>
      <c r="HH39" s="965"/>
      <c r="HI39" s="965"/>
      <c r="HJ39" s="965"/>
      <c r="HK39" s="965"/>
      <c r="HL39" s="965"/>
      <c r="HM39" s="965"/>
      <c r="HN39" s="965"/>
      <c r="HO39" s="965"/>
      <c r="HP39" s="965"/>
      <c r="HQ39" s="965"/>
      <c r="HR39" s="965"/>
      <c r="HS39" s="965"/>
      <c r="HT39" s="965"/>
      <c r="HU39" s="965"/>
      <c r="HV39" s="965"/>
      <c r="HW39" s="965"/>
      <c r="HX39" s="965"/>
      <c r="HY39" s="965"/>
      <c r="HZ39" s="965"/>
      <c r="IA39" s="965"/>
      <c r="IB39" s="965"/>
      <c r="IC39" s="965"/>
      <c r="ID39" s="965"/>
      <c r="IE39" s="965"/>
      <c r="IF39" s="965"/>
      <c r="IG39" s="965"/>
      <c r="IH39" s="965"/>
      <c r="II39" s="965"/>
    </row>
    <row r="40" spans="3:243">
      <c r="C40" s="965"/>
      <c r="D40" s="965"/>
      <c r="E40" s="965"/>
      <c r="F40" s="965"/>
      <c r="G40" s="965"/>
      <c r="H40" s="965"/>
      <c r="I40" s="965"/>
      <c r="J40" s="965"/>
      <c r="K40" s="965"/>
      <c r="L40" s="965"/>
      <c r="M40" s="965"/>
      <c r="N40" s="965"/>
      <c r="O40" s="965"/>
      <c r="P40" s="965"/>
      <c r="Q40" s="965"/>
      <c r="R40" s="965"/>
      <c r="S40" s="965"/>
      <c r="T40" s="965"/>
      <c r="U40" s="965"/>
      <c r="V40" s="965"/>
      <c r="W40" s="965"/>
      <c r="X40" s="965"/>
      <c r="Y40" s="965"/>
      <c r="Z40" s="965"/>
      <c r="AA40" s="965"/>
      <c r="AB40" s="965"/>
      <c r="AC40" s="965"/>
      <c r="AD40" s="965"/>
      <c r="AE40" s="965"/>
      <c r="AF40" s="965"/>
      <c r="AG40" s="965"/>
      <c r="AH40" s="965"/>
      <c r="AI40" s="965"/>
      <c r="AJ40" s="965"/>
      <c r="AK40" s="965"/>
      <c r="AL40" s="965"/>
      <c r="AM40" s="965"/>
      <c r="AN40" s="965"/>
      <c r="AO40" s="965"/>
      <c r="AP40" s="965"/>
      <c r="AQ40" s="965"/>
      <c r="AR40" s="965"/>
      <c r="AS40" s="965"/>
      <c r="AT40" s="965"/>
      <c r="AU40" s="965"/>
      <c r="AV40" s="965"/>
      <c r="AW40" s="965"/>
      <c r="AX40" s="965"/>
      <c r="AY40" s="965"/>
      <c r="AZ40" s="965"/>
      <c r="BA40" s="965"/>
      <c r="BB40" s="965"/>
      <c r="BC40" s="965"/>
      <c r="BD40" s="965"/>
      <c r="BE40" s="965"/>
      <c r="BF40" s="965"/>
      <c r="BG40" s="965"/>
      <c r="BH40" s="965"/>
      <c r="BI40" s="965"/>
      <c r="BJ40" s="965"/>
      <c r="BK40" s="965"/>
      <c r="BL40" s="965"/>
      <c r="BM40" s="965"/>
      <c r="BN40" s="965"/>
      <c r="BO40" s="965"/>
      <c r="BP40" s="965"/>
      <c r="BQ40" s="965"/>
      <c r="BR40" s="965"/>
      <c r="BS40" s="965"/>
      <c r="BT40" s="965"/>
      <c r="BU40" s="965"/>
      <c r="BV40" s="965"/>
      <c r="BW40" s="965"/>
      <c r="BX40" s="965"/>
      <c r="BY40" s="965"/>
      <c r="BZ40" s="965"/>
      <c r="CA40" s="965"/>
      <c r="CB40" s="965"/>
      <c r="CC40" s="965"/>
      <c r="CD40" s="965"/>
      <c r="CE40" s="965"/>
      <c r="CF40" s="965"/>
      <c r="CG40" s="965"/>
      <c r="CH40" s="965"/>
      <c r="CI40" s="965"/>
      <c r="CJ40" s="965"/>
      <c r="CK40" s="965"/>
      <c r="CL40" s="965"/>
      <c r="CM40" s="965"/>
      <c r="CN40" s="965"/>
      <c r="CO40" s="965"/>
      <c r="CP40" s="965"/>
      <c r="CQ40" s="965"/>
      <c r="CR40" s="965"/>
      <c r="CS40" s="965"/>
      <c r="CT40" s="965"/>
      <c r="CU40" s="965"/>
      <c r="CV40" s="965"/>
      <c r="CW40" s="965"/>
      <c r="CX40" s="965"/>
      <c r="CY40" s="965"/>
      <c r="CZ40" s="965"/>
      <c r="DA40" s="965"/>
      <c r="DB40" s="965"/>
      <c r="DC40" s="965"/>
      <c r="DD40" s="965"/>
      <c r="DE40" s="965"/>
      <c r="DF40" s="965"/>
      <c r="DG40" s="965"/>
      <c r="DH40" s="965"/>
      <c r="DI40" s="965"/>
      <c r="DJ40" s="965"/>
      <c r="DK40" s="965"/>
      <c r="DL40" s="965"/>
      <c r="DM40" s="965"/>
      <c r="DN40" s="965"/>
      <c r="DO40" s="965"/>
      <c r="DP40" s="965"/>
      <c r="DQ40" s="965"/>
      <c r="DR40" s="965"/>
      <c r="DS40" s="965"/>
      <c r="DT40" s="965"/>
      <c r="DU40" s="965"/>
      <c r="DV40" s="965"/>
      <c r="DW40" s="965"/>
      <c r="DX40" s="965"/>
      <c r="DY40" s="965"/>
      <c r="DZ40" s="965"/>
      <c r="EA40" s="965"/>
      <c r="EB40" s="965"/>
      <c r="EC40" s="965"/>
      <c r="ED40" s="965"/>
      <c r="EE40" s="965"/>
      <c r="EF40" s="965"/>
      <c r="EG40" s="965"/>
      <c r="EH40" s="965"/>
      <c r="EI40" s="965"/>
      <c r="EJ40" s="965"/>
      <c r="EK40" s="965"/>
      <c r="EL40" s="965"/>
      <c r="EM40" s="965"/>
      <c r="EN40" s="965"/>
      <c r="EO40" s="965"/>
      <c r="EP40" s="965"/>
      <c r="EQ40" s="965"/>
      <c r="ER40" s="965"/>
      <c r="ES40" s="965"/>
      <c r="ET40" s="965"/>
      <c r="EU40" s="965"/>
      <c r="EV40" s="965"/>
      <c r="EW40" s="965"/>
      <c r="EX40" s="965"/>
      <c r="EY40" s="965"/>
      <c r="EZ40" s="965"/>
      <c r="FA40" s="965"/>
      <c r="FB40" s="965"/>
      <c r="FC40" s="965"/>
      <c r="FD40" s="965"/>
      <c r="FE40" s="965"/>
      <c r="FF40" s="965"/>
      <c r="FG40" s="965"/>
      <c r="FH40" s="965"/>
      <c r="FI40" s="965"/>
      <c r="FJ40" s="965"/>
      <c r="FK40" s="965"/>
      <c r="FL40" s="965"/>
      <c r="FM40" s="965"/>
      <c r="FN40" s="965"/>
      <c r="FO40" s="965"/>
      <c r="FP40" s="965"/>
      <c r="FQ40" s="965"/>
      <c r="FR40" s="965"/>
      <c r="FS40" s="965"/>
      <c r="FT40" s="965"/>
      <c r="FU40" s="965"/>
      <c r="FV40" s="965"/>
      <c r="FW40" s="965"/>
      <c r="FX40" s="965"/>
      <c r="FY40" s="965"/>
      <c r="FZ40" s="965"/>
      <c r="GA40" s="965"/>
      <c r="GB40" s="965"/>
      <c r="GC40" s="965"/>
      <c r="GD40" s="965"/>
      <c r="GE40" s="965"/>
      <c r="GF40" s="965"/>
      <c r="GG40" s="965"/>
      <c r="GH40" s="965"/>
      <c r="GI40" s="965"/>
      <c r="GJ40" s="965"/>
      <c r="GK40" s="965"/>
      <c r="GL40" s="965"/>
      <c r="GM40" s="965"/>
      <c r="GN40" s="965"/>
      <c r="GO40" s="965"/>
      <c r="GP40" s="965"/>
      <c r="GQ40" s="965"/>
      <c r="GR40" s="965"/>
      <c r="GS40" s="965"/>
      <c r="GT40" s="965"/>
      <c r="GU40" s="965"/>
      <c r="GV40" s="965"/>
      <c r="GW40" s="965"/>
      <c r="GX40" s="965"/>
      <c r="GY40" s="965"/>
      <c r="GZ40" s="965"/>
      <c r="HA40" s="965"/>
      <c r="HB40" s="965"/>
      <c r="HC40" s="965"/>
      <c r="HD40" s="965"/>
      <c r="HE40" s="965"/>
      <c r="HF40" s="965"/>
      <c r="HG40" s="965"/>
      <c r="HH40" s="965"/>
      <c r="HI40" s="965"/>
      <c r="HJ40" s="965"/>
      <c r="HK40" s="965"/>
      <c r="HL40" s="965"/>
      <c r="HM40" s="965"/>
      <c r="HN40" s="965"/>
      <c r="HO40" s="965"/>
      <c r="HP40" s="965"/>
      <c r="HQ40" s="965"/>
      <c r="HR40" s="965"/>
      <c r="HS40" s="965"/>
      <c r="HT40" s="965"/>
      <c r="HU40" s="965"/>
      <c r="HV40" s="965"/>
      <c r="HW40" s="965"/>
      <c r="HX40" s="965"/>
      <c r="HY40" s="965"/>
      <c r="HZ40" s="965"/>
      <c r="IA40" s="965"/>
      <c r="IB40" s="965"/>
      <c r="IC40" s="965"/>
      <c r="ID40" s="965"/>
      <c r="IE40" s="965"/>
      <c r="IF40" s="965"/>
      <c r="IG40" s="965"/>
      <c r="IH40" s="965"/>
      <c r="II40" s="965"/>
    </row>
    <row r="41" spans="3:243">
      <c r="C41" s="965"/>
      <c r="D41" s="965"/>
      <c r="E41" s="965"/>
      <c r="F41" s="965"/>
      <c r="G41" s="965"/>
      <c r="H41" s="965"/>
      <c r="I41" s="965"/>
      <c r="J41" s="965"/>
      <c r="K41" s="965"/>
      <c r="L41" s="965"/>
      <c r="M41" s="965"/>
      <c r="N41" s="965"/>
      <c r="O41" s="965"/>
      <c r="P41" s="965"/>
      <c r="Q41" s="965"/>
      <c r="R41" s="965"/>
      <c r="S41" s="965"/>
      <c r="T41" s="965"/>
      <c r="U41" s="965"/>
      <c r="V41" s="965"/>
      <c r="W41" s="965"/>
      <c r="X41" s="965"/>
      <c r="Y41" s="965"/>
      <c r="Z41" s="965"/>
      <c r="AA41" s="965"/>
      <c r="AB41" s="965"/>
      <c r="AC41" s="965"/>
      <c r="AD41" s="965"/>
      <c r="AE41" s="965"/>
      <c r="AF41" s="965"/>
      <c r="AG41" s="965"/>
      <c r="AH41" s="965"/>
      <c r="AI41" s="965"/>
      <c r="AJ41" s="965"/>
      <c r="AK41" s="965"/>
      <c r="AL41" s="965"/>
      <c r="AM41" s="965"/>
      <c r="AN41" s="965"/>
      <c r="AO41" s="965"/>
      <c r="AP41" s="965"/>
      <c r="AQ41" s="965"/>
      <c r="AR41" s="965"/>
      <c r="AS41" s="965"/>
      <c r="AT41" s="965"/>
      <c r="AU41" s="965"/>
      <c r="AV41" s="965"/>
      <c r="AW41" s="965"/>
      <c r="AX41" s="965"/>
      <c r="AY41" s="965"/>
      <c r="AZ41" s="965"/>
      <c r="BA41" s="965"/>
      <c r="BB41" s="965"/>
      <c r="BC41" s="965"/>
      <c r="BD41" s="965"/>
      <c r="BE41" s="965"/>
      <c r="BF41" s="965"/>
      <c r="BG41" s="965"/>
      <c r="BH41" s="965"/>
      <c r="BI41" s="965"/>
      <c r="BJ41" s="965"/>
      <c r="BK41" s="965"/>
      <c r="BL41" s="965"/>
      <c r="BM41" s="965"/>
      <c r="BN41" s="965"/>
      <c r="BO41" s="965"/>
      <c r="BP41" s="965"/>
      <c r="BQ41" s="965"/>
      <c r="BR41" s="965"/>
      <c r="BS41" s="965"/>
      <c r="BT41" s="965"/>
      <c r="BU41" s="965"/>
      <c r="BV41" s="965"/>
      <c r="BW41" s="965"/>
      <c r="BX41" s="965"/>
      <c r="BY41" s="965"/>
      <c r="BZ41" s="965"/>
      <c r="CA41" s="965"/>
      <c r="CB41" s="965"/>
      <c r="CC41" s="965"/>
      <c r="CD41" s="965"/>
      <c r="CE41" s="965"/>
      <c r="CF41" s="965"/>
      <c r="CG41" s="965"/>
      <c r="CH41" s="965"/>
      <c r="CI41" s="965"/>
      <c r="CJ41" s="965"/>
      <c r="CK41" s="965"/>
      <c r="CL41" s="965"/>
      <c r="CM41" s="965"/>
      <c r="CN41" s="965"/>
      <c r="CO41" s="965"/>
      <c r="CP41" s="965"/>
      <c r="CQ41" s="965"/>
      <c r="CR41" s="965"/>
      <c r="CS41" s="965"/>
      <c r="CT41" s="965"/>
      <c r="CU41" s="965"/>
      <c r="CV41" s="965"/>
      <c r="CW41" s="965"/>
      <c r="CX41" s="965"/>
      <c r="CY41" s="965"/>
      <c r="CZ41" s="965"/>
      <c r="DA41" s="965"/>
      <c r="DB41" s="965"/>
      <c r="DC41" s="965"/>
      <c r="DD41" s="965"/>
      <c r="DE41" s="965"/>
      <c r="DF41" s="965"/>
      <c r="DG41" s="965"/>
      <c r="DH41" s="965"/>
      <c r="DI41" s="965"/>
      <c r="DJ41" s="965"/>
      <c r="DK41" s="965"/>
      <c r="DL41" s="965"/>
      <c r="DM41" s="965"/>
      <c r="DN41" s="965"/>
      <c r="DO41" s="965"/>
      <c r="DP41" s="965"/>
      <c r="DQ41" s="965"/>
      <c r="DR41" s="965"/>
      <c r="DS41" s="965"/>
      <c r="DT41" s="965"/>
      <c r="DU41" s="965"/>
      <c r="DV41" s="965"/>
      <c r="DW41" s="965"/>
      <c r="DX41" s="965"/>
      <c r="DY41" s="965"/>
      <c r="DZ41" s="965"/>
      <c r="EA41" s="965"/>
      <c r="EB41" s="965"/>
      <c r="EC41" s="965"/>
      <c r="ED41" s="965"/>
      <c r="EE41" s="965"/>
      <c r="EF41" s="965"/>
      <c r="EG41" s="965"/>
      <c r="EH41" s="965"/>
      <c r="EI41" s="965"/>
      <c r="EJ41" s="965"/>
      <c r="EK41" s="965"/>
      <c r="EL41" s="965"/>
      <c r="EM41" s="965"/>
      <c r="EN41" s="965"/>
      <c r="EO41" s="965"/>
      <c r="EP41" s="965"/>
      <c r="EQ41" s="965"/>
      <c r="ER41" s="965"/>
      <c r="ES41" s="965"/>
      <c r="ET41" s="965"/>
      <c r="EU41" s="965"/>
      <c r="EV41" s="965"/>
      <c r="EW41" s="965"/>
      <c r="EX41" s="965"/>
      <c r="EY41" s="965"/>
      <c r="EZ41" s="965"/>
      <c r="FA41" s="965"/>
      <c r="FB41" s="965"/>
      <c r="FC41" s="965"/>
      <c r="FD41" s="965"/>
      <c r="FE41" s="965"/>
      <c r="FF41" s="965"/>
      <c r="FG41" s="965"/>
      <c r="FH41" s="965"/>
      <c r="FI41" s="965"/>
      <c r="FJ41" s="965"/>
      <c r="FK41" s="965"/>
      <c r="FL41" s="965"/>
      <c r="FM41" s="965"/>
      <c r="FN41" s="965"/>
      <c r="FO41" s="965"/>
      <c r="FP41" s="965"/>
      <c r="FQ41" s="965"/>
      <c r="FR41" s="965"/>
      <c r="FS41" s="965"/>
      <c r="FT41" s="965"/>
      <c r="FU41" s="965"/>
      <c r="FV41" s="965"/>
      <c r="FW41" s="965"/>
      <c r="FX41" s="965"/>
      <c r="FY41" s="965"/>
      <c r="FZ41" s="965"/>
      <c r="GA41" s="965"/>
      <c r="GB41" s="965"/>
      <c r="GC41" s="965"/>
      <c r="GD41" s="965"/>
      <c r="GE41" s="965"/>
      <c r="GF41" s="965"/>
      <c r="GG41" s="965"/>
      <c r="GH41" s="965"/>
      <c r="GI41" s="965"/>
      <c r="GJ41" s="965"/>
      <c r="GK41" s="965"/>
      <c r="GL41" s="965"/>
      <c r="GM41" s="965"/>
      <c r="GN41" s="965"/>
      <c r="GO41" s="965"/>
      <c r="GP41" s="965"/>
      <c r="GQ41" s="965"/>
      <c r="GR41" s="965"/>
      <c r="GS41" s="965"/>
      <c r="GT41" s="965"/>
      <c r="GU41" s="965"/>
      <c r="GV41" s="965"/>
      <c r="GW41" s="965"/>
      <c r="GX41" s="965"/>
      <c r="GY41" s="965"/>
      <c r="GZ41" s="965"/>
      <c r="HA41" s="965"/>
      <c r="HB41" s="965"/>
      <c r="HC41" s="965"/>
      <c r="HD41" s="965"/>
      <c r="HE41" s="965"/>
      <c r="HF41" s="965"/>
      <c r="HG41" s="965"/>
      <c r="HH41" s="965"/>
      <c r="HI41" s="965"/>
      <c r="HJ41" s="965"/>
      <c r="HK41" s="965"/>
      <c r="HL41" s="965"/>
      <c r="HM41" s="965"/>
      <c r="HN41" s="965"/>
      <c r="HO41" s="965"/>
      <c r="HP41" s="965"/>
      <c r="HQ41" s="965"/>
      <c r="HR41" s="965"/>
      <c r="HS41" s="965"/>
      <c r="HT41" s="965"/>
      <c r="HU41" s="965"/>
      <c r="HV41" s="965"/>
      <c r="HW41" s="965"/>
      <c r="HX41" s="965"/>
      <c r="HY41" s="965"/>
      <c r="HZ41" s="965"/>
      <c r="IA41" s="965"/>
      <c r="IB41" s="965"/>
      <c r="IC41" s="965"/>
      <c r="ID41" s="965"/>
      <c r="IE41" s="965"/>
      <c r="IF41" s="965"/>
      <c r="IG41" s="965"/>
      <c r="IH41" s="965"/>
      <c r="II41" s="965"/>
    </row>
    <row r="42" spans="3:243">
      <c r="C42" s="965"/>
      <c r="D42" s="965"/>
      <c r="E42" s="965"/>
      <c r="F42" s="965"/>
      <c r="G42" s="965"/>
      <c r="H42" s="965"/>
      <c r="I42" s="965"/>
      <c r="J42" s="965"/>
      <c r="K42" s="965"/>
      <c r="L42" s="965"/>
      <c r="M42" s="965"/>
      <c r="N42" s="965"/>
      <c r="O42" s="965"/>
      <c r="P42" s="965"/>
      <c r="Q42" s="965"/>
      <c r="R42" s="965"/>
      <c r="S42" s="965"/>
      <c r="T42" s="965"/>
      <c r="U42" s="965"/>
      <c r="V42" s="965"/>
      <c r="W42" s="965"/>
      <c r="X42" s="965"/>
      <c r="Y42" s="965"/>
      <c r="Z42" s="965"/>
      <c r="AA42" s="965"/>
      <c r="AB42" s="965"/>
      <c r="AC42" s="965"/>
      <c r="AD42" s="965"/>
      <c r="AE42" s="965"/>
      <c r="AF42" s="965"/>
      <c r="AG42" s="965"/>
      <c r="AH42" s="965"/>
      <c r="AI42" s="965"/>
      <c r="AJ42" s="965"/>
      <c r="AK42" s="965"/>
      <c r="AL42" s="965"/>
      <c r="AM42" s="965"/>
      <c r="AN42" s="965"/>
      <c r="AO42" s="965"/>
      <c r="AP42" s="965"/>
      <c r="AQ42" s="965"/>
      <c r="AR42" s="965"/>
      <c r="AS42" s="965"/>
      <c r="AT42" s="965"/>
      <c r="AU42" s="965"/>
      <c r="AV42" s="965"/>
      <c r="AW42" s="965"/>
      <c r="AX42" s="965"/>
      <c r="AY42" s="965"/>
      <c r="AZ42" s="965"/>
      <c r="BA42" s="965"/>
      <c r="BB42" s="965"/>
      <c r="BC42" s="965"/>
      <c r="BD42" s="965"/>
      <c r="BE42" s="965"/>
      <c r="BF42" s="965"/>
      <c r="BG42" s="965"/>
      <c r="BH42" s="965"/>
      <c r="BI42" s="965"/>
      <c r="BJ42" s="965"/>
      <c r="BK42" s="965"/>
      <c r="BL42" s="965"/>
      <c r="BM42" s="965"/>
      <c r="BN42" s="965"/>
      <c r="BO42" s="965"/>
      <c r="BP42" s="965"/>
      <c r="BQ42" s="965"/>
      <c r="BR42" s="965"/>
      <c r="BS42" s="965"/>
      <c r="BT42" s="965"/>
      <c r="BU42" s="965"/>
      <c r="BV42" s="965"/>
      <c r="BW42" s="965"/>
      <c r="BX42" s="965"/>
      <c r="BY42" s="965"/>
      <c r="BZ42" s="965"/>
      <c r="CA42" s="965"/>
      <c r="CB42" s="965"/>
      <c r="CC42" s="965"/>
      <c r="CD42" s="965"/>
      <c r="CE42" s="965"/>
      <c r="CF42" s="965"/>
      <c r="CG42" s="965"/>
      <c r="CH42" s="965"/>
      <c r="CI42" s="965"/>
      <c r="CJ42" s="965"/>
      <c r="CK42" s="965"/>
      <c r="CL42" s="965"/>
      <c r="CM42" s="965"/>
      <c r="CN42" s="965"/>
      <c r="CO42" s="965"/>
      <c r="CP42" s="965"/>
      <c r="CQ42" s="965"/>
      <c r="CR42" s="965"/>
      <c r="CS42" s="965"/>
      <c r="CT42" s="965"/>
      <c r="CU42" s="965"/>
      <c r="CV42" s="965"/>
      <c r="CW42" s="965"/>
      <c r="CX42" s="965"/>
      <c r="CY42" s="965"/>
      <c r="CZ42" s="965"/>
      <c r="DA42" s="965"/>
      <c r="DB42" s="965"/>
      <c r="DC42" s="965"/>
      <c r="DD42" s="965"/>
      <c r="DE42" s="965"/>
      <c r="DF42" s="965"/>
      <c r="DG42" s="965"/>
      <c r="DH42" s="965"/>
      <c r="DI42" s="965"/>
      <c r="DJ42" s="965"/>
      <c r="DK42" s="965"/>
      <c r="DL42" s="965"/>
      <c r="DM42" s="965"/>
      <c r="DN42" s="965"/>
      <c r="DO42" s="965"/>
      <c r="DP42" s="965"/>
      <c r="DQ42" s="965"/>
      <c r="DR42" s="965"/>
      <c r="DS42" s="965"/>
      <c r="DT42" s="965"/>
      <c r="DU42" s="965"/>
      <c r="DV42" s="965"/>
      <c r="DW42" s="965"/>
      <c r="DX42" s="965"/>
      <c r="DY42" s="965"/>
      <c r="DZ42" s="965"/>
      <c r="EA42" s="965"/>
      <c r="EB42" s="965"/>
      <c r="EC42" s="965"/>
      <c r="ED42" s="965"/>
      <c r="EE42" s="965"/>
      <c r="EF42" s="965"/>
      <c r="EG42" s="965"/>
      <c r="EH42" s="965"/>
      <c r="EI42" s="965"/>
      <c r="EJ42" s="965"/>
      <c r="EK42" s="965"/>
      <c r="EL42" s="965"/>
      <c r="EM42" s="965"/>
      <c r="EN42" s="965"/>
      <c r="EO42" s="965"/>
      <c r="EP42" s="965"/>
      <c r="EQ42" s="965"/>
      <c r="ER42" s="965"/>
      <c r="ES42" s="965"/>
      <c r="ET42" s="965"/>
      <c r="EU42" s="965"/>
      <c r="EV42" s="965"/>
      <c r="EW42" s="965"/>
      <c r="EX42" s="965"/>
      <c r="EY42" s="965"/>
      <c r="EZ42" s="965"/>
      <c r="FA42" s="965"/>
      <c r="FB42" s="965"/>
      <c r="FC42" s="965"/>
      <c r="FD42" s="965"/>
      <c r="FE42" s="965"/>
      <c r="FF42" s="965"/>
      <c r="FG42" s="965"/>
      <c r="FH42" s="965"/>
      <c r="FI42" s="965"/>
      <c r="FJ42" s="965"/>
      <c r="FK42" s="965"/>
      <c r="FL42" s="965"/>
      <c r="FM42" s="965"/>
      <c r="FN42" s="965"/>
      <c r="FO42" s="965"/>
      <c r="FP42" s="965"/>
      <c r="FQ42" s="965"/>
      <c r="FR42" s="965"/>
      <c r="FS42" s="965"/>
      <c r="FT42" s="965"/>
      <c r="FU42" s="965"/>
      <c r="FV42" s="965"/>
      <c r="FW42" s="965"/>
      <c r="FX42" s="965"/>
      <c r="FY42" s="965"/>
      <c r="FZ42" s="965"/>
      <c r="GA42" s="965"/>
      <c r="GB42" s="965"/>
      <c r="GC42" s="965"/>
      <c r="GD42" s="965"/>
      <c r="GE42" s="965"/>
      <c r="GF42" s="965"/>
      <c r="GG42" s="965"/>
      <c r="GH42" s="965"/>
      <c r="GI42" s="965"/>
      <c r="GJ42" s="965"/>
      <c r="GK42" s="965"/>
      <c r="GL42" s="965"/>
      <c r="GM42" s="965"/>
      <c r="GN42" s="965"/>
      <c r="GO42" s="965"/>
      <c r="GP42" s="965"/>
      <c r="GQ42" s="965"/>
      <c r="GR42" s="965"/>
      <c r="GS42" s="965"/>
      <c r="GT42" s="965"/>
      <c r="GU42" s="965"/>
      <c r="GV42" s="965"/>
      <c r="GW42" s="965"/>
      <c r="GX42" s="965"/>
      <c r="GY42" s="965"/>
      <c r="GZ42" s="965"/>
      <c r="HA42" s="965"/>
      <c r="HB42" s="965"/>
      <c r="HC42" s="965"/>
      <c r="HD42" s="965"/>
      <c r="HE42" s="965"/>
      <c r="HF42" s="965"/>
      <c r="HG42" s="965"/>
      <c r="HH42" s="965"/>
      <c r="HI42" s="965"/>
      <c r="HJ42" s="965"/>
      <c r="HK42" s="965"/>
      <c r="HL42" s="965"/>
      <c r="HM42" s="965"/>
      <c r="HN42" s="965"/>
      <c r="HO42" s="965"/>
      <c r="HP42" s="965"/>
      <c r="HQ42" s="965"/>
      <c r="HR42" s="965"/>
      <c r="HS42" s="965"/>
      <c r="HT42" s="965"/>
      <c r="HU42" s="965"/>
      <c r="HV42" s="965"/>
      <c r="HW42" s="965"/>
      <c r="HX42" s="965"/>
      <c r="HY42" s="965"/>
      <c r="HZ42" s="965"/>
      <c r="IA42" s="965"/>
      <c r="IB42" s="965"/>
      <c r="IC42" s="965"/>
      <c r="ID42" s="965"/>
      <c r="IE42" s="965"/>
      <c r="IF42" s="965"/>
      <c r="IG42" s="965"/>
      <c r="IH42" s="965"/>
      <c r="II42" s="965"/>
    </row>
    <row r="43" spans="3:243">
      <c r="C43" s="965"/>
      <c r="D43" s="965"/>
      <c r="E43" s="965"/>
      <c r="F43" s="965"/>
      <c r="G43" s="965"/>
      <c r="H43" s="965"/>
      <c r="I43" s="965"/>
      <c r="J43" s="965"/>
      <c r="K43" s="965"/>
      <c r="L43" s="965"/>
      <c r="M43" s="965"/>
      <c r="N43" s="965"/>
      <c r="O43" s="965"/>
      <c r="P43" s="965"/>
      <c r="Q43" s="965"/>
      <c r="R43" s="965"/>
      <c r="S43" s="965"/>
      <c r="T43" s="965"/>
      <c r="U43" s="965"/>
      <c r="V43" s="965"/>
      <c r="W43" s="965"/>
      <c r="X43" s="965"/>
      <c r="Y43" s="965"/>
      <c r="Z43" s="965"/>
      <c r="AA43" s="965"/>
      <c r="AB43" s="965"/>
      <c r="AC43" s="965"/>
      <c r="AD43" s="965"/>
      <c r="AE43" s="965"/>
      <c r="AF43" s="965"/>
      <c r="AG43" s="965"/>
      <c r="AH43" s="965"/>
      <c r="AI43" s="965"/>
      <c r="AJ43" s="965"/>
      <c r="AK43" s="965"/>
      <c r="AL43" s="965"/>
      <c r="AM43" s="965"/>
      <c r="AN43" s="965"/>
      <c r="AO43" s="965"/>
      <c r="AP43" s="965"/>
      <c r="AQ43" s="965"/>
      <c r="AR43" s="965"/>
      <c r="AS43" s="965"/>
      <c r="AT43" s="965"/>
      <c r="AU43" s="965"/>
      <c r="AV43" s="965"/>
      <c r="AW43" s="965"/>
      <c r="AX43" s="965"/>
      <c r="AY43" s="965"/>
      <c r="AZ43" s="965"/>
      <c r="BA43" s="965"/>
      <c r="BB43" s="965"/>
      <c r="BC43" s="965"/>
      <c r="BD43" s="965"/>
      <c r="BE43" s="965"/>
      <c r="BF43" s="965"/>
      <c r="BG43" s="965"/>
      <c r="BH43" s="965"/>
      <c r="BI43" s="965"/>
      <c r="BJ43" s="965"/>
      <c r="BK43" s="965"/>
      <c r="BL43" s="965"/>
      <c r="BM43" s="965"/>
      <c r="BN43" s="965"/>
      <c r="BO43" s="965"/>
      <c r="BP43" s="965"/>
      <c r="BQ43" s="965"/>
      <c r="BR43" s="965"/>
      <c r="BS43" s="965"/>
      <c r="BT43" s="965"/>
      <c r="BU43" s="965"/>
      <c r="BV43" s="965"/>
      <c r="BW43" s="965"/>
      <c r="BX43" s="965"/>
      <c r="BY43" s="965"/>
      <c r="BZ43" s="965"/>
      <c r="CA43" s="965"/>
      <c r="CB43" s="965"/>
      <c r="CC43" s="965"/>
      <c r="CD43" s="965"/>
      <c r="CE43" s="965"/>
      <c r="CF43" s="965"/>
      <c r="CG43" s="965"/>
      <c r="CH43" s="965"/>
      <c r="CI43" s="965"/>
      <c r="CJ43" s="965"/>
      <c r="CK43" s="965"/>
      <c r="CL43" s="965"/>
      <c r="CM43" s="965"/>
      <c r="CN43" s="965"/>
      <c r="CO43" s="965"/>
      <c r="CP43" s="965"/>
      <c r="CQ43" s="965"/>
      <c r="CR43" s="965"/>
      <c r="CS43" s="965"/>
      <c r="CT43" s="965"/>
      <c r="CU43" s="965"/>
      <c r="CV43" s="965"/>
      <c r="CW43" s="965"/>
      <c r="CX43" s="965"/>
      <c r="CY43" s="965"/>
      <c r="CZ43" s="965"/>
      <c r="DA43" s="965"/>
      <c r="DB43" s="965"/>
      <c r="DC43" s="965"/>
      <c r="DD43" s="965"/>
      <c r="DE43" s="965"/>
      <c r="DF43" s="965"/>
      <c r="DG43" s="965"/>
      <c r="DH43" s="965"/>
      <c r="DI43" s="965"/>
      <c r="DJ43" s="965"/>
      <c r="DK43" s="965"/>
      <c r="DL43" s="965"/>
      <c r="DM43" s="965"/>
      <c r="DN43" s="965"/>
      <c r="DO43" s="965"/>
      <c r="DP43" s="965"/>
      <c r="DQ43" s="965"/>
      <c r="DR43" s="965"/>
      <c r="DS43" s="965"/>
      <c r="DT43" s="965"/>
      <c r="DU43" s="965"/>
      <c r="DV43" s="965"/>
      <c r="DW43" s="965"/>
      <c r="DX43" s="965"/>
      <c r="DY43" s="965"/>
      <c r="DZ43" s="965"/>
      <c r="EA43" s="965"/>
      <c r="EB43" s="965"/>
      <c r="EC43" s="965"/>
      <c r="ED43" s="965"/>
      <c r="EE43" s="965"/>
      <c r="EF43" s="965"/>
      <c r="EG43" s="965"/>
      <c r="EH43" s="965"/>
      <c r="EI43" s="965"/>
      <c r="EJ43" s="965"/>
      <c r="EK43" s="965"/>
      <c r="EL43" s="965"/>
      <c r="EM43" s="965"/>
      <c r="EN43" s="965"/>
      <c r="EO43" s="965"/>
      <c r="EP43" s="965"/>
      <c r="EQ43" s="965"/>
      <c r="ER43" s="965"/>
      <c r="ES43" s="965"/>
      <c r="ET43" s="965"/>
      <c r="EU43" s="965"/>
      <c r="EV43" s="965"/>
      <c r="EW43" s="965"/>
      <c r="EX43" s="965"/>
      <c r="EY43" s="965"/>
      <c r="EZ43" s="965"/>
      <c r="FA43" s="965"/>
      <c r="FB43" s="965"/>
      <c r="FC43" s="965"/>
      <c r="FD43" s="965"/>
      <c r="FE43" s="965"/>
      <c r="FF43" s="965"/>
      <c r="FG43" s="965"/>
      <c r="FH43" s="965"/>
      <c r="FI43" s="965"/>
      <c r="FJ43" s="965"/>
      <c r="FK43" s="965"/>
      <c r="FL43" s="965"/>
      <c r="FM43" s="965"/>
      <c r="FN43" s="965"/>
      <c r="FO43" s="965"/>
      <c r="FP43" s="965"/>
      <c r="FQ43" s="965"/>
      <c r="FR43" s="965"/>
      <c r="FS43" s="965"/>
      <c r="FT43" s="965"/>
      <c r="FU43" s="965"/>
      <c r="FV43" s="965"/>
      <c r="FW43" s="965"/>
      <c r="FX43" s="965"/>
      <c r="FY43" s="965"/>
      <c r="FZ43" s="965"/>
      <c r="GA43" s="965"/>
      <c r="GB43" s="965"/>
      <c r="GC43" s="965"/>
      <c r="GD43" s="965"/>
      <c r="GE43" s="965"/>
      <c r="GF43" s="965"/>
      <c r="GG43" s="965"/>
      <c r="GH43" s="965"/>
      <c r="GI43" s="965"/>
      <c r="GJ43" s="965"/>
      <c r="GK43" s="965"/>
      <c r="GL43" s="965"/>
      <c r="GM43" s="965"/>
      <c r="GN43" s="965"/>
      <c r="GO43" s="965"/>
      <c r="GP43" s="965"/>
      <c r="GQ43" s="965"/>
      <c r="GR43" s="965"/>
      <c r="GS43" s="965"/>
      <c r="GT43" s="965"/>
      <c r="GU43" s="965"/>
      <c r="GV43" s="965"/>
      <c r="GW43" s="965"/>
      <c r="GX43" s="965"/>
      <c r="GY43" s="965"/>
      <c r="GZ43" s="965"/>
      <c r="HA43" s="965"/>
      <c r="HB43" s="965"/>
      <c r="HC43" s="965"/>
      <c r="HD43" s="965"/>
      <c r="HE43" s="965"/>
      <c r="HF43" s="965"/>
      <c r="HG43" s="965"/>
      <c r="HH43" s="965"/>
      <c r="HI43" s="965"/>
      <c r="HJ43" s="965"/>
      <c r="HK43" s="965"/>
      <c r="HL43" s="965"/>
      <c r="HM43" s="965"/>
      <c r="HN43" s="965"/>
      <c r="HO43" s="965"/>
      <c r="HP43" s="965"/>
      <c r="HQ43" s="965"/>
      <c r="HR43" s="965"/>
      <c r="HS43" s="965"/>
      <c r="HT43" s="965"/>
      <c r="HU43" s="965"/>
      <c r="HV43" s="965"/>
      <c r="HW43" s="965"/>
      <c r="HX43" s="965"/>
      <c r="HY43" s="965"/>
      <c r="HZ43" s="965"/>
      <c r="IA43" s="965"/>
      <c r="IB43" s="965"/>
      <c r="IC43" s="965"/>
      <c r="ID43" s="965"/>
      <c r="IE43" s="965"/>
      <c r="IF43" s="965"/>
      <c r="IG43" s="965"/>
      <c r="IH43" s="965"/>
      <c r="II43" s="965"/>
    </row>
    <row r="44" spans="3:243">
      <c r="C44" s="965"/>
      <c r="D44" s="965"/>
      <c r="E44" s="965"/>
      <c r="F44" s="965"/>
      <c r="G44" s="965"/>
      <c r="H44" s="965"/>
      <c r="I44" s="965"/>
      <c r="J44" s="965"/>
      <c r="K44" s="965"/>
      <c r="L44" s="965"/>
      <c r="M44" s="965"/>
      <c r="N44" s="965"/>
      <c r="O44" s="965"/>
      <c r="P44" s="965"/>
      <c r="Q44" s="965"/>
      <c r="R44" s="965"/>
      <c r="S44" s="965"/>
      <c r="T44" s="965"/>
      <c r="U44" s="965"/>
      <c r="V44" s="965"/>
      <c r="W44" s="965"/>
      <c r="X44" s="965"/>
      <c r="Y44" s="965"/>
      <c r="Z44" s="965"/>
      <c r="AA44" s="965"/>
      <c r="AB44" s="965"/>
      <c r="AC44" s="965"/>
      <c r="AD44" s="965"/>
      <c r="AE44" s="965"/>
      <c r="AF44" s="965"/>
      <c r="AG44" s="965"/>
      <c r="AH44" s="965"/>
      <c r="AI44" s="965"/>
      <c r="AJ44" s="965"/>
      <c r="AK44" s="965"/>
      <c r="AL44" s="965"/>
      <c r="AM44" s="965"/>
      <c r="AN44" s="965"/>
      <c r="AO44" s="965"/>
      <c r="AP44" s="965"/>
      <c r="AQ44" s="965"/>
      <c r="AR44" s="965"/>
      <c r="AS44" s="965"/>
      <c r="AT44" s="965"/>
      <c r="AU44" s="965"/>
      <c r="AV44" s="965"/>
      <c r="AW44" s="965"/>
      <c r="AX44" s="965"/>
      <c r="AY44" s="965"/>
      <c r="AZ44" s="965"/>
      <c r="BA44" s="965"/>
      <c r="BB44" s="965"/>
      <c r="BC44" s="965"/>
      <c r="BD44" s="965"/>
      <c r="BE44" s="965"/>
      <c r="BF44" s="965"/>
      <c r="BG44" s="965"/>
      <c r="BH44" s="965"/>
      <c r="BI44" s="965"/>
      <c r="BJ44" s="965"/>
      <c r="BK44" s="965"/>
      <c r="BL44" s="965"/>
      <c r="BM44" s="965"/>
      <c r="BN44" s="965"/>
      <c r="BO44" s="965"/>
      <c r="BP44" s="965"/>
      <c r="BQ44" s="965"/>
      <c r="BR44" s="965"/>
      <c r="BS44" s="965"/>
      <c r="BT44" s="965"/>
      <c r="BU44" s="965"/>
      <c r="BV44" s="965"/>
      <c r="BW44" s="965"/>
      <c r="BX44" s="965"/>
      <c r="BY44" s="965"/>
      <c r="BZ44" s="965"/>
      <c r="CA44" s="965"/>
      <c r="CB44" s="965"/>
      <c r="CC44" s="965"/>
      <c r="CD44" s="965"/>
      <c r="CE44" s="965"/>
      <c r="CF44" s="965"/>
      <c r="CG44" s="965"/>
      <c r="CH44" s="965"/>
      <c r="CI44" s="965"/>
      <c r="CJ44" s="965"/>
      <c r="CK44" s="965"/>
      <c r="CL44" s="965"/>
      <c r="CM44" s="965"/>
      <c r="CN44" s="965"/>
      <c r="CO44" s="965"/>
      <c r="CP44" s="965"/>
      <c r="CQ44" s="965"/>
      <c r="CR44" s="965"/>
      <c r="CS44" s="965"/>
      <c r="CT44" s="965"/>
      <c r="CU44" s="965"/>
      <c r="CV44" s="965"/>
      <c r="CW44" s="965"/>
      <c r="CX44" s="965"/>
      <c r="CY44" s="965"/>
      <c r="CZ44" s="965"/>
      <c r="DA44" s="965"/>
      <c r="DB44" s="965"/>
      <c r="DC44" s="965"/>
      <c r="DD44" s="965"/>
      <c r="DE44" s="965"/>
      <c r="DF44" s="965"/>
      <c r="DG44" s="965"/>
      <c r="DH44" s="965"/>
      <c r="DI44" s="965"/>
      <c r="DJ44" s="965"/>
      <c r="DK44" s="965"/>
      <c r="DL44" s="965"/>
      <c r="DM44" s="965"/>
      <c r="DN44" s="965"/>
      <c r="DO44" s="965"/>
      <c r="DP44" s="965"/>
      <c r="DQ44" s="965"/>
      <c r="DR44" s="965"/>
      <c r="DS44" s="965"/>
      <c r="DT44" s="965"/>
      <c r="DU44" s="965"/>
      <c r="DV44" s="965"/>
      <c r="DW44" s="965"/>
      <c r="DX44" s="965"/>
      <c r="DY44" s="965"/>
      <c r="DZ44" s="965"/>
      <c r="EA44" s="965"/>
      <c r="EB44" s="965"/>
      <c r="EC44" s="965"/>
      <c r="ED44" s="965"/>
      <c r="EE44" s="965"/>
      <c r="EF44" s="965"/>
      <c r="EG44" s="965"/>
      <c r="EH44" s="965"/>
      <c r="EI44" s="965"/>
      <c r="EJ44" s="965"/>
      <c r="EK44" s="965"/>
      <c r="EL44" s="965"/>
      <c r="EM44" s="965"/>
      <c r="EN44" s="965"/>
      <c r="EO44" s="965"/>
      <c r="EP44" s="965"/>
      <c r="EQ44" s="965"/>
      <c r="ER44" s="965"/>
      <c r="ES44" s="965"/>
      <c r="ET44" s="965"/>
      <c r="EU44" s="965"/>
      <c r="EV44" s="965"/>
      <c r="EW44" s="965"/>
      <c r="EX44" s="965"/>
      <c r="EY44" s="965"/>
      <c r="EZ44" s="965"/>
      <c r="FA44" s="965"/>
      <c r="FB44" s="965"/>
      <c r="FC44" s="965"/>
      <c r="FD44" s="965"/>
      <c r="FE44" s="965"/>
      <c r="FF44" s="965"/>
      <c r="FG44" s="965"/>
      <c r="FH44" s="965"/>
      <c r="FI44" s="965"/>
      <c r="FJ44" s="965"/>
      <c r="FK44" s="965"/>
      <c r="FL44" s="965"/>
      <c r="FM44" s="965"/>
      <c r="FN44" s="965"/>
      <c r="FO44" s="965"/>
      <c r="FP44" s="965"/>
      <c r="FQ44" s="965"/>
      <c r="FR44" s="965"/>
      <c r="FS44" s="965"/>
      <c r="FT44" s="965"/>
      <c r="FU44" s="965"/>
      <c r="FV44" s="965"/>
      <c r="FW44" s="965"/>
      <c r="FX44" s="965"/>
      <c r="FY44" s="965"/>
      <c r="FZ44" s="965"/>
      <c r="GA44" s="965"/>
      <c r="GB44" s="965"/>
      <c r="GC44" s="965"/>
      <c r="GD44" s="965"/>
      <c r="GE44" s="965"/>
      <c r="GF44" s="965"/>
      <c r="GG44" s="965"/>
      <c r="GH44" s="965"/>
      <c r="GI44" s="965"/>
      <c r="GJ44" s="965"/>
      <c r="GK44" s="965"/>
      <c r="GL44" s="965"/>
      <c r="GM44" s="965"/>
      <c r="GN44" s="965"/>
      <c r="GO44" s="965"/>
      <c r="GP44" s="965"/>
      <c r="GQ44" s="965"/>
      <c r="GR44" s="965"/>
      <c r="GS44" s="965"/>
      <c r="GT44" s="965"/>
      <c r="GU44" s="965"/>
      <c r="GV44" s="965"/>
      <c r="GW44" s="965"/>
      <c r="GX44" s="965"/>
      <c r="GY44" s="965"/>
      <c r="GZ44" s="965"/>
      <c r="HA44" s="965"/>
      <c r="HB44" s="965"/>
      <c r="HC44" s="965"/>
      <c r="HD44" s="965"/>
      <c r="HE44" s="965"/>
      <c r="HF44" s="965"/>
      <c r="HG44" s="965"/>
      <c r="HH44" s="965"/>
      <c r="HI44" s="965"/>
      <c r="HJ44" s="965"/>
      <c r="HK44" s="965"/>
      <c r="HL44" s="965"/>
      <c r="HM44" s="965"/>
      <c r="HN44" s="965"/>
      <c r="HO44" s="965"/>
      <c r="HP44" s="965"/>
      <c r="HQ44" s="965"/>
      <c r="HR44" s="965"/>
      <c r="HS44" s="965"/>
      <c r="HT44" s="965"/>
      <c r="HU44" s="965"/>
      <c r="HV44" s="965"/>
      <c r="HW44" s="965"/>
      <c r="HX44" s="965"/>
      <c r="HY44" s="965"/>
      <c r="HZ44" s="965"/>
      <c r="IA44" s="965"/>
      <c r="IB44" s="965"/>
      <c r="IC44" s="965"/>
      <c r="ID44" s="965"/>
      <c r="IE44" s="965"/>
      <c r="IF44" s="965"/>
      <c r="IG44" s="965"/>
      <c r="IH44" s="965"/>
      <c r="II44" s="965"/>
    </row>
    <row r="45" spans="3:243">
      <c r="C45" s="965"/>
      <c r="D45" s="965"/>
      <c r="E45" s="965"/>
      <c r="F45" s="965"/>
      <c r="G45" s="965"/>
      <c r="H45" s="965"/>
      <c r="I45" s="965"/>
      <c r="J45" s="965"/>
      <c r="K45" s="965"/>
      <c r="L45" s="965"/>
      <c r="M45" s="965"/>
      <c r="N45" s="965"/>
      <c r="O45" s="965"/>
      <c r="P45" s="965"/>
      <c r="Q45" s="965"/>
      <c r="R45" s="965"/>
      <c r="S45" s="965"/>
      <c r="T45" s="965"/>
      <c r="U45" s="965"/>
      <c r="V45" s="965"/>
      <c r="W45" s="965"/>
      <c r="X45" s="965"/>
      <c r="Y45" s="965"/>
      <c r="Z45" s="965"/>
      <c r="AA45" s="965"/>
      <c r="AB45" s="965"/>
      <c r="AC45" s="965"/>
      <c r="AD45" s="965"/>
      <c r="AE45" s="965"/>
      <c r="AF45" s="965"/>
      <c r="AG45" s="965"/>
      <c r="AH45" s="965"/>
      <c r="AI45" s="965"/>
      <c r="AJ45" s="965"/>
      <c r="AK45" s="965"/>
      <c r="AL45" s="965"/>
      <c r="AM45" s="965"/>
      <c r="AN45" s="965"/>
      <c r="AO45" s="965"/>
      <c r="AP45" s="965"/>
      <c r="AQ45" s="965"/>
      <c r="AR45" s="965"/>
      <c r="AS45" s="965"/>
      <c r="AT45" s="965"/>
      <c r="AU45" s="965"/>
      <c r="AV45" s="965"/>
      <c r="AW45" s="965"/>
      <c r="AX45" s="965"/>
      <c r="AY45" s="965"/>
      <c r="AZ45" s="965"/>
      <c r="BA45" s="965"/>
      <c r="BB45" s="965"/>
      <c r="BC45" s="965"/>
      <c r="BD45" s="965"/>
      <c r="BE45" s="965"/>
      <c r="BF45" s="965"/>
      <c r="BG45" s="965"/>
      <c r="BH45" s="965"/>
      <c r="BI45" s="965"/>
      <c r="BJ45" s="965"/>
      <c r="BK45" s="965"/>
      <c r="BL45" s="965"/>
      <c r="BM45" s="965"/>
      <c r="BN45" s="965"/>
      <c r="BO45" s="965"/>
      <c r="BP45" s="965"/>
      <c r="BQ45" s="965"/>
      <c r="BR45" s="965"/>
      <c r="BS45" s="965"/>
      <c r="BT45" s="965"/>
      <c r="BU45" s="965"/>
      <c r="BV45" s="965"/>
      <c r="BW45" s="965"/>
      <c r="BX45" s="965"/>
      <c r="BY45" s="965"/>
      <c r="BZ45" s="965"/>
      <c r="CA45" s="965"/>
      <c r="CB45" s="965"/>
      <c r="CC45" s="965"/>
      <c r="CD45" s="965"/>
      <c r="CE45" s="965"/>
      <c r="CF45" s="965"/>
      <c r="CG45" s="965"/>
      <c r="CH45" s="965"/>
      <c r="CI45" s="965"/>
      <c r="CJ45" s="965"/>
      <c r="CK45" s="965"/>
      <c r="CL45" s="965"/>
      <c r="CM45" s="965"/>
      <c r="CN45" s="965"/>
      <c r="CO45" s="965"/>
      <c r="CP45" s="965"/>
      <c r="CQ45" s="965"/>
      <c r="CR45" s="965"/>
      <c r="CS45" s="965"/>
      <c r="CT45" s="965"/>
      <c r="CU45" s="965"/>
      <c r="CV45" s="965"/>
      <c r="CW45" s="965"/>
      <c r="CX45" s="965"/>
      <c r="CY45" s="965"/>
      <c r="CZ45" s="965"/>
      <c r="DA45" s="965"/>
      <c r="DB45" s="965"/>
      <c r="DC45" s="965"/>
      <c r="DD45" s="965"/>
      <c r="DE45" s="965"/>
      <c r="DF45" s="965"/>
      <c r="DG45" s="965"/>
      <c r="DH45" s="965"/>
      <c r="DI45" s="965"/>
      <c r="DJ45" s="965"/>
      <c r="DK45" s="965"/>
      <c r="DL45" s="965"/>
      <c r="DM45" s="965"/>
      <c r="DN45" s="965"/>
      <c r="DO45" s="965"/>
      <c r="DP45" s="965"/>
      <c r="DQ45" s="965"/>
      <c r="DR45" s="965"/>
      <c r="DS45" s="965"/>
      <c r="DT45" s="965"/>
      <c r="DU45" s="965"/>
      <c r="DV45" s="965"/>
      <c r="DW45" s="965"/>
      <c r="DX45" s="965"/>
      <c r="DY45" s="965"/>
      <c r="DZ45" s="965"/>
      <c r="EA45" s="965"/>
      <c r="EB45" s="965"/>
      <c r="EC45" s="965"/>
      <c r="ED45" s="965"/>
      <c r="EE45" s="965"/>
      <c r="EF45" s="965"/>
      <c r="EG45" s="965"/>
      <c r="EH45" s="965"/>
      <c r="EI45" s="965"/>
      <c r="EJ45" s="965"/>
      <c r="EK45" s="965"/>
      <c r="EL45" s="965"/>
      <c r="EM45" s="965"/>
      <c r="EN45" s="965"/>
      <c r="EO45" s="965"/>
      <c r="EP45" s="965"/>
      <c r="EQ45" s="965"/>
      <c r="ER45" s="965"/>
      <c r="ES45" s="965"/>
      <c r="ET45" s="965"/>
      <c r="EU45" s="965"/>
      <c r="EV45" s="965"/>
      <c r="EW45" s="965"/>
      <c r="EX45" s="965"/>
      <c r="EY45" s="965"/>
      <c r="EZ45" s="965"/>
      <c r="FA45" s="965"/>
      <c r="FB45" s="965"/>
      <c r="FC45" s="965"/>
      <c r="FD45" s="965"/>
      <c r="FE45" s="965"/>
      <c r="FF45" s="965"/>
      <c r="FG45" s="965"/>
      <c r="FH45" s="965"/>
      <c r="FI45" s="965"/>
      <c r="FJ45" s="965"/>
      <c r="FK45" s="965"/>
      <c r="FL45" s="965"/>
      <c r="FM45" s="965"/>
      <c r="FN45" s="965"/>
      <c r="FO45" s="965"/>
      <c r="FP45" s="965"/>
      <c r="FQ45" s="965"/>
      <c r="FR45" s="965"/>
      <c r="FS45" s="965"/>
      <c r="FT45" s="965"/>
      <c r="FU45" s="965"/>
      <c r="FV45" s="965"/>
      <c r="FW45" s="965"/>
      <c r="FX45" s="965"/>
      <c r="FY45" s="965"/>
      <c r="FZ45" s="965"/>
      <c r="GA45" s="965"/>
      <c r="GB45" s="965"/>
      <c r="GC45" s="965"/>
      <c r="GD45" s="965"/>
      <c r="GE45" s="965"/>
      <c r="GF45" s="965"/>
      <c r="GG45" s="965"/>
      <c r="GH45" s="965"/>
      <c r="GI45" s="965"/>
      <c r="GJ45" s="965"/>
      <c r="GK45" s="965"/>
      <c r="GL45" s="965"/>
      <c r="GM45" s="965"/>
      <c r="GN45" s="965"/>
      <c r="GO45" s="965"/>
      <c r="GP45" s="965"/>
      <c r="GQ45" s="965"/>
      <c r="GR45" s="965"/>
      <c r="GS45" s="965"/>
      <c r="GT45" s="965"/>
      <c r="GU45" s="965"/>
      <c r="GV45" s="965"/>
      <c r="GW45" s="965"/>
      <c r="GX45" s="965"/>
      <c r="GY45" s="965"/>
      <c r="GZ45" s="965"/>
      <c r="HA45" s="965"/>
      <c r="HB45" s="965"/>
      <c r="HC45" s="965"/>
      <c r="HD45" s="965"/>
      <c r="HE45" s="965"/>
      <c r="HF45" s="965"/>
      <c r="HG45" s="965"/>
      <c r="HH45" s="965"/>
      <c r="HI45" s="965"/>
      <c r="HJ45" s="965"/>
      <c r="HK45" s="965"/>
      <c r="HL45" s="965"/>
      <c r="HM45" s="965"/>
      <c r="HN45" s="965"/>
      <c r="HO45" s="965"/>
      <c r="HP45" s="965"/>
      <c r="HQ45" s="965"/>
      <c r="HR45" s="965"/>
      <c r="HS45" s="965"/>
      <c r="HT45" s="965"/>
      <c r="HU45" s="965"/>
      <c r="HV45" s="965"/>
      <c r="HW45" s="965"/>
      <c r="HX45" s="965"/>
      <c r="HY45" s="965"/>
      <c r="HZ45" s="965"/>
      <c r="IA45" s="965"/>
      <c r="IB45" s="965"/>
      <c r="IC45" s="965"/>
      <c r="ID45" s="965"/>
      <c r="IE45" s="965"/>
      <c r="IF45" s="965"/>
      <c r="IG45" s="965"/>
      <c r="IH45" s="965"/>
      <c r="II45" s="965"/>
    </row>
    <row r="46" spans="3:243">
      <c r="C46" s="965"/>
      <c r="D46" s="965"/>
      <c r="E46" s="965"/>
      <c r="F46" s="965"/>
      <c r="G46" s="965"/>
      <c r="H46" s="965"/>
      <c r="I46" s="965"/>
      <c r="J46" s="965"/>
      <c r="K46" s="965"/>
      <c r="L46" s="965"/>
      <c r="M46" s="965"/>
      <c r="N46" s="965"/>
      <c r="O46" s="965"/>
      <c r="P46" s="965"/>
      <c r="Q46" s="965"/>
      <c r="R46" s="965"/>
      <c r="S46" s="965"/>
      <c r="T46" s="965"/>
      <c r="U46" s="965"/>
      <c r="V46" s="965"/>
      <c r="W46" s="965"/>
      <c r="X46" s="965"/>
      <c r="Y46" s="965"/>
      <c r="Z46" s="965"/>
      <c r="AA46" s="965"/>
      <c r="AB46" s="965"/>
      <c r="AC46" s="965"/>
      <c r="AD46" s="965"/>
      <c r="AE46" s="965"/>
      <c r="AF46" s="965"/>
      <c r="AG46" s="965"/>
      <c r="AH46" s="965"/>
      <c r="AI46" s="965"/>
      <c r="AJ46" s="965"/>
      <c r="AK46" s="965"/>
      <c r="AL46" s="965"/>
      <c r="AM46" s="965"/>
      <c r="AN46" s="965"/>
      <c r="AO46" s="965"/>
      <c r="AP46" s="965"/>
      <c r="AQ46" s="965"/>
      <c r="AR46" s="965"/>
      <c r="AS46" s="965"/>
      <c r="AT46" s="965"/>
      <c r="AU46" s="965"/>
      <c r="AV46" s="965"/>
      <c r="AW46" s="965"/>
      <c r="AX46" s="965"/>
      <c r="AY46" s="965"/>
      <c r="AZ46" s="965"/>
      <c r="BA46" s="965"/>
      <c r="BB46" s="965"/>
      <c r="BC46" s="965"/>
      <c r="BD46" s="965"/>
      <c r="BE46" s="965"/>
      <c r="BF46" s="965"/>
      <c r="BG46" s="965"/>
      <c r="BH46" s="965"/>
      <c r="BI46" s="965"/>
      <c r="BJ46" s="965"/>
      <c r="BK46" s="965"/>
      <c r="BL46" s="965"/>
      <c r="BM46" s="965"/>
      <c r="BN46" s="965"/>
      <c r="BO46" s="965"/>
      <c r="BP46" s="965"/>
      <c r="BQ46" s="965"/>
      <c r="BR46" s="965"/>
      <c r="BS46" s="965"/>
      <c r="BT46" s="965"/>
      <c r="BU46" s="965"/>
      <c r="BV46" s="965"/>
      <c r="BW46" s="965"/>
      <c r="BX46" s="965"/>
      <c r="BY46" s="965"/>
      <c r="BZ46" s="965"/>
      <c r="CA46" s="965"/>
      <c r="CB46" s="965"/>
      <c r="CC46" s="965"/>
      <c r="CD46" s="965"/>
      <c r="CE46" s="965"/>
      <c r="CF46" s="965"/>
      <c r="CG46" s="965"/>
      <c r="CH46" s="965"/>
      <c r="CI46" s="965"/>
      <c r="CJ46" s="965"/>
      <c r="CK46" s="965"/>
      <c r="CL46" s="965"/>
      <c r="CM46" s="965"/>
      <c r="CN46" s="965"/>
      <c r="CO46" s="965"/>
      <c r="CP46" s="965"/>
      <c r="CQ46" s="965"/>
      <c r="CR46" s="965"/>
      <c r="CS46" s="965"/>
      <c r="CT46" s="965"/>
      <c r="CU46" s="965"/>
      <c r="CV46" s="965"/>
      <c r="CW46" s="965"/>
      <c r="CX46" s="965"/>
      <c r="CY46" s="965"/>
      <c r="CZ46" s="965"/>
      <c r="DA46" s="965"/>
      <c r="DB46" s="965"/>
      <c r="DC46" s="965"/>
      <c r="DD46" s="965"/>
      <c r="DE46" s="965"/>
      <c r="DF46" s="965"/>
      <c r="DG46" s="965"/>
      <c r="DH46" s="965"/>
      <c r="DI46" s="965"/>
      <c r="DJ46" s="965"/>
      <c r="DK46" s="965"/>
      <c r="DL46" s="965"/>
      <c r="DM46" s="965"/>
      <c r="DN46" s="965"/>
      <c r="DO46" s="965"/>
      <c r="DP46" s="965"/>
      <c r="DQ46" s="965"/>
      <c r="DR46" s="965"/>
      <c r="DS46" s="965"/>
      <c r="DT46" s="965"/>
      <c r="DU46" s="965"/>
      <c r="DV46" s="965"/>
      <c r="DW46" s="965"/>
      <c r="DX46" s="965"/>
      <c r="DY46" s="965"/>
      <c r="DZ46" s="965"/>
      <c r="EA46" s="965"/>
      <c r="EB46" s="965"/>
      <c r="EC46" s="965"/>
      <c r="ED46" s="965"/>
      <c r="EE46" s="965"/>
      <c r="EF46" s="965"/>
      <c r="EG46" s="965"/>
      <c r="EH46" s="965"/>
      <c r="EI46" s="965"/>
      <c r="EJ46" s="965"/>
      <c r="EK46" s="965"/>
      <c r="EL46" s="965"/>
      <c r="EM46" s="965"/>
      <c r="EN46" s="965"/>
      <c r="EO46" s="965"/>
      <c r="EP46" s="965"/>
      <c r="EQ46" s="965"/>
      <c r="ER46" s="965"/>
      <c r="ES46" s="965"/>
      <c r="ET46" s="965"/>
      <c r="EU46" s="965"/>
      <c r="EV46" s="965"/>
      <c r="EW46" s="965"/>
      <c r="EX46" s="965"/>
      <c r="EY46" s="965"/>
      <c r="EZ46" s="965"/>
      <c r="FA46" s="965"/>
      <c r="FB46" s="965"/>
      <c r="FC46" s="965"/>
      <c r="FD46" s="965"/>
      <c r="FE46" s="965"/>
      <c r="FF46" s="965"/>
      <c r="FG46" s="965"/>
      <c r="FH46" s="965"/>
      <c r="FI46" s="965"/>
      <c r="FJ46" s="965"/>
      <c r="FK46" s="965"/>
      <c r="FL46" s="965"/>
      <c r="FM46" s="965"/>
      <c r="FN46" s="965"/>
      <c r="FO46" s="965"/>
      <c r="FP46" s="965"/>
      <c r="FQ46" s="965"/>
      <c r="FR46" s="965"/>
      <c r="FS46" s="965"/>
      <c r="FT46" s="965"/>
      <c r="FU46" s="965"/>
      <c r="FV46" s="965"/>
      <c r="FW46" s="965"/>
      <c r="FX46" s="965"/>
      <c r="FY46" s="965"/>
      <c r="FZ46" s="965"/>
      <c r="GA46" s="965"/>
      <c r="GB46" s="965"/>
      <c r="GC46" s="965"/>
      <c r="GD46" s="965"/>
      <c r="GE46" s="965"/>
      <c r="GF46" s="965"/>
      <c r="GG46" s="965"/>
      <c r="GH46" s="965"/>
      <c r="GI46" s="965"/>
      <c r="GJ46" s="965"/>
      <c r="GK46" s="965"/>
      <c r="GL46" s="965"/>
      <c r="GM46" s="965"/>
      <c r="GN46" s="965"/>
      <c r="GO46" s="965"/>
      <c r="GP46" s="965"/>
      <c r="GQ46" s="965"/>
      <c r="GR46" s="965"/>
      <c r="GS46" s="965"/>
      <c r="GT46" s="965"/>
      <c r="GU46" s="965"/>
      <c r="GV46" s="965"/>
      <c r="GW46" s="965"/>
      <c r="GX46" s="965"/>
      <c r="GY46" s="965"/>
      <c r="GZ46" s="965"/>
      <c r="HA46" s="965"/>
      <c r="HB46" s="965"/>
      <c r="HC46" s="965"/>
      <c r="HD46" s="965"/>
      <c r="HE46" s="965"/>
      <c r="HF46" s="965"/>
      <c r="HG46" s="965"/>
      <c r="HH46" s="965"/>
      <c r="HI46" s="965"/>
      <c r="HJ46" s="965"/>
      <c r="HK46" s="965"/>
      <c r="HL46" s="965"/>
      <c r="HM46" s="965"/>
      <c r="HN46" s="965"/>
      <c r="HO46" s="965"/>
      <c r="HP46" s="965"/>
      <c r="HQ46" s="965"/>
      <c r="HR46" s="965"/>
      <c r="HS46" s="965"/>
      <c r="HT46" s="965"/>
      <c r="HU46" s="965"/>
      <c r="HV46" s="965"/>
      <c r="HW46" s="965"/>
      <c r="HX46" s="965"/>
      <c r="HY46" s="965"/>
      <c r="HZ46" s="965"/>
      <c r="IA46" s="965"/>
      <c r="IB46" s="965"/>
      <c r="IC46" s="965"/>
      <c r="ID46" s="965"/>
      <c r="IE46" s="965"/>
      <c r="IF46" s="965"/>
      <c r="IG46" s="965"/>
      <c r="IH46" s="965"/>
      <c r="II46" s="965"/>
    </row>
    <row r="47" spans="3:243">
      <c r="C47" s="965"/>
      <c r="D47" s="965"/>
      <c r="E47" s="965"/>
      <c r="F47" s="965"/>
      <c r="G47" s="965"/>
      <c r="H47" s="965"/>
      <c r="I47" s="965"/>
      <c r="J47" s="965"/>
      <c r="K47" s="965"/>
      <c r="L47" s="965"/>
      <c r="M47" s="965"/>
      <c r="N47" s="965"/>
      <c r="O47" s="965"/>
      <c r="P47" s="965"/>
      <c r="Q47" s="965"/>
      <c r="R47" s="965"/>
      <c r="S47" s="965"/>
      <c r="T47" s="965"/>
      <c r="U47" s="965"/>
      <c r="V47" s="965"/>
      <c r="W47" s="965"/>
      <c r="X47" s="965"/>
      <c r="Y47" s="965"/>
      <c r="Z47" s="965"/>
      <c r="AA47" s="965"/>
      <c r="AB47" s="965"/>
      <c r="AC47" s="965"/>
      <c r="AD47" s="965"/>
      <c r="AE47" s="965"/>
      <c r="AF47" s="965"/>
      <c r="AG47" s="965"/>
      <c r="AH47" s="965"/>
      <c r="AI47" s="965"/>
      <c r="AJ47" s="965"/>
      <c r="AK47" s="965"/>
      <c r="AL47" s="965"/>
      <c r="AM47" s="965"/>
      <c r="AN47" s="965"/>
      <c r="AO47" s="965"/>
      <c r="AP47" s="965"/>
      <c r="AQ47" s="965"/>
      <c r="AR47" s="965"/>
      <c r="AS47" s="965"/>
      <c r="AT47" s="965"/>
      <c r="AU47" s="965"/>
      <c r="AV47" s="965"/>
      <c r="AW47" s="965"/>
      <c r="AX47" s="965"/>
      <c r="AY47" s="965"/>
      <c r="AZ47" s="965"/>
      <c r="BA47" s="965"/>
      <c r="BB47" s="965"/>
      <c r="BC47" s="965"/>
      <c r="BD47" s="965"/>
      <c r="BE47" s="965"/>
      <c r="BF47" s="965"/>
      <c r="BG47" s="965"/>
      <c r="BH47" s="965"/>
      <c r="BI47" s="965"/>
      <c r="BJ47" s="965"/>
      <c r="BK47" s="965"/>
      <c r="BL47" s="965"/>
      <c r="BM47" s="965"/>
      <c r="BN47" s="965"/>
      <c r="BO47" s="965"/>
      <c r="BP47" s="965"/>
      <c r="BQ47" s="965"/>
      <c r="BR47" s="965"/>
      <c r="BS47" s="965"/>
      <c r="BT47" s="965"/>
      <c r="BU47" s="965"/>
      <c r="BV47" s="965"/>
      <c r="BW47" s="965"/>
      <c r="BX47" s="965"/>
      <c r="BY47" s="965"/>
      <c r="BZ47" s="965"/>
      <c r="CA47" s="965"/>
      <c r="CB47" s="965"/>
      <c r="CC47" s="965"/>
      <c r="CD47" s="965"/>
      <c r="CE47" s="965"/>
      <c r="CF47" s="965"/>
      <c r="CG47" s="965"/>
      <c r="CH47" s="965"/>
      <c r="CI47" s="965"/>
      <c r="CJ47" s="965"/>
      <c r="CK47" s="965"/>
      <c r="CL47" s="965"/>
      <c r="CM47" s="965"/>
      <c r="CN47" s="965"/>
      <c r="CO47" s="965"/>
      <c r="CP47" s="965"/>
      <c r="CQ47" s="965"/>
      <c r="CR47" s="965"/>
      <c r="CS47" s="965"/>
      <c r="CT47" s="965"/>
      <c r="CU47" s="965"/>
      <c r="CV47" s="965"/>
      <c r="CW47" s="965"/>
      <c r="CX47" s="965"/>
      <c r="CY47" s="965"/>
      <c r="CZ47" s="965"/>
      <c r="DA47" s="965"/>
      <c r="DB47" s="965"/>
      <c r="DC47" s="965"/>
      <c r="DD47" s="965"/>
      <c r="DE47" s="965"/>
      <c r="DF47" s="965"/>
      <c r="DG47" s="965"/>
      <c r="DH47" s="965"/>
      <c r="DI47" s="965"/>
      <c r="DJ47" s="965"/>
      <c r="DK47" s="965"/>
      <c r="DL47" s="965"/>
      <c r="DM47" s="965"/>
      <c r="DN47" s="965"/>
      <c r="DO47" s="965"/>
      <c r="DP47" s="965"/>
      <c r="DQ47" s="965"/>
      <c r="DR47" s="965"/>
      <c r="DS47" s="965"/>
      <c r="DT47" s="965"/>
      <c r="DU47" s="965"/>
      <c r="DV47" s="965"/>
      <c r="DW47" s="965"/>
      <c r="DX47" s="965"/>
      <c r="DY47" s="965"/>
      <c r="DZ47" s="965"/>
      <c r="EA47" s="965"/>
      <c r="EB47" s="965"/>
      <c r="EC47" s="965"/>
      <c r="ED47" s="965"/>
      <c r="EE47" s="965"/>
      <c r="EF47" s="965"/>
      <c r="EG47" s="965"/>
      <c r="EH47" s="965"/>
      <c r="EI47" s="965"/>
      <c r="EJ47" s="965"/>
      <c r="EK47" s="965"/>
      <c r="EL47" s="965"/>
      <c r="EM47" s="965"/>
      <c r="EN47" s="965"/>
      <c r="EO47" s="965"/>
      <c r="EP47" s="965"/>
      <c r="EQ47" s="965"/>
      <c r="ER47" s="965"/>
      <c r="ES47" s="965"/>
      <c r="ET47" s="965"/>
      <c r="EU47" s="965"/>
      <c r="EV47" s="965"/>
      <c r="EW47" s="965"/>
      <c r="EX47" s="965"/>
      <c r="EY47" s="965"/>
      <c r="EZ47" s="965"/>
      <c r="FA47" s="965"/>
      <c r="FB47" s="965"/>
      <c r="FC47" s="965"/>
      <c r="FD47" s="965"/>
      <c r="FE47" s="965"/>
      <c r="FF47" s="965"/>
      <c r="FG47" s="965"/>
      <c r="FH47" s="965"/>
      <c r="FI47" s="965"/>
      <c r="FJ47" s="965"/>
      <c r="FK47" s="965"/>
      <c r="FL47" s="965"/>
      <c r="FM47" s="965"/>
      <c r="FN47" s="965"/>
      <c r="FO47" s="965"/>
      <c r="FP47" s="965"/>
      <c r="FQ47" s="965"/>
      <c r="FR47" s="965"/>
      <c r="FS47" s="965"/>
      <c r="FT47" s="965"/>
      <c r="FU47" s="965"/>
      <c r="FV47" s="965"/>
      <c r="FW47" s="965"/>
      <c r="FX47" s="965"/>
      <c r="FY47" s="965"/>
      <c r="FZ47" s="965"/>
      <c r="GA47" s="965"/>
      <c r="GB47" s="965"/>
      <c r="GC47" s="965"/>
      <c r="GD47" s="965"/>
      <c r="GE47" s="965"/>
      <c r="GF47" s="965"/>
      <c r="GG47" s="965"/>
      <c r="GH47" s="965"/>
      <c r="GI47" s="965"/>
      <c r="GJ47" s="965"/>
      <c r="GK47" s="965"/>
      <c r="GL47" s="965"/>
      <c r="GM47" s="965"/>
      <c r="GN47" s="965"/>
      <c r="GO47" s="965"/>
      <c r="GP47" s="965"/>
      <c r="GQ47" s="965"/>
      <c r="GR47" s="965"/>
      <c r="GS47" s="965"/>
      <c r="GT47" s="965"/>
      <c r="GU47" s="965"/>
      <c r="GV47" s="965"/>
      <c r="GW47" s="965"/>
      <c r="GX47" s="965"/>
      <c r="GY47" s="965"/>
      <c r="GZ47" s="965"/>
      <c r="HA47" s="965"/>
      <c r="HB47" s="965"/>
      <c r="HC47" s="965"/>
      <c r="HD47" s="965"/>
      <c r="HE47" s="965"/>
      <c r="HF47" s="965"/>
      <c r="HG47" s="965"/>
      <c r="HH47" s="965"/>
      <c r="HI47" s="965"/>
      <c r="HJ47" s="965"/>
      <c r="HK47" s="965"/>
      <c r="HL47" s="965"/>
      <c r="HM47" s="965"/>
      <c r="HN47" s="965"/>
      <c r="HO47" s="965"/>
      <c r="HP47" s="965"/>
      <c r="HQ47" s="965"/>
      <c r="HR47" s="965"/>
      <c r="HS47" s="965"/>
      <c r="HT47" s="965"/>
      <c r="HU47" s="965"/>
      <c r="HV47" s="965"/>
      <c r="HW47" s="965"/>
      <c r="HX47" s="965"/>
      <c r="HY47" s="965"/>
      <c r="HZ47" s="965"/>
      <c r="IA47" s="965"/>
      <c r="IB47" s="965"/>
      <c r="IC47" s="965"/>
      <c r="ID47" s="965"/>
      <c r="IE47" s="965"/>
      <c r="IF47" s="965"/>
      <c r="IG47" s="965"/>
      <c r="IH47" s="965"/>
      <c r="II47" s="965"/>
    </row>
    <row r="48" spans="3:243">
      <c r="C48" s="965"/>
      <c r="D48" s="965"/>
      <c r="E48" s="965"/>
      <c r="F48" s="965"/>
      <c r="G48" s="965"/>
      <c r="H48" s="965"/>
      <c r="I48" s="965"/>
      <c r="J48" s="965"/>
      <c r="K48" s="965"/>
      <c r="L48" s="965"/>
      <c r="M48" s="965"/>
      <c r="N48" s="965"/>
      <c r="O48" s="965"/>
      <c r="P48" s="965"/>
      <c r="Q48" s="965"/>
      <c r="R48" s="965"/>
      <c r="S48" s="965"/>
      <c r="T48" s="965"/>
      <c r="U48" s="965"/>
      <c r="V48" s="965"/>
      <c r="W48" s="965"/>
      <c r="X48" s="965"/>
      <c r="Y48" s="965"/>
      <c r="Z48" s="965"/>
      <c r="AA48" s="965"/>
      <c r="AB48" s="965"/>
      <c r="AC48" s="965"/>
      <c r="AD48" s="965"/>
      <c r="AE48" s="965"/>
      <c r="AF48" s="965"/>
      <c r="AG48" s="965"/>
      <c r="AH48" s="965"/>
      <c r="AI48" s="965"/>
      <c r="AJ48" s="965"/>
      <c r="AK48" s="965"/>
      <c r="AL48" s="965"/>
      <c r="AM48" s="965"/>
      <c r="AN48" s="965"/>
      <c r="AO48" s="965"/>
      <c r="AP48" s="965"/>
      <c r="AQ48" s="965"/>
      <c r="AR48" s="965"/>
      <c r="AS48" s="965"/>
      <c r="AT48" s="965"/>
      <c r="AU48" s="965"/>
      <c r="AV48" s="965"/>
      <c r="AW48" s="965"/>
      <c r="AX48" s="965"/>
      <c r="AY48" s="965"/>
      <c r="AZ48" s="965"/>
      <c r="BA48" s="965"/>
      <c r="BB48" s="965"/>
      <c r="BC48" s="965"/>
      <c r="BD48" s="965"/>
      <c r="BE48" s="965"/>
      <c r="BF48" s="965"/>
      <c r="BG48" s="965"/>
      <c r="BH48" s="965"/>
      <c r="BI48" s="965"/>
      <c r="BJ48" s="965"/>
      <c r="BK48" s="965"/>
      <c r="BL48" s="965"/>
      <c r="BM48" s="965"/>
      <c r="BN48" s="965"/>
      <c r="BO48" s="965"/>
      <c r="BP48" s="965"/>
      <c r="BQ48" s="965"/>
      <c r="BR48" s="965"/>
      <c r="BS48" s="965"/>
      <c r="BT48" s="965"/>
      <c r="BU48" s="965"/>
      <c r="BV48" s="965"/>
      <c r="BW48" s="965"/>
      <c r="BX48" s="965"/>
      <c r="BY48" s="965"/>
      <c r="BZ48" s="965"/>
      <c r="CA48" s="965"/>
      <c r="CB48" s="965"/>
      <c r="CC48" s="965"/>
      <c r="CD48" s="965"/>
      <c r="CE48" s="965"/>
      <c r="CF48" s="965"/>
      <c r="CG48" s="965"/>
      <c r="CH48" s="965"/>
      <c r="CI48" s="965"/>
      <c r="CJ48" s="965"/>
      <c r="CK48" s="965"/>
      <c r="CL48" s="965"/>
      <c r="CM48" s="965"/>
      <c r="CN48" s="965"/>
      <c r="CO48" s="965"/>
      <c r="CP48" s="965"/>
      <c r="CQ48" s="965"/>
      <c r="CR48" s="965"/>
      <c r="CS48" s="965"/>
      <c r="CT48" s="965"/>
      <c r="CU48" s="965"/>
      <c r="CV48" s="965"/>
      <c r="CW48" s="965"/>
      <c r="CX48" s="965"/>
      <c r="CY48" s="965"/>
      <c r="CZ48" s="965"/>
      <c r="DA48" s="965"/>
      <c r="DB48" s="965"/>
      <c r="DC48" s="965"/>
      <c r="DD48" s="965"/>
      <c r="DE48" s="965"/>
      <c r="DF48" s="965"/>
      <c r="DG48" s="965"/>
      <c r="DH48" s="965"/>
      <c r="DI48" s="965"/>
      <c r="DJ48" s="965"/>
      <c r="DK48" s="965"/>
      <c r="DL48" s="965"/>
      <c r="DM48" s="965"/>
      <c r="DN48" s="965"/>
      <c r="DO48" s="965"/>
      <c r="DP48" s="965"/>
      <c r="DQ48" s="965"/>
      <c r="DR48" s="965"/>
      <c r="DS48" s="965"/>
      <c r="DT48" s="965"/>
      <c r="DU48" s="965"/>
      <c r="DV48" s="965"/>
      <c r="DW48" s="965"/>
      <c r="DX48" s="965"/>
      <c r="DY48" s="965"/>
      <c r="DZ48" s="965"/>
      <c r="EA48" s="965"/>
      <c r="EB48" s="965"/>
      <c r="EC48" s="965"/>
      <c r="ED48" s="965"/>
      <c r="EE48" s="965"/>
      <c r="EF48" s="965"/>
      <c r="EG48" s="965"/>
      <c r="EH48" s="965"/>
      <c r="EI48" s="965"/>
      <c r="EJ48" s="965"/>
      <c r="EK48" s="965"/>
      <c r="EL48" s="965"/>
      <c r="EM48" s="965"/>
      <c r="EN48" s="965"/>
      <c r="EO48" s="965"/>
      <c r="EP48" s="965"/>
      <c r="EQ48" s="965"/>
      <c r="ER48" s="965"/>
      <c r="ES48" s="965"/>
      <c r="ET48" s="965"/>
      <c r="EU48" s="965"/>
      <c r="EV48" s="965"/>
      <c r="EW48" s="965"/>
      <c r="EX48" s="965"/>
      <c r="EY48" s="965"/>
      <c r="EZ48" s="965"/>
      <c r="FA48" s="965"/>
      <c r="FB48" s="965"/>
      <c r="FC48" s="965"/>
      <c r="FD48" s="965"/>
      <c r="FE48" s="965"/>
      <c r="FF48" s="965"/>
      <c r="FG48" s="965"/>
      <c r="FH48" s="965"/>
      <c r="FI48" s="965"/>
      <c r="FJ48" s="965"/>
      <c r="FK48" s="965"/>
      <c r="FL48" s="965"/>
      <c r="FM48" s="965"/>
      <c r="FN48" s="965"/>
      <c r="FO48" s="965"/>
      <c r="FP48" s="965"/>
      <c r="FQ48" s="965"/>
      <c r="FR48" s="965"/>
      <c r="FS48" s="965"/>
      <c r="FT48" s="965"/>
      <c r="FU48" s="965"/>
      <c r="FV48" s="965"/>
      <c r="FW48" s="965"/>
      <c r="FX48" s="965"/>
      <c r="FY48" s="965"/>
      <c r="FZ48" s="965"/>
      <c r="GA48" s="965"/>
      <c r="GB48" s="965"/>
      <c r="GC48" s="965"/>
      <c r="GD48" s="965"/>
      <c r="GE48" s="965"/>
      <c r="GF48" s="965"/>
      <c r="GG48" s="965"/>
      <c r="GH48" s="965"/>
      <c r="GI48" s="965"/>
      <c r="GJ48" s="965"/>
      <c r="GK48" s="965"/>
      <c r="GL48" s="965"/>
      <c r="GM48" s="965"/>
      <c r="GN48" s="965"/>
      <c r="GO48" s="965"/>
      <c r="GP48" s="965"/>
      <c r="GQ48" s="965"/>
      <c r="GR48" s="965"/>
      <c r="GS48" s="965"/>
      <c r="GT48" s="965"/>
      <c r="GU48" s="965"/>
      <c r="GV48" s="965"/>
      <c r="GW48" s="965"/>
      <c r="GX48" s="965"/>
      <c r="GY48" s="965"/>
      <c r="GZ48" s="965"/>
      <c r="HA48" s="965"/>
      <c r="HB48" s="965"/>
      <c r="HC48" s="965"/>
      <c r="HD48" s="965"/>
      <c r="HE48" s="965"/>
      <c r="HF48" s="965"/>
      <c r="HG48" s="965"/>
      <c r="HH48" s="965"/>
      <c r="HI48" s="965"/>
      <c r="HJ48" s="965"/>
      <c r="HK48" s="965"/>
      <c r="HL48" s="965"/>
      <c r="HM48" s="965"/>
      <c r="HN48" s="965"/>
      <c r="HO48" s="965"/>
      <c r="HP48" s="965"/>
      <c r="HQ48" s="965"/>
      <c r="HR48" s="965"/>
      <c r="HS48" s="965"/>
      <c r="HT48" s="965"/>
      <c r="HU48" s="965"/>
      <c r="HV48" s="965"/>
      <c r="HW48" s="965"/>
      <c r="HX48" s="965"/>
      <c r="HY48" s="965"/>
      <c r="HZ48" s="965"/>
      <c r="IA48" s="965"/>
      <c r="IB48" s="965"/>
      <c r="IC48" s="965"/>
      <c r="ID48" s="965"/>
      <c r="IE48" s="965"/>
      <c r="IF48" s="965"/>
      <c r="IG48" s="965"/>
      <c r="IH48" s="965"/>
      <c r="II48" s="965"/>
    </row>
    <row r="49" spans="3:243">
      <c r="C49" s="965"/>
      <c r="D49" s="965"/>
      <c r="E49" s="965"/>
      <c r="F49" s="965"/>
      <c r="G49" s="965"/>
      <c r="H49" s="965"/>
      <c r="I49" s="965"/>
      <c r="J49" s="965"/>
      <c r="K49" s="965"/>
      <c r="L49" s="965"/>
      <c r="M49" s="965"/>
      <c r="N49" s="965"/>
      <c r="O49" s="965"/>
      <c r="P49" s="965"/>
      <c r="Q49" s="965"/>
      <c r="R49" s="965"/>
      <c r="S49" s="965"/>
      <c r="T49" s="965"/>
      <c r="U49" s="965"/>
      <c r="V49" s="965"/>
      <c r="W49" s="965"/>
      <c r="X49" s="965"/>
      <c r="Y49" s="965"/>
      <c r="Z49" s="965"/>
      <c r="AA49" s="965"/>
      <c r="AB49" s="965"/>
      <c r="AC49" s="965"/>
      <c r="AD49" s="965"/>
      <c r="AE49" s="965"/>
      <c r="AF49" s="965"/>
      <c r="AG49" s="965"/>
      <c r="AH49" s="965"/>
      <c r="AI49" s="965"/>
      <c r="AJ49" s="965"/>
      <c r="AK49" s="965"/>
      <c r="AL49" s="965"/>
      <c r="AM49" s="965"/>
      <c r="AN49" s="965"/>
      <c r="AO49" s="965"/>
      <c r="AP49" s="965"/>
      <c r="AQ49" s="965"/>
      <c r="AR49" s="965"/>
      <c r="AS49" s="965"/>
      <c r="AT49" s="965"/>
      <c r="AU49" s="965"/>
      <c r="AV49" s="965"/>
      <c r="AW49" s="965"/>
      <c r="AX49" s="965"/>
      <c r="AY49" s="965"/>
      <c r="AZ49" s="965"/>
      <c r="BA49" s="965"/>
      <c r="BB49" s="965"/>
      <c r="BC49" s="965"/>
      <c r="BD49" s="965"/>
      <c r="BE49" s="965"/>
      <c r="BF49" s="965"/>
      <c r="BG49" s="965"/>
      <c r="BH49" s="965"/>
      <c r="BI49" s="965"/>
      <c r="BJ49" s="965"/>
      <c r="BK49" s="965"/>
      <c r="BL49" s="965"/>
      <c r="BM49" s="965"/>
      <c r="BN49" s="965"/>
      <c r="BO49" s="965"/>
      <c r="BP49" s="965"/>
      <c r="BQ49" s="965"/>
      <c r="BR49" s="965"/>
      <c r="BS49" s="965"/>
      <c r="BT49" s="965"/>
      <c r="BU49" s="965"/>
      <c r="BV49" s="965"/>
      <c r="BW49" s="965"/>
      <c r="BX49" s="965"/>
      <c r="BY49" s="965"/>
      <c r="BZ49" s="965"/>
      <c r="CA49" s="965"/>
      <c r="CB49" s="965"/>
      <c r="CC49" s="965"/>
      <c r="CD49" s="965"/>
      <c r="CE49" s="965"/>
      <c r="CF49" s="965"/>
      <c r="CG49" s="965"/>
      <c r="CH49" s="965"/>
      <c r="CI49" s="965"/>
      <c r="CJ49" s="965"/>
      <c r="CK49" s="965"/>
      <c r="CL49" s="965"/>
      <c r="CM49" s="965"/>
      <c r="CN49" s="965"/>
      <c r="CO49" s="965"/>
      <c r="CP49" s="965"/>
      <c r="CQ49" s="965"/>
      <c r="CR49" s="965"/>
      <c r="CS49" s="965"/>
      <c r="CT49" s="965"/>
      <c r="CU49" s="965"/>
      <c r="CV49" s="965"/>
      <c r="CW49" s="965"/>
      <c r="CX49" s="965"/>
      <c r="CY49" s="965"/>
      <c r="CZ49" s="965"/>
      <c r="DA49" s="965"/>
      <c r="DB49" s="965"/>
      <c r="DC49" s="965"/>
      <c r="DD49" s="965"/>
      <c r="DE49" s="965"/>
      <c r="DF49" s="965"/>
      <c r="DG49" s="965"/>
      <c r="DH49" s="965"/>
      <c r="DI49" s="965"/>
      <c r="DJ49" s="965"/>
      <c r="DK49" s="965"/>
      <c r="DL49" s="965"/>
      <c r="DM49" s="965"/>
      <c r="DN49" s="965"/>
      <c r="DO49" s="965"/>
      <c r="DP49" s="965"/>
      <c r="DQ49" s="965"/>
      <c r="DR49" s="965"/>
      <c r="DS49" s="965"/>
      <c r="DT49" s="965"/>
      <c r="DU49" s="965"/>
      <c r="DV49" s="965"/>
      <c r="DW49" s="965"/>
      <c r="DX49" s="965"/>
      <c r="DY49" s="965"/>
      <c r="DZ49" s="965"/>
      <c r="EA49" s="965"/>
      <c r="EB49" s="965"/>
      <c r="EC49" s="965"/>
      <c r="ED49" s="965"/>
      <c r="EE49" s="965"/>
      <c r="EF49" s="965"/>
      <c r="EG49" s="965"/>
      <c r="EH49" s="965"/>
      <c r="EI49" s="965"/>
      <c r="EJ49" s="965"/>
      <c r="EK49" s="965"/>
      <c r="EL49" s="965"/>
      <c r="EM49" s="965"/>
      <c r="EN49" s="965"/>
      <c r="EO49" s="965"/>
      <c r="EP49" s="965"/>
      <c r="EQ49" s="965"/>
      <c r="ER49" s="965"/>
      <c r="ES49" s="965"/>
      <c r="ET49" s="965"/>
      <c r="EU49" s="965"/>
      <c r="EV49" s="965"/>
      <c r="EW49" s="965"/>
      <c r="EX49" s="965"/>
      <c r="EY49" s="965"/>
      <c r="EZ49" s="965"/>
      <c r="FA49" s="965"/>
      <c r="FB49" s="965"/>
      <c r="FC49" s="965"/>
      <c r="FD49" s="965"/>
      <c r="FE49" s="965"/>
      <c r="FF49" s="965"/>
      <c r="FG49" s="965"/>
      <c r="FH49" s="965"/>
      <c r="FI49" s="965"/>
      <c r="FJ49" s="965"/>
      <c r="FK49" s="965"/>
      <c r="FL49" s="965"/>
      <c r="FM49" s="965"/>
      <c r="FN49" s="965"/>
      <c r="FO49" s="965"/>
      <c r="FP49" s="965"/>
      <c r="FQ49" s="965"/>
      <c r="FR49" s="965"/>
      <c r="FS49" s="965"/>
      <c r="FT49" s="965"/>
      <c r="FU49" s="965"/>
      <c r="FV49" s="965"/>
      <c r="FW49" s="965"/>
      <c r="FX49" s="965"/>
      <c r="FY49" s="965"/>
      <c r="FZ49" s="965"/>
      <c r="GA49" s="965"/>
      <c r="GB49" s="965"/>
      <c r="GC49" s="965"/>
      <c r="GD49" s="965"/>
      <c r="GE49" s="965"/>
      <c r="GF49" s="965"/>
      <c r="GG49" s="965"/>
      <c r="GH49" s="965"/>
      <c r="GI49" s="965"/>
      <c r="GJ49" s="965"/>
      <c r="GK49" s="965"/>
      <c r="GL49" s="965"/>
      <c r="GM49" s="965"/>
      <c r="GN49" s="965"/>
      <c r="GO49" s="965"/>
      <c r="GP49" s="965"/>
      <c r="GQ49" s="965"/>
      <c r="GR49" s="965"/>
      <c r="GS49" s="965"/>
      <c r="GT49" s="965"/>
      <c r="GU49" s="965"/>
      <c r="GV49" s="965"/>
      <c r="GW49" s="965"/>
      <c r="GX49" s="965"/>
      <c r="GY49" s="965"/>
      <c r="GZ49" s="965"/>
      <c r="HA49" s="965"/>
      <c r="HB49" s="965"/>
      <c r="HC49" s="965"/>
      <c r="HD49" s="965"/>
      <c r="HE49" s="965"/>
      <c r="HF49" s="965"/>
      <c r="HG49" s="965"/>
      <c r="HH49" s="965"/>
      <c r="HI49" s="965"/>
      <c r="HJ49" s="965"/>
      <c r="HK49" s="965"/>
      <c r="HL49" s="965"/>
      <c r="HM49" s="965"/>
      <c r="HN49" s="965"/>
      <c r="HO49" s="965"/>
      <c r="HP49" s="965"/>
      <c r="HQ49" s="965"/>
      <c r="HR49" s="965"/>
      <c r="HS49" s="965"/>
      <c r="HT49" s="965"/>
      <c r="HU49" s="965"/>
      <c r="HV49" s="965"/>
      <c r="HW49" s="965"/>
      <c r="HX49" s="965"/>
      <c r="HY49" s="965"/>
      <c r="HZ49" s="965"/>
      <c r="IA49" s="965"/>
      <c r="IB49" s="965"/>
      <c r="IC49" s="965"/>
      <c r="ID49" s="965"/>
      <c r="IE49" s="965"/>
      <c r="IF49" s="965"/>
      <c r="IG49" s="965"/>
      <c r="IH49" s="965"/>
      <c r="II49" s="965"/>
    </row>
    <row r="50" spans="3:243">
      <c r="C50" s="965"/>
      <c r="D50" s="965"/>
      <c r="E50" s="965"/>
      <c r="F50" s="965"/>
      <c r="G50" s="965"/>
      <c r="H50" s="965"/>
      <c r="I50" s="965"/>
      <c r="J50" s="965"/>
      <c r="K50" s="965"/>
      <c r="L50" s="965"/>
      <c r="M50" s="965"/>
      <c r="N50" s="965"/>
      <c r="O50" s="965"/>
      <c r="P50" s="965"/>
      <c r="Q50" s="965"/>
      <c r="R50" s="965"/>
      <c r="S50" s="965"/>
      <c r="T50" s="965"/>
      <c r="U50" s="965"/>
      <c r="V50" s="965"/>
      <c r="W50" s="965"/>
      <c r="X50" s="965"/>
      <c r="Y50" s="965"/>
      <c r="Z50" s="965"/>
      <c r="AA50" s="965"/>
      <c r="AB50" s="965"/>
      <c r="AC50" s="965"/>
      <c r="AD50" s="965"/>
      <c r="AE50" s="965"/>
      <c r="AF50" s="965"/>
      <c r="AG50" s="965"/>
      <c r="AH50" s="965"/>
      <c r="AI50" s="965"/>
      <c r="AJ50" s="965"/>
      <c r="AK50" s="965"/>
      <c r="AL50" s="965"/>
      <c r="AM50" s="965"/>
      <c r="AN50" s="965"/>
      <c r="AO50" s="965"/>
      <c r="AP50" s="965"/>
      <c r="AQ50" s="965"/>
      <c r="AR50" s="965"/>
      <c r="AS50" s="965"/>
      <c r="AT50" s="965"/>
      <c r="AU50" s="965"/>
      <c r="AV50" s="965"/>
      <c r="AW50" s="965"/>
      <c r="AX50" s="965"/>
      <c r="AY50" s="965"/>
      <c r="AZ50" s="965"/>
      <c r="BA50" s="965"/>
      <c r="BB50" s="965"/>
      <c r="BC50" s="965"/>
      <c r="BD50" s="965"/>
      <c r="BE50" s="965"/>
      <c r="BF50" s="965"/>
      <c r="BG50" s="965"/>
      <c r="BH50" s="965"/>
      <c r="BI50" s="965"/>
      <c r="BJ50" s="965"/>
      <c r="BK50" s="965"/>
      <c r="BL50" s="965"/>
      <c r="BM50" s="965"/>
      <c r="BN50" s="965"/>
      <c r="BO50" s="965"/>
      <c r="BP50" s="965"/>
      <c r="BQ50" s="965"/>
      <c r="BR50" s="965"/>
      <c r="BS50" s="965"/>
      <c r="BT50" s="965"/>
      <c r="BU50" s="965"/>
      <c r="BV50" s="965"/>
      <c r="BW50" s="965"/>
      <c r="BX50" s="965"/>
      <c r="BY50" s="965"/>
      <c r="BZ50" s="965"/>
      <c r="CA50" s="965"/>
      <c r="CB50" s="965"/>
      <c r="CC50" s="965"/>
      <c r="CD50" s="965"/>
      <c r="CE50" s="965"/>
      <c r="CF50" s="965"/>
      <c r="CG50" s="965"/>
      <c r="CH50" s="965"/>
      <c r="CI50" s="965"/>
      <c r="CJ50" s="965"/>
      <c r="CK50" s="965"/>
      <c r="CL50" s="965"/>
      <c r="CM50" s="965"/>
      <c r="CN50" s="965"/>
      <c r="CO50" s="965"/>
      <c r="CP50" s="965"/>
      <c r="CQ50" s="965"/>
      <c r="CR50" s="965"/>
      <c r="CS50" s="965"/>
      <c r="CT50" s="965"/>
      <c r="CU50" s="965"/>
      <c r="CV50" s="965"/>
      <c r="CW50" s="965"/>
      <c r="CX50" s="965"/>
      <c r="CY50" s="965"/>
      <c r="CZ50" s="965"/>
      <c r="DA50" s="965"/>
      <c r="DB50" s="965"/>
      <c r="DC50" s="965"/>
      <c r="DD50" s="965"/>
      <c r="DE50" s="965"/>
      <c r="DF50" s="965"/>
      <c r="DG50" s="965"/>
      <c r="DH50" s="965"/>
      <c r="DI50" s="965"/>
      <c r="DJ50" s="965"/>
      <c r="DK50" s="965"/>
      <c r="DL50" s="965"/>
      <c r="DM50" s="965"/>
      <c r="DN50" s="965"/>
      <c r="DO50" s="965"/>
      <c r="DP50" s="965"/>
      <c r="DQ50" s="965"/>
      <c r="DR50" s="965"/>
      <c r="DS50" s="965"/>
      <c r="DT50" s="965"/>
      <c r="DU50" s="965"/>
      <c r="DV50" s="965"/>
      <c r="DW50" s="965"/>
      <c r="DX50" s="965"/>
      <c r="DY50" s="965"/>
      <c r="DZ50" s="965"/>
      <c r="EA50" s="965"/>
      <c r="EB50" s="965"/>
      <c r="EC50" s="965"/>
      <c r="ED50" s="965"/>
      <c r="EE50" s="965"/>
      <c r="EF50" s="965"/>
      <c r="EG50" s="965"/>
      <c r="EH50" s="965"/>
      <c r="EI50" s="965"/>
      <c r="EJ50" s="965"/>
      <c r="EK50" s="965"/>
      <c r="EL50" s="965"/>
      <c r="EM50" s="965"/>
      <c r="EN50" s="965"/>
      <c r="EO50" s="965"/>
      <c r="EP50" s="965"/>
      <c r="EQ50" s="965"/>
      <c r="ER50" s="965"/>
      <c r="ES50" s="965"/>
      <c r="ET50" s="965"/>
      <c r="EU50" s="965"/>
      <c r="EV50" s="965"/>
      <c r="EW50" s="965"/>
      <c r="EX50" s="965"/>
      <c r="EY50" s="965"/>
      <c r="EZ50" s="965"/>
      <c r="FA50" s="965"/>
      <c r="FB50" s="965"/>
      <c r="FC50" s="965"/>
      <c r="FD50" s="965"/>
      <c r="FE50" s="965"/>
      <c r="FF50" s="965"/>
      <c r="FG50" s="965"/>
      <c r="FH50" s="965"/>
      <c r="FI50" s="965"/>
      <c r="FJ50" s="965"/>
      <c r="FK50" s="965"/>
      <c r="FL50" s="965"/>
      <c r="FM50" s="965"/>
      <c r="FN50" s="965"/>
      <c r="FO50" s="965"/>
      <c r="FP50" s="965"/>
      <c r="FQ50" s="965"/>
      <c r="FR50" s="965"/>
      <c r="FS50" s="965"/>
      <c r="FT50" s="965"/>
      <c r="FU50" s="965"/>
      <c r="FV50" s="965"/>
      <c r="FW50" s="965"/>
      <c r="FX50" s="965"/>
      <c r="FY50" s="965"/>
      <c r="FZ50" s="965"/>
      <c r="GA50" s="965"/>
      <c r="GB50" s="965"/>
      <c r="GC50" s="965"/>
      <c r="GD50" s="965"/>
      <c r="GE50" s="965"/>
      <c r="GF50" s="965"/>
      <c r="GG50" s="965"/>
      <c r="GH50" s="965"/>
      <c r="GI50" s="965"/>
      <c r="GJ50" s="965"/>
      <c r="GK50" s="965"/>
      <c r="GL50" s="965"/>
      <c r="GM50" s="965"/>
      <c r="GN50" s="965"/>
      <c r="GO50" s="965"/>
      <c r="GP50" s="965"/>
      <c r="GQ50" s="965"/>
      <c r="GR50" s="965"/>
      <c r="GS50" s="965"/>
      <c r="GT50" s="965"/>
      <c r="GU50" s="965"/>
      <c r="GV50" s="965"/>
      <c r="GW50" s="965"/>
      <c r="GX50" s="965"/>
      <c r="GY50" s="965"/>
      <c r="GZ50" s="965"/>
      <c r="HA50" s="965"/>
      <c r="HB50" s="965"/>
      <c r="HC50" s="965"/>
      <c r="HD50" s="965"/>
      <c r="HE50" s="965"/>
      <c r="HF50" s="965"/>
      <c r="HG50" s="965"/>
      <c r="HH50" s="965"/>
      <c r="HI50" s="965"/>
      <c r="HJ50" s="965"/>
      <c r="HK50" s="965"/>
      <c r="HL50" s="965"/>
      <c r="HM50" s="965"/>
      <c r="HN50" s="965"/>
      <c r="HO50" s="965"/>
      <c r="HP50" s="965"/>
      <c r="HQ50" s="965"/>
      <c r="HR50" s="965"/>
      <c r="HS50" s="965"/>
      <c r="HT50" s="965"/>
      <c r="HU50" s="965"/>
      <c r="HV50" s="965"/>
      <c r="HW50" s="965"/>
      <c r="HX50" s="965"/>
      <c r="HY50" s="965"/>
      <c r="HZ50" s="965"/>
      <c r="IA50" s="965"/>
      <c r="IB50" s="965"/>
      <c r="IC50" s="965"/>
      <c r="ID50" s="965"/>
      <c r="IE50" s="965"/>
      <c r="IF50" s="965"/>
      <c r="IG50" s="965"/>
      <c r="IH50" s="965"/>
      <c r="II50" s="965"/>
    </row>
    <row r="51" spans="3:243">
      <c r="C51" s="965"/>
      <c r="D51" s="965"/>
      <c r="E51" s="965"/>
      <c r="F51" s="965"/>
      <c r="G51" s="965"/>
      <c r="H51" s="965"/>
      <c r="I51" s="965"/>
      <c r="J51" s="965"/>
      <c r="K51" s="965"/>
      <c r="L51" s="965"/>
      <c r="M51" s="965"/>
      <c r="N51" s="965"/>
      <c r="O51" s="965"/>
      <c r="P51" s="965"/>
      <c r="Q51" s="965"/>
      <c r="R51" s="965"/>
      <c r="S51" s="965"/>
      <c r="T51" s="965"/>
      <c r="U51" s="965"/>
      <c r="V51" s="965"/>
      <c r="W51" s="965"/>
      <c r="X51" s="965"/>
      <c r="Y51" s="965"/>
      <c r="Z51" s="965"/>
      <c r="AA51" s="965"/>
      <c r="AB51" s="965"/>
      <c r="AC51" s="965"/>
      <c r="AD51" s="965"/>
      <c r="AE51" s="965"/>
      <c r="AF51" s="965"/>
      <c r="AG51" s="965"/>
      <c r="AH51" s="965"/>
      <c r="AI51" s="965"/>
      <c r="AJ51" s="965"/>
      <c r="AK51" s="965"/>
      <c r="AL51" s="965"/>
      <c r="AM51" s="965"/>
      <c r="AN51" s="965"/>
      <c r="AO51" s="965"/>
      <c r="AP51" s="965"/>
      <c r="AQ51" s="965"/>
      <c r="AR51" s="965"/>
      <c r="AS51" s="965"/>
      <c r="AT51" s="965"/>
      <c r="AU51" s="965"/>
      <c r="AV51" s="965"/>
      <c r="AW51" s="965"/>
      <c r="AX51" s="965"/>
      <c r="AY51" s="965"/>
      <c r="AZ51" s="965"/>
      <c r="BA51" s="965"/>
      <c r="BB51" s="965"/>
      <c r="BC51" s="965"/>
      <c r="BD51" s="965"/>
      <c r="BE51" s="965"/>
      <c r="BF51" s="965"/>
      <c r="BG51" s="965"/>
      <c r="BH51" s="965"/>
      <c r="BI51" s="965"/>
      <c r="BJ51" s="965"/>
      <c r="BK51" s="965"/>
      <c r="BL51" s="965"/>
      <c r="BM51" s="965"/>
      <c r="BN51" s="965"/>
      <c r="BO51" s="965"/>
      <c r="BP51" s="965"/>
      <c r="BQ51" s="965"/>
      <c r="BR51" s="965"/>
      <c r="BS51" s="965"/>
      <c r="BT51" s="965"/>
      <c r="BU51" s="965"/>
      <c r="BV51" s="965"/>
      <c r="BW51" s="965"/>
      <c r="BX51" s="965"/>
      <c r="BY51" s="965"/>
      <c r="BZ51" s="965"/>
      <c r="CA51" s="965"/>
      <c r="CB51" s="965"/>
      <c r="CC51" s="965"/>
      <c r="CD51" s="965"/>
      <c r="CE51" s="965"/>
      <c r="CF51" s="965"/>
      <c r="CG51" s="965"/>
      <c r="CH51" s="965"/>
      <c r="CI51" s="965"/>
      <c r="CJ51" s="965"/>
      <c r="CK51" s="965"/>
      <c r="CL51" s="965"/>
      <c r="CM51" s="965"/>
      <c r="CN51" s="965"/>
      <c r="CO51" s="965"/>
      <c r="CP51" s="965"/>
      <c r="CQ51" s="965"/>
      <c r="CR51" s="965"/>
      <c r="CS51" s="965"/>
      <c r="CT51" s="965"/>
      <c r="CU51" s="965"/>
      <c r="CV51" s="965"/>
      <c r="CW51" s="965"/>
      <c r="CX51" s="965"/>
      <c r="CY51" s="965"/>
      <c r="CZ51" s="965"/>
      <c r="DA51" s="965"/>
      <c r="DB51" s="965"/>
      <c r="DC51" s="965"/>
      <c r="DD51" s="965"/>
      <c r="DE51" s="965"/>
      <c r="DF51" s="965"/>
      <c r="DG51" s="965"/>
      <c r="DH51" s="965"/>
      <c r="DI51" s="965"/>
      <c r="DJ51" s="965"/>
      <c r="DK51" s="965"/>
      <c r="DL51" s="965"/>
      <c r="DM51" s="965"/>
      <c r="DN51" s="965"/>
      <c r="DO51" s="965"/>
      <c r="DP51" s="965"/>
      <c r="DQ51" s="965"/>
      <c r="DR51" s="965"/>
      <c r="DS51" s="965"/>
      <c r="DT51" s="965"/>
      <c r="DU51" s="965"/>
      <c r="DV51" s="965"/>
      <c r="DW51" s="965"/>
      <c r="DX51" s="965"/>
      <c r="DY51" s="965"/>
      <c r="DZ51" s="965"/>
      <c r="EA51" s="965"/>
      <c r="EB51" s="965"/>
      <c r="EC51" s="965"/>
      <c r="ED51" s="965"/>
      <c r="EE51" s="965"/>
      <c r="EF51" s="965"/>
      <c r="EG51" s="965"/>
      <c r="EH51" s="965"/>
      <c r="EI51" s="965"/>
      <c r="EJ51" s="965"/>
      <c r="EK51" s="965"/>
      <c r="EL51" s="965"/>
      <c r="EM51" s="965"/>
      <c r="EN51" s="965"/>
      <c r="EO51" s="965"/>
      <c r="EP51" s="965"/>
      <c r="EQ51" s="965"/>
      <c r="ER51" s="965"/>
      <c r="ES51" s="965"/>
      <c r="ET51" s="965"/>
      <c r="EU51" s="965"/>
      <c r="EV51" s="965"/>
      <c r="EW51" s="965"/>
      <c r="EX51" s="965"/>
      <c r="EY51" s="965"/>
      <c r="EZ51" s="965"/>
      <c r="FA51" s="965"/>
      <c r="FB51" s="965"/>
      <c r="FC51" s="965"/>
      <c r="FD51" s="965"/>
      <c r="FE51" s="965"/>
      <c r="FF51" s="965"/>
      <c r="FG51" s="965"/>
      <c r="FH51" s="965"/>
      <c r="FI51" s="965"/>
      <c r="FJ51" s="965"/>
      <c r="FK51" s="965"/>
      <c r="FL51" s="965"/>
      <c r="FM51" s="965"/>
      <c r="FN51" s="965"/>
      <c r="FO51" s="965"/>
      <c r="FP51" s="965"/>
      <c r="FQ51" s="965"/>
      <c r="FR51" s="965"/>
      <c r="FS51" s="965"/>
      <c r="FT51" s="965"/>
      <c r="FU51" s="965"/>
      <c r="FV51" s="965"/>
      <c r="FW51" s="965"/>
      <c r="FX51" s="965"/>
      <c r="FY51" s="965"/>
      <c r="FZ51" s="965"/>
      <c r="GA51" s="965"/>
      <c r="GB51" s="965"/>
      <c r="GC51" s="965"/>
      <c r="GD51" s="965"/>
      <c r="GE51" s="965"/>
      <c r="GF51" s="965"/>
      <c r="GG51" s="965"/>
      <c r="GH51" s="965"/>
      <c r="GI51" s="965"/>
      <c r="GJ51" s="965"/>
      <c r="GK51" s="965"/>
      <c r="GL51" s="965"/>
      <c r="GM51" s="965"/>
      <c r="GN51" s="965"/>
      <c r="GO51" s="965"/>
      <c r="GP51" s="965"/>
      <c r="GQ51" s="965"/>
      <c r="GR51" s="965"/>
      <c r="GS51" s="965"/>
      <c r="GT51" s="965"/>
      <c r="GU51" s="965"/>
      <c r="GV51" s="965"/>
      <c r="GW51" s="965"/>
      <c r="GX51" s="965"/>
      <c r="GY51" s="965"/>
      <c r="GZ51" s="965"/>
      <c r="HA51" s="965"/>
      <c r="HB51" s="965"/>
      <c r="HC51" s="965"/>
      <c r="HD51" s="965"/>
      <c r="HE51" s="965"/>
      <c r="HF51" s="965"/>
      <c r="HG51" s="965"/>
      <c r="HH51" s="965"/>
      <c r="HI51" s="965"/>
      <c r="HJ51" s="965"/>
      <c r="HK51" s="965"/>
      <c r="HL51" s="965"/>
      <c r="HM51" s="965"/>
      <c r="HN51" s="965"/>
      <c r="HO51" s="965"/>
      <c r="HP51" s="965"/>
      <c r="HQ51" s="965"/>
      <c r="HR51" s="965"/>
      <c r="HS51" s="965"/>
      <c r="HT51" s="965"/>
      <c r="HU51" s="965"/>
      <c r="HV51" s="965"/>
      <c r="HW51" s="965"/>
      <c r="HX51" s="965"/>
      <c r="HY51" s="965"/>
      <c r="HZ51" s="965"/>
      <c r="IA51" s="965"/>
      <c r="IB51" s="965"/>
      <c r="IC51" s="965"/>
      <c r="ID51" s="965"/>
      <c r="IE51" s="965"/>
      <c r="IF51" s="965"/>
      <c r="IG51" s="965"/>
      <c r="IH51" s="965"/>
      <c r="II51" s="965"/>
    </row>
    <row r="52" spans="3:243">
      <c r="C52" s="965"/>
      <c r="D52" s="965"/>
      <c r="E52" s="965"/>
      <c r="F52" s="965"/>
      <c r="G52" s="965"/>
      <c r="H52" s="965"/>
      <c r="I52" s="965"/>
      <c r="J52" s="965"/>
      <c r="K52" s="965"/>
      <c r="L52" s="965"/>
      <c r="M52" s="965"/>
      <c r="N52" s="965"/>
      <c r="O52" s="965"/>
      <c r="P52" s="965"/>
      <c r="Q52" s="965"/>
      <c r="R52" s="965"/>
      <c r="S52" s="965"/>
      <c r="T52" s="965"/>
      <c r="U52" s="965"/>
      <c r="V52" s="965"/>
      <c r="W52" s="965"/>
      <c r="X52" s="965"/>
      <c r="Y52" s="965"/>
      <c r="Z52" s="965"/>
      <c r="AA52" s="965"/>
      <c r="AB52" s="965"/>
      <c r="AC52" s="965"/>
      <c r="AD52" s="965"/>
      <c r="AE52" s="965"/>
      <c r="AF52" s="965"/>
      <c r="AG52" s="965"/>
      <c r="AH52" s="965"/>
      <c r="AI52" s="965"/>
      <c r="AJ52" s="965"/>
      <c r="AK52" s="965"/>
      <c r="AL52" s="965"/>
      <c r="AM52" s="965"/>
      <c r="AN52" s="965"/>
      <c r="AO52" s="965"/>
      <c r="AP52" s="965"/>
      <c r="AQ52" s="965"/>
      <c r="AR52" s="965"/>
      <c r="AS52" s="965"/>
      <c r="AT52" s="965"/>
      <c r="AU52" s="965"/>
      <c r="AV52" s="965"/>
      <c r="AW52" s="965"/>
      <c r="AX52" s="965"/>
      <c r="AY52" s="965"/>
      <c r="AZ52" s="965"/>
      <c r="BA52" s="965"/>
      <c r="BB52" s="965"/>
      <c r="BC52" s="965"/>
      <c r="BD52" s="965"/>
      <c r="BE52" s="965"/>
      <c r="BF52" s="965"/>
      <c r="BG52" s="965"/>
      <c r="BH52" s="965"/>
      <c r="BI52" s="965"/>
      <c r="BJ52" s="965"/>
      <c r="BK52" s="965"/>
      <c r="BL52" s="965"/>
      <c r="BM52" s="965"/>
      <c r="BN52" s="965"/>
      <c r="BO52" s="965"/>
      <c r="BP52" s="965"/>
      <c r="BQ52" s="965"/>
      <c r="BR52" s="965"/>
      <c r="BS52" s="965"/>
      <c r="BT52" s="965"/>
      <c r="BU52" s="965"/>
      <c r="BV52" s="965"/>
      <c r="BW52" s="965"/>
      <c r="BX52" s="965"/>
      <c r="BY52" s="965"/>
      <c r="BZ52" s="965"/>
      <c r="CA52" s="965"/>
      <c r="CB52" s="965"/>
      <c r="CC52" s="965"/>
      <c r="CD52" s="965"/>
      <c r="CE52" s="965"/>
      <c r="CF52" s="965"/>
      <c r="CG52" s="965"/>
      <c r="CH52" s="965"/>
      <c r="CI52" s="965"/>
      <c r="CJ52" s="965"/>
      <c r="CK52" s="965"/>
      <c r="CL52" s="965"/>
      <c r="CM52" s="965"/>
      <c r="CN52" s="965"/>
      <c r="CO52" s="965"/>
      <c r="CP52" s="965"/>
      <c r="CQ52" s="965"/>
      <c r="CR52" s="965"/>
      <c r="CS52" s="965"/>
      <c r="CT52" s="965"/>
      <c r="CU52" s="965"/>
      <c r="CV52" s="965"/>
      <c r="CW52" s="965"/>
      <c r="CX52" s="965"/>
      <c r="CY52" s="965"/>
      <c r="CZ52" s="965"/>
      <c r="DA52" s="965"/>
      <c r="DB52" s="965"/>
      <c r="DC52" s="965"/>
      <c r="DD52" s="965"/>
      <c r="DE52" s="965"/>
      <c r="DF52" s="965"/>
      <c r="DG52" s="965"/>
      <c r="DH52" s="965"/>
      <c r="DI52" s="965"/>
      <c r="DJ52" s="965"/>
      <c r="DK52" s="965"/>
      <c r="DL52" s="965"/>
      <c r="DM52" s="965"/>
      <c r="DN52" s="965"/>
      <c r="DO52" s="965"/>
      <c r="DP52" s="965"/>
      <c r="DQ52" s="965"/>
      <c r="DR52" s="965"/>
      <c r="DS52" s="965"/>
      <c r="DT52" s="965"/>
      <c r="DU52" s="965"/>
      <c r="DV52" s="965"/>
      <c r="DW52" s="965"/>
      <c r="DX52" s="965"/>
      <c r="DY52" s="965"/>
      <c r="DZ52" s="965"/>
      <c r="EA52" s="965"/>
      <c r="EB52" s="965"/>
      <c r="EC52" s="965"/>
      <c r="ED52" s="965"/>
      <c r="EE52" s="965"/>
      <c r="EF52" s="965"/>
      <c r="EG52" s="965"/>
      <c r="EH52" s="965"/>
      <c r="EI52" s="965"/>
      <c r="EJ52" s="965"/>
      <c r="EK52" s="965"/>
      <c r="EL52" s="965"/>
      <c r="EM52" s="965"/>
      <c r="EN52" s="965"/>
      <c r="EO52" s="965"/>
      <c r="EP52" s="965"/>
      <c r="EQ52" s="965"/>
      <c r="ER52" s="965"/>
      <c r="ES52" s="965"/>
      <c r="ET52" s="965"/>
      <c r="EU52" s="965"/>
      <c r="EV52" s="965"/>
      <c r="EW52" s="965"/>
      <c r="EX52" s="965"/>
      <c r="EY52" s="965"/>
      <c r="EZ52" s="965"/>
      <c r="FA52" s="965"/>
      <c r="FB52" s="965"/>
      <c r="FC52" s="965"/>
      <c r="FD52" s="965"/>
      <c r="FE52" s="965"/>
      <c r="FF52" s="965"/>
      <c r="FG52" s="965"/>
      <c r="FH52" s="965"/>
      <c r="FI52" s="965"/>
      <c r="FJ52" s="965"/>
      <c r="FK52" s="965"/>
      <c r="FL52" s="965"/>
      <c r="FM52" s="965"/>
      <c r="FN52" s="965"/>
      <c r="FO52" s="965"/>
      <c r="FP52" s="965"/>
      <c r="FQ52" s="965"/>
      <c r="FR52" s="965"/>
      <c r="FS52" s="965"/>
      <c r="FT52" s="965"/>
      <c r="FU52" s="965"/>
      <c r="FV52" s="965"/>
      <c r="FW52" s="965"/>
      <c r="FX52" s="965"/>
      <c r="FY52" s="965"/>
      <c r="FZ52" s="965"/>
      <c r="GA52" s="965"/>
      <c r="GB52" s="965"/>
      <c r="GC52" s="965"/>
      <c r="GD52" s="965"/>
      <c r="GE52" s="965"/>
      <c r="GF52" s="965"/>
      <c r="GG52" s="965"/>
      <c r="GH52" s="965"/>
      <c r="GI52" s="965"/>
      <c r="GJ52" s="965"/>
      <c r="GK52" s="965"/>
      <c r="GL52" s="965"/>
      <c r="GM52" s="965"/>
      <c r="GN52" s="965"/>
      <c r="GO52" s="965"/>
      <c r="GP52" s="965"/>
      <c r="GQ52" s="965"/>
      <c r="GR52" s="965"/>
      <c r="GS52" s="965"/>
      <c r="GT52" s="965"/>
      <c r="GU52" s="965"/>
      <c r="GV52" s="965"/>
      <c r="GW52" s="965"/>
      <c r="GX52" s="965"/>
      <c r="GY52" s="965"/>
      <c r="GZ52" s="965"/>
      <c r="HA52" s="965"/>
      <c r="HB52" s="965"/>
      <c r="HC52" s="965"/>
      <c r="HD52" s="965"/>
      <c r="HE52" s="965"/>
      <c r="HF52" s="965"/>
      <c r="HG52" s="965"/>
      <c r="HH52" s="965"/>
      <c r="HI52" s="965"/>
      <c r="HJ52" s="965"/>
      <c r="HK52" s="965"/>
      <c r="HL52" s="965"/>
      <c r="HM52" s="965"/>
      <c r="HN52" s="965"/>
      <c r="HO52" s="965"/>
      <c r="HP52" s="965"/>
      <c r="HQ52" s="965"/>
      <c r="HR52" s="965"/>
      <c r="HS52" s="965"/>
      <c r="HT52" s="965"/>
      <c r="HU52" s="965"/>
      <c r="HV52" s="965"/>
      <c r="HW52" s="965"/>
      <c r="HX52" s="965"/>
      <c r="HY52" s="965"/>
      <c r="HZ52" s="965"/>
      <c r="IA52" s="965"/>
      <c r="IB52" s="965"/>
      <c r="IC52" s="965"/>
      <c r="ID52" s="965"/>
      <c r="IE52" s="965"/>
      <c r="IF52" s="965"/>
      <c r="IG52" s="965"/>
      <c r="IH52" s="965"/>
      <c r="II52" s="965"/>
    </row>
    <row r="53" spans="3:243">
      <c r="C53" s="965"/>
      <c r="D53" s="965"/>
      <c r="E53" s="965"/>
      <c r="F53" s="965"/>
      <c r="G53" s="965"/>
      <c r="H53" s="965"/>
      <c r="I53" s="965"/>
      <c r="J53" s="965"/>
      <c r="K53" s="965"/>
      <c r="L53" s="965"/>
      <c r="M53" s="965"/>
      <c r="N53" s="965"/>
      <c r="O53" s="965"/>
      <c r="P53" s="965"/>
      <c r="Q53" s="965"/>
      <c r="R53" s="965"/>
      <c r="S53" s="965"/>
      <c r="T53" s="965"/>
      <c r="U53" s="965"/>
      <c r="V53" s="965"/>
      <c r="W53" s="965"/>
      <c r="X53" s="965"/>
      <c r="Y53" s="965"/>
      <c r="Z53" s="965"/>
      <c r="AA53" s="965"/>
      <c r="AB53" s="965"/>
      <c r="AC53" s="965"/>
      <c r="AD53" s="965"/>
      <c r="AE53" s="965"/>
      <c r="AF53" s="965"/>
      <c r="AG53" s="965"/>
      <c r="AH53" s="965"/>
      <c r="AI53" s="965"/>
      <c r="AJ53" s="965"/>
      <c r="AK53" s="965"/>
      <c r="AL53" s="965"/>
      <c r="AM53" s="965"/>
      <c r="AN53" s="965"/>
      <c r="AO53" s="965"/>
      <c r="AP53" s="965"/>
      <c r="AQ53" s="965"/>
      <c r="AR53" s="965"/>
      <c r="AS53" s="965"/>
      <c r="AT53" s="965"/>
      <c r="AU53" s="965"/>
      <c r="AV53" s="965"/>
      <c r="AW53" s="965"/>
      <c r="AX53" s="965"/>
      <c r="AY53" s="965"/>
      <c r="AZ53" s="965"/>
      <c r="BA53" s="965"/>
      <c r="BB53" s="965"/>
      <c r="BC53" s="965"/>
      <c r="BD53" s="965"/>
      <c r="BE53" s="965"/>
      <c r="BF53" s="965"/>
      <c r="BG53" s="965"/>
      <c r="BH53" s="965"/>
      <c r="BI53" s="965"/>
      <c r="BJ53" s="965"/>
      <c r="BK53" s="965"/>
      <c r="BL53" s="965"/>
      <c r="BM53" s="965"/>
      <c r="BN53" s="965"/>
      <c r="BO53" s="965"/>
      <c r="BP53" s="965"/>
      <c r="BQ53" s="965"/>
      <c r="BR53" s="965"/>
      <c r="BS53" s="965"/>
      <c r="BT53" s="965"/>
      <c r="BU53" s="965"/>
      <c r="BV53" s="965"/>
      <c r="BW53" s="965"/>
      <c r="BX53" s="965"/>
      <c r="BY53" s="965"/>
      <c r="BZ53" s="965"/>
      <c r="CA53" s="965"/>
      <c r="CB53" s="965"/>
      <c r="CC53" s="965"/>
      <c r="CD53" s="965"/>
      <c r="CE53" s="965"/>
      <c r="CF53" s="965"/>
      <c r="CG53" s="965"/>
      <c r="CH53" s="965"/>
      <c r="CI53" s="965"/>
      <c r="CJ53" s="965"/>
      <c r="CK53" s="965"/>
      <c r="CL53" s="965"/>
      <c r="CM53" s="965"/>
      <c r="CN53" s="965"/>
      <c r="CO53" s="965"/>
      <c r="CP53" s="965"/>
      <c r="CQ53" s="965"/>
      <c r="CR53" s="965"/>
      <c r="CS53" s="965"/>
      <c r="CT53" s="965"/>
      <c r="CU53" s="965"/>
      <c r="CV53" s="965"/>
      <c r="CW53" s="965"/>
      <c r="CX53" s="965"/>
      <c r="CY53" s="965"/>
      <c r="CZ53" s="965"/>
      <c r="DA53" s="965"/>
      <c r="DB53" s="965"/>
      <c r="DC53" s="965"/>
      <c r="DD53" s="965"/>
      <c r="DE53" s="965"/>
      <c r="DF53" s="965"/>
      <c r="DG53" s="965"/>
      <c r="DH53" s="965"/>
      <c r="DI53" s="965"/>
      <c r="DJ53" s="965"/>
      <c r="DK53" s="965"/>
      <c r="DL53" s="965"/>
      <c r="DM53" s="965"/>
      <c r="DN53" s="965"/>
      <c r="DO53" s="965"/>
      <c r="DP53" s="965"/>
      <c r="DQ53" s="965"/>
      <c r="DR53" s="965"/>
      <c r="DS53" s="965"/>
      <c r="DT53" s="965"/>
      <c r="DU53" s="965"/>
      <c r="DV53" s="965"/>
      <c r="DW53" s="965"/>
      <c r="DX53" s="965"/>
      <c r="DY53" s="965"/>
      <c r="DZ53" s="965"/>
      <c r="EA53" s="965"/>
      <c r="EB53" s="965"/>
      <c r="EC53" s="965"/>
      <c r="ED53" s="965"/>
      <c r="EE53" s="965"/>
      <c r="EF53" s="965"/>
      <c r="EG53" s="965"/>
      <c r="EH53" s="965"/>
      <c r="EI53" s="965"/>
      <c r="EJ53" s="965"/>
      <c r="EK53" s="965"/>
      <c r="EL53" s="965"/>
      <c r="EM53" s="965"/>
      <c r="EN53" s="965"/>
      <c r="EO53" s="965"/>
      <c r="EP53" s="965"/>
      <c r="EQ53" s="965"/>
      <c r="ER53" s="965"/>
      <c r="ES53" s="965"/>
      <c r="ET53" s="965"/>
      <c r="EU53" s="965"/>
      <c r="EV53" s="965"/>
      <c r="EW53" s="965"/>
      <c r="EX53" s="965"/>
      <c r="EY53" s="965"/>
      <c r="EZ53" s="965"/>
      <c r="FA53" s="965"/>
      <c r="FB53" s="965"/>
      <c r="FC53" s="965"/>
      <c r="FD53" s="965"/>
      <c r="FE53" s="965"/>
      <c r="FF53" s="965"/>
      <c r="FG53" s="965"/>
      <c r="FH53" s="965"/>
      <c r="FI53" s="965"/>
      <c r="FJ53" s="965"/>
      <c r="FK53" s="965"/>
      <c r="FL53" s="965"/>
      <c r="FM53" s="965"/>
      <c r="FN53" s="965"/>
      <c r="FO53" s="965"/>
      <c r="FP53" s="965"/>
      <c r="FQ53" s="965"/>
      <c r="FR53" s="965"/>
      <c r="FS53" s="965"/>
      <c r="FT53" s="965"/>
      <c r="FU53" s="965"/>
      <c r="FV53" s="965"/>
      <c r="FW53" s="965"/>
      <c r="FX53" s="965"/>
      <c r="FY53" s="965"/>
      <c r="FZ53" s="965"/>
      <c r="GA53" s="965"/>
      <c r="GB53" s="965"/>
      <c r="GC53" s="965"/>
      <c r="GD53" s="965"/>
      <c r="GE53" s="965"/>
      <c r="GF53" s="965"/>
      <c r="GG53" s="965"/>
      <c r="GH53" s="965"/>
      <c r="GI53" s="965"/>
      <c r="GJ53" s="965"/>
      <c r="GK53" s="965"/>
      <c r="GL53" s="965"/>
      <c r="GM53" s="965"/>
      <c r="GN53" s="965"/>
      <c r="GO53" s="965"/>
      <c r="GP53" s="965"/>
      <c r="GQ53" s="965"/>
      <c r="GR53" s="965"/>
      <c r="GS53" s="965"/>
      <c r="GT53" s="965"/>
      <c r="GU53" s="965"/>
      <c r="GV53" s="965"/>
      <c r="GW53" s="965"/>
      <c r="GX53" s="965"/>
      <c r="GY53" s="965"/>
      <c r="GZ53" s="965"/>
      <c r="HA53" s="965"/>
      <c r="HB53" s="965"/>
      <c r="HC53" s="965"/>
      <c r="HD53" s="965"/>
      <c r="HE53" s="965"/>
      <c r="HF53" s="965"/>
      <c r="HG53" s="965"/>
      <c r="HH53" s="965"/>
      <c r="HI53" s="965"/>
      <c r="HJ53" s="965"/>
      <c r="HK53" s="965"/>
      <c r="HL53" s="965"/>
      <c r="HM53" s="965"/>
      <c r="HN53" s="965"/>
      <c r="HO53" s="965"/>
      <c r="HP53" s="965"/>
      <c r="HQ53" s="965"/>
      <c r="HR53" s="965"/>
      <c r="HS53" s="965"/>
      <c r="HT53" s="965"/>
      <c r="HU53" s="965"/>
      <c r="HV53" s="965"/>
      <c r="HW53" s="965"/>
      <c r="HX53" s="965"/>
      <c r="HY53" s="965"/>
      <c r="HZ53" s="965"/>
      <c r="IA53" s="965"/>
      <c r="IB53" s="965"/>
      <c r="IC53" s="965"/>
      <c r="ID53" s="965"/>
      <c r="IE53" s="965"/>
      <c r="IF53" s="965"/>
      <c r="IG53" s="965"/>
      <c r="IH53" s="965"/>
      <c r="II53" s="965"/>
    </row>
    <row r="54" spans="3:243">
      <c r="C54" s="965"/>
      <c r="D54" s="965"/>
      <c r="E54" s="965"/>
      <c r="F54" s="965"/>
      <c r="G54" s="965"/>
      <c r="H54" s="965"/>
      <c r="I54" s="965"/>
      <c r="J54" s="965"/>
      <c r="K54" s="965"/>
      <c r="L54" s="965"/>
      <c r="M54" s="965"/>
      <c r="N54" s="965"/>
      <c r="O54" s="965"/>
      <c r="P54" s="965"/>
      <c r="Q54" s="965"/>
      <c r="R54" s="965"/>
      <c r="S54" s="965"/>
      <c r="T54" s="965"/>
      <c r="U54" s="965"/>
      <c r="V54" s="965"/>
      <c r="W54" s="965"/>
      <c r="X54" s="965"/>
      <c r="Y54" s="965"/>
      <c r="Z54" s="965"/>
      <c r="AA54" s="965"/>
      <c r="AB54" s="965"/>
      <c r="AC54" s="965"/>
      <c r="AD54" s="965"/>
      <c r="AE54" s="965"/>
      <c r="AF54" s="965"/>
      <c r="AG54" s="965"/>
      <c r="AH54" s="965"/>
      <c r="AI54" s="965"/>
      <c r="AJ54" s="965"/>
      <c r="AK54" s="965"/>
      <c r="AL54" s="965"/>
      <c r="AM54" s="965"/>
      <c r="AN54" s="965"/>
      <c r="AO54" s="965"/>
      <c r="AP54" s="965"/>
      <c r="AQ54" s="965"/>
      <c r="AR54" s="965"/>
      <c r="AS54" s="965"/>
      <c r="AT54" s="965"/>
      <c r="AU54" s="965"/>
      <c r="AV54" s="965"/>
      <c r="AW54" s="965"/>
      <c r="AX54" s="965"/>
      <c r="AY54" s="965"/>
      <c r="AZ54" s="965"/>
      <c r="BA54" s="965"/>
      <c r="BB54" s="965"/>
      <c r="BC54" s="965"/>
      <c r="BD54" s="965"/>
      <c r="BE54" s="965"/>
      <c r="BF54" s="965"/>
      <c r="BG54" s="965"/>
      <c r="BH54" s="965"/>
      <c r="BI54" s="965"/>
      <c r="BJ54" s="965"/>
      <c r="BK54" s="965"/>
      <c r="BL54" s="965"/>
      <c r="BM54" s="965"/>
      <c r="BN54" s="965"/>
      <c r="BO54" s="965"/>
      <c r="BP54" s="965"/>
      <c r="BQ54" s="965"/>
      <c r="BR54" s="965"/>
      <c r="BS54" s="965"/>
      <c r="BT54" s="965"/>
      <c r="BU54" s="965"/>
      <c r="BV54" s="965"/>
      <c r="BW54" s="965"/>
      <c r="BX54" s="965"/>
      <c r="BY54" s="965"/>
      <c r="BZ54" s="965"/>
      <c r="CA54" s="965"/>
      <c r="CB54" s="965"/>
      <c r="CC54" s="965"/>
      <c r="CD54" s="965"/>
      <c r="CE54" s="965"/>
      <c r="CF54" s="965"/>
      <c r="CG54" s="965"/>
      <c r="CH54" s="965"/>
      <c r="CI54" s="965"/>
      <c r="CJ54" s="965"/>
      <c r="CK54" s="965"/>
      <c r="CL54" s="965"/>
      <c r="CM54" s="965"/>
      <c r="CN54" s="965"/>
      <c r="CO54" s="965"/>
      <c r="CP54" s="965"/>
      <c r="CQ54" s="965"/>
      <c r="CR54" s="965"/>
      <c r="CS54" s="965"/>
      <c r="CT54" s="965"/>
      <c r="CU54" s="965"/>
      <c r="CV54" s="965"/>
      <c r="CW54" s="965"/>
      <c r="CX54" s="965"/>
      <c r="CY54" s="965"/>
      <c r="CZ54" s="965"/>
      <c r="DA54" s="965"/>
      <c r="DB54" s="965"/>
      <c r="DC54" s="965"/>
      <c r="DD54" s="965"/>
      <c r="DE54" s="965"/>
      <c r="DF54" s="965"/>
      <c r="DG54" s="965"/>
      <c r="DH54" s="965"/>
      <c r="DI54" s="965"/>
      <c r="DJ54" s="965"/>
      <c r="DK54" s="965"/>
      <c r="DL54" s="965"/>
      <c r="DM54" s="965"/>
      <c r="DN54" s="965"/>
      <c r="DO54" s="965"/>
      <c r="DP54" s="965"/>
      <c r="DQ54" s="965"/>
      <c r="DR54" s="965"/>
      <c r="DS54" s="965"/>
      <c r="DT54" s="965"/>
      <c r="DU54" s="965"/>
      <c r="DV54" s="965"/>
      <c r="DW54" s="965"/>
      <c r="DX54" s="965"/>
      <c r="DY54" s="965"/>
      <c r="DZ54" s="965"/>
      <c r="EA54" s="965"/>
      <c r="EB54" s="965"/>
      <c r="EC54" s="965"/>
      <c r="ED54" s="965"/>
      <c r="EE54" s="965"/>
      <c r="EF54" s="965"/>
      <c r="EG54" s="965"/>
      <c r="EH54" s="965"/>
      <c r="EI54" s="965"/>
      <c r="EJ54" s="965"/>
      <c r="EK54" s="965"/>
      <c r="EL54" s="965"/>
      <c r="EM54" s="965"/>
      <c r="EN54" s="965"/>
      <c r="EO54" s="965"/>
      <c r="EP54" s="965"/>
      <c r="EQ54" s="965"/>
      <c r="ER54" s="965"/>
      <c r="ES54" s="965"/>
      <c r="ET54" s="965"/>
      <c r="EU54" s="965"/>
      <c r="EV54" s="965"/>
      <c r="EW54" s="965"/>
      <c r="EX54" s="965"/>
      <c r="EY54" s="965"/>
      <c r="EZ54" s="965"/>
      <c r="FA54" s="965"/>
      <c r="FB54" s="965"/>
      <c r="FC54" s="965"/>
      <c r="FD54" s="965"/>
      <c r="FE54" s="965"/>
      <c r="FF54" s="965"/>
      <c r="FG54" s="965"/>
      <c r="FH54" s="965"/>
      <c r="FI54" s="965"/>
      <c r="FJ54" s="965"/>
      <c r="FK54" s="965"/>
      <c r="FL54" s="965"/>
      <c r="FM54" s="965"/>
      <c r="FN54" s="965"/>
      <c r="FO54" s="965"/>
      <c r="FP54" s="965"/>
      <c r="FQ54" s="965"/>
      <c r="FR54" s="965"/>
      <c r="FS54" s="965"/>
      <c r="FT54" s="965"/>
      <c r="FU54" s="965"/>
      <c r="FV54" s="965"/>
      <c r="FW54" s="965"/>
      <c r="FX54" s="965"/>
      <c r="FY54" s="965"/>
      <c r="FZ54" s="965"/>
      <c r="GA54" s="965"/>
      <c r="GB54" s="965"/>
      <c r="GC54" s="965"/>
      <c r="GD54" s="965"/>
      <c r="GE54" s="965"/>
      <c r="GF54" s="965"/>
      <c r="GG54" s="965"/>
      <c r="GH54" s="965"/>
      <c r="GI54" s="965"/>
      <c r="GJ54" s="965"/>
      <c r="GK54" s="965"/>
      <c r="GL54" s="965"/>
      <c r="GM54" s="965"/>
      <c r="GN54" s="965"/>
      <c r="GO54" s="965"/>
      <c r="GP54" s="965"/>
      <c r="GQ54" s="965"/>
      <c r="GR54" s="965"/>
      <c r="GS54" s="965"/>
      <c r="GT54" s="965"/>
      <c r="GU54" s="965"/>
      <c r="GV54" s="965"/>
      <c r="GW54" s="965"/>
      <c r="GX54" s="965"/>
      <c r="GY54" s="965"/>
      <c r="GZ54" s="965"/>
      <c r="HA54" s="965"/>
      <c r="HB54" s="965"/>
      <c r="HC54" s="965"/>
      <c r="HD54" s="965"/>
      <c r="HE54" s="965"/>
      <c r="HF54" s="965"/>
      <c r="HG54" s="965"/>
      <c r="HH54" s="965"/>
      <c r="HI54" s="965"/>
      <c r="HJ54" s="965"/>
      <c r="HK54" s="965"/>
      <c r="HL54" s="965"/>
      <c r="HM54" s="965"/>
      <c r="HN54" s="965"/>
      <c r="HO54" s="965"/>
      <c r="HP54" s="965"/>
      <c r="HQ54" s="965"/>
      <c r="HR54" s="965"/>
      <c r="HS54" s="965"/>
      <c r="HT54" s="965"/>
      <c r="HU54" s="965"/>
      <c r="HV54" s="965"/>
      <c r="HW54" s="965"/>
      <c r="HX54" s="965"/>
      <c r="HY54" s="965"/>
      <c r="HZ54" s="965"/>
      <c r="IA54" s="965"/>
      <c r="IB54" s="965"/>
      <c r="IC54" s="965"/>
      <c r="ID54" s="965"/>
      <c r="IE54" s="965"/>
      <c r="IF54" s="965"/>
      <c r="IG54" s="965"/>
      <c r="IH54" s="965"/>
      <c r="II54" s="965"/>
    </row>
    <row r="55" spans="3:243">
      <c r="C55" s="965"/>
      <c r="D55" s="965"/>
      <c r="E55" s="965"/>
      <c r="F55" s="965"/>
      <c r="G55" s="965"/>
      <c r="H55" s="965"/>
      <c r="I55" s="965"/>
      <c r="J55" s="965"/>
      <c r="K55" s="965"/>
      <c r="L55" s="965"/>
      <c r="M55" s="965"/>
      <c r="N55" s="965"/>
      <c r="O55" s="965"/>
      <c r="P55" s="965"/>
      <c r="Q55" s="965"/>
      <c r="R55" s="965"/>
      <c r="S55" s="965"/>
      <c r="T55" s="965"/>
      <c r="U55" s="965"/>
      <c r="V55" s="965"/>
      <c r="W55" s="965"/>
      <c r="X55" s="965"/>
      <c r="Y55" s="965"/>
      <c r="Z55" s="965"/>
      <c r="AA55" s="965"/>
      <c r="AB55" s="965"/>
      <c r="AC55" s="965"/>
      <c r="AD55" s="965"/>
      <c r="AE55" s="965"/>
      <c r="AF55" s="965"/>
      <c r="AG55" s="965"/>
      <c r="AH55" s="965"/>
      <c r="AI55" s="965"/>
      <c r="AJ55" s="965"/>
      <c r="AK55" s="965"/>
      <c r="AL55" s="965"/>
      <c r="AM55" s="965"/>
      <c r="AN55" s="965"/>
      <c r="AO55" s="965"/>
      <c r="AP55" s="965"/>
      <c r="AQ55" s="965"/>
      <c r="AR55" s="965"/>
      <c r="AS55" s="965"/>
      <c r="AT55" s="965"/>
      <c r="AU55" s="965"/>
      <c r="AV55" s="965"/>
      <c r="AW55" s="965"/>
      <c r="AX55" s="965"/>
      <c r="AY55" s="965"/>
      <c r="AZ55" s="965"/>
      <c r="BA55" s="965"/>
      <c r="BB55" s="965"/>
      <c r="BC55" s="965"/>
      <c r="BD55" s="965"/>
      <c r="BE55" s="965"/>
      <c r="BF55" s="965"/>
      <c r="BG55" s="965"/>
      <c r="BH55" s="965"/>
      <c r="BI55" s="965"/>
      <c r="BJ55" s="965"/>
      <c r="BK55" s="965"/>
      <c r="BL55" s="965"/>
      <c r="BM55" s="965"/>
      <c r="BN55" s="965"/>
      <c r="BO55" s="965"/>
      <c r="BP55" s="965"/>
      <c r="BQ55" s="965"/>
      <c r="BR55" s="965"/>
      <c r="BS55" s="965"/>
      <c r="BT55" s="965"/>
      <c r="BU55" s="965"/>
      <c r="BV55" s="965"/>
      <c r="BW55" s="965"/>
      <c r="BX55" s="965"/>
      <c r="BY55" s="965"/>
      <c r="BZ55" s="965"/>
      <c r="CA55" s="965"/>
      <c r="CB55" s="965"/>
      <c r="CC55" s="965"/>
      <c r="CD55" s="965"/>
      <c r="CE55" s="965"/>
      <c r="CF55" s="965"/>
      <c r="CG55" s="965"/>
      <c r="CH55" s="965"/>
      <c r="CI55" s="965"/>
      <c r="CJ55" s="965"/>
      <c r="CK55" s="965"/>
      <c r="CL55" s="965"/>
      <c r="CM55" s="965"/>
      <c r="CN55" s="965"/>
      <c r="CO55" s="965"/>
      <c r="CP55" s="965"/>
      <c r="CQ55" s="965"/>
      <c r="CR55" s="965"/>
      <c r="CS55" s="965"/>
      <c r="CT55" s="965"/>
      <c r="CU55" s="965"/>
      <c r="CV55" s="965"/>
      <c r="CW55" s="965"/>
      <c r="CX55" s="965"/>
      <c r="CY55" s="965"/>
      <c r="CZ55" s="965"/>
      <c r="DA55" s="965"/>
      <c r="DB55" s="965"/>
      <c r="DC55" s="965"/>
      <c r="DD55" s="965"/>
      <c r="DE55" s="965"/>
      <c r="DF55" s="965"/>
      <c r="DG55" s="965"/>
      <c r="DH55" s="965"/>
      <c r="DI55" s="965"/>
      <c r="DJ55" s="965"/>
      <c r="DK55" s="965"/>
      <c r="DL55" s="965"/>
      <c r="DM55" s="965"/>
      <c r="DN55" s="965"/>
      <c r="DO55" s="965"/>
      <c r="DP55" s="965"/>
      <c r="DQ55" s="965"/>
      <c r="DR55" s="965"/>
      <c r="DS55" s="965"/>
      <c r="DT55" s="965"/>
      <c r="DU55" s="965"/>
      <c r="DV55" s="965"/>
      <c r="DW55" s="965"/>
      <c r="DX55" s="965"/>
      <c r="DY55" s="965"/>
      <c r="DZ55" s="965"/>
      <c r="EA55" s="965"/>
      <c r="EB55" s="965"/>
      <c r="EC55" s="965"/>
      <c r="ED55" s="965"/>
      <c r="EE55" s="965"/>
      <c r="EF55" s="965"/>
      <c r="EG55" s="965"/>
      <c r="EH55" s="965"/>
      <c r="EI55" s="965"/>
      <c r="EJ55" s="965"/>
      <c r="EK55" s="965"/>
      <c r="EL55" s="965"/>
      <c r="EM55" s="965"/>
      <c r="EN55" s="965"/>
      <c r="EO55" s="965"/>
      <c r="EP55" s="965"/>
      <c r="EQ55" s="965"/>
      <c r="ER55" s="965"/>
      <c r="ES55" s="965"/>
      <c r="ET55" s="965"/>
      <c r="EU55" s="965"/>
      <c r="EV55" s="965"/>
      <c r="EW55" s="965"/>
      <c r="EX55" s="965"/>
      <c r="EY55" s="965"/>
      <c r="EZ55" s="965"/>
      <c r="FA55" s="965"/>
      <c r="FB55" s="965"/>
      <c r="FC55" s="965"/>
      <c r="FD55" s="965"/>
      <c r="FE55" s="965"/>
      <c r="FF55" s="965"/>
      <c r="FG55" s="965"/>
      <c r="FH55" s="965"/>
      <c r="FI55" s="965"/>
      <c r="FJ55" s="965"/>
      <c r="FK55" s="965"/>
      <c r="FL55" s="965"/>
      <c r="FM55" s="965"/>
      <c r="FN55" s="965"/>
      <c r="FO55" s="965"/>
      <c r="FP55" s="965"/>
      <c r="FQ55" s="965"/>
      <c r="FR55" s="965"/>
      <c r="FS55" s="965"/>
      <c r="FT55" s="965"/>
      <c r="FU55" s="965"/>
      <c r="FV55" s="965"/>
      <c r="FW55" s="965"/>
      <c r="FX55" s="965"/>
      <c r="FY55" s="965"/>
      <c r="FZ55" s="965"/>
      <c r="GA55" s="965"/>
      <c r="GB55" s="965"/>
      <c r="GC55" s="965"/>
      <c r="GD55" s="965"/>
      <c r="GE55" s="965"/>
      <c r="GF55" s="965"/>
      <c r="GG55" s="965"/>
      <c r="GH55" s="965"/>
      <c r="GI55" s="965"/>
      <c r="GJ55" s="965"/>
      <c r="GK55" s="965"/>
      <c r="GL55" s="965"/>
      <c r="GM55" s="965"/>
      <c r="GN55" s="965"/>
      <c r="GO55" s="965"/>
      <c r="GP55" s="965"/>
      <c r="GQ55" s="965"/>
      <c r="GR55" s="965"/>
      <c r="GS55" s="965"/>
      <c r="GT55" s="965"/>
      <c r="GU55" s="965"/>
      <c r="GV55" s="965"/>
      <c r="GW55" s="965"/>
      <c r="GX55" s="965"/>
      <c r="GY55" s="965"/>
      <c r="GZ55" s="965"/>
      <c r="HA55" s="965"/>
      <c r="HB55" s="965"/>
      <c r="HC55" s="965"/>
      <c r="HD55" s="965"/>
      <c r="HE55" s="965"/>
      <c r="HF55" s="965"/>
      <c r="HG55" s="965"/>
      <c r="HH55" s="965"/>
      <c r="HI55" s="965"/>
      <c r="HJ55" s="965"/>
      <c r="HK55" s="965"/>
      <c r="HL55" s="965"/>
      <c r="HM55" s="965"/>
      <c r="HN55" s="965"/>
      <c r="HO55" s="965"/>
      <c r="HP55" s="965"/>
      <c r="HQ55" s="965"/>
      <c r="HR55" s="965"/>
      <c r="HS55" s="965"/>
      <c r="HT55" s="965"/>
      <c r="HU55" s="965"/>
      <c r="HV55" s="965"/>
      <c r="HW55" s="965"/>
      <c r="HX55" s="965"/>
      <c r="HY55" s="965"/>
      <c r="HZ55" s="965"/>
      <c r="IA55" s="965"/>
      <c r="IB55" s="965"/>
      <c r="IC55" s="965"/>
      <c r="ID55" s="965"/>
      <c r="IE55" s="965"/>
      <c r="IF55" s="965"/>
      <c r="IG55" s="965"/>
      <c r="IH55" s="965"/>
      <c r="II55" s="965"/>
    </row>
    <row r="56" spans="3:243">
      <c r="C56" s="965"/>
      <c r="D56" s="965"/>
      <c r="E56" s="965"/>
      <c r="F56" s="965"/>
      <c r="G56" s="965"/>
      <c r="H56" s="965"/>
      <c r="I56" s="965"/>
      <c r="J56" s="965"/>
      <c r="K56" s="965"/>
      <c r="L56" s="965"/>
      <c r="M56" s="965"/>
      <c r="N56" s="965"/>
      <c r="O56" s="965"/>
      <c r="P56" s="965"/>
      <c r="Q56" s="965"/>
      <c r="R56" s="965"/>
      <c r="S56" s="965"/>
      <c r="T56" s="965"/>
      <c r="U56" s="965"/>
      <c r="V56" s="965"/>
      <c r="W56" s="965"/>
      <c r="X56" s="965"/>
      <c r="Y56" s="965"/>
      <c r="Z56" s="965"/>
      <c r="AA56" s="965"/>
      <c r="AB56" s="965"/>
      <c r="AC56" s="965"/>
      <c r="AD56" s="965"/>
      <c r="AE56" s="965"/>
      <c r="AF56" s="965"/>
      <c r="AG56" s="965"/>
      <c r="AH56" s="965"/>
      <c r="AI56" s="965"/>
      <c r="AJ56" s="965"/>
      <c r="AK56" s="965"/>
      <c r="AL56" s="965"/>
      <c r="AM56" s="965"/>
      <c r="AN56" s="965"/>
      <c r="AO56" s="965"/>
      <c r="AP56" s="965"/>
      <c r="AQ56" s="965"/>
      <c r="AR56" s="965"/>
      <c r="AS56" s="965"/>
      <c r="AT56" s="965"/>
      <c r="AU56" s="965"/>
      <c r="AV56" s="965"/>
      <c r="AW56" s="965"/>
      <c r="AX56" s="965"/>
      <c r="AY56" s="965"/>
      <c r="AZ56" s="965"/>
      <c r="BA56" s="965"/>
      <c r="BB56" s="965"/>
      <c r="BC56" s="965"/>
      <c r="BD56" s="965"/>
      <c r="BE56" s="965"/>
      <c r="BF56" s="965"/>
      <c r="BG56" s="965"/>
      <c r="BH56" s="965"/>
      <c r="BI56" s="965"/>
      <c r="BJ56" s="965"/>
      <c r="BK56" s="965"/>
      <c r="BL56" s="965"/>
      <c r="BM56" s="965"/>
      <c r="BN56" s="965"/>
      <c r="BO56" s="965"/>
      <c r="BP56" s="965"/>
      <c r="BQ56" s="965"/>
      <c r="BR56" s="965"/>
      <c r="BS56" s="965"/>
      <c r="BT56" s="965"/>
      <c r="BU56" s="965"/>
      <c r="BV56" s="965"/>
      <c r="BW56" s="965"/>
      <c r="BX56" s="965"/>
      <c r="BY56" s="965"/>
      <c r="BZ56" s="965"/>
      <c r="CA56" s="965"/>
      <c r="CB56" s="965"/>
      <c r="CC56" s="965"/>
      <c r="CD56" s="965"/>
      <c r="CE56" s="965"/>
      <c r="CF56" s="965"/>
      <c r="CG56" s="965"/>
      <c r="CH56" s="965"/>
      <c r="CI56" s="965"/>
      <c r="CJ56" s="965"/>
      <c r="CK56" s="965"/>
      <c r="CL56" s="965"/>
      <c r="CM56" s="965"/>
      <c r="CN56" s="965"/>
      <c r="CO56" s="965"/>
      <c r="CP56" s="965"/>
      <c r="CQ56" s="965"/>
      <c r="CR56" s="965"/>
      <c r="CS56" s="965"/>
      <c r="CT56" s="965"/>
      <c r="CU56" s="965"/>
      <c r="CV56" s="965"/>
      <c r="CW56" s="965"/>
      <c r="CX56" s="965"/>
      <c r="CY56" s="965"/>
      <c r="CZ56" s="965"/>
      <c r="DA56" s="965"/>
      <c r="DB56" s="965"/>
      <c r="DC56" s="965"/>
      <c r="DD56" s="965"/>
      <c r="DE56" s="965"/>
      <c r="DF56" s="965"/>
      <c r="DG56" s="965"/>
      <c r="DH56" s="965"/>
      <c r="DI56" s="965"/>
      <c r="DJ56" s="965"/>
      <c r="DK56" s="965"/>
      <c r="DL56" s="965"/>
      <c r="DM56" s="965"/>
      <c r="DN56" s="965"/>
      <c r="DO56" s="965"/>
      <c r="DP56" s="965"/>
      <c r="DQ56" s="965"/>
      <c r="DR56" s="965"/>
      <c r="DS56" s="965"/>
      <c r="DT56" s="965"/>
      <c r="DU56" s="965"/>
      <c r="DV56" s="965"/>
      <c r="DW56" s="965"/>
      <c r="DX56" s="965"/>
      <c r="DY56" s="965"/>
      <c r="DZ56" s="965"/>
      <c r="EA56" s="965"/>
      <c r="EB56" s="965"/>
      <c r="EC56" s="965"/>
      <c r="ED56" s="965"/>
      <c r="EE56" s="965"/>
      <c r="EF56" s="965"/>
      <c r="EG56" s="965"/>
      <c r="EH56" s="965"/>
      <c r="EI56" s="965"/>
      <c r="EJ56" s="965"/>
      <c r="EK56" s="965"/>
      <c r="EL56" s="965"/>
      <c r="EM56" s="965"/>
      <c r="EN56" s="965"/>
      <c r="EO56" s="965"/>
      <c r="EP56" s="965"/>
      <c r="EQ56" s="965"/>
      <c r="ER56" s="965"/>
      <c r="ES56" s="965"/>
      <c r="ET56" s="965"/>
      <c r="EU56" s="965"/>
      <c r="EV56" s="965"/>
      <c r="EW56" s="965"/>
      <c r="EX56" s="965"/>
      <c r="EY56" s="965"/>
      <c r="EZ56" s="965"/>
      <c r="FA56" s="965"/>
      <c r="FB56" s="965"/>
      <c r="FC56" s="965"/>
      <c r="FD56" s="965"/>
      <c r="FE56" s="965"/>
      <c r="FF56" s="965"/>
      <c r="FG56" s="965"/>
      <c r="FH56" s="965"/>
      <c r="FI56" s="965"/>
      <c r="FJ56" s="965"/>
      <c r="FK56" s="965"/>
      <c r="FL56" s="965"/>
      <c r="FM56" s="965"/>
      <c r="FN56" s="965"/>
      <c r="FO56" s="965"/>
      <c r="FP56" s="965"/>
      <c r="FQ56" s="965"/>
      <c r="FR56" s="965"/>
      <c r="FS56" s="965"/>
      <c r="FT56" s="965"/>
      <c r="FU56" s="965"/>
      <c r="FV56" s="965"/>
      <c r="FW56" s="965"/>
      <c r="FX56" s="965"/>
      <c r="FY56" s="965"/>
      <c r="FZ56" s="965"/>
      <c r="GA56" s="965"/>
      <c r="GB56" s="965"/>
      <c r="GC56" s="965"/>
      <c r="GD56" s="965"/>
      <c r="GE56" s="965"/>
      <c r="GF56" s="965"/>
      <c r="GG56" s="965"/>
      <c r="GH56" s="965"/>
      <c r="GI56" s="965"/>
      <c r="GJ56" s="965"/>
      <c r="GK56" s="965"/>
      <c r="GL56" s="965"/>
      <c r="GM56" s="965"/>
      <c r="GN56" s="965"/>
      <c r="GO56" s="965"/>
      <c r="GP56" s="965"/>
      <c r="GQ56" s="965"/>
      <c r="GR56" s="965"/>
      <c r="GS56" s="965"/>
      <c r="GT56" s="965"/>
      <c r="GU56" s="965"/>
      <c r="GV56" s="965"/>
      <c r="GW56" s="965"/>
      <c r="GX56" s="965"/>
      <c r="GY56" s="965"/>
      <c r="GZ56" s="965"/>
      <c r="HA56" s="965"/>
      <c r="HB56" s="965"/>
      <c r="HC56" s="965"/>
      <c r="HD56" s="965"/>
      <c r="HE56" s="965"/>
      <c r="HF56" s="965"/>
      <c r="HG56" s="965"/>
      <c r="HH56" s="965"/>
      <c r="HI56" s="965"/>
      <c r="HJ56" s="965"/>
      <c r="HK56" s="965"/>
      <c r="HL56" s="965"/>
      <c r="HM56" s="965"/>
      <c r="HN56" s="965"/>
      <c r="HO56" s="965"/>
      <c r="HP56" s="965"/>
      <c r="HQ56" s="965"/>
      <c r="HR56" s="965"/>
      <c r="HS56" s="965"/>
      <c r="HT56" s="965"/>
      <c r="HU56" s="965"/>
      <c r="HV56" s="965"/>
      <c r="HW56" s="965"/>
      <c r="HX56" s="965"/>
      <c r="HY56" s="965"/>
      <c r="HZ56" s="965"/>
      <c r="IA56" s="965"/>
      <c r="IB56" s="965"/>
      <c r="IC56" s="965"/>
      <c r="ID56" s="965"/>
      <c r="IE56" s="965"/>
      <c r="IF56" s="965"/>
      <c r="IG56" s="965"/>
      <c r="IH56" s="965"/>
      <c r="II56" s="965"/>
    </row>
    <row r="57" spans="3:243">
      <c r="C57" s="965"/>
      <c r="D57" s="965"/>
      <c r="E57" s="965"/>
      <c r="F57" s="965"/>
      <c r="G57" s="965"/>
      <c r="H57" s="965"/>
      <c r="I57" s="965"/>
      <c r="J57" s="965"/>
      <c r="K57" s="965"/>
      <c r="L57" s="965"/>
      <c r="M57" s="965"/>
      <c r="N57" s="965"/>
      <c r="O57" s="965"/>
      <c r="P57" s="965"/>
      <c r="Q57" s="965"/>
      <c r="R57" s="965"/>
      <c r="S57" s="965"/>
      <c r="T57" s="965"/>
      <c r="U57" s="965"/>
      <c r="V57" s="965"/>
      <c r="W57" s="965"/>
      <c r="X57" s="965"/>
      <c r="Y57" s="965"/>
      <c r="Z57" s="965"/>
      <c r="AA57" s="965"/>
      <c r="AB57" s="965"/>
      <c r="AC57" s="965"/>
      <c r="AD57" s="965"/>
      <c r="AE57" s="965"/>
      <c r="AF57" s="965"/>
      <c r="AG57" s="965"/>
      <c r="AH57" s="965"/>
      <c r="AI57" s="965"/>
      <c r="AJ57" s="965"/>
      <c r="AK57" s="965"/>
      <c r="AL57" s="965"/>
      <c r="AM57" s="965"/>
      <c r="AN57" s="965"/>
      <c r="AO57" s="965"/>
      <c r="AP57" s="965"/>
      <c r="AQ57" s="965"/>
      <c r="AR57" s="965"/>
      <c r="AS57" s="965"/>
      <c r="AT57" s="965"/>
      <c r="AU57" s="965"/>
      <c r="AV57" s="965"/>
      <c r="AW57" s="965"/>
      <c r="AX57" s="965"/>
      <c r="AY57" s="965"/>
      <c r="AZ57" s="965"/>
      <c r="BA57" s="965"/>
      <c r="BB57" s="965"/>
      <c r="BC57" s="965"/>
      <c r="BD57" s="965"/>
      <c r="BE57" s="965"/>
      <c r="BF57" s="965"/>
      <c r="BG57" s="965"/>
      <c r="BH57" s="965"/>
      <c r="BI57" s="965"/>
      <c r="BJ57" s="965"/>
      <c r="BK57" s="965"/>
      <c r="BL57" s="965"/>
      <c r="BM57" s="965"/>
      <c r="BN57" s="965"/>
      <c r="BO57" s="965"/>
      <c r="BP57" s="965"/>
      <c r="BQ57" s="965"/>
      <c r="BR57" s="965"/>
      <c r="BS57" s="965"/>
      <c r="BT57" s="965"/>
      <c r="BU57" s="965"/>
      <c r="BV57" s="965"/>
      <c r="BW57" s="965"/>
      <c r="BX57" s="965"/>
      <c r="BY57" s="965"/>
      <c r="BZ57" s="965"/>
      <c r="CA57" s="965"/>
      <c r="CB57" s="965"/>
      <c r="CC57" s="965"/>
      <c r="CD57" s="965"/>
      <c r="CE57" s="965"/>
      <c r="CF57" s="965"/>
      <c r="CG57" s="965"/>
      <c r="CH57" s="965"/>
      <c r="CI57" s="965"/>
      <c r="CJ57" s="965"/>
      <c r="CK57" s="965"/>
      <c r="CL57" s="965"/>
      <c r="CM57" s="965"/>
      <c r="CN57" s="965"/>
      <c r="CO57" s="965"/>
      <c r="CP57" s="965"/>
      <c r="CQ57" s="965"/>
      <c r="CR57" s="965"/>
      <c r="CS57" s="965"/>
      <c r="CT57" s="965"/>
      <c r="CU57" s="965"/>
      <c r="CV57" s="965"/>
      <c r="CW57" s="965"/>
      <c r="CX57" s="965"/>
      <c r="CY57" s="965"/>
      <c r="CZ57" s="965"/>
      <c r="DA57" s="965"/>
      <c r="DB57" s="965"/>
      <c r="DC57" s="965"/>
      <c r="DD57" s="965"/>
      <c r="DE57" s="965"/>
      <c r="DF57" s="965"/>
      <c r="DG57" s="965"/>
      <c r="DH57" s="965"/>
      <c r="DI57" s="965"/>
      <c r="DJ57" s="965"/>
      <c r="DK57" s="965"/>
      <c r="DL57" s="965"/>
      <c r="DM57" s="965"/>
      <c r="DN57" s="965"/>
      <c r="DO57" s="965"/>
      <c r="DP57" s="965"/>
      <c r="DQ57" s="965"/>
      <c r="DR57" s="965"/>
      <c r="DS57" s="965"/>
      <c r="DT57" s="965"/>
      <c r="DU57" s="965"/>
      <c r="DV57" s="965"/>
      <c r="DW57" s="965"/>
      <c r="DX57" s="965"/>
      <c r="DY57" s="965"/>
      <c r="DZ57" s="965"/>
      <c r="EA57" s="965"/>
      <c r="EB57" s="965"/>
      <c r="EC57" s="965"/>
      <c r="ED57" s="965"/>
      <c r="EE57" s="965"/>
      <c r="EF57" s="965"/>
      <c r="EG57" s="965"/>
      <c r="EH57" s="965"/>
      <c r="EI57" s="965"/>
      <c r="EJ57" s="965"/>
      <c r="EK57" s="965"/>
      <c r="EL57" s="965"/>
      <c r="EM57" s="965"/>
      <c r="EN57" s="965"/>
      <c r="EO57" s="965"/>
      <c r="EP57" s="965"/>
      <c r="EQ57" s="965"/>
      <c r="ER57" s="965"/>
      <c r="ES57" s="965"/>
      <c r="ET57" s="965"/>
      <c r="EU57" s="965"/>
      <c r="EV57" s="965"/>
      <c r="EW57" s="965"/>
      <c r="EX57" s="965"/>
      <c r="EY57" s="965"/>
      <c r="EZ57" s="965"/>
      <c r="FA57" s="965"/>
      <c r="FB57" s="965"/>
      <c r="FC57" s="965"/>
      <c r="FD57" s="965"/>
      <c r="FE57" s="965"/>
      <c r="FF57" s="965"/>
      <c r="FG57" s="965"/>
      <c r="FH57" s="965"/>
      <c r="FI57" s="965"/>
      <c r="FJ57" s="965"/>
      <c r="FK57" s="965"/>
      <c r="FL57" s="965"/>
      <c r="FM57" s="965"/>
      <c r="FN57" s="965"/>
      <c r="FO57" s="965"/>
      <c r="FP57" s="965"/>
      <c r="FQ57" s="965"/>
      <c r="FR57" s="965"/>
      <c r="FS57" s="965"/>
      <c r="FT57" s="965"/>
      <c r="FU57" s="965"/>
      <c r="FV57" s="965"/>
      <c r="FW57" s="965"/>
      <c r="FX57" s="965"/>
      <c r="FY57" s="965"/>
      <c r="FZ57" s="965"/>
      <c r="GA57" s="965"/>
      <c r="GB57" s="965"/>
      <c r="GC57" s="965"/>
      <c r="GD57" s="965"/>
      <c r="GE57" s="965"/>
      <c r="GF57" s="965"/>
      <c r="GG57" s="965"/>
      <c r="GH57" s="965"/>
      <c r="GI57" s="965"/>
      <c r="GJ57" s="965"/>
      <c r="GK57" s="965"/>
      <c r="GL57" s="965"/>
      <c r="GM57" s="965"/>
      <c r="GN57" s="965"/>
      <c r="GO57" s="965"/>
      <c r="GP57" s="965"/>
      <c r="GQ57" s="965"/>
      <c r="GR57" s="965"/>
      <c r="GS57" s="965"/>
      <c r="GT57" s="965"/>
      <c r="GU57" s="965"/>
      <c r="GV57" s="965"/>
      <c r="GW57" s="965"/>
      <c r="GX57" s="965"/>
      <c r="GY57" s="965"/>
      <c r="GZ57" s="965"/>
      <c r="HA57" s="965"/>
      <c r="HB57" s="965"/>
      <c r="HC57" s="965"/>
      <c r="HD57" s="965"/>
      <c r="HE57" s="965"/>
      <c r="HF57" s="965"/>
      <c r="HG57" s="965"/>
      <c r="HH57" s="965"/>
      <c r="HI57" s="965"/>
      <c r="HJ57" s="965"/>
      <c r="HK57" s="965"/>
      <c r="HL57" s="965"/>
      <c r="HM57" s="965"/>
      <c r="HN57" s="965"/>
      <c r="HO57" s="965"/>
      <c r="HP57" s="965"/>
      <c r="HQ57" s="965"/>
      <c r="HR57" s="965"/>
      <c r="HS57" s="965"/>
      <c r="HT57" s="965"/>
      <c r="HU57" s="965"/>
      <c r="HV57" s="965"/>
      <c r="HW57" s="965"/>
      <c r="HX57" s="965"/>
      <c r="HY57" s="965"/>
      <c r="HZ57" s="965"/>
      <c r="IA57" s="965"/>
      <c r="IB57" s="965"/>
      <c r="IC57" s="965"/>
      <c r="ID57" s="965"/>
      <c r="IE57" s="965"/>
      <c r="IF57" s="965"/>
      <c r="IG57" s="965"/>
      <c r="IH57" s="965"/>
      <c r="II57" s="965"/>
    </row>
    <row r="58" spans="3:243">
      <c r="C58" s="965"/>
      <c r="D58" s="965"/>
      <c r="E58" s="965"/>
      <c r="F58" s="965"/>
      <c r="G58" s="965"/>
      <c r="H58" s="965"/>
      <c r="I58" s="965"/>
      <c r="J58" s="965"/>
      <c r="K58" s="965"/>
      <c r="L58" s="965"/>
      <c r="M58" s="965"/>
      <c r="N58" s="965"/>
      <c r="O58" s="965"/>
      <c r="P58" s="965"/>
      <c r="Q58" s="965"/>
      <c r="R58" s="965"/>
      <c r="S58" s="965"/>
      <c r="T58" s="965"/>
      <c r="U58" s="965"/>
      <c r="V58" s="965"/>
      <c r="W58" s="965"/>
      <c r="X58" s="965"/>
      <c r="Y58" s="965"/>
      <c r="Z58" s="965"/>
      <c r="AA58" s="965"/>
      <c r="AB58" s="965"/>
      <c r="AC58" s="965"/>
      <c r="AD58" s="965"/>
      <c r="AE58" s="965"/>
      <c r="AF58" s="965"/>
      <c r="AG58" s="965"/>
      <c r="AH58" s="965"/>
      <c r="AI58" s="965"/>
      <c r="AJ58" s="965"/>
      <c r="AK58" s="965"/>
      <c r="AL58" s="965"/>
      <c r="AM58" s="965"/>
      <c r="AN58" s="965"/>
      <c r="AO58" s="965"/>
      <c r="AP58" s="965"/>
      <c r="AQ58" s="965"/>
      <c r="AR58" s="965"/>
      <c r="AS58" s="965"/>
      <c r="AT58" s="965"/>
      <c r="AU58" s="965"/>
      <c r="AV58" s="965"/>
      <c r="AW58" s="965"/>
      <c r="AX58" s="965"/>
      <c r="AY58" s="965"/>
      <c r="AZ58" s="965"/>
      <c r="BA58" s="965"/>
      <c r="BB58" s="965"/>
      <c r="BC58" s="965"/>
      <c r="BD58" s="965"/>
      <c r="BE58" s="965"/>
      <c r="BF58" s="965"/>
      <c r="BG58" s="965"/>
      <c r="BH58" s="965"/>
      <c r="BI58" s="965"/>
      <c r="BJ58" s="965"/>
      <c r="BK58" s="965"/>
      <c r="BL58" s="965"/>
      <c r="BM58" s="965"/>
      <c r="BN58" s="965"/>
      <c r="BO58" s="965"/>
      <c r="BP58" s="965"/>
      <c r="BQ58" s="965"/>
      <c r="BR58" s="965"/>
      <c r="BS58" s="965"/>
      <c r="BT58" s="965"/>
      <c r="BU58" s="965"/>
      <c r="BV58" s="965"/>
      <c r="BW58" s="965"/>
      <c r="BX58" s="965"/>
      <c r="BY58" s="965"/>
      <c r="BZ58" s="965"/>
      <c r="CA58" s="965"/>
      <c r="CB58" s="965"/>
      <c r="CC58" s="965"/>
      <c r="CD58" s="965"/>
      <c r="CE58" s="965"/>
      <c r="CF58" s="965"/>
      <c r="CG58" s="965"/>
      <c r="CH58" s="965"/>
      <c r="CI58" s="965"/>
      <c r="CJ58" s="965"/>
      <c r="CK58" s="965"/>
      <c r="CL58" s="965"/>
      <c r="CM58" s="965"/>
      <c r="CN58" s="965"/>
      <c r="CO58" s="965"/>
      <c r="CP58" s="965"/>
      <c r="CQ58" s="965"/>
      <c r="CR58" s="965"/>
      <c r="CS58" s="965"/>
      <c r="CT58" s="965"/>
      <c r="CU58" s="965"/>
      <c r="CV58" s="965"/>
      <c r="CW58" s="965"/>
      <c r="CX58" s="965"/>
      <c r="CY58" s="965"/>
      <c r="CZ58" s="965"/>
      <c r="DA58" s="965"/>
      <c r="DB58" s="965"/>
      <c r="DC58" s="965"/>
      <c r="DD58" s="965"/>
      <c r="DE58" s="965"/>
      <c r="DF58" s="965"/>
      <c r="DG58" s="965"/>
      <c r="DH58" s="965"/>
      <c r="DI58" s="965"/>
      <c r="DJ58" s="965"/>
      <c r="DK58" s="965"/>
      <c r="DL58" s="965"/>
      <c r="DM58" s="965"/>
      <c r="DN58" s="965"/>
      <c r="DO58" s="965"/>
      <c r="DP58" s="965"/>
      <c r="DQ58" s="965"/>
      <c r="DR58" s="965"/>
      <c r="DS58" s="965"/>
      <c r="DT58" s="965"/>
      <c r="DU58" s="965"/>
      <c r="DV58" s="965"/>
      <c r="DW58" s="965"/>
      <c r="DX58" s="965"/>
      <c r="DY58" s="965"/>
      <c r="DZ58" s="965"/>
      <c r="EA58" s="965"/>
      <c r="EB58" s="965"/>
      <c r="EC58" s="965"/>
      <c r="ED58" s="965"/>
      <c r="EE58" s="965"/>
      <c r="EF58" s="965"/>
      <c r="EG58" s="965"/>
      <c r="EH58" s="965"/>
      <c r="EI58" s="965"/>
      <c r="EJ58" s="965"/>
      <c r="EK58" s="965"/>
      <c r="EL58" s="965"/>
      <c r="EM58" s="965"/>
      <c r="EN58" s="965"/>
      <c r="EO58" s="965"/>
      <c r="EP58" s="965"/>
      <c r="EQ58" s="965"/>
      <c r="ER58" s="965"/>
      <c r="ES58" s="965"/>
      <c r="ET58" s="965"/>
      <c r="EU58" s="965"/>
      <c r="EV58" s="965"/>
      <c r="EW58" s="965"/>
      <c r="EX58" s="965"/>
      <c r="EY58" s="965"/>
      <c r="EZ58" s="965"/>
      <c r="FA58" s="965"/>
      <c r="FB58" s="965"/>
      <c r="FC58" s="965"/>
      <c r="FD58" s="965"/>
      <c r="FE58" s="965"/>
      <c r="FF58" s="965"/>
      <c r="FG58" s="965"/>
      <c r="FH58" s="965"/>
      <c r="FI58" s="965"/>
      <c r="FJ58" s="965"/>
      <c r="FK58" s="965"/>
      <c r="FL58" s="965"/>
      <c r="FM58" s="965"/>
      <c r="FN58" s="965"/>
      <c r="FO58" s="965"/>
      <c r="FP58" s="965"/>
      <c r="FQ58" s="965"/>
      <c r="FR58" s="965"/>
      <c r="FS58" s="965"/>
      <c r="FT58" s="965"/>
      <c r="FU58" s="965"/>
      <c r="FV58" s="965"/>
      <c r="FW58" s="965"/>
      <c r="FX58" s="965"/>
      <c r="FY58" s="965"/>
      <c r="FZ58" s="965"/>
      <c r="GA58" s="965"/>
      <c r="GB58" s="965"/>
      <c r="GC58" s="965"/>
      <c r="GD58" s="965"/>
      <c r="GE58" s="965"/>
      <c r="GF58" s="965"/>
      <c r="GG58" s="965"/>
      <c r="GH58" s="965"/>
      <c r="GI58" s="965"/>
      <c r="GJ58" s="965"/>
      <c r="GK58" s="965"/>
      <c r="GL58" s="965"/>
      <c r="GM58" s="965"/>
      <c r="GN58" s="965"/>
      <c r="GO58" s="965"/>
      <c r="GP58" s="965"/>
      <c r="GQ58" s="965"/>
      <c r="GR58" s="965"/>
      <c r="GS58" s="965"/>
      <c r="GT58" s="965"/>
      <c r="GU58" s="965"/>
      <c r="GV58" s="965"/>
      <c r="GW58" s="965"/>
      <c r="GX58" s="965"/>
      <c r="GY58" s="965"/>
      <c r="GZ58" s="965"/>
      <c r="HA58" s="965"/>
      <c r="HB58" s="965"/>
      <c r="HC58" s="965"/>
      <c r="HD58" s="965"/>
      <c r="HE58" s="965"/>
      <c r="HF58" s="965"/>
      <c r="HG58" s="965"/>
      <c r="HH58" s="965"/>
      <c r="HI58" s="965"/>
      <c r="HJ58" s="965"/>
      <c r="HK58" s="965"/>
      <c r="HL58" s="965"/>
      <c r="HM58" s="965"/>
      <c r="HN58" s="965"/>
      <c r="HO58" s="965"/>
      <c r="HP58" s="965"/>
      <c r="HQ58" s="965"/>
      <c r="HR58" s="965"/>
      <c r="HS58" s="965"/>
      <c r="HT58" s="965"/>
      <c r="HU58" s="965"/>
      <c r="HV58" s="965"/>
      <c r="HW58" s="965"/>
      <c r="HX58" s="965"/>
      <c r="HY58" s="965"/>
      <c r="HZ58" s="965"/>
      <c r="IA58" s="965"/>
      <c r="IB58" s="965"/>
      <c r="IC58" s="965"/>
      <c r="ID58" s="965"/>
      <c r="IE58" s="965"/>
      <c r="IF58" s="965"/>
      <c r="IG58" s="965"/>
      <c r="IH58" s="965"/>
      <c r="II58" s="965"/>
    </row>
    <row r="59" spans="3:243">
      <c r="C59" s="965"/>
      <c r="D59" s="965"/>
      <c r="E59" s="965"/>
      <c r="F59" s="965"/>
      <c r="G59" s="965"/>
      <c r="H59" s="965"/>
      <c r="I59" s="965"/>
      <c r="J59" s="965"/>
      <c r="K59" s="965"/>
      <c r="L59" s="965"/>
      <c r="M59" s="965"/>
      <c r="N59" s="965"/>
      <c r="O59" s="965"/>
      <c r="P59" s="965"/>
      <c r="Q59" s="965"/>
      <c r="R59" s="965"/>
      <c r="S59" s="965"/>
      <c r="T59" s="965"/>
      <c r="U59" s="965"/>
      <c r="V59" s="965"/>
      <c r="W59" s="965"/>
      <c r="X59" s="965"/>
      <c r="Y59" s="965"/>
      <c r="Z59" s="965"/>
      <c r="AA59" s="965"/>
      <c r="AB59" s="965"/>
      <c r="AC59" s="965"/>
      <c r="AD59" s="965"/>
      <c r="AE59" s="965"/>
      <c r="AF59" s="965"/>
      <c r="AG59" s="965"/>
      <c r="AH59" s="965"/>
      <c r="AI59" s="965"/>
      <c r="AJ59" s="965"/>
      <c r="AK59" s="965"/>
      <c r="AL59" s="965"/>
      <c r="AM59" s="965"/>
      <c r="AN59" s="965"/>
      <c r="AO59" s="965"/>
      <c r="AP59" s="965"/>
      <c r="AQ59" s="965"/>
      <c r="AR59" s="965"/>
      <c r="AS59" s="965"/>
      <c r="AT59" s="965"/>
      <c r="AU59" s="965"/>
      <c r="AV59" s="965"/>
      <c r="AW59" s="965"/>
      <c r="AX59" s="965"/>
      <c r="AY59" s="965"/>
      <c r="AZ59" s="965"/>
      <c r="BA59" s="965"/>
      <c r="BB59" s="965"/>
      <c r="BC59" s="965"/>
      <c r="BD59" s="965"/>
      <c r="BE59" s="965"/>
      <c r="BF59" s="965"/>
      <c r="BG59" s="965"/>
      <c r="BH59" s="965"/>
      <c r="BI59" s="965"/>
      <c r="BJ59" s="965"/>
      <c r="BK59" s="965"/>
      <c r="BL59" s="965"/>
      <c r="BM59" s="965"/>
      <c r="BN59" s="965"/>
      <c r="BO59" s="965"/>
      <c r="BP59" s="965"/>
      <c r="BQ59" s="965"/>
      <c r="BR59" s="965"/>
      <c r="BS59" s="965"/>
      <c r="BT59" s="965"/>
      <c r="BU59" s="965"/>
      <c r="BV59" s="965"/>
      <c r="BW59" s="965"/>
      <c r="BX59" s="965"/>
      <c r="BY59" s="965"/>
      <c r="BZ59" s="965"/>
      <c r="CA59" s="965"/>
      <c r="CB59" s="965"/>
      <c r="CC59" s="965"/>
      <c r="CD59" s="965"/>
      <c r="CE59" s="965"/>
      <c r="CF59" s="965"/>
      <c r="CG59" s="965"/>
      <c r="CH59" s="965"/>
      <c r="CI59" s="965"/>
      <c r="CJ59" s="965"/>
      <c r="CK59" s="965"/>
      <c r="CL59" s="965"/>
      <c r="CM59" s="965"/>
      <c r="CN59" s="965"/>
      <c r="CO59" s="965"/>
      <c r="CP59" s="965"/>
      <c r="CQ59" s="965"/>
      <c r="CR59" s="965"/>
      <c r="CS59" s="965"/>
      <c r="CT59" s="965"/>
      <c r="CU59" s="965"/>
      <c r="CV59" s="965"/>
      <c r="CW59" s="965"/>
      <c r="CX59" s="965"/>
      <c r="CY59" s="965"/>
      <c r="CZ59" s="965"/>
      <c r="DA59" s="965"/>
      <c r="DB59" s="965"/>
      <c r="DC59" s="965"/>
      <c r="DD59" s="965"/>
      <c r="DE59" s="965"/>
      <c r="DF59" s="965"/>
      <c r="DG59" s="965"/>
      <c r="DH59" s="965"/>
      <c r="DI59" s="965"/>
      <c r="DJ59" s="965"/>
      <c r="DK59" s="965"/>
      <c r="DL59" s="965"/>
      <c r="DM59" s="965"/>
      <c r="DN59" s="965"/>
      <c r="DO59" s="965"/>
      <c r="DP59" s="965"/>
      <c r="DQ59" s="965"/>
      <c r="DR59" s="965"/>
      <c r="DS59" s="965"/>
      <c r="DT59" s="965"/>
      <c r="DU59" s="965"/>
      <c r="DV59" s="965"/>
      <c r="DW59" s="965"/>
      <c r="DX59" s="965"/>
      <c r="DY59" s="965"/>
      <c r="DZ59" s="965"/>
      <c r="EA59" s="965"/>
      <c r="EB59" s="965"/>
      <c r="EC59" s="965"/>
      <c r="ED59" s="965"/>
      <c r="EE59" s="965"/>
      <c r="EF59" s="965"/>
      <c r="EG59" s="965"/>
      <c r="EH59" s="965"/>
      <c r="EI59" s="965"/>
      <c r="EJ59" s="965"/>
      <c r="EK59" s="965"/>
      <c r="EL59" s="965"/>
      <c r="EM59" s="965"/>
      <c r="EN59" s="965"/>
      <c r="EO59" s="965"/>
      <c r="EP59" s="965"/>
      <c r="EQ59" s="965"/>
      <c r="ER59" s="965"/>
      <c r="ES59" s="965"/>
      <c r="ET59" s="965"/>
      <c r="EU59" s="965"/>
      <c r="EV59" s="965"/>
      <c r="EW59" s="965"/>
      <c r="EX59" s="965"/>
      <c r="EY59" s="965"/>
      <c r="EZ59" s="965"/>
      <c r="FA59" s="965"/>
      <c r="FB59" s="965"/>
      <c r="FC59" s="965"/>
      <c r="FD59" s="965"/>
      <c r="FE59" s="965"/>
      <c r="FF59" s="965"/>
      <c r="FG59" s="965"/>
      <c r="FH59" s="965"/>
      <c r="FI59" s="965"/>
      <c r="FJ59" s="965"/>
      <c r="FK59" s="965"/>
      <c r="FL59" s="965"/>
      <c r="FM59" s="965"/>
      <c r="FN59" s="965"/>
      <c r="FO59" s="965"/>
      <c r="FP59" s="965"/>
      <c r="FQ59" s="965"/>
      <c r="FR59" s="965"/>
      <c r="FS59" s="965"/>
      <c r="FT59" s="965"/>
      <c r="FU59" s="965"/>
      <c r="FV59" s="965"/>
      <c r="FW59" s="965"/>
      <c r="FX59" s="965"/>
      <c r="FY59" s="965"/>
      <c r="FZ59" s="965"/>
      <c r="GA59" s="965"/>
      <c r="GB59" s="965"/>
      <c r="GC59" s="965"/>
      <c r="GD59" s="965"/>
      <c r="GE59" s="965"/>
      <c r="GF59" s="965"/>
      <c r="GG59" s="965"/>
      <c r="GH59" s="965"/>
      <c r="GI59" s="965"/>
      <c r="GJ59" s="965"/>
      <c r="GK59" s="965"/>
      <c r="GL59" s="965"/>
      <c r="GM59" s="965"/>
      <c r="GN59" s="965"/>
      <c r="GO59" s="965"/>
      <c r="GP59" s="965"/>
      <c r="GQ59" s="965"/>
      <c r="GR59" s="965"/>
      <c r="GS59" s="965"/>
      <c r="GT59" s="965"/>
      <c r="GU59" s="965"/>
      <c r="GV59" s="965"/>
      <c r="GW59" s="965"/>
      <c r="GX59" s="965"/>
      <c r="GY59" s="965"/>
      <c r="GZ59" s="965"/>
      <c r="HA59" s="965"/>
      <c r="HB59" s="965"/>
      <c r="HC59" s="965"/>
      <c r="HD59" s="965"/>
      <c r="HE59" s="965"/>
      <c r="HF59" s="965"/>
      <c r="HG59" s="965"/>
      <c r="HH59" s="965"/>
      <c r="HI59" s="965"/>
      <c r="HJ59" s="965"/>
      <c r="HK59" s="965"/>
      <c r="HL59" s="965"/>
      <c r="HM59" s="965"/>
      <c r="HN59" s="965"/>
      <c r="HO59" s="965"/>
      <c r="HP59" s="965"/>
      <c r="HQ59" s="965"/>
      <c r="HR59" s="965"/>
      <c r="HS59" s="965"/>
      <c r="HT59" s="965"/>
      <c r="HU59" s="965"/>
      <c r="HV59" s="965"/>
      <c r="HW59" s="965"/>
      <c r="HX59" s="965"/>
      <c r="HY59" s="965"/>
      <c r="HZ59" s="965"/>
      <c r="IA59" s="965"/>
      <c r="IB59" s="965"/>
      <c r="IC59" s="965"/>
      <c r="ID59" s="965"/>
      <c r="IE59" s="965"/>
      <c r="IF59" s="965"/>
      <c r="IG59" s="965"/>
      <c r="IH59" s="965"/>
      <c r="II59" s="965"/>
    </row>
    <row r="60" spans="3:243">
      <c r="C60" s="965"/>
      <c r="D60" s="965"/>
      <c r="E60" s="965"/>
      <c r="F60" s="965"/>
      <c r="G60" s="965"/>
      <c r="H60" s="965"/>
      <c r="I60" s="965"/>
      <c r="J60" s="965"/>
      <c r="K60" s="965"/>
      <c r="L60" s="965"/>
      <c r="M60" s="965"/>
      <c r="N60" s="965"/>
      <c r="O60" s="965"/>
      <c r="P60" s="965"/>
      <c r="Q60" s="965"/>
      <c r="R60" s="965"/>
      <c r="S60" s="965"/>
      <c r="T60" s="965"/>
      <c r="U60" s="965"/>
      <c r="V60" s="965"/>
      <c r="W60" s="965"/>
      <c r="X60" s="965"/>
      <c r="Y60" s="965"/>
      <c r="Z60" s="965"/>
      <c r="AA60" s="965"/>
      <c r="AB60" s="965"/>
      <c r="AC60" s="965"/>
      <c r="AD60" s="965"/>
      <c r="AE60" s="965"/>
      <c r="AF60" s="965"/>
      <c r="AG60" s="965"/>
      <c r="AH60" s="965"/>
      <c r="AI60" s="965"/>
      <c r="AJ60" s="965"/>
      <c r="AK60" s="965"/>
      <c r="AL60" s="965"/>
      <c r="AM60" s="965"/>
      <c r="AN60" s="965"/>
      <c r="AO60" s="965"/>
      <c r="AP60" s="965"/>
      <c r="AQ60" s="965"/>
      <c r="AR60" s="965"/>
      <c r="AS60" s="965"/>
      <c r="AT60" s="965"/>
      <c r="AU60" s="965"/>
      <c r="AV60" s="965"/>
      <c r="AW60" s="965"/>
      <c r="AX60" s="965"/>
      <c r="AY60" s="965"/>
      <c r="AZ60" s="965"/>
      <c r="BA60" s="965"/>
      <c r="BB60" s="965"/>
      <c r="BC60" s="965"/>
      <c r="BD60" s="965"/>
      <c r="BE60" s="965"/>
      <c r="BF60" s="965"/>
      <c r="BG60" s="965"/>
      <c r="BH60" s="965"/>
      <c r="BI60" s="965"/>
      <c r="BJ60" s="965"/>
      <c r="BK60" s="965"/>
      <c r="BL60" s="965"/>
      <c r="BM60" s="965"/>
      <c r="BN60" s="965"/>
      <c r="BO60" s="965"/>
      <c r="BP60" s="965"/>
      <c r="BQ60" s="965"/>
      <c r="BR60" s="965"/>
      <c r="BS60" s="965"/>
      <c r="BT60" s="965"/>
      <c r="BU60" s="965"/>
      <c r="BV60" s="965"/>
      <c r="BW60" s="965"/>
      <c r="BX60" s="965"/>
      <c r="BY60" s="965"/>
      <c r="BZ60" s="965"/>
      <c r="CA60" s="965"/>
      <c r="CB60" s="965"/>
      <c r="CC60" s="965"/>
      <c r="CD60" s="965"/>
      <c r="CE60" s="965"/>
      <c r="CF60" s="965"/>
      <c r="CG60" s="965"/>
      <c r="CH60" s="965"/>
      <c r="CI60" s="965"/>
      <c r="CJ60" s="965"/>
      <c r="CK60" s="965"/>
      <c r="CL60" s="965"/>
      <c r="CM60" s="965"/>
      <c r="CN60" s="965"/>
      <c r="CO60" s="965"/>
      <c r="CP60" s="965"/>
      <c r="CQ60" s="965"/>
      <c r="CR60" s="965"/>
      <c r="CS60" s="965"/>
      <c r="CT60" s="965"/>
      <c r="CU60" s="965"/>
      <c r="CV60" s="965"/>
      <c r="CW60" s="965"/>
      <c r="CX60" s="965"/>
      <c r="CY60" s="965"/>
      <c r="CZ60" s="965"/>
      <c r="DA60" s="965"/>
      <c r="DB60" s="965"/>
      <c r="DC60" s="965"/>
      <c r="DD60" s="965"/>
      <c r="DE60" s="965"/>
      <c r="DF60" s="965"/>
      <c r="DG60" s="965"/>
      <c r="DH60" s="965"/>
      <c r="DI60" s="965"/>
      <c r="DJ60" s="965"/>
      <c r="DK60" s="965"/>
      <c r="DL60" s="965"/>
      <c r="DM60" s="965"/>
      <c r="DN60" s="965"/>
      <c r="DO60" s="965"/>
      <c r="DP60" s="965"/>
      <c r="DQ60" s="965"/>
      <c r="DR60" s="965"/>
      <c r="DS60" s="965"/>
      <c r="DT60" s="965"/>
      <c r="DU60" s="965"/>
      <c r="DV60" s="965"/>
      <c r="DW60" s="965"/>
      <c r="DX60" s="965"/>
      <c r="DY60" s="965"/>
      <c r="DZ60" s="965"/>
      <c r="EA60" s="965"/>
      <c r="EB60" s="965"/>
      <c r="EC60" s="965"/>
      <c r="ED60" s="965"/>
      <c r="EE60" s="965"/>
      <c r="EF60" s="965"/>
      <c r="EG60" s="965"/>
      <c r="EH60" s="965"/>
      <c r="EI60" s="965"/>
      <c r="EJ60" s="965"/>
      <c r="EK60" s="965"/>
      <c r="EL60" s="965"/>
      <c r="EM60" s="965"/>
      <c r="EN60" s="965"/>
      <c r="EO60" s="965"/>
      <c r="EP60" s="965"/>
      <c r="EQ60" s="965"/>
      <c r="ER60" s="965"/>
      <c r="ES60" s="965"/>
      <c r="ET60" s="965"/>
      <c r="EU60" s="965"/>
      <c r="EV60" s="965"/>
      <c r="EW60" s="965"/>
      <c r="EX60" s="965"/>
      <c r="EY60" s="965"/>
      <c r="EZ60" s="965"/>
      <c r="FA60" s="965"/>
      <c r="FB60" s="965"/>
      <c r="FC60" s="965"/>
      <c r="FD60" s="965"/>
      <c r="FE60" s="965"/>
      <c r="FF60" s="965"/>
      <c r="FG60" s="965"/>
      <c r="FH60" s="965"/>
      <c r="FI60" s="965"/>
      <c r="FJ60" s="965"/>
      <c r="FK60" s="965"/>
      <c r="FL60" s="965"/>
      <c r="FM60" s="965"/>
      <c r="FN60" s="965"/>
      <c r="FO60" s="965"/>
      <c r="FP60" s="965"/>
      <c r="FQ60" s="965"/>
      <c r="FR60" s="965"/>
      <c r="FS60" s="965"/>
      <c r="FT60" s="965"/>
      <c r="FU60" s="965"/>
      <c r="FV60" s="965"/>
      <c r="FW60" s="965"/>
      <c r="FX60" s="965"/>
      <c r="FY60" s="965"/>
      <c r="FZ60" s="965"/>
      <c r="GA60" s="965"/>
      <c r="GB60" s="965"/>
      <c r="GC60" s="965"/>
      <c r="GD60" s="965"/>
      <c r="GE60" s="965"/>
      <c r="GF60" s="965"/>
      <c r="GG60" s="965"/>
      <c r="GH60" s="965"/>
      <c r="GI60" s="965"/>
      <c r="GJ60" s="965"/>
      <c r="GK60" s="965"/>
      <c r="GL60" s="965"/>
      <c r="GM60" s="965"/>
      <c r="GN60" s="965"/>
      <c r="GO60" s="965"/>
      <c r="GP60" s="965"/>
      <c r="GQ60" s="965"/>
      <c r="GR60" s="965"/>
      <c r="GS60" s="965"/>
      <c r="GT60" s="965"/>
      <c r="GU60" s="965"/>
      <c r="GV60" s="965"/>
      <c r="GW60" s="965"/>
      <c r="GX60" s="965"/>
      <c r="GY60" s="965"/>
      <c r="GZ60" s="965"/>
      <c r="HA60" s="965"/>
      <c r="HB60" s="965"/>
      <c r="HC60" s="965"/>
      <c r="HD60" s="965"/>
      <c r="HE60" s="965"/>
      <c r="HF60" s="965"/>
      <c r="HG60" s="965"/>
      <c r="HH60" s="965"/>
      <c r="HI60" s="965"/>
      <c r="HJ60" s="965"/>
      <c r="HK60" s="965"/>
      <c r="HL60" s="965"/>
      <c r="HM60" s="965"/>
      <c r="HN60" s="965"/>
      <c r="HO60" s="965"/>
      <c r="HP60" s="965"/>
      <c r="HQ60" s="965"/>
      <c r="HR60" s="965"/>
      <c r="HS60" s="965"/>
      <c r="HT60" s="965"/>
      <c r="HU60" s="965"/>
      <c r="HV60" s="965"/>
      <c r="HW60" s="965"/>
      <c r="HX60" s="965"/>
      <c r="HY60" s="965"/>
      <c r="HZ60" s="965"/>
      <c r="IA60" s="965"/>
      <c r="IB60" s="965"/>
      <c r="IC60" s="965"/>
      <c r="ID60" s="965"/>
      <c r="IE60" s="965"/>
      <c r="IF60" s="965"/>
      <c r="IG60" s="965"/>
      <c r="IH60" s="965"/>
      <c r="II60" s="965"/>
    </row>
    <row r="61" spans="3:243">
      <c r="C61" s="965"/>
      <c r="D61" s="965"/>
      <c r="E61" s="965"/>
      <c r="F61" s="965"/>
      <c r="G61" s="965"/>
      <c r="H61" s="965"/>
      <c r="I61" s="965"/>
      <c r="J61" s="965"/>
      <c r="K61" s="965"/>
      <c r="L61" s="965"/>
      <c r="M61" s="965"/>
      <c r="N61" s="965"/>
      <c r="O61" s="965"/>
      <c r="P61" s="965"/>
      <c r="Q61" s="965"/>
      <c r="R61" s="965"/>
      <c r="S61" s="965"/>
      <c r="T61" s="965"/>
      <c r="U61" s="965"/>
      <c r="V61" s="965"/>
      <c r="W61" s="965"/>
      <c r="X61" s="965"/>
      <c r="Y61" s="965"/>
      <c r="Z61" s="965"/>
      <c r="AA61" s="965"/>
      <c r="AB61" s="965"/>
      <c r="AC61" s="965"/>
      <c r="AD61" s="965"/>
      <c r="AE61" s="965"/>
      <c r="AF61" s="965"/>
      <c r="AG61" s="965"/>
      <c r="AH61" s="965"/>
      <c r="AI61" s="965"/>
      <c r="AJ61" s="965"/>
      <c r="AK61" s="965"/>
      <c r="AL61" s="965"/>
      <c r="AM61" s="965"/>
      <c r="AN61" s="965"/>
      <c r="AO61" s="965"/>
      <c r="AP61" s="965"/>
      <c r="AQ61" s="965"/>
      <c r="AR61" s="965"/>
      <c r="AS61" s="965"/>
      <c r="AT61" s="965"/>
      <c r="AU61" s="965"/>
      <c r="AV61" s="965"/>
      <c r="AW61" s="965"/>
      <c r="AX61" s="965"/>
      <c r="AY61" s="965"/>
      <c r="AZ61" s="965"/>
      <c r="BA61" s="965"/>
      <c r="BB61" s="965"/>
      <c r="BC61" s="965"/>
      <c r="BD61" s="965"/>
      <c r="BE61" s="965"/>
      <c r="BF61" s="965"/>
      <c r="BG61" s="965"/>
      <c r="BH61" s="965"/>
      <c r="BI61" s="965"/>
      <c r="BJ61" s="965"/>
      <c r="BK61" s="965"/>
      <c r="BL61" s="965"/>
      <c r="BM61" s="965"/>
      <c r="BN61" s="965"/>
      <c r="BO61" s="965"/>
      <c r="BP61" s="965"/>
      <c r="BQ61" s="965"/>
      <c r="BR61" s="965"/>
      <c r="BS61" s="965"/>
      <c r="BT61" s="965"/>
      <c r="BU61" s="965"/>
      <c r="BV61" s="965"/>
      <c r="BW61" s="965"/>
      <c r="BX61" s="965"/>
      <c r="BY61" s="965"/>
      <c r="BZ61" s="965"/>
      <c r="CA61" s="965"/>
      <c r="CB61" s="965"/>
      <c r="CC61" s="965"/>
      <c r="CD61" s="965"/>
      <c r="CE61" s="965"/>
      <c r="CF61" s="965"/>
      <c r="CG61" s="965"/>
      <c r="CH61" s="965"/>
      <c r="CI61" s="965"/>
      <c r="CJ61" s="965"/>
      <c r="CK61" s="965"/>
      <c r="CL61" s="965"/>
      <c r="CM61" s="965"/>
      <c r="CN61" s="965"/>
      <c r="CO61" s="965"/>
      <c r="CP61" s="965"/>
      <c r="CQ61" s="965"/>
      <c r="CR61" s="965"/>
      <c r="CS61" s="965"/>
      <c r="CT61" s="965"/>
      <c r="CU61" s="965"/>
      <c r="CV61" s="965"/>
      <c r="CW61" s="965"/>
      <c r="CX61" s="965"/>
      <c r="CY61" s="965"/>
      <c r="CZ61" s="965"/>
      <c r="DA61" s="965"/>
      <c r="DB61" s="965"/>
      <c r="DC61" s="965"/>
      <c r="DD61" s="965"/>
      <c r="DE61" s="965"/>
      <c r="DF61" s="965"/>
      <c r="DG61" s="965"/>
      <c r="DH61" s="965"/>
      <c r="DI61" s="965"/>
      <c r="DJ61" s="965"/>
      <c r="DK61" s="965"/>
      <c r="DL61" s="965"/>
      <c r="DM61" s="965"/>
      <c r="DN61" s="965"/>
      <c r="DO61" s="965"/>
      <c r="DP61" s="965"/>
      <c r="DQ61" s="965"/>
      <c r="DR61" s="965"/>
      <c r="DS61" s="965"/>
      <c r="DT61" s="965"/>
      <c r="DU61" s="965"/>
      <c r="DV61" s="965"/>
      <c r="DW61" s="965"/>
      <c r="DX61" s="965"/>
      <c r="DY61" s="965"/>
      <c r="DZ61" s="965"/>
      <c r="EA61" s="965"/>
      <c r="EB61" s="965"/>
      <c r="EC61" s="965"/>
      <c r="ED61" s="965"/>
      <c r="EE61" s="965"/>
      <c r="EF61" s="965"/>
      <c r="EG61" s="965"/>
      <c r="EH61" s="965"/>
      <c r="EI61" s="965"/>
      <c r="EJ61" s="965"/>
      <c r="EK61" s="965"/>
      <c r="EL61" s="965"/>
      <c r="EM61" s="965"/>
      <c r="EN61" s="965"/>
      <c r="EO61" s="965"/>
      <c r="EP61" s="965"/>
      <c r="EQ61" s="965"/>
      <c r="ER61" s="965"/>
      <c r="ES61" s="965"/>
      <c r="ET61" s="965"/>
      <c r="EU61" s="965"/>
      <c r="EV61" s="965"/>
      <c r="EW61" s="965"/>
      <c r="EX61" s="965"/>
      <c r="EY61" s="965"/>
      <c r="EZ61" s="965"/>
      <c r="FA61" s="965"/>
      <c r="FB61" s="965"/>
      <c r="FC61" s="965"/>
      <c r="FD61" s="965"/>
      <c r="FE61" s="965"/>
      <c r="FF61" s="965"/>
      <c r="FG61" s="965"/>
      <c r="FH61" s="965"/>
      <c r="FI61" s="965"/>
      <c r="FJ61" s="965"/>
      <c r="FK61" s="965"/>
      <c r="FL61" s="965"/>
      <c r="FM61" s="965"/>
      <c r="FN61" s="965"/>
      <c r="FO61" s="965"/>
      <c r="FP61" s="965"/>
      <c r="FQ61" s="965"/>
      <c r="FR61" s="965"/>
      <c r="FS61" s="965"/>
      <c r="FT61" s="965"/>
      <c r="FU61" s="965"/>
      <c r="FV61" s="965"/>
      <c r="FW61" s="965"/>
      <c r="FX61" s="965"/>
      <c r="FY61" s="965"/>
      <c r="FZ61" s="965"/>
      <c r="GA61" s="965"/>
      <c r="GB61" s="965"/>
      <c r="GC61" s="965"/>
      <c r="GD61" s="965"/>
      <c r="GE61" s="965"/>
      <c r="GF61" s="965"/>
      <c r="GG61" s="965"/>
      <c r="GH61" s="965"/>
      <c r="GI61" s="965"/>
      <c r="GJ61" s="965"/>
      <c r="GK61" s="965"/>
      <c r="GL61" s="965"/>
      <c r="GM61" s="965"/>
      <c r="GN61" s="965"/>
      <c r="GO61" s="965"/>
      <c r="GP61" s="965"/>
      <c r="GQ61" s="965"/>
      <c r="GR61" s="965"/>
      <c r="GS61" s="965"/>
      <c r="GT61" s="965"/>
      <c r="GU61" s="965"/>
      <c r="GV61" s="965"/>
      <c r="GW61" s="965"/>
      <c r="GX61" s="965"/>
      <c r="GY61" s="965"/>
      <c r="GZ61" s="965"/>
      <c r="HA61" s="965"/>
      <c r="HB61" s="965"/>
      <c r="HC61" s="965"/>
      <c r="HD61" s="965"/>
      <c r="HE61" s="965"/>
      <c r="HF61" s="965"/>
      <c r="HG61" s="965"/>
      <c r="HH61" s="965"/>
      <c r="HI61" s="965"/>
      <c r="HJ61" s="965"/>
      <c r="HK61" s="965"/>
      <c r="HL61" s="965"/>
      <c r="HM61" s="965"/>
      <c r="HN61" s="965"/>
      <c r="HO61" s="965"/>
      <c r="HP61" s="965"/>
      <c r="HQ61" s="965"/>
      <c r="HR61" s="965"/>
      <c r="HS61" s="965"/>
      <c r="HT61" s="965"/>
      <c r="HU61" s="965"/>
      <c r="HV61" s="965"/>
      <c r="HW61" s="965"/>
      <c r="HX61" s="965"/>
      <c r="HY61" s="965"/>
      <c r="HZ61" s="965"/>
      <c r="IA61" s="965"/>
      <c r="IB61" s="965"/>
      <c r="IC61" s="965"/>
      <c r="ID61" s="965"/>
      <c r="IE61" s="965"/>
      <c r="IF61" s="965"/>
      <c r="IG61" s="965"/>
      <c r="IH61" s="965"/>
      <c r="II61" s="965"/>
    </row>
    <row r="62" spans="3:243">
      <c r="C62" s="965"/>
      <c r="D62" s="965"/>
      <c r="E62" s="965"/>
      <c r="F62" s="965"/>
      <c r="G62" s="965"/>
      <c r="H62" s="965"/>
      <c r="I62" s="965"/>
      <c r="J62" s="965"/>
      <c r="K62" s="965"/>
      <c r="L62" s="965"/>
      <c r="M62" s="965"/>
      <c r="N62" s="965"/>
      <c r="O62" s="965"/>
      <c r="P62" s="965"/>
      <c r="Q62" s="965"/>
      <c r="R62" s="965"/>
      <c r="S62" s="965"/>
      <c r="T62" s="965"/>
      <c r="U62" s="965"/>
      <c r="V62" s="965"/>
      <c r="W62" s="965"/>
      <c r="X62" s="965"/>
      <c r="Y62" s="965"/>
      <c r="Z62" s="965"/>
      <c r="AA62" s="965"/>
      <c r="AB62" s="965"/>
      <c r="AC62" s="965"/>
      <c r="AD62" s="965"/>
      <c r="AE62" s="965"/>
      <c r="AF62" s="965"/>
      <c r="AG62" s="965"/>
      <c r="AH62" s="965"/>
      <c r="AI62" s="965"/>
      <c r="AJ62" s="965"/>
      <c r="AK62" s="965"/>
      <c r="AL62" s="965"/>
      <c r="AM62" s="965"/>
      <c r="AN62" s="965"/>
      <c r="AO62" s="965"/>
      <c r="AP62" s="965"/>
      <c r="AQ62" s="965"/>
      <c r="AR62" s="965"/>
      <c r="AS62" s="965"/>
      <c r="AT62" s="965"/>
      <c r="AU62" s="965"/>
      <c r="AV62" s="965"/>
      <c r="AW62" s="965"/>
      <c r="AX62" s="965"/>
      <c r="AY62" s="965"/>
      <c r="AZ62" s="965"/>
      <c r="BA62" s="965"/>
      <c r="BB62" s="965"/>
      <c r="BC62" s="965"/>
      <c r="BD62" s="965"/>
      <c r="BE62" s="965"/>
      <c r="BF62" s="965"/>
      <c r="BG62" s="965"/>
      <c r="BH62" s="965"/>
      <c r="BI62" s="965"/>
      <c r="BJ62" s="965"/>
      <c r="BK62" s="965"/>
      <c r="BL62" s="965"/>
      <c r="BM62" s="965"/>
      <c r="BN62" s="965"/>
      <c r="BO62" s="965"/>
      <c r="BP62" s="965"/>
      <c r="BQ62" s="965"/>
      <c r="BR62" s="965"/>
      <c r="BS62" s="965"/>
      <c r="BT62" s="965"/>
      <c r="BU62" s="965"/>
      <c r="BV62" s="965"/>
      <c r="BW62" s="965"/>
      <c r="BX62" s="965"/>
      <c r="BY62" s="965"/>
      <c r="BZ62" s="965"/>
      <c r="CA62" s="965"/>
      <c r="CB62" s="965"/>
      <c r="CC62" s="965"/>
      <c r="CD62" s="965"/>
      <c r="CE62" s="965"/>
      <c r="CF62" s="965"/>
      <c r="CG62" s="965"/>
      <c r="CH62" s="965"/>
      <c r="CI62" s="965"/>
      <c r="CJ62" s="965"/>
      <c r="CK62" s="965"/>
      <c r="CL62" s="965"/>
      <c r="CM62" s="965"/>
      <c r="CN62" s="965"/>
      <c r="CO62" s="965"/>
      <c r="CP62" s="965"/>
      <c r="CQ62" s="965"/>
      <c r="CR62" s="965"/>
      <c r="CS62" s="965"/>
      <c r="CT62" s="965"/>
      <c r="CU62" s="965"/>
      <c r="CV62" s="965"/>
      <c r="CW62" s="965"/>
      <c r="CX62" s="965"/>
      <c r="CY62" s="965"/>
      <c r="CZ62" s="965"/>
      <c r="DA62" s="965"/>
      <c r="DB62" s="965"/>
      <c r="DC62" s="965"/>
      <c r="DD62" s="965"/>
      <c r="DE62" s="965"/>
      <c r="DF62" s="965"/>
      <c r="DG62" s="965"/>
      <c r="DH62" s="965"/>
      <c r="DI62" s="965"/>
      <c r="DJ62" s="965"/>
      <c r="DK62" s="965"/>
      <c r="DL62" s="965"/>
      <c r="DM62" s="965"/>
      <c r="DN62" s="965"/>
      <c r="DO62" s="965"/>
      <c r="DP62" s="965"/>
      <c r="DQ62" s="965"/>
      <c r="DR62" s="965"/>
      <c r="DS62" s="965"/>
      <c r="DT62" s="965"/>
      <c r="DU62" s="965"/>
      <c r="DV62" s="965"/>
      <c r="DW62" s="965"/>
      <c r="DX62" s="965"/>
      <c r="DY62" s="965"/>
      <c r="DZ62" s="965"/>
      <c r="EA62" s="965"/>
      <c r="EB62" s="965"/>
      <c r="EC62" s="965"/>
      <c r="ED62" s="965"/>
      <c r="EE62" s="965"/>
      <c r="EF62" s="965"/>
      <c r="EG62" s="965"/>
      <c r="EH62" s="965"/>
      <c r="EI62" s="965"/>
      <c r="EJ62" s="965"/>
      <c r="EK62" s="965"/>
      <c r="EL62" s="965"/>
      <c r="EM62" s="965"/>
      <c r="EN62" s="965"/>
      <c r="EO62" s="965"/>
      <c r="EP62" s="965"/>
      <c r="EQ62" s="965"/>
      <c r="ER62" s="965"/>
      <c r="ES62" s="965"/>
      <c r="ET62" s="965"/>
      <c r="EU62" s="965"/>
      <c r="EV62" s="965"/>
      <c r="EW62" s="965"/>
      <c r="EX62" s="965"/>
      <c r="EY62" s="965"/>
      <c r="EZ62" s="965"/>
      <c r="FA62" s="965"/>
      <c r="FB62" s="965"/>
      <c r="FC62" s="965"/>
      <c r="FD62" s="965"/>
      <c r="FE62" s="965"/>
      <c r="FF62" s="965"/>
      <c r="FG62" s="965"/>
      <c r="FH62" s="965"/>
      <c r="FI62" s="965"/>
      <c r="FJ62" s="965"/>
      <c r="FK62" s="965"/>
      <c r="FL62" s="965"/>
      <c r="FM62" s="965"/>
      <c r="FN62" s="965"/>
      <c r="FO62" s="965"/>
      <c r="FP62" s="965"/>
      <c r="FQ62" s="965"/>
      <c r="FR62" s="965"/>
      <c r="FS62" s="965"/>
      <c r="FT62" s="965"/>
      <c r="FU62" s="965"/>
      <c r="FV62" s="965"/>
      <c r="FW62" s="965"/>
      <c r="FX62" s="965"/>
      <c r="FY62" s="965"/>
      <c r="FZ62" s="965"/>
      <c r="GA62" s="965"/>
      <c r="GB62" s="965"/>
      <c r="GC62" s="965"/>
      <c r="GD62" s="965"/>
      <c r="GE62" s="965"/>
      <c r="GF62" s="965"/>
      <c r="GG62" s="965"/>
      <c r="GH62" s="965"/>
      <c r="GI62" s="965"/>
      <c r="GJ62" s="965"/>
      <c r="GK62" s="965"/>
      <c r="GL62" s="965"/>
      <c r="GM62" s="965"/>
      <c r="GN62" s="965"/>
      <c r="GO62" s="965"/>
      <c r="GP62" s="965"/>
      <c r="GQ62" s="965"/>
      <c r="GR62" s="965"/>
      <c r="GS62" s="965"/>
      <c r="GT62" s="965"/>
      <c r="GU62" s="965"/>
      <c r="GV62" s="965"/>
      <c r="GW62" s="965"/>
      <c r="GX62" s="965"/>
      <c r="GY62" s="965"/>
      <c r="GZ62" s="965"/>
      <c r="HA62" s="965"/>
      <c r="HB62" s="965"/>
      <c r="HC62" s="965"/>
      <c r="HD62" s="965"/>
      <c r="HE62" s="965"/>
      <c r="HF62" s="965"/>
      <c r="HG62" s="965"/>
      <c r="HH62" s="965"/>
      <c r="HI62" s="965"/>
      <c r="HJ62" s="965"/>
      <c r="HK62" s="965"/>
      <c r="HL62" s="965"/>
      <c r="HM62" s="965"/>
      <c r="HN62" s="965"/>
      <c r="HO62" s="965"/>
      <c r="HP62" s="965"/>
      <c r="HQ62" s="965"/>
      <c r="HR62" s="965"/>
      <c r="HS62" s="965"/>
      <c r="HT62" s="965"/>
      <c r="HU62" s="965"/>
      <c r="HV62" s="965"/>
      <c r="HW62" s="965"/>
      <c r="HX62" s="965"/>
      <c r="HY62" s="965"/>
      <c r="HZ62" s="965"/>
      <c r="IA62" s="965"/>
      <c r="IB62" s="965"/>
      <c r="IC62" s="965"/>
      <c r="ID62" s="965"/>
      <c r="IE62" s="965"/>
      <c r="IF62" s="965"/>
      <c r="IG62" s="965"/>
      <c r="IH62" s="965"/>
      <c r="II62" s="965"/>
    </row>
    <row r="63" spans="3:243">
      <c r="C63" s="965"/>
      <c r="D63" s="965"/>
      <c r="E63" s="965"/>
      <c r="F63" s="965"/>
      <c r="G63" s="965"/>
      <c r="H63" s="965"/>
      <c r="I63" s="965"/>
      <c r="J63" s="965"/>
      <c r="K63" s="965"/>
      <c r="L63" s="965"/>
      <c r="M63" s="965"/>
      <c r="N63" s="965"/>
      <c r="O63" s="965"/>
      <c r="P63" s="965"/>
      <c r="Q63" s="965"/>
      <c r="R63" s="965"/>
      <c r="S63" s="965"/>
      <c r="T63" s="965"/>
      <c r="U63" s="965"/>
      <c r="V63" s="965"/>
      <c r="W63" s="965"/>
      <c r="X63" s="965"/>
      <c r="Y63" s="965"/>
      <c r="Z63" s="965"/>
      <c r="AA63" s="965"/>
      <c r="AB63" s="965"/>
      <c r="AC63" s="965"/>
      <c r="AD63" s="965"/>
      <c r="AE63" s="965"/>
      <c r="AF63" s="965"/>
      <c r="AG63" s="965"/>
      <c r="AH63" s="965"/>
      <c r="AI63" s="965"/>
      <c r="AJ63" s="965"/>
      <c r="AK63" s="965"/>
      <c r="AL63" s="965"/>
      <c r="AM63" s="965"/>
      <c r="AN63" s="965"/>
      <c r="AO63" s="965"/>
      <c r="AP63" s="965"/>
      <c r="AQ63" s="965"/>
      <c r="AR63" s="965"/>
      <c r="AS63" s="965"/>
      <c r="AT63" s="965"/>
      <c r="AU63" s="965"/>
      <c r="AV63" s="965"/>
      <c r="AW63" s="965"/>
      <c r="AX63" s="965"/>
      <c r="AY63" s="965"/>
      <c r="AZ63" s="965"/>
      <c r="BA63" s="965"/>
      <c r="BB63" s="965"/>
      <c r="BC63" s="965"/>
      <c r="BD63" s="965"/>
      <c r="BE63" s="965"/>
      <c r="BF63" s="965"/>
      <c r="BG63" s="965"/>
      <c r="BH63" s="965"/>
      <c r="BI63" s="965"/>
      <c r="BJ63" s="965"/>
      <c r="BK63" s="965"/>
      <c r="BL63" s="965"/>
      <c r="BM63" s="965"/>
      <c r="BN63" s="965"/>
      <c r="BO63" s="965"/>
      <c r="BP63" s="965"/>
      <c r="BQ63" s="965"/>
      <c r="BR63" s="965"/>
      <c r="BS63" s="965"/>
      <c r="BT63" s="965"/>
      <c r="BU63" s="965"/>
      <c r="BV63" s="965"/>
      <c r="BW63" s="965"/>
      <c r="BX63" s="965"/>
      <c r="BY63" s="965"/>
      <c r="BZ63" s="965"/>
      <c r="CA63" s="965"/>
      <c r="CB63" s="965"/>
      <c r="CC63" s="965"/>
      <c r="CD63" s="965"/>
      <c r="CE63" s="965"/>
      <c r="CF63" s="965"/>
      <c r="CG63" s="965"/>
      <c r="CH63" s="965"/>
      <c r="CI63" s="965"/>
      <c r="CJ63" s="965"/>
      <c r="CK63" s="965"/>
      <c r="CL63" s="965"/>
      <c r="CM63" s="965"/>
      <c r="CN63" s="965"/>
      <c r="CO63" s="965"/>
      <c r="CP63" s="965"/>
      <c r="CQ63" s="965"/>
      <c r="CR63" s="965"/>
      <c r="CS63" s="965"/>
      <c r="CT63" s="965"/>
      <c r="CU63" s="965"/>
      <c r="CV63" s="965"/>
      <c r="CW63" s="965"/>
      <c r="CX63" s="965"/>
      <c r="CY63" s="965"/>
      <c r="CZ63" s="965"/>
      <c r="DA63" s="965"/>
      <c r="DB63" s="965"/>
      <c r="DC63" s="965"/>
      <c r="DD63" s="965"/>
      <c r="DE63" s="965"/>
      <c r="DF63" s="965"/>
      <c r="DG63" s="965"/>
      <c r="DH63" s="965"/>
      <c r="DI63" s="965"/>
      <c r="DJ63" s="965"/>
      <c r="DK63" s="965"/>
      <c r="DL63" s="965"/>
      <c r="DM63" s="965"/>
      <c r="DN63" s="965"/>
      <c r="DO63" s="965"/>
      <c r="DP63" s="965"/>
      <c r="DQ63" s="965"/>
      <c r="DR63" s="965"/>
      <c r="DS63" s="965"/>
      <c r="DT63" s="965"/>
      <c r="DU63" s="965"/>
      <c r="DV63" s="965"/>
      <c r="DW63" s="965"/>
      <c r="DX63" s="965"/>
      <c r="DY63" s="965"/>
      <c r="DZ63" s="965"/>
      <c r="EA63" s="965"/>
      <c r="EB63" s="965"/>
      <c r="EC63" s="965"/>
      <c r="ED63" s="965"/>
      <c r="EE63" s="965"/>
      <c r="EF63" s="965"/>
      <c r="EG63" s="965"/>
      <c r="EH63" s="965"/>
      <c r="EI63" s="965"/>
      <c r="EJ63" s="965"/>
      <c r="EK63" s="965"/>
      <c r="EL63" s="965"/>
      <c r="EM63" s="965"/>
      <c r="EN63" s="965"/>
      <c r="EO63" s="965"/>
      <c r="EP63" s="965"/>
      <c r="EQ63" s="965"/>
      <c r="ER63" s="965"/>
      <c r="ES63" s="965"/>
      <c r="ET63" s="965"/>
      <c r="EU63" s="965"/>
      <c r="EV63" s="965"/>
      <c r="EW63" s="965"/>
      <c r="EX63" s="965"/>
      <c r="EY63" s="965"/>
      <c r="EZ63" s="965"/>
      <c r="FA63" s="965"/>
      <c r="FB63" s="965"/>
      <c r="FC63" s="965"/>
      <c r="FD63" s="965"/>
      <c r="FE63" s="965"/>
      <c r="FF63" s="965"/>
      <c r="FG63" s="965"/>
      <c r="FH63" s="965"/>
      <c r="FI63" s="965"/>
      <c r="FJ63" s="965"/>
      <c r="FK63" s="965"/>
      <c r="FL63" s="965"/>
      <c r="FM63" s="965"/>
      <c r="FN63" s="965"/>
      <c r="FO63" s="965"/>
      <c r="FP63" s="965"/>
      <c r="FQ63" s="965"/>
      <c r="FR63" s="965"/>
      <c r="FS63" s="965"/>
      <c r="FT63" s="965"/>
      <c r="FU63" s="965"/>
      <c r="FV63" s="965"/>
      <c r="FW63" s="965"/>
      <c r="FX63" s="965"/>
      <c r="FY63" s="965"/>
      <c r="FZ63" s="965"/>
      <c r="GA63" s="965"/>
      <c r="GB63" s="965"/>
      <c r="GC63" s="965"/>
      <c r="GD63" s="965"/>
      <c r="GE63" s="965"/>
      <c r="GF63" s="965"/>
      <c r="GG63" s="965"/>
      <c r="GH63" s="965"/>
      <c r="GI63" s="965"/>
      <c r="GJ63" s="965"/>
      <c r="GK63" s="965"/>
      <c r="GL63" s="965"/>
      <c r="GM63" s="965"/>
      <c r="GN63" s="965"/>
      <c r="GO63" s="965"/>
      <c r="GP63" s="965"/>
      <c r="GQ63" s="965"/>
      <c r="GR63" s="965"/>
      <c r="GS63" s="965"/>
      <c r="GT63" s="965"/>
      <c r="GU63" s="965"/>
      <c r="GV63" s="965"/>
      <c r="GW63" s="965"/>
      <c r="GX63" s="965"/>
      <c r="GY63" s="965"/>
      <c r="GZ63" s="965"/>
      <c r="HA63" s="965"/>
      <c r="HB63" s="965"/>
      <c r="HC63" s="965"/>
      <c r="HD63" s="965"/>
      <c r="HE63" s="965"/>
      <c r="HF63" s="965"/>
      <c r="HG63" s="965"/>
      <c r="HH63" s="965"/>
      <c r="HI63" s="965"/>
      <c r="HJ63" s="965"/>
      <c r="HK63" s="965"/>
      <c r="HL63" s="965"/>
      <c r="HM63" s="965"/>
      <c r="HN63" s="965"/>
      <c r="HO63" s="965"/>
      <c r="HP63" s="965"/>
      <c r="HQ63" s="965"/>
      <c r="HR63" s="965"/>
      <c r="HS63" s="965"/>
      <c r="HT63" s="965"/>
      <c r="HU63" s="965"/>
      <c r="HV63" s="965"/>
      <c r="HW63" s="965"/>
      <c r="HX63" s="965"/>
      <c r="HY63" s="965"/>
      <c r="HZ63" s="965"/>
      <c r="IA63" s="965"/>
      <c r="IB63" s="965"/>
      <c r="IC63" s="965"/>
      <c r="ID63" s="965"/>
      <c r="IE63" s="965"/>
      <c r="IF63" s="965"/>
      <c r="IG63" s="965"/>
      <c r="IH63" s="965"/>
      <c r="II63" s="965"/>
    </row>
    <row r="64" spans="3:243">
      <c r="C64" s="965"/>
      <c r="D64" s="965"/>
      <c r="E64" s="965"/>
      <c r="F64" s="965"/>
      <c r="G64" s="965"/>
      <c r="H64" s="965"/>
      <c r="I64" s="965"/>
      <c r="J64" s="965"/>
      <c r="K64" s="965"/>
      <c r="L64" s="965"/>
      <c r="M64" s="965"/>
      <c r="N64" s="965"/>
      <c r="O64" s="965"/>
      <c r="P64" s="965"/>
      <c r="Q64" s="965"/>
      <c r="R64" s="965"/>
      <c r="S64" s="965"/>
      <c r="T64" s="965"/>
      <c r="U64" s="965"/>
      <c r="V64" s="965"/>
      <c r="W64" s="965"/>
      <c r="X64" s="965"/>
      <c r="Y64" s="965"/>
      <c r="Z64" s="965"/>
      <c r="AA64" s="965"/>
      <c r="AB64" s="965"/>
      <c r="AC64" s="965"/>
      <c r="AD64" s="965"/>
      <c r="AE64" s="965"/>
      <c r="AF64" s="965"/>
      <c r="AG64" s="965"/>
      <c r="AH64" s="965"/>
      <c r="AI64" s="965"/>
      <c r="AJ64" s="965"/>
      <c r="AK64" s="965"/>
      <c r="AL64" s="965"/>
      <c r="AM64" s="965"/>
      <c r="AN64" s="965"/>
      <c r="AO64" s="965"/>
      <c r="AP64" s="965"/>
      <c r="AQ64" s="965"/>
      <c r="AR64" s="965"/>
      <c r="AS64" s="965"/>
      <c r="AT64" s="965"/>
      <c r="AU64" s="965"/>
      <c r="AV64" s="965"/>
      <c r="AW64" s="965"/>
      <c r="AX64" s="965"/>
      <c r="AY64" s="965"/>
      <c r="AZ64" s="965"/>
      <c r="BA64" s="965"/>
      <c r="BB64" s="965"/>
      <c r="BC64" s="965"/>
      <c r="BD64" s="965"/>
      <c r="BE64" s="965"/>
      <c r="BF64" s="965"/>
      <c r="BG64" s="965"/>
      <c r="BH64" s="965"/>
      <c r="BI64" s="965"/>
      <c r="BJ64" s="965"/>
      <c r="BK64" s="965"/>
      <c r="BL64" s="965"/>
      <c r="BM64" s="965"/>
      <c r="BN64" s="965"/>
      <c r="BO64" s="965"/>
      <c r="BP64" s="965"/>
      <c r="BQ64" s="965"/>
      <c r="BR64" s="965"/>
      <c r="BS64" s="965"/>
      <c r="BT64" s="965"/>
      <c r="BU64" s="965"/>
      <c r="BV64" s="965"/>
      <c r="BW64" s="965"/>
      <c r="BX64" s="965"/>
      <c r="BY64" s="965"/>
      <c r="BZ64" s="965"/>
      <c r="CA64" s="965"/>
      <c r="CB64" s="965"/>
      <c r="CC64" s="965"/>
      <c r="CD64" s="965"/>
      <c r="CE64" s="965"/>
      <c r="CF64" s="965"/>
      <c r="CG64" s="965"/>
      <c r="CH64" s="965"/>
      <c r="CI64" s="965"/>
      <c r="CJ64" s="965"/>
      <c r="CK64" s="965"/>
      <c r="CL64" s="965"/>
      <c r="CM64" s="965"/>
      <c r="CN64" s="965"/>
      <c r="CO64" s="965"/>
      <c r="CP64" s="965"/>
      <c r="CQ64" s="965"/>
      <c r="CR64" s="965"/>
      <c r="CS64" s="965"/>
      <c r="CT64" s="965"/>
      <c r="CU64" s="965"/>
      <c r="CV64" s="965"/>
      <c r="CW64" s="965"/>
      <c r="CX64" s="965"/>
      <c r="CY64" s="965"/>
      <c r="CZ64" s="965"/>
      <c r="DA64" s="965"/>
      <c r="DB64" s="965"/>
      <c r="DC64" s="965"/>
      <c r="DD64" s="965"/>
      <c r="DE64" s="965"/>
      <c r="DF64" s="965"/>
      <c r="DG64" s="965"/>
      <c r="DH64" s="965"/>
      <c r="DI64" s="965"/>
      <c r="DJ64" s="965"/>
      <c r="DK64" s="965"/>
      <c r="DL64" s="965"/>
      <c r="DM64" s="965"/>
      <c r="DN64" s="965"/>
      <c r="DO64" s="965"/>
      <c r="DP64" s="965"/>
      <c r="DQ64" s="965"/>
      <c r="DR64" s="965"/>
      <c r="DS64" s="965"/>
      <c r="DT64" s="965"/>
      <c r="DU64" s="965"/>
      <c r="DV64" s="965"/>
      <c r="DW64" s="965"/>
      <c r="DX64" s="965"/>
      <c r="DY64" s="965"/>
      <c r="DZ64" s="965"/>
      <c r="EA64" s="965"/>
      <c r="EB64" s="965"/>
      <c r="EC64" s="965"/>
      <c r="ED64" s="965"/>
      <c r="EE64" s="965"/>
      <c r="EF64" s="965"/>
      <c r="EG64" s="965"/>
      <c r="EH64" s="965"/>
      <c r="EI64" s="965"/>
      <c r="EJ64" s="965"/>
      <c r="EK64" s="965"/>
      <c r="EL64" s="965"/>
      <c r="EM64" s="965"/>
      <c r="EN64" s="965"/>
      <c r="EO64" s="965"/>
      <c r="EP64" s="965"/>
      <c r="EQ64" s="965"/>
      <c r="ER64" s="965"/>
      <c r="ES64" s="965"/>
      <c r="ET64" s="965"/>
      <c r="EU64" s="965"/>
      <c r="EV64" s="965"/>
      <c r="EW64" s="965"/>
      <c r="EX64" s="965"/>
      <c r="EY64" s="965"/>
      <c r="EZ64" s="965"/>
      <c r="FA64" s="965"/>
      <c r="FB64" s="965"/>
      <c r="FC64" s="965"/>
      <c r="FD64" s="965"/>
      <c r="FE64" s="965"/>
      <c r="FF64" s="965"/>
      <c r="FG64" s="965"/>
      <c r="FH64" s="965"/>
      <c r="FI64" s="965"/>
      <c r="FJ64" s="965"/>
      <c r="FK64" s="965"/>
      <c r="FL64" s="965"/>
      <c r="FM64" s="965"/>
      <c r="FN64" s="965"/>
      <c r="FO64" s="965"/>
      <c r="FP64" s="965"/>
      <c r="FQ64" s="965"/>
      <c r="FR64" s="965"/>
      <c r="FS64" s="965"/>
      <c r="FT64" s="965"/>
      <c r="FU64" s="965"/>
      <c r="FV64" s="965"/>
      <c r="FW64" s="965"/>
      <c r="FX64" s="965"/>
      <c r="FY64" s="965"/>
      <c r="FZ64" s="965"/>
      <c r="GA64" s="965"/>
      <c r="GB64" s="965"/>
      <c r="GC64" s="965"/>
      <c r="GD64" s="965"/>
      <c r="GE64" s="965"/>
      <c r="GF64" s="965"/>
      <c r="GG64" s="965"/>
      <c r="GH64" s="965"/>
      <c r="GI64" s="965"/>
      <c r="GJ64" s="965"/>
      <c r="GK64" s="965"/>
      <c r="GL64" s="965"/>
      <c r="GM64" s="965"/>
      <c r="GN64" s="965"/>
      <c r="GO64" s="965"/>
      <c r="GP64" s="965"/>
      <c r="GQ64" s="965"/>
      <c r="GR64" s="965"/>
      <c r="GS64" s="965"/>
      <c r="GT64" s="965"/>
      <c r="GU64" s="965"/>
      <c r="GV64" s="965"/>
      <c r="GW64" s="965"/>
      <c r="GX64" s="965"/>
      <c r="GY64" s="965"/>
      <c r="GZ64" s="965"/>
      <c r="HA64" s="965"/>
      <c r="HB64" s="965"/>
      <c r="HC64" s="965"/>
      <c r="HD64" s="965"/>
      <c r="HE64" s="965"/>
      <c r="HF64" s="965"/>
      <c r="HG64" s="965"/>
      <c r="HH64" s="965"/>
      <c r="HI64" s="965"/>
      <c r="HJ64" s="965"/>
      <c r="HK64" s="965"/>
      <c r="HL64" s="965"/>
      <c r="HM64" s="965"/>
      <c r="HN64" s="965"/>
      <c r="HO64" s="965"/>
      <c r="HP64" s="965"/>
      <c r="HQ64" s="965"/>
      <c r="HR64" s="965"/>
      <c r="HS64" s="965"/>
      <c r="HT64" s="965"/>
      <c r="HU64" s="965"/>
      <c r="HV64" s="965"/>
      <c r="HW64" s="965"/>
      <c r="HX64" s="965"/>
      <c r="HY64" s="965"/>
      <c r="HZ64" s="965"/>
      <c r="IA64" s="965"/>
      <c r="IB64" s="965"/>
      <c r="IC64" s="965"/>
      <c r="ID64" s="965"/>
      <c r="IE64" s="965"/>
      <c r="IF64" s="965"/>
      <c r="IG64" s="965"/>
      <c r="IH64" s="965"/>
      <c r="II64" s="965"/>
    </row>
    <row r="65" spans="3:243">
      <c r="C65" s="965"/>
      <c r="D65" s="965"/>
      <c r="E65" s="965"/>
      <c r="F65" s="965"/>
      <c r="G65" s="965"/>
      <c r="H65" s="965"/>
      <c r="I65" s="965"/>
      <c r="J65" s="965"/>
      <c r="K65" s="965"/>
      <c r="L65" s="965"/>
      <c r="M65" s="965"/>
      <c r="N65" s="965"/>
      <c r="O65" s="965"/>
      <c r="P65" s="965"/>
      <c r="Q65" s="965"/>
      <c r="R65" s="965"/>
      <c r="S65" s="965"/>
      <c r="T65" s="965"/>
      <c r="U65" s="965"/>
      <c r="V65" s="965"/>
      <c r="W65" s="965"/>
      <c r="X65" s="965"/>
      <c r="Y65" s="965"/>
      <c r="Z65" s="965"/>
      <c r="AA65" s="965"/>
      <c r="AB65" s="965"/>
      <c r="AC65" s="965"/>
      <c r="AD65" s="965"/>
      <c r="AE65" s="965"/>
      <c r="AF65" s="965"/>
      <c r="AG65" s="965"/>
      <c r="AH65" s="965"/>
      <c r="AI65" s="965"/>
      <c r="AJ65" s="965"/>
      <c r="AK65" s="965"/>
      <c r="AL65" s="965"/>
      <c r="AM65" s="965"/>
      <c r="AN65" s="965"/>
      <c r="AO65" s="965"/>
      <c r="AP65" s="965"/>
      <c r="AQ65" s="965"/>
      <c r="AR65" s="965"/>
      <c r="AS65" s="965"/>
      <c r="AT65" s="965"/>
      <c r="AU65" s="965"/>
      <c r="AV65" s="965"/>
      <c r="AW65" s="965"/>
      <c r="AX65" s="965"/>
      <c r="AY65" s="965"/>
      <c r="AZ65" s="965"/>
      <c r="BA65" s="965"/>
      <c r="BB65" s="965"/>
      <c r="BC65" s="965"/>
      <c r="BD65" s="965"/>
      <c r="BE65" s="965"/>
      <c r="BF65" s="965"/>
      <c r="BG65" s="965"/>
      <c r="BH65" s="965"/>
      <c r="BI65" s="965"/>
      <c r="BJ65" s="965"/>
      <c r="BK65" s="965"/>
      <c r="BL65" s="965"/>
      <c r="BM65" s="965"/>
      <c r="BN65" s="965"/>
      <c r="BO65" s="965"/>
      <c r="BP65" s="965"/>
      <c r="BQ65" s="965"/>
      <c r="BR65" s="965"/>
      <c r="BS65" s="965"/>
      <c r="BT65" s="965"/>
      <c r="BU65" s="965"/>
      <c r="BV65" s="965"/>
      <c r="BW65" s="965"/>
      <c r="BX65" s="965"/>
      <c r="BY65" s="965"/>
      <c r="BZ65" s="965"/>
      <c r="CA65" s="965"/>
      <c r="CB65" s="965"/>
      <c r="CC65" s="965"/>
      <c r="CD65" s="965"/>
      <c r="CE65" s="965"/>
      <c r="CF65" s="965"/>
      <c r="CG65" s="965"/>
      <c r="CH65" s="965"/>
      <c r="CI65" s="965"/>
      <c r="CJ65" s="965"/>
      <c r="CK65" s="965"/>
      <c r="CL65" s="965"/>
      <c r="CM65" s="965"/>
      <c r="CN65" s="965"/>
      <c r="CO65" s="965"/>
      <c r="CP65" s="965"/>
      <c r="CQ65" s="965"/>
      <c r="CR65" s="965"/>
      <c r="CS65" s="965"/>
      <c r="CT65" s="965"/>
      <c r="CU65" s="965"/>
      <c r="CV65" s="965"/>
      <c r="CW65" s="965"/>
      <c r="CX65" s="965"/>
      <c r="CY65" s="965"/>
      <c r="CZ65" s="965"/>
      <c r="DA65" s="965"/>
      <c r="DB65" s="965"/>
      <c r="DC65" s="965"/>
      <c r="DD65" s="965"/>
      <c r="DE65" s="965"/>
      <c r="DF65" s="965"/>
      <c r="DG65" s="965"/>
      <c r="DH65" s="965"/>
      <c r="DI65" s="965"/>
      <c r="DJ65" s="965"/>
      <c r="DK65" s="965"/>
      <c r="DL65" s="965"/>
      <c r="DM65" s="965"/>
      <c r="DN65" s="965"/>
      <c r="DO65" s="965"/>
      <c r="DP65" s="965"/>
      <c r="DQ65" s="965"/>
      <c r="DR65" s="965"/>
      <c r="DS65" s="965"/>
      <c r="DT65" s="965"/>
      <c r="DU65" s="965"/>
      <c r="DV65" s="965"/>
      <c r="DW65" s="965"/>
      <c r="DX65" s="965"/>
      <c r="DY65" s="965"/>
      <c r="DZ65" s="965"/>
      <c r="EA65" s="965"/>
      <c r="EB65" s="965"/>
      <c r="EC65" s="965"/>
      <c r="ED65" s="965"/>
      <c r="EE65" s="965"/>
      <c r="EF65" s="965"/>
      <c r="EG65" s="965"/>
      <c r="EH65" s="965"/>
      <c r="EI65" s="965"/>
      <c r="EJ65" s="965"/>
      <c r="EK65" s="965"/>
      <c r="EL65" s="965"/>
      <c r="EM65" s="965"/>
      <c r="EN65" s="965"/>
      <c r="EO65" s="965"/>
      <c r="EP65" s="965"/>
      <c r="EQ65" s="965"/>
      <c r="ER65" s="965"/>
      <c r="ES65" s="965"/>
      <c r="ET65" s="965"/>
      <c r="EU65" s="965"/>
      <c r="EV65" s="965"/>
      <c r="EW65" s="965"/>
      <c r="EX65" s="965"/>
      <c r="EY65" s="965"/>
      <c r="EZ65" s="965"/>
      <c r="FA65" s="965"/>
      <c r="FB65" s="965"/>
      <c r="FC65" s="965"/>
      <c r="FD65" s="965"/>
      <c r="FE65" s="965"/>
      <c r="FF65" s="965"/>
      <c r="FG65" s="965"/>
      <c r="FH65" s="965"/>
      <c r="FI65" s="965"/>
      <c r="FJ65" s="965"/>
      <c r="FK65" s="965"/>
      <c r="FL65" s="965"/>
      <c r="FM65" s="965"/>
      <c r="FN65" s="965"/>
      <c r="FO65" s="965"/>
      <c r="FP65" s="965"/>
      <c r="FQ65" s="965"/>
      <c r="FR65" s="965"/>
      <c r="FS65" s="965"/>
      <c r="FT65" s="965"/>
      <c r="FU65" s="965"/>
      <c r="FV65" s="965"/>
      <c r="FW65" s="965"/>
      <c r="FX65" s="965"/>
      <c r="FY65" s="965"/>
      <c r="FZ65" s="965"/>
      <c r="GA65" s="965"/>
      <c r="GB65" s="965"/>
      <c r="GC65" s="965"/>
      <c r="GD65" s="965"/>
      <c r="GE65" s="965"/>
      <c r="GF65" s="965"/>
      <c r="GG65" s="965"/>
      <c r="GH65" s="965"/>
      <c r="GI65" s="965"/>
      <c r="GJ65" s="965"/>
      <c r="GK65" s="965"/>
      <c r="GL65" s="965"/>
      <c r="GM65" s="965"/>
      <c r="GN65" s="965"/>
      <c r="GO65" s="965"/>
      <c r="GP65" s="965"/>
      <c r="GQ65" s="965"/>
      <c r="GR65" s="965"/>
      <c r="GS65" s="965"/>
      <c r="GT65" s="965"/>
      <c r="GU65" s="965"/>
      <c r="GV65" s="965"/>
      <c r="GW65" s="965"/>
      <c r="GX65" s="965"/>
      <c r="GY65" s="965"/>
      <c r="GZ65" s="965"/>
      <c r="HA65" s="965"/>
      <c r="HB65" s="965"/>
      <c r="HC65" s="965"/>
      <c r="HD65" s="965"/>
      <c r="HE65" s="965"/>
      <c r="HF65" s="965"/>
      <c r="HG65" s="965"/>
      <c r="HH65" s="965"/>
      <c r="HI65" s="965"/>
      <c r="HJ65" s="965"/>
      <c r="HK65" s="965"/>
      <c r="HL65" s="965"/>
      <c r="HM65" s="965"/>
      <c r="HN65" s="965"/>
      <c r="HO65" s="965"/>
      <c r="HP65" s="965"/>
      <c r="HQ65" s="965"/>
      <c r="HR65" s="965"/>
      <c r="HS65" s="965"/>
      <c r="HT65" s="965"/>
      <c r="HU65" s="965"/>
      <c r="HV65" s="965"/>
      <c r="HW65" s="965"/>
      <c r="HX65" s="965"/>
      <c r="HY65" s="965"/>
      <c r="HZ65" s="965"/>
      <c r="IA65" s="965"/>
      <c r="IB65" s="965"/>
      <c r="IC65" s="965"/>
      <c r="ID65" s="965"/>
      <c r="IE65" s="965"/>
      <c r="IF65" s="965"/>
      <c r="IG65" s="965"/>
      <c r="IH65" s="965"/>
      <c r="II65" s="965"/>
    </row>
    <row r="66" spans="3:243">
      <c r="C66" s="965"/>
      <c r="D66" s="965"/>
      <c r="E66" s="965"/>
      <c r="F66" s="965"/>
      <c r="G66" s="965"/>
      <c r="H66" s="965"/>
      <c r="I66" s="965"/>
      <c r="J66" s="965"/>
      <c r="K66" s="965"/>
      <c r="L66" s="965"/>
      <c r="M66" s="965"/>
      <c r="N66" s="965"/>
      <c r="O66" s="965"/>
      <c r="P66" s="965"/>
      <c r="Q66" s="965"/>
      <c r="R66" s="965"/>
      <c r="S66" s="965"/>
      <c r="T66" s="965"/>
      <c r="U66" s="965"/>
      <c r="V66" s="965"/>
      <c r="W66" s="965"/>
      <c r="X66" s="965"/>
      <c r="Y66" s="965"/>
      <c r="Z66" s="965"/>
      <c r="AA66" s="965"/>
      <c r="AB66" s="965"/>
      <c r="AC66" s="965"/>
      <c r="AD66" s="965"/>
      <c r="AE66" s="965"/>
      <c r="AF66" s="965"/>
      <c r="AG66" s="965"/>
      <c r="AH66" s="965"/>
      <c r="AI66" s="965"/>
      <c r="AJ66" s="965"/>
      <c r="AK66" s="965"/>
      <c r="AL66" s="965"/>
      <c r="AM66" s="965"/>
      <c r="AN66" s="965"/>
      <c r="AO66" s="965"/>
      <c r="AP66" s="965"/>
      <c r="AQ66" s="965"/>
      <c r="AR66" s="965"/>
      <c r="AS66" s="965"/>
      <c r="AT66" s="965"/>
      <c r="AU66" s="965"/>
      <c r="AV66" s="965"/>
      <c r="AW66" s="965"/>
      <c r="AX66" s="965"/>
      <c r="AY66" s="965"/>
      <c r="AZ66" s="965"/>
      <c r="BA66" s="965"/>
      <c r="BB66" s="965"/>
      <c r="BC66" s="965"/>
      <c r="BD66" s="965"/>
      <c r="BE66" s="965"/>
      <c r="BF66" s="965"/>
      <c r="BG66" s="965"/>
      <c r="BH66" s="965"/>
      <c r="BI66" s="965"/>
      <c r="BJ66" s="965"/>
      <c r="BK66" s="965"/>
      <c r="BL66" s="965"/>
      <c r="BM66" s="965"/>
      <c r="BN66" s="965"/>
      <c r="BO66" s="965"/>
      <c r="BP66" s="965"/>
      <c r="BQ66" s="965"/>
      <c r="BR66" s="965"/>
      <c r="BS66" s="965"/>
      <c r="BT66" s="965"/>
      <c r="BU66" s="965"/>
      <c r="BV66" s="965"/>
      <c r="BW66" s="965"/>
      <c r="BX66" s="965"/>
      <c r="BY66" s="965"/>
      <c r="BZ66" s="965"/>
      <c r="CA66" s="965"/>
      <c r="CB66" s="965"/>
      <c r="CC66" s="965"/>
      <c r="CD66" s="965"/>
      <c r="CE66" s="965"/>
      <c r="CF66" s="965"/>
      <c r="CG66" s="965"/>
      <c r="CH66" s="965"/>
      <c r="CI66" s="965"/>
      <c r="CJ66" s="965"/>
      <c r="CK66" s="965"/>
      <c r="CL66" s="965"/>
      <c r="CM66" s="965"/>
      <c r="CN66" s="965"/>
      <c r="CO66" s="965"/>
      <c r="CP66" s="965"/>
      <c r="CQ66" s="965"/>
      <c r="CR66" s="965"/>
      <c r="CS66" s="965"/>
      <c r="CT66" s="965"/>
      <c r="CU66" s="965"/>
      <c r="CV66" s="965"/>
      <c r="CW66" s="965"/>
      <c r="CX66" s="965"/>
      <c r="CY66" s="965"/>
      <c r="CZ66" s="965"/>
      <c r="DA66" s="965"/>
      <c r="DB66" s="965"/>
      <c r="DC66" s="965"/>
      <c r="DD66" s="965"/>
      <c r="DE66" s="965"/>
      <c r="DF66" s="965"/>
      <c r="DG66" s="965"/>
      <c r="DH66" s="965"/>
      <c r="DI66" s="965"/>
      <c r="DJ66" s="965"/>
      <c r="DK66" s="965"/>
      <c r="DL66" s="965"/>
      <c r="DM66" s="965"/>
      <c r="DN66" s="965"/>
      <c r="DO66" s="965"/>
      <c r="DP66" s="965"/>
      <c r="DQ66" s="965"/>
      <c r="DR66" s="965"/>
      <c r="DS66" s="965"/>
      <c r="DT66" s="965"/>
      <c r="DU66" s="965"/>
      <c r="DV66" s="965"/>
      <c r="DW66" s="965"/>
      <c r="DX66" s="965"/>
      <c r="DY66" s="965"/>
      <c r="DZ66" s="965"/>
      <c r="EA66" s="965"/>
      <c r="EB66" s="965"/>
      <c r="EC66" s="965"/>
      <c r="ED66" s="965"/>
      <c r="EE66" s="965"/>
      <c r="EF66" s="965"/>
      <c r="EG66" s="965"/>
      <c r="EH66" s="965"/>
      <c r="EI66" s="965"/>
      <c r="EJ66" s="965"/>
      <c r="EK66" s="965"/>
      <c r="EL66" s="965"/>
      <c r="EM66" s="965"/>
      <c r="EN66" s="965"/>
      <c r="EO66" s="965"/>
      <c r="EP66" s="965"/>
      <c r="EQ66" s="965"/>
      <c r="ER66" s="965"/>
      <c r="ES66" s="965"/>
      <c r="ET66" s="965"/>
      <c r="EU66" s="965"/>
      <c r="EV66" s="965"/>
      <c r="EW66" s="965"/>
      <c r="EX66" s="965"/>
      <c r="EY66" s="965"/>
      <c r="EZ66" s="965"/>
      <c r="FA66" s="965"/>
      <c r="FB66" s="965"/>
      <c r="FC66" s="965"/>
      <c r="FD66" s="965"/>
      <c r="FE66" s="965"/>
      <c r="FF66" s="965"/>
      <c r="FG66" s="965"/>
      <c r="FH66" s="965"/>
      <c r="FI66" s="965"/>
      <c r="FJ66" s="965"/>
      <c r="FK66" s="965"/>
      <c r="FL66" s="965"/>
      <c r="FM66" s="965"/>
      <c r="FN66" s="965"/>
      <c r="FO66" s="965"/>
      <c r="FP66" s="965"/>
      <c r="FQ66" s="965"/>
      <c r="FR66" s="965"/>
      <c r="FS66" s="965"/>
      <c r="FT66" s="965"/>
      <c r="FU66" s="965"/>
      <c r="FV66" s="965"/>
      <c r="FW66" s="965"/>
      <c r="FX66" s="965"/>
      <c r="FY66" s="965"/>
      <c r="FZ66" s="965"/>
      <c r="GA66" s="965"/>
      <c r="GB66" s="965"/>
      <c r="GC66" s="965"/>
      <c r="GD66" s="965"/>
      <c r="GE66" s="965"/>
      <c r="GF66" s="965"/>
      <c r="GG66" s="965"/>
      <c r="GH66" s="965"/>
      <c r="GI66" s="965"/>
      <c r="GJ66" s="965"/>
      <c r="GK66" s="965"/>
      <c r="GL66" s="965"/>
      <c r="GM66" s="965"/>
      <c r="GN66" s="965"/>
      <c r="GO66" s="965"/>
      <c r="GP66" s="965"/>
      <c r="GQ66" s="965"/>
      <c r="GR66" s="965"/>
      <c r="GS66" s="965"/>
      <c r="GT66" s="965"/>
      <c r="GU66" s="965"/>
      <c r="GV66" s="965"/>
      <c r="GW66" s="965"/>
      <c r="GX66" s="965"/>
      <c r="GY66" s="965"/>
      <c r="GZ66" s="965"/>
      <c r="HA66" s="965"/>
      <c r="HB66" s="965"/>
      <c r="HC66" s="965"/>
      <c r="HD66" s="965"/>
      <c r="HE66" s="965"/>
      <c r="HF66" s="965"/>
      <c r="HG66" s="965"/>
      <c r="HH66" s="965"/>
      <c r="HI66" s="965"/>
      <c r="HJ66" s="965"/>
      <c r="HK66" s="965"/>
      <c r="HL66" s="965"/>
      <c r="HM66" s="965"/>
      <c r="HN66" s="965"/>
      <c r="HO66" s="965"/>
      <c r="HP66" s="965"/>
      <c r="HQ66" s="965"/>
      <c r="HR66" s="965"/>
      <c r="HS66" s="965"/>
      <c r="HT66" s="965"/>
      <c r="HU66" s="965"/>
      <c r="HV66" s="965"/>
      <c r="HW66" s="965"/>
      <c r="HX66" s="965"/>
      <c r="HY66" s="965"/>
      <c r="HZ66" s="965"/>
      <c r="IA66" s="965"/>
      <c r="IB66" s="965"/>
      <c r="IC66" s="965"/>
      <c r="ID66" s="965"/>
      <c r="IE66" s="965"/>
      <c r="IF66" s="965"/>
      <c r="IG66" s="965"/>
      <c r="IH66" s="965"/>
      <c r="II66" s="965"/>
    </row>
    <row r="67" spans="3:243">
      <c r="C67" s="965"/>
      <c r="D67" s="965"/>
      <c r="E67" s="965"/>
      <c r="F67" s="965"/>
      <c r="G67" s="965"/>
      <c r="H67" s="965"/>
      <c r="I67" s="965"/>
      <c r="J67" s="965"/>
      <c r="K67" s="965"/>
      <c r="L67" s="965"/>
      <c r="M67" s="965"/>
      <c r="N67" s="965"/>
      <c r="O67" s="965"/>
      <c r="P67" s="965"/>
      <c r="Q67" s="965"/>
      <c r="R67" s="965"/>
      <c r="S67" s="965"/>
      <c r="T67" s="965"/>
      <c r="U67" s="965"/>
      <c r="V67" s="965"/>
      <c r="W67" s="965"/>
      <c r="X67" s="965"/>
      <c r="Y67" s="965"/>
      <c r="Z67" s="965"/>
      <c r="AA67" s="965"/>
      <c r="AB67" s="965"/>
      <c r="AC67" s="965"/>
      <c r="AD67" s="965"/>
      <c r="AE67" s="965"/>
      <c r="AF67" s="965"/>
      <c r="AG67" s="965"/>
      <c r="AH67" s="965"/>
      <c r="AI67" s="965"/>
      <c r="AJ67" s="965"/>
      <c r="AK67" s="965"/>
      <c r="AL67" s="965"/>
      <c r="AM67" s="965"/>
      <c r="AN67" s="965"/>
      <c r="AO67" s="965"/>
      <c r="AP67" s="965"/>
      <c r="AQ67" s="965"/>
      <c r="AR67" s="965"/>
      <c r="AS67" s="965"/>
      <c r="AT67" s="965"/>
      <c r="AU67" s="965"/>
      <c r="AV67" s="965"/>
      <c r="AW67" s="965"/>
      <c r="AX67" s="965"/>
      <c r="AY67" s="965"/>
      <c r="AZ67" s="965"/>
      <c r="BA67" s="965"/>
      <c r="BB67" s="965"/>
      <c r="BC67" s="965"/>
      <c r="BD67" s="965"/>
      <c r="BE67" s="965"/>
      <c r="BF67" s="965"/>
      <c r="BG67" s="965"/>
      <c r="BH67" s="965"/>
      <c r="BI67" s="965"/>
      <c r="BJ67" s="965"/>
      <c r="BK67" s="965"/>
      <c r="BL67" s="965"/>
      <c r="BM67" s="965"/>
      <c r="BN67" s="965"/>
      <c r="BO67" s="965"/>
      <c r="BP67" s="965"/>
      <c r="BQ67" s="965"/>
      <c r="BR67" s="965"/>
      <c r="BS67" s="965"/>
      <c r="BT67" s="965"/>
      <c r="BU67" s="965"/>
      <c r="BV67" s="965"/>
      <c r="BW67" s="965"/>
      <c r="BX67" s="965"/>
      <c r="BY67" s="965"/>
      <c r="BZ67" s="965"/>
      <c r="CA67" s="965"/>
      <c r="CB67" s="965"/>
      <c r="CC67" s="965"/>
      <c r="CD67" s="965"/>
      <c r="CE67" s="965"/>
      <c r="CF67" s="965"/>
      <c r="CG67" s="965"/>
      <c r="CH67" s="965"/>
      <c r="CI67" s="965"/>
      <c r="CJ67" s="965"/>
      <c r="CK67" s="965"/>
      <c r="CL67" s="965"/>
      <c r="CM67" s="965"/>
      <c r="CN67" s="965"/>
      <c r="CO67" s="965"/>
      <c r="CP67" s="965"/>
      <c r="CQ67" s="965"/>
      <c r="CR67" s="965"/>
      <c r="CS67" s="965"/>
      <c r="CT67" s="965"/>
      <c r="CU67" s="965"/>
      <c r="CV67" s="965"/>
      <c r="CW67" s="965"/>
      <c r="CX67" s="965"/>
      <c r="CY67" s="965"/>
      <c r="CZ67" s="965"/>
      <c r="DA67" s="965"/>
      <c r="DB67" s="965"/>
      <c r="DC67" s="965"/>
      <c r="DD67" s="965"/>
      <c r="DE67" s="965"/>
      <c r="DF67" s="965"/>
      <c r="DG67" s="965"/>
      <c r="DH67" s="965"/>
      <c r="DI67" s="965"/>
      <c r="DJ67" s="965"/>
      <c r="DK67" s="965"/>
      <c r="DL67" s="965"/>
      <c r="DM67" s="965"/>
      <c r="DN67" s="965"/>
      <c r="DO67" s="965"/>
      <c r="DP67" s="965"/>
      <c r="DQ67" s="965"/>
      <c r="DR67" s="965"/>
      <c r="DS67" s="965"/>
      <c r="DT67" s="965"/>
      <c r="DU67" s="965"/>
      <c r="DV67" s="965"/>
      <c r="DW67" s="965"/>
      <c r="DX67" s="965"/>
      <c r="DY67" s="965"/>
      <c r="DZ67" s="965"/>
      <c r="EA67" s="965"/>
      <c r="EB67" s="965"/>
      <c r="EC67" s="965"/>
      <c r="ED67" s="965"/>
      <c r="EE67" s="965"/>
      <c r="EF67" s="965"/>
      <c r="EG67" s="965"/>
      <c r="EH67" s="965"/>
      <c r="EI67" s="965"/>
      <c r="EJ67" s="965"/>
      <c r="EK67" s="965"/>
      <c r="EL67" s="965"/>
      <c r="EM67" s="965"/>
      <c r="EN67" s="965"/>
      <c r="EO67" s="965"/>
      <c r="EP67" s="965"/>
      <c r="EQ67" s="965"/>
      <c r="ER67" s="965"/>
      <c r="ES67" s="965"/>
      <c r="ET67" s="965"/>
      <c r="EU67" s="965"/>
      <c r="EV67" s="965"/>
      <c r="EW67" s="965"/>
      <c r="EX67" s="965"/>
      <c r="EY67" s="965"/>
      <c r="EZ67" s="965"/>
      <c r="FA67" s="965"/>
      <c r="FB67" s="965"/>
      <c r="FC67" s="965"/>
      <c r="FD67" s="965"/>
      <c r="FE67" s="965"/>
      <c r="FF67" s="965"/>
      <c r="FG67" s="965"/>
      <c r="FH67" s="965"/>
      <c r="FI67" s="965"/>
      <c r="FJ67" s="965"/>
      <c r="FK67" s="965"/>
      <c r="FL67" s="965"/>
      <c r="FM67" s="965"/>
      <c r="FN67" s="965"/>
      <c r="FO67" s="965"/>
      <c r="FP67" s="965"/>
      <c r="FQ67" s="965"/>
      <c r="FR67" s="965"/>
      <c r="FS67" s="965"/>
      <c r="FT67" s="965"/>
      <c r="FU67" s="965"/>
      <c r="FV67" s="965"/>
      <c r="FW67" s="965"/>
      <c r="FX67" s="965"/>
      <c r="FY67" s="965"/>
      <c r="FZ67" s="965"/>
      <c r="GA67" s="965"/>
      <c r="GB67" s="965"/>
      <c r="GC67" s="965"/>
      <c r="GD67" s="965"/>
      <c r="GE67" s="965"/>
      <c r="GF67" s="965"/>
      <c r="GG67" s="965"/>
      <c r="GH67" s="965"/>
      <c r="GI67" s="965"/>
      <c r="GJ67" s="965"/>
      <c r="GK67" s="965"/>
      <c r="GL67" s="965"/>
      <c r="GM67" s="965"/>
      <c r="GN67" s="965"/>
      <c r="GO67" s="965"/>
      <c r="GP67" s="965"/>
      <c r="GQ67" s="965"/>
      <c r="GR67" s="965"/>
      <c r="GS67" s="965"/>
      <c r="GT67" s="965"/>
      <c r="GU67" s="965"/>
      <c r="GV67" s="965"/>
      <c r="GW67" s="965"/>
      <c r="GX67" s="965"/>
      <c r="GY67" s="965"/>
      <c r="GZ67" s="965"/>
      <c r="HA67" s="965"/>
      <c r="HB67" s="965"/>
      <c r="HC67" s="965"/>
      <c r="HD67" s="965"/>
      <c r="HE67" s="965"/>
      <c r="HF67" s="965"/>
      <c r="HG67" s="965"/>
      <c r="HH67" s="965"/>
      <c r="HI67" s="965"/>
      <c r="HJ67" s="965"/>
      <c r="HK67" s="965"/>
      <c r="HL67" s="965"/>
      <c r="HM67" s="965"/>
      <c r="HN67" s="965"/>
      <c r="HO67" s="965"/>
      <c r="HP67" s="965"/>
      <c r="HQ67" s="965"/>
      <c r="HR67" s="965"/>
      <c r="HS67" s="965"/>
      <c r="HT67" s="965"/>
      <c r="HU67" s="965"/>
      <c r="HV67" s="965"/>
      <c r="HW67" s="965"/>
      <c r="HX67" s="965"/>
      <c r="HY67" s="965"/>
      <c r="HZ67" s="965"/>
      <c r="IA67" s="965"/>
      <c r="IB67" s="965"/>
      <c r="IC67" s="965"/>
      <c r="ID67" s="965"/>
      <c r="IE67" s="965"/>
      <c r="IF67" s="965"/>
      <c r="IG67" s="965"/>
      <c r="IH67" s="965"/>
      <c r="II67" s="965"/>
    </row>
    <row r="68" spans="3:243">
      <c r="C68" s="965"/>
      <c r="D68" s="965"/>
      <c r="E68" s="965"/>
      <c r="F68" s="965"/>
      <c r="G68" s="965"/>
      <c r="H68" s="965"/>
      <c r="I68" s="965"/>
      <c r="J68" s="965"/>
      <c r="K68" s="965"/>
      <c r="L68" s="965"/>
      <c r="M68" s="965"/>
      <c r="N68" s="965"/>
      <c r="O68" s="965"/>
      <c r="P68" s="965"/>
      <c r="Q68" s="965"/>
      <c r="R68" s="965"/>
      <c r="S68" s="965"/>
      <c r="T68" s="965"/>
      <c r="U68" s="965"/>
      <c r="V68" s="965"/>
      <c r="W68" s="965"/>
      <c r="X68" s="965"/>
      <c r="Y68" s="965"/>
      <c r="Z68" s="965"/>
      <c r="AA68" s="965"/>
      <c r="AB68" s="965"/>
      <c r="AC68" s="965"/>
      <c r="AD68" s="965"/>
      <c r="AE68" s="965"/>
      <c r="AF68" s="965"/>
      <c r="AG68" s="965"/>
      <c r="AH68" s="965"/>
      <c r="AI68" s="965"/>
      <c r="AJ68" s="965"/>
      <c r="AK68" s="965"/>
      <c r="AL68" s="965"/>
      <c r="AM68" s="965"/>
      <c r="AN68" s="965"/>
      <c r="AO68" s="965"/>
      <c r="AP68" s="965"/>
      <c r="AQ68" s="965"/>
      <c r="AR68" s="965"/>
      <c r="AS68" s="965"/>
      <c r="AT68" s="965"/>
      <c r="AU68" s="965"/>
      <c r="AV68" s="965"/>
      <c r="AW68" s="965"/>
      <c r="AX68" s="965"/>
      <c r="AY68" s="965"/>
      <c r="AZ68" s="965"/>
      <c r="BA68" s="965"/>
      <c r="BB68" s="965"/>
      <c r="BC68" s="965"/>
      <c r="BD68" s="965"/>
      <c r="BE68" s="965"/>
      <c r="BF68" s="965"/>
      <c r="BG68" s="965"/>
      <c r="BH68" s="965"/>
      <c r="BI68" s="965"/>
      <c r="BJ68" s="965"/>
      <c r="BK68" s="965"/>
      <c r="BL68" s="965"/>
      <c r="BM68" s="965"/>
      <c r="BN68" s="965"/>
      <c r="BO68" s="965"/>
      <c r="BP68" s="965"/>
      <c r="BQ68" s="965"/>
      <c r="BR68" s="965"/>
      <c r="BS68" s="965"/>
      <c r="BT68" s="965"/>
      <c r="BU68" s="965"/>
      <c r="BV68" s="965"/>
      <c r="BW68" s="965"/>
      <c r="BX68" s="965"/>
      <c r="BY68" s="965"/>
      <c r="BZ68" s="965"/>
      <c r="CA68" s="965"/>
      <c r="CB68" s="965"/>
      <c r="CC68" s="965"/>
      <c r="CD68" s="965"/>
      <c r="CE68" s="965"/>
      <c r="CF68" s="965"/>
      <c r="CG68" s="965"/>
      <c r="CH68" s="965"/>
      <c r="CI68" s="965"/>
      <c r="CJ68" s="965"/>
      <c r="CK68" s="965"/>
      <c r="CL68" s="965"/>
      <c r="CM68" s="965"/>
      <c r="CN68" s="965"/>
      <c r="CO68" s="965"/>
      <c r="CP68" s="965"/>
      <c r="CQ68" s="965"/>
      <c r="CR68" s="965"/>
      <c r="CS68" s="965"/>
      <c r="CT68" s="965"/>
      <c r="CU68" s="965"/>
      <c r="CV68" s="965"/>
      <c r="CW68" s="965"/>
      <c r="CX68" s="965"/>
      <c r="CY68" s="965"/>
      <c r="CZ68" s="965"/>
      <c r="DA68" s="965"/>
      <c r="DB68" s="965"/>
      <c r="DC68" s="965"/>
      <c r="DD68" s="965"/>
      <c r="DE68" s="965"/>
      <c r="DF68" s="965"/>
      <c r="DG68" s="965"/>
      <c r="DH68" s="965"/>
      <c r="DI68" s="965"/>
      <c r="DJ68" s="965"/>
      <c r="DK68" s="965"/>
      <c r="DL68" s="965"/>
      <c r="DM68" s="965"/>
      <c r="DN68" s="965"/>
      <c r="DO68" s="965"/>
      <c r="DP68" s="965"/>
      <c r="DQ68" s="965"/>
      <c r="DR68" s="965"/>
      <c r="DS68" s="965"/>
      <c r="DT68" s="965"/>
      <c r="DU68" s="965"/>
      <c r="DV68" s="965"/>
      <c r="DW68" s="965"/>
      <c r="DX68" s="965"/>
      <c r="DY68" s="965"/>
      <c r="DZ68" s="965"/>
      <c r="EA68" s="965"/>
      <c r="EB68" s="965"/>
      <c r="EC68" s="965"/>
      <c r="ED68" s="965"/>
      <c r="EE68" s="965"/>
      <c r="EF68" s="965"/>
      <c r="EG68" s="965"/>
      <c r="EH68" s="965"/>
      <c r="EI68" s="965"/>
      <c r="EJ68" s="965"/>
      <c r="EK68" s="965"/>
      <c r="EL68" s="965"/>
      <c r="EM68" s="965"/>
      <c r="EN68" s="965"/>
      <c r="EO68" s="965"/>
      <c r="EP68" s="965"/>
      <c r="EQ68" s="965"/>
      <c r="ER68" s="965"/>
      <c r="ES68" s="965"/>
      <c r="ET68" s="965"/>
      <c r="EU68" s="965"/>
      <c r="EV68" s="965"/>
      <c r="EW68" s="965"/>
      <c r="EX68" s="965"/>
      <c r="EY68" s="965"/>
      <c r="EZ68" s="965"/>
      <c r="FA68" s="965"/>
      <c r="FB68" s="965"/>
      <c r="FC68" s="965"/>
      <c r="FD68" s="965"/>
      <c r="FE68" s="965"/>
      <c r="FF68" s="965"/>
      <c r="FG68" s="965"/>
      <c r="FH68" s="965"/>
      <c r="FI68" s="965"/>
      <c r="FJ68" s="965"/>
      <c r="FK68" s="965"/>
      <c r="FL68" s="965"/>
      <c r="FM68" s="965"/>
      <c r="FN68" s="965"/>
      <c r="FO68" s="965"/>
      <c r="FP68" s="965"/>
      <c r="FQ68" s="965"/>
      <c r="FR68" s="965"/>
      <c r="FS68" s="965"/>
      <c r="FT68" s="965"/>
      <c r="FU68" s="965"/>
      <c r="FV68" s="965"/>
      <c r="FW68" s="965"/>
      <c r="FX68" s="965"/>
      <c r="FY68" s="965"/>
      <c r="FZ68" s="965"/>
      <c r="GA68" s="965"/>
      <c r="GB68" s="965"/>
      <c r="GC68" s="965"/>
      <c r="GD68" s="965"/>
      <c r="GE68" s="965"/>
      <c r="GF68" s="965"/>
      <c r="GG68" s="965"/>
      <c r="GH68" s="965"/>
      <c r="GI68" s="965"/>
      <c r="GJ68" s="965"/>
      <c r="GK68" s="965"/>
      <c r="GL68" s="965"/>
      <c r="GM68" s="965"/>
      <c r="GN68" s="965"/>
      <c r="GO68" s="965"/>
      <c r="GP68" s="965"/>
      <c r="GQ68" s="965"/>
      <c r="GR68" s="965"/>
      <c r="GS68" s="965"/>
      <c r="GT68" s="965"/>
      <c r="GU68" s="965"/>
      <c r="GV68" s="965"/>
      <c r="GW68" s="965"/>
      <c r="GX68" s="965"/>
      <c r="GY68" s="965"/>
      <c r="GZ68" s="965"/>
      <c r="HA68" s="965"/>
      <c r="HB68" s="965"/>
      <c r="HC68" s="965"/>
      <c r="HD68" s="965"/>
      <c r="HE68" s="965"/>
      <c r="HF68" s="965"/>
      <c r="HG68" s="965"/>
      <c r="HH68" s="965"/>
      <c r="HI68" s="965"/>
      <c r="HJ68" s="965"/>
      <c r="HK68" s="965"/>
      <c r="HL68" s="965"/>
      <c r="HM68" s="965"/>
      <c r="HN68" s="965"/>
      <c r="HO68" s="965"/>
      <c r="HP68" s="965"/>
      <c r="HQ68" s="965"/>
      <c r="HR68" s="965"/>
      <c r="HS68" s="965"/>
      <c r="HT68" s="965"/>
      <c r="HU68" s="965"/>
      <c r="HV68" s="965"/>
      <c r="HW68" s="965"/>
      <c r="HX68" s="965"/>
      <c r="HY68" s="965"/>
      <c r="HZ68" s="965"/>
      <c r="IA68" s="965"/>
      <c r="IB68" s="965"/>
      <c r="IC68" s="965"/>
      <c r="ID68" s="965"/>
      <c r="IE68" s="965"/>
      <c r="IF68" s="965"/>
      <c r="IG68" s="965"/>
      <c r="IH68" s="965"/>
      <c r="II68" s="965"/>
    </row>
    <row r="69" spans="3:243">
      <c r="C69" s="965"/>
      <c r="D69" s="965"/>
      <c r="E69" s="965"/>
      <c r="F69" s="965"/>
      <c r="G69" s="965"/>
      <c r="H69" s="965"/>
      <c r="I69" s="965"/>
      <c r="J69" s="965"/>
      <c r="K69" s="965"/>
      <c r="L69" s="965"/>
      <c r="M69" s="965"/>
      <c r="N69" s="965"/>
      <c r="O69" s="965"/>
      <c r="P69" s="965"/>
      <c r="Q69" s="965"/>
      <c r="R69" s="965"/>
      <c r="S69" s="965"/>
      <c r="T69" s="965"/>
      <c r="U69" s="965"/>
      <c r="V69" s="965"/>
      <c r="W69" s="965"/>
      <c r="X69" s="965"/>
      <c r="Y69" s="965"/>
      <c r="Z69" s="965"/>
      <c r="AA69" s="965"/>
      <c r="AB69" s="965"/>
      <c r="AC69" s="965"/>
      <c r="AD69" s="965"/>
      <c r="AE69" s="965"/>
      <c r="AF69" s="965"/>
      <c r="AG69" s="965"/>
      <c r="AH69" s="965"/>
      <c r="AI69" s="965"/>
      <c r="AJ69" s="965"/>
      <c r="AK69" s="965"/>
      <c r="AL69" s="965"/>
      <c r="AM69" s="965"/>
      <c r="AN69" s="965"/>
      <c r="AO69" s="965"/>
      <c r="AP69" s="965"/>
      <c r="AQ69" s="965"/>
      <c r="AR69" s="965"/>
      <c r="AS69" s="965"/>
      <c r="AT69" s="965"/>
      <c r="AU69" s="965"/>
      <c r="AV69" s="965"/>
      <c r="AW69" s="965"/>
      <c r="AX69" s="965"/>
      <c r="AY69" s="965"/>
      <c r="AZ69" s="965"/>
      <c r="BA69" s="965"/>
      <c r="BB69" s="965"/>
      <c r="BC69" s="965"/>
      <c r="BD69" s="965"/>
      <c r="BE69" s="965"/>
      <c r="BF69" s="965"/>
      <c r="BG69" s="965"/>
      <c r="BH69" s="965"/>
      <c r="BI69" s="965"/>
      <c r="BJ69" s="965"/>
      <c r="BK69" s="965"/>
      <c r="BL69" s="965"/>
      <c r="BM69" s="965"/>
      <c r="BN69" s="965"/>
      <c r="BO69" s="965"/>
      <c r="BP69" s="965"/>
      <c r="BQ69" s="965"/>
      <c r="BR69" s="965"/>
      <c r="BS69" s="965"/>
      <c r="BT69" s="965"/>
      <c r="BU69" s="965"/>
      <c r="BV69" s="965"/>
      <c r="BW69" s="965"/>
      <c r="BX69" s="965"/>
      <c r="BY69" s="965"/>
      <c r="BZ69" s="965"/>
      <c r="CA69" s="965"/>
      <c r="CB69" s="965"/>
      <c r="CC69" s="965"/>
      <c r="CD69" s="965"/>
      <c r="CE69" s="965"/>
      <c r="CF69" s="965"/>
      <c r="CG69" s="965"/>
      <c r="CH69" s="965"/>
      <c r="CI69" s="965"/>
      <c r="CJ69" s="965"/>
      <c r="CK69" s="965"/>
      <c r="CL69" s="965"/>
      <c r="CM69" s="965"/>
      <c r="CN69" s="965"/>
      <c r="CO69" s="965"/>
      <c r="CP69" s="965"/>
      <c r="CQ69" s="965"/>
      <c r="CR69" s="965"/>
      <c r="CS69" s="965"/>
      <c r="CT69" s="965"/>
      <c r="CU69" s="965"/>
      <c r="CV69" s="965"/>
      <c r="CW69" s="965"/>
      <c r="CX69" s="965"/>
      <c r="CY69" s="965"/>
      <c r="CZ69" s="965"/>
      <c r="DA69" s="965"/>
      <c r="DB69" s="965"/>
      <c r="DC69" s="965"/>
      <c r="DD69" s="965"/>
      <c r="DE69" s="965"/>
      <c r="DF69" s="965"/>
      <c r="DG69" s="965"/>
      <c r="DH69" s="965"/>
      <c r="DI69" s="965"/>
      <c r="DJ69" s="965"/>
      <c r="DK69" s="965"/>
      <c r="DL69" s="965"/>
      <c r="DM69" s="965"/>
      <c r="DN69" s="965"/>
      <c r="DO69" s="965"/>
      <c r="DP69" s="965"/>
      <c r="DQ69" s="965"/>
      <c r="DR69" s="965"/>
      <c r="DS69" s="965"/>
      <c r="DT69" s="965"/>
      <c r="DU69" s="965"/>
      <c r="DV69" s="965"/>
      <c r="DW69" s="965"/>
      <c r="DX69" s="965"/>
      <c r="DY69" s="965"/>
      <c r="DZ69" s="965"/>
      <c r="EA69" s="965"/>
      <c r="EB69" s="965"/>
      <c r="EC69" s="965"/>
      <c r="ED69" s="965"/>
      <c r="EE69" s="965"/>
      <c r="EF69" s="965"/>
      <c r="EG69" s="965"/>
      <c r="EH69" s="965"/>
      <c r="EI69" s="965"/>
      <c r="EJ69" s="965"/>
      <c r="EK69" s="965"/>
      <c r="EL69" s="965"/>
      <c r="EM69" s="965"/>
      <c r="EN69" s="965"/>
      <c r="EO69" s="965"/>
      <c r="EP69" s="965"/>
      <c r="EQ69" s="965"/>
      <c r="ER69" s="965"/>
      <c r="ES69" s="965"/>
      <c r="ET69" s="965"/>
      <c r="EU69" s="965"/>
      <c r="EV69" s="965"/>
      <c r="EW69" s="965"/>
      <c r="EX69" s="965"/>
      <c r="EY69" s="965"/>
      <c r="EZ69" s="965"/>
      <c r="FA69" s="965"/>
      <c r="FB69" s="965"/>
      <c r="FC69" s="965"/>
      <c r="FD69" s="965"/>
      <c r="FE69" s="965"/>
      <c r="FF69" s="965"/>
      <c r="FG69" s="965"/>
      <c r="FH69" s="965"/>
      <c r="FI69" s="965"/>
      <c r="FJ69" s="965"/>
      <c r="FK69" s="965"/>
      <c r="FL69" s="965"/>
      <c r="FM69" s="965"/>
      <c r="FN69" s="965"/>
      <c r="FO69" s="965"/>
      <c r="FP69" s="965"/>
      <c r="FQ69" s="965"/>
      <c r="FR69" s="965"/>
      <c r="FS69" s="965"/>
      <c r="FT69" s="965"/>
      <c r="FU69" s="965"/>
      <c r="FV69" s="965"/>
      <c r="FW69" s="965"/>
      <c r="FX69" s="965"/>
      <c r="FY69" s="965"/>
      <c r="FZ69" s="965"/>
      <c r="GA69" s="965"/>
      <c r="GB69" s="965"/>
      <c r="GC69" s="965"/>
      <c r="GD69" s="965"/>
      <c r="GE69" s="965"/>
      <c r="GF69" s="965"/>
      <c r="GG69" s="965"/>
      <c r="GH69" s="965"/>
      <c r="GI69" s="965"/>
      <c r="GJ69" s="965"/>
      <c r="GK69" s="965"/>
      <c r="GL69" s="965"/>
      <c r="GM69" s="965"/>
      <c r="GN69" s="965"/>
      <c r="GO69" s="965"/>
      <c r="GP69" s="965"/>
      <c r="GQ69" s="965"/>
      <c r="GR69" s="965"/>
      <c r="GS69" s="965"/>
      <c r="GT69" s="965"/>
      <c r="GU69" s="965"/>
      <c r="GV69" s="965"/>
      <c r="GW69" s="965"/>
      <c r="GX69" s="965"/>
      <c r="GY69" s="965"/>
      <c r="GZ69" s="965"/>
      <c r="HA69" s="965"/>
      <c r="HB69" s="965"/>
      <c r="HC69" s="965"/>
      <c r="HD69" s="965"/>
      <c r="HE69" s="965"/>
      <c r="HF69" s="965"/>
      <c r="HG69" s="965"/>
      <c r="HH69" s="965"/>
      <c r="HI69" s="965"/>
      <c r="HJ69" s="965"/>
      <c r="HK69" s="965"/>
      <c r="HL69" s="965"/>
      <c r="HM69" s="965"/>
      <c r="HN69" s="965"/>
      <c r="HO69" s="965"/>
      <c r="HP69" s="965"/>
      <c r="HQ69" s="965"/>
      <c r="HR69" s="965"/>
      <c r="HS69" s="965"/>
      <c r="HT69" s="965"/>
      <c r="HU69" s="965"/>
      <c r="HV69" s="965"/>
      <c r="HW69" s="965"/>
      <c r="HX69" s="965"/>
      <c r="HY69" s="965"/>
      <c r="HZ69" s="965"/>
      <c r="IA69" s="965"/>
      <c r="IB69" s="965"/>
      <c r="IC69" s="965"/>
      <c r="ID69" s="965"/>
      <c r="IE69" s="965"/>
      <c r="IF69" s="965"/>
      <c r="IG69" s="965"/>
      <c r="IH69" s="965"/>
      <c r="II69" s="965"/>
    </row>
    <row r="70" spans="3:243">
      <c r="C70" s="965"/>
      <c r="D70" s="965"/>
      <c r="E70" s="965"/>
      <c r="F70" s="965"/>
      <c r="G70" s="965"/>
      <c r="H70" s="965"/>
      <c r="I70" s="965"/>
      <c r="J70" s="965"/>
      <c r="K70" s="965"/>
      <c r="L70" s="965"/>
      <c r="M70" s="965"/>
      <c r="N70" s="965"/>
      <c r="O70" s="965"/>
      <c r="P70" s="965"/>
      <c r="Q70" s="965"/>
      <c r="R70" s="965"/>
      <c r="S70" s="965"/>
      <c r="T70" s="965"/>
      <c r="U70" s="965"/>
      <c r="V70" s="965"/>
      <c r="W70" s="965"/>
      <c r="X70" s="965"/>
      <c r="Y70" s="965"/>
      <c r="Z70" s="965"/>
      <c r="AA70" s="965"/>
      <c r="AB70" s="965"/>
      <c r="AC70" s="965"/>
      <c r="AD70" s="965"/>
      <c r="AE70" s="965"/>
      <c r="AF70" s="965"/>
      <c r="AG70" s="965"/>
      <c r="AH70" s="965"/>
      <c r="AI70" s="965"/>
      <c r="AJ70" s="965"/>
      <c r="AK70" s="965"/>
      <c r="AL70" s="965"/>
      <c r="AM70" s="965"/>
      <c r="AN70" s="965"/>
      <c r="AO70" s="965"/>
      <c r="AP70" s="965"/>
      <c r="AQ70" s="965"/>
      <c r="AR70" s="965"/>
      <c r="AS70" s="965"/>
      <c r="AT70" s="965"/>
      <c r="AU70" s="965"/>
      <c r="AV70" s="965"/>
      <c r="AW70" s="965"/>
      <c r="AX70" s="965"/>
      <c r="AY70" s="965"/>
      <c r="AZ70" s="965"/>
      <c r="BA70" s="965"/>
      <c r="BB70" s="965"/>
      <c r="BC70" s="965"/>
      <c r="BD70" s="965"/>
      <c r="BE70" s="965"/>
      <c r="BF70" s="965"/>
      <c r="BG70" s="965"/>
      <c r="BH70" s="965"/>
      <c r="BI70" s="965"/>
      <c r="BJ70" s="965"/>
      <c r="BK70" s="965"/>
      <c r="BL70" s="965"/>
      <c r="BM70" s="965"/>
      <c r="BN70" s="965"/>
      <c r="BO70" s="965"/>
      <c r="BP70" s="965"/>
      <c r="BQ70" s="965"/>
      <c r="BR70" s="965"/>
      <c r="BS70" s="965"/>
      <c r="BT70" s="965"/>
      <c r="BU70" s="965"/>
      <c r="BV70" s="965"/>
      <c r="BW70" s="965"/>
      <c r="BX70" s="965"/>
      <c r="BY70" s="965"/>
      <c r="BZ70" s="965"/>
      <c r="CA70" s="965"/>
      <c r="CB70" s="965"/>
      <c r="CC70" s="965"/>
      <c r="CD70" s="965"/>
      <c r="CE70" s="965"/>
      <c r="CF70" s="965"/>
      <c r="CG70" s="965"/>
      <c r="CH70" s="965"/>
      <c r="CI70" s="965"/>
      <c r="CJ70" s="965"/>
      <c r="CK70" s="965"/>
      <c r="CL70" s="965"/>
      <c r="CM70" s="965"/>
      <c r="CN70" s="965"/>
      <c r="CO70" s="965"/>
      <c r="CP70" s="965"/>
      <c r="CQ70" s="965"/>
      <c r="CR70" s="965"/>
      <c r="CS70" s="965"/>
      <c r="CT70" s="965"/>
      <c r="CU70" s="965"/>
      <c r="CV70" s="965"/>
      <c r="CW70" s="965"/>
      <c r="CX70" s="965"/>
      <c r="CY70" s="965"/>
      <c r="CZ70" s="965"/>
      <c r="DA70" s="965"/>
      <c r="DB70" s="965"/>
      <c r="DC70" s="965"/>
      <c r="DD70" s="965"/>
      <c r="DE70" s="965"/>
      <c r="DF70" s="965"/>
      <c r="DG70" s="965"/>
      <c r="DH70" s="965"/>
      <c r="DI70" s="965"/>
      <c r="DJ70" s="965"/>
      <c r="DK70" s="965"/>
      <c r="DL70" s="965"/>
      <c r="DM70" s="965"/>
      <c r="DN70" s="965"/>
      <c r="DO70" s="965"/>
      <c r="DP70" s="965"/>
      <c r="DQ70" s="965"/>
      <c r="DR70" s="965"/>
      <c r="DS70" s="965"/>
      <c r="DT70" s="965"/>
      <c r="DU70" s="965"/>
      <c r="DV70" s="965"/>
      <c r="DW70" s="965"/>
      <c r="DX70" s="965"/>
      <c r="DY70" s="965"/>
      <c r="DZ70" s="965"/>
      <c r="EA70" s="965"/>
      <c r="EB70" s="965"/>
      <c r="EC70" s="965"/>
      <c r="ED70" s="965"/>
      <c r="EE70" s="965"/>
      <c r="EF70" s="965"/>
      <c r="EG70" s="965"/>
      <c r="EH70" s="965"/>
      <c r="EI70" s="965"/>
      <c r="EJ70" s="965"/>
      <c r="EK70" s="965"/>
      <c r="EL70" s="965"/>
      <c r="EM70" s="965"/>
      <c r="EN70" s="965"/>
      <c r="EO70" s="965"/>
      <c r="EP70" s="965"/>
      <c r="EQ70" s="965"/>
      <c r="ER70" s="965"/>
      <c r="ES70" s="965"/>
      <c r="ET70" s="965"/>
      <c r="EU70" s="965"/>
      <c r="EV70" s="965"/>
      <c r="EW70" s="965"/>
      <c r="EX70" s="965"/>
      <c r="EY70" s="965"/>
      <c r="EZ70" s="965"/>
      <c r="FA70" s="965"/>
      <c r="FB70" s="965"/>
      <c r="FC70" s="965"/>
      <c r="FD70" s="965"/>
      <c r="FE70" s="965"/>
      <c r="FF70" s="965"/>
      <c r="FG70" s="965"/>
      <c r="FH70" s="965"/>
      <c r="FI70" s="965"/>
      <c r="FJ70" s="965"/>
      <c r="FK70" s="965"/>
      <c r="FL70" s="965"/>
      <c r="FM70" s="965"/>
      <c r="FN70" s="965"/>
      <c r="FO70" s="965"/>
      <c r="FP70" s="965"/>
      <c r="FQ70" s="965"/>
      <c r="FR70" s="965"/>
      <c r="FS70" s="965"/>
      <c r="FT70" s="965"/>
      <c r="FU70" s="965"/>
      <c r="FV70" s="965"/>
      <c r="FW70" s="965"/>
      <c r="FX70" s="965"/>
      <c r="FY70" s="965"/>
      <c r="FZ70" s="965"/>
      <c r="GA70" s="965"/>
      <c r="GB70" s="965"/>
      <c r="GC70" s="965"/>
      <c r="GD70" s="965"/>
      <c r="GE70" s="965"/>
      <c r="GF70" s="965"/>
      <c r="GG70" s="965"/>
      <c r="GH70" s="965"/>
      <c r="GI70" s="965"/>
      <c r="GJ70" s="965"/>
      <c r="GK70" s="965"/>
      <c r="GL70" s="965"/>
      <c r="GM70" s="965"/>
      <c r="GN70" s="965"/>
      <c r="GO70" s="965"/>
      <c r="GP70" s="965"/>
      <c r="GQ70" s="965"/>
      <c r="GR70" s="965"/>
      <c r="GS70" s="965"/>
      <c r="GT70" s="965"/>
      <c r="GU70" s="965"/>
      <c r="GV70" s="965"/>
      <c r="GW70" s="965"/>
      <c r="GX70" s="965"/>
      <c r="GY70" s="965"/>
      <c r="GZ70" s="965"/>
      <c r="HA70" s="965"/>
      <c r="HB70" s="965"/>
      <c r="HC70" s="965"/>
      <c r="HD70" s="965"/>
      <c r="HE70" s="965"/>
      <c r="HF70" s="965"/>
      <c r="HG70" s="965"/>
      <c r="HH70" s="965"/>
      <c r="HI70" s="965"/>
      <c r="HJ70" s="965"/>
      <c r="HK70" s="965"/>
      <c r="HL70" s="965"/>
      <c r="HM70" s="965"/>
      <c r="HN70" s="965"/>
      <c r="HO70" s="965"/>
      <c r="HP70" s="965"/>
      <c r="HQ70" s="965"/>
      <c r="HR70" s="965"/>
      <c r="HS70" s="965"/>
      <c r="HT70" s="965"/>
      <c r="HU70" s="965"/>
      <c r="HV70" s="965"/>
      <c r="HW70" s="965"/>
      <c r="HX70" s="965"/>
      <c r="HY70" s="965"/>
      <c r="HZ70" s="965"/>
      <c r="IA70" s="965"/>
      <c r="IB70" s="965"/>
      <c r="IC70" s="965"/>
      <c r="ID70" s="965"/>
      <c r="IE70" s="965"/>
      <c r="IF70" s="965"/>
      <c r="IG70" s="965"/>
      <c r="IH70" s="965"/>
      <c r="II70" s="965"/>
    </row>
    <row r="71" spans="3:243">
      <c r="C71" s="965"/>
      <c r="D71" s="965"/>
      <c r="E71" s="965"/>
      <c r="F71" s="965"/>
      <c r="G71" s="965"/>
      <c r="H71" s="965"/>
      <c r="I71" s="965"/>
      <c r="J71" s="965"/>
      <c r="K71" s="965"/>
      <c r="L71" s="965"/>
      <c r="M71" s="965"/>
      <c r="N71" s="965"/>
      <c r="O71" s="965"/>
      <c r="P71" s="965"/>
      <c r="Q71" s="965"/>
      <c r="R71" s="965"/>
      <c r="S71" s="965"/>
      <c r="T71" s="965"/>
      <c r="U71" s="965"/>
      <c r="V71" s="965"/>
      <c r="W71" s="965"/>
      <c r="X71" s="965"/>
      <c r="Y71" s="965"/>
      <c r="Z71" s="965"/>
      <c r="AA71" s="965"/>
      <c r="AB71" s="965"/>
      <c r="AC71" s="965"/>
      <c r="AD71" s="965"/>
      <c r="AE71" s="965"/>
      <c r="AF71" s="965"/>
      <c r="AG71" s="965"/>
      <c r="AH71" s="965"/>
      <c r="AI71" s="965"/>
      <c r="AJ71" s="965"/>
      <c r="AK71" s="965"/>
      <c r="AL71" s="965"/>
      <c r="AM71" s="965"/>
      <c r="AN71" s="965"/>
      <c r="AO71" s="965"/>
      <c r="AP71" s="965"/>
      <c r="AQ71" s="965"/>
      <c r="AR71" s="965"/>
      <c r="AS71" s="965"/>
      <c r="AT71" s="965"/>
      <c r="AU71" s="965"/>
      <c r="AV71" s="965"/>
      <c r="AW71" s="965"/>
      <c r="AX71" s="965"/>
      <c r="AY71" s="965"/>
      <c r="AZ71" s="965"/>
      <c r="BA71" s="965"/>
      <c r="BB71" s="965"/>
      <c r="BC71" s="965"/>
      <c r="BD71" s="965"/>
      <c r="BE71" s="965"/>
      <c r="BF71" s="965"/>
      <c r="BG71" s="965"/>
      <c r="BH71" s="965"/>
      <c r="BI71" s="965"/>
      <c r="BJ71" s="965"/>
      <c r="BK71" s="965"/>
      <c r="BL71" s="965"/>
      <c r="BM71" s="965"/>
      <c r="BN71" s="965"/>
      <c r="BO71" s="965"/>
      <c r="BP71" s="965"/>
      <c r="BQ71" s="965"/>
      <c r="BR71" s="965"/>
      <c r="BS71" s="965"/>
      <c r="BT71" s="965"/>
      <c r="BU71" s="965"/>
      <c r="BV71" s="965"/>
      <c r="BW71" s="965"/>
      <c r="BX71" s="965"/>
      <c r="BY71" s="965"/>
      <c r="BZ71" s="965"/>
      <c r="CA71" s="965"/>
      <c r="CB71" s="965"/>
      <c r="CC71" s="965"/>
      <c r="CD71" s="965"/>
      <c r="CE71" s="965"/>
      <c r="CF71" s="965"/>
      <c r="CG71" s="965"/>
      <c r="CH71" s="965"/>
      <c r="CI71" s="965"/>
      <c r="CJ71" s="965"/>
      <c r="CK71" s="965"/>
      <c r="CL71" s="965"/>
      <c r="CM71" s="965"/>
      <c r="CN71" s="965"/>
      <c r="CO71" s="965"/>
      <c r="CP71" s="965"/>
      <c r="CQ71" s="965"/>
      <c r="CR71" s="965"/>
      <c r="CS71" s="965"/>
      <c r="CT71" s="965"/>
      <c r="CU71" s="965"/>
      <c r="CV71" s="965"/>
      <c r="CW71" s="965"/>
      <c r="CX71" s="965"/>
      <c r="CY71" s="965"/>
      <c r="CZ71" s="965"/>
      <c r="DA71" s="965"/>
      <c r="DB71" s="965"/>
      <c r="DC71" s="965"/>
      <c r="DD71" s="965"/>
      <c r="DE71" s="965"/>
      <c r="DF71" s="965"/>
      <c r="DG71" s="965"/>
      <c r="DH71" s="965"/>
      <c r="DI71" s="965"/>
      <c r="DJ71" s="965"/>
      <c r="DK71" s="965"/>
      <c r="DL71" s="965"/>
      <c r="DM71" s="965"/>
      <c r="DN71" s="965"/>
      <c r="DO71" s="965"/>
      <c r="DP71" s="965"/>
      <c r="DQ71" s="965"/>
      <c r="DR71" s="965"/>
      <c r="DS71" s="965"/>
      <c r="DT71" s="965"/>
      <c r="DU71" s="965"/>
      <c r="DV71" s="965"/>
      <c r="DW71" s="965"/>
      <c r="DX71" s="965"/>
      <c r="DY71" s="965"/>
      <c r="DZ71" s="965"/>
      <c r="EA71" s="965"/>
      <c r="EB71" s="965"/>
      <c r="EC71" s="965"/>
      <c r="ED71" s="965"/>
      <c r="EE71" s="965"/>
      <c r="EF71" s="965"/>
      <c r="EG71" s="965"/>
      <c r="EH71" s="965"/>
      <c r="EI71" s="965"/>
      <c r="EJ71" s="965"/>
      <c r="EK71" s="965"/>
      <c r="EL71" s="965"/>
      <c r="EM71" s="965"/>
      <c r="EN71" s="965"/>
      <c r="EO71" s="965"/>
      <c r="EP71" s="965"/>
      <c r="EQ71" s="965"/>
      <c r="ER71" s="965"/>
      <c r="ES71" s="965"/>
      <c r="ET71" s="965"/>
      <c r="EU71" s="965"/>
      <c r="EV71" s="965"/>
      <c r="EW71" s="965"/>
      <c r="EX71" s="965"/>
      <c r="EY71" s="965"/>
      <c r="EZ71" s="965"/>
      <c r="FA71" s="965"/>
      <c r="FB71" s="965"/>
      <c r="FC71" s="965"/>
      <c r="FD71" s="965"/>
      <c r="FE71" s="965"/>
      <c r="FF71" s="965"/>
      <c r="FG71" s="965"/>
      <c r="FH71" s="965"/>
      <c r="FI71" s="965"/>
      <c r="FJ71" s="965"/>
      <c r="FK71" s="965"/>
      <c r="FL71" s="965"/>
      <c r="FM71" s="965"/>
      <c r="FN71" s="965"/>
      <c r="FO71" s="965"/>
      <c r="FP71" s="965"/>
      <c r="FQ71" s="965"/>
      <c r="FR71" s="965"/>
      <c r="FS71" s="965"/>
      <c r="FT71" s="965"/>
      <c r="FU71" s="965"/>
      <c r="FV71" s="965"/>
      <c r="FW71" s="965"/>
      <c r="FX71" s="965"/>
      <c r="FY71" s="965"/>
      <c r="FZ71" s="965"/>
      <c r="GA71" s="965"/>
      <c r="GB71" s="965"/>
      <c r="GC71" s="965"/>
      <c r="GD71" s="965"/>
      <c r="GE71" s="965"/>
      <c r="GF71" s="965"/>
      <c r="GG71" s="965"/>
      <c r="GH71" s="965"/>
      <c r="GI71" s="965"/>
      <c r="GJ71" s="965"/>
      <c r="GK71" s="965"/>
      <c r="GL71" s="965"/>
      <c r="GM71" s="965"/>
      <c r="GN71" s="965"/>
      <c r="GO71" s="965"/>
      <c r="GP71" s="965"/>
      <c r="GQ71" s="965"/>
      <c r="GR71" s="965"/>
      <c r="GS71" s="965"/>
      <c r="GT71" s="965"/>
      <c r="GU71" s="965"/>
      <c r="GV71" s="965"/>
      <c r="GW71" s="965"/>
      <c r="GX71" s="965"/>
      <c r="GY71" s="965"/>
      <c r="GZ71" s="965"/>
      <c r="HA71" s="965"/>
      <c r="HB71" s="965"/>
      <c r="HC71" s="965"/>
      <c r="HD71" s="965"/>
      <c r="HE71" s="965"/>
      <c r="HF71" s="965"/>
      <c r="HG71" s="965"/>
      <c r="HH71" s="965"/>
      <c r="HI71" s="965"/>
      <c r="HJ71" s="965"/>
      <c r="HK71" s="965"/>
      <c r="HL71" s="965"/>
      <c r="HM71" s="965"/>
      <c r="HN71" s="965"/>
      <c r="HO71" s="965"/>
      <c r="HP71" s="965"/>
      <c r="HQ71" s="965"/>
      <c r="HR71" s="965"/>
      <c r="HS71" s="965"/>
      <c r="HT71" s="965"/>
      <c r="HU71" s="965"/>
      <c r="HV71" s="965"/>
      <c r="HW71" s="965"/>
      <c r="HX71" s="965"/>
      <c r="HY71" s="965"/>
      <c r="HZ71" s="965"/>
      <c r="IA71" s="965"/>
      <c r="IB71" s="965"/>
      <c r="IC71" s="965"/>
      <c r="ID71" s="965"/>
      <c r="IE71" s="965"/>
      <c r="IF71" s="965"/>
      <c r="IG71" s="965"/>
      <c r="IH71" s="965"/>
      <c r="II71" s="965"/>
    </row>
    <row r="72" spans="3:243">
      <c r="C72" s="965"/>
      <c r="D72" s="965"/>
      <c r="E72" s="965"/>
      <c r="F72" s="965"/>
      <c r="G72" s="965"/>
      <c r="H72" s="965"/>
      <c r="I72" s="965"/>
      <c r="J72" s="965"/>
      <c r="K72" s="965"/>
      <c r="L72" s="965"/>
      <c r="M72" s="965"/>
      <c r="N72" s="965"/>
      <c r="O72" s="965"/>
      <c r="P72" s="965"/>
      <c r="Q72" s="965"/>
      <c r="R72" s="965"/>
      <c r="S72" s="965"/>
      <c r="T72" s="965"/>
      <c r="U72" s="965"/>
      <c r="V72" s="965"/>
      <c r="W72" s="965"/>
      <c r="X72" s="965"/>
      <c r="Y72" s="965"/>
      <c r="Z72" s="965"/>
      <c r="AA72" s="965"/>
      <c r="AB72" s="965"/>
      <c r="AC72" s="965"/>
      <c r="AD72" s="965"/>
      <c r="AE72" s="965"/>
      <c r="AF72" s="965"/>
      <c r="AG72" s="965"/>
      <c r="AH72" s="965"/>
      <c r="AI72" s="965"/>
      <c r="AJ72" s="965"/>
      <c r="AK72" s="965"/>
      <c r="AL72" s="965"/>
      <c r="AM72" s="965"/>
      <c r="AN72" s="965"/>
      <c r="AO72" s="965"/>
      <c r="AP72" s="965"/>
      <c r="AQ72" s="965"/>
      <c r="AR72" s="965"/>
      <c r="AS72" s="965"/>
      <c r="AT72" s="965"/>
      <c r="AU72" s="965"/>
      <c r="AV72" s="965"/>
      <c r="AW72" s="965"/>
      <c r="AX72" s="965"/>
      <c r="AY72" s="965"/>
      <c r="AZ72" s="965"/>
      <c r="BA72" s="965"/>
      <c r="BB72" s="965"/>
      <c r="BC72" s="965"/>
      <c r="BD72" s="965"/>
      <c r="BE72" s="965"/>
      <c r="BF72" s="965"/>
      <c r="BG72" s="965"/>
      <c r="BH72" s="965"/>
      <c r="BI72" s="965"/>
      <c r="BJ72" s="965"/>
      <c r="BK72" s="965"/>
      <c r="BL72" s="965"/>
      <c r="BM72" s="965"/>
      <c r="BN72" s="965"/>
      <c r="BO72" s="965"/>
      <c r="BP72" s="965"/>
      <c r="BQ72" s="965"/>
      <c r="BR72" s="965"/>
      <c r="BS72" s="965"/>
      <c r="BT72" s="965"/>
      <c r="BU72" s="965"/>
      <c r="BV72" s="965"/>
      <c r="BW72" s="965"/>
      <c r="BX72" s="965"/>
      <c r="BY72" s="965"/>
      <c r="BZ72" s="965"/>
      <c r="CA72" s="965"/>
      <c r="CB72" s="965"/>
      <c r="CC72" s="965"/>
      <c r="CD72" s="965"/>
      <c r="CE72" s="965"/>
      <c r="CF72" s="965"/>
      <c r="CG72" s="965"/>
      <c r="CH72" s="965"/>
      <c r="CI72" s="965"/>
      <c r="CJ72" s="965"/>
      <c r="CK72" s="965"/>
      <c r="CL72" s="965"/>
      <c r="CM72" s="965"/>
      <c r="CN72" s="965"/>
      <c r="CO72" s="965"/>
      <c r="CP72" s="965"/>
      <c r="CQ72" s="965"/>
      <c r="CR72" s="965"/>
      <c r="CS72" s="965"/>
      <c r="CT72" s="965"/>
      <c r="CU72" s="965"/>
      <c r="CV72" s="965"/>
      <c r="CW72" s="965"/>
      <c r="CX72" s="965"/>
      <c r="CY72" s="965"/>
      <c r="CZ72" s="965"/>
      <c r="DA72" s="965"/>
      <c r="DB72" s="965"/>
      <c r="DC72" s="965"/>
      <c r="DD72" s="965"/>
      <c r="DE72" s="965"/>
      <c r="DF72" s="965"/>
      <c r="DG72" s="965"/>
      <c r="DH72" s="965"/>
      <c r="DI72" s="965"/>
      <c r="DJ72" s="965"/>
      <c r="DK72" s="965"/>
      <c r="DL72" s="965"/>
      <c r="DM72" s="965"/>
      <c r="DN72" s="965"/>
      <c r="DO72" s="965"/>
      <c r="DP72" s="965"/>
      <c r="DQ72" s="965"/>
      <c r="DR72" s="965"/>
      <c r="DS72" s="965"/>
      <c r="DT72" s="965"/>
      <c r="DU72" s="965"/>
      <c r="DV72" s="965"/>
      <c r="DW72" s="965"/>
      <c r="DX72" s="965"/>
      <c r="DY72" s="965"/>
      <c r="DZ72" s="965"/>
      <c r="EA72" s="965"/>
      <c r="EB72" s="965"/>
      <c r="EC72" s="965"/>
      <c r="ED72" s="965"/>
      <c r="EE72" s="965"/>
      <c r="EF72" s="965"/>
      <c r="EG72" s="965"/>
      <c r="EH72" s="965"/>
      <c r="EI72" s="965"/>
      <c r="EJ72" s="965"/>
      <c r="EK72" s="965"/>
      <c r="EL72" s="965"/>
      <c r="EM72" s="965"/>
      <c r="EN72" s="965"/>
      <c r="EO72" s="965"/>
      <c r="EP72" s="965"/>
      <c r="EQ72" s="965"/>
      <c r="ER72" s="965"/>
      <c r="ES72" s="965"/>
      <c r="ET72" s="965"/>
      <c r="EU72" s="965"/>
      <c r="EV72" s="965"/>
      <c r="EW72" s="965"/>
      <c r="EX72" s="965"/>
      <c r="EY72" s="965"/>
      <c r="EZ72" s="965"/>
      <c r="FA72" s="965"/>
      <c r="FB72" s="965"/>
      <c r="FC72" s="965"/>
      <c r="FD72" s="965"/>
      <c r="FE72" s="965"/>
      <c r="FF72" s="965"/>
      <c r="FG72" s="965"/>
      <c r="FH72" s="965"/>
      <c r="FI72" s="965"/>
      <c r="FJ72" s="965"/>
      <c r="FK72" s="965"/>
      <c r="FL72" s="965"/>
      <c r="FM72" s="965"/>
      <c r="FN72" s="965"/>
      <c r="FO72" s="965"/>
      <c r="FP72" s="965"/>
      <c r="FQ72" s="965"/>
      <c r="FR72" s="965"/>
      <c r="FS72" s="965"/>
      <c r="FT72" s="965"/>
      <c r="FU72" s="965"/>
      <c r="FV72" s="965"/>
      <c r="FW72" s="965"/>
      <c r="FX72" s="965"/>
      <c r="FY72" s="965"/>
      <c r="FZ72" s="965"/>
      <c r="GA72" s="965"/>
      <c r="GB72" s="965"/>
      <c r="GC72" s="965"/>
      <c r="GD72" s="965"/>
      <c r="GE72" s="965"/>
      <c r="GF72" s="965"/>
      <c r="GG72" s="965"/>
      <c r="GH72" s="965"/>
      <c r="GI72" s="965"/>
      <c r="GJ72" s="965"/>
      <c r="GK72" s="965"/>
      <c r="GL72" s="965"/>
      <c r="GM72" s="965"/>
      <c r="GN72" s="965"/>
      <c r="GO72" s="965"/>
      <c r="GP72" s="965"/>
      <c r="GQ72" s="965"/>
      <c r="GR72" s="965"/>
      <c r="GS72" s="965"/>
      <c r="GT72" s="965"/>
      <c r="GU72" s="965"/>
      <c r="GV72" s="965"/>
      <c r="GW72" s="965"/>
      <c r="GX72" s="965"/>
      <c r="GY72" s="965"/>
      <c r="GZ72" s="965"/>
      <c r="HA72" s="965"/>
      <c r="HB72" s="965"/>
      <c r="HC72" s="965"/>
      <c r="HD72" s="965"/>
      <c r="HE72" s="965"/>
      <c r="HF72" s="965"/>
      <c r="HG72" s="965"/>
      <c r="HH72" s="965"/>
      <c r="HI72" s="965"/>
      <c r="HJ72" s="965"/>
      <c r="HK72" s="965"/>
      <c r="HL72" s="965"/>
      <c r="HM72" s="965"/>
      <c r="HN72" s="965"/>
      <c r="HO72" s="965"/>
      <c r="HP72" s="965"/>
      <c r="HQ72" s="965"/>
      <c r="HR72" s="965"/>
      <c r="HS72" s="965"/>
      <c r="HT72" s="965"/>
      <c r="HU72" s="965"/>
      <c r="HV72" s="965"/>
      <c r="HW72" s="965"/>
      <c r="HX72" s="965"/>
      <c r="HY72" s="965"/>
      <c r="HZ72" s="965"/>
      <c r="IA72" s="965"/>
      <c r="IB72" s="965"/>
      <c r="IC72" s="965"/>
      <c r="ID72" s="965"/>
      <c r="IE72" s="965"/>
      <c r="IF72" s="965"/>
      <c r="IG72" s="965"/>
      <c r="IH72" s="965"/>
      <c r="II72" s="965"/>
    </row>
    <row r="73" spans="3:243">
      <c r="C73" s="965"/>
      <c r="D73" s="965"/>
      <c r="E73" s="965"/>
      <c r="F73" s="965"/>
      <c r="G73" s="965"/>
      <c r="H73" s="965"/>
      <c r="I73" s="965"/>
      <c r="J73" s="965"/>
      <c r="K73" s="965"/>
      <c r="L73" s="965"/>
      <c r="M73" s="965"/>
      <c r="N73" s="965"/>
      <c r="O73" s="965"/>
      <c r="P73" s="965"/>
      <c r="Q73" s="965"/>
      <c r="R73" s="965"/>
      <c r="S73" s="965"/>
      <c r="T73" s="965"/>
      <c r="U73" s="965"/>
      <c r="V73" s="965"/>
      <c r="W73" s="965"/>
      <c r="X73" s="965"/>
      <c r="Y73" s="965"/>
      <c r="Z73" s="965"/>
      <c r="AA73" s="965"/>
      <c r="AB73" s="965"/>
      <c r="AC73" s="965"/>
      <c r="AD73" s="965"/>
      <c r="AE73" s="965"/>
      <c r="AF73" s="965"/>
      <c r="AG73" s="965"/>
      <c r="AH73" s="965"/>
      <c r="AI73" s="965"/>
      <c r="AJ73" s="965"/>
      <c r="AK73" s="965"/>
      <c r="AL73" s="965"/>
      <c r="AM73" s="965"/>
      <c r="AN73" s="965"/>
      <c r="AO73" s="965"/>
      <c r="AP73" s="965"/>
      <c r="AQ73" s="965"/>
      <c r="AR73" s="965"/>
      <c r="AS73" s="965"/>
      <c r="AT73" s="965"/>
      <c r="AU73" s="965"/>
      <c r="AV73" s="965"/>
      <c r="AW73" s="965"/>
      <c r="AX73" s="965"/>
      <c r="AY73" s="965"/>
      <c r="AZ73" s="965"/>
      <c r="BA73" s="965"/>
      <c r="BB73" s="965"/>
      <c r="BC73" s="965"/>
      <c r="BD73" s="965"/>
      <c r="BE73" s="965"/>
      <c r="BF73" s="965"/>
      <c r="BG73" s="965"/>
      <c r="BH73" s="965"/>
      <c r="BI73" s="965"/>
      <c r="BJ73" s="965"/>
      <c r="BK73" s="965"/>
      <c r="BL73" s="965"/>
      <c r="BM73" s="965"/>
      <c r="BN73" s="965"/>
      <c r="BO73" s="965"/>
      <c r="BP73" s="965"/>
      <c r="BQ73" s="965"/>
      <c r="BR73" s="965"/>
      <c r="BS73" s="965"/>
      <c r="BT73" s="965"/>
      <c r="BU73" s="965"/>
      <c r="BV73" s="965"/>
      <c r="BW73" s="965"/>
      <c r="BX73" s="965"/>
      <c r="BY73" s="965"/>
      <c r="BZ73" s="965"/>
      <c r="CA73" s="965"/>
      <c r="CB73" s="965"/>
      <c r="CC73" s="965"/>
      <c r="CD73" s="965"/>
      <c r="CE73" s="965"/>
      <c r="CF73" s="965"/>
      <c r="CG73" s="965"/>
      <c r="CH73" s="965"/>
      <c r="CI73" s="965"/>
      <c r="CJ73" s="965"/>
      <c r="CK73" s="965"/>
      <c r="CL73" s="965"/>
      <c r="CM73" s="965"/>
      <c r="CN73" s="965"/>
      <c r="CO73" s="965"/>
      <c r="CP73" s="965"/>
      <c r="CQ73" s="965"/>
      <c r="CR73" s="965"/>
      <c r="CS73" s="965"/>
      <c r="CT73" s="965"/>
      <c r="CU73" s="965"/>
      <c r="CV73" s="965"/>
      <c r="CW73" s="965"/>
      <c r="CX73" s="965"/>
      <c r="CY73" s="965"/>
      <c r="CZ73" s="965"/>
      <c r="DA73" s="965"/>
      <c r="DB73" s="965"/>
      <c r="DC73" s="965"/>
      <c r="DD73" s="965"/>
      <c r="DE73" s="965"/>
      <c r="DF73" s="965"/>
      <c r="DG73" s="965"/>
      <c r="DH73" s="965"/>
      <c r="DI73" s="965"/>
      <c r="DJ73" s="965"/>
      <c r="DK73" s="965"/>
      <c r="DL73" s="965"/>
      <c r="DM73" s="965"/>
      <c r="DN73" s="965"/>
      <c r="DO73" s="965"/>
      <c r="DP73" s="965"/>
      <c r="DQ73" s="965"/>
      <c r="DR73" s="965"/>
      <c r="DS73" s="965"/>
      <c r="DT73" s="965"/>
      <c r="DU73" s="965"/>
      <c r="DV73" s="965"/>
      <c r="DW73" s="965"/>
      <c r="DX73" s="965"/>
      <c r="DY73" s="965"/>
      <c r="DZ73" s="965"/>
      <c r="EA73" s="965"/>
      <c r="EB73" s="965"/>
      <c r="EC73" s="965"/>
      <c r="ED73" s="965"/>
      <c r="EE73" s="965"/>
      <c r="EF73" s="965"/>
      <c r="EG73" s="965"/>
      <c r="EH73" s="965"/>
      <c r="EI73" s="965"/>
      <c r="EJ73" s="965"/>
      <c r="EK73" s="965"/>
      <c r="EL73" s="965"/>
      <c r="EM73" s="965"/>
      <c r="EN73" s="965"/>
      <c r="EO73" s="965"/>
      <c r="EP73" s="965"/>
      <c r="EQ73" s="965"/>
      <c r="ER73" s="965"/>
      <c r="ES73" s="965"/>
      <c r="ET73" s="965"/>
      <c r="EU73" s="965"/>
      <c r="EV73" s="965"/>
      <c r="EW73" s="965"/>
      <c r="EX73" s="965"/>
      <c r="EY73" s="965"/>
      <c r="EZ73" s="965"/>
      <c r="FA73" s="965"/>
      <c r="FB73" s="965"/>
      <c r="FC73" s="965"/>
      <c r="FD73" s="965"/>
      <c r="FE73" s="965"/>
      <c r="FF73" s="965"/>
      <c r="FG73" s="965"/>
      <c r="FH73" s="965"/>
      <c r="FI73" s="965"/>
      <c r="FJ73" s="965"/>
      <c r="FK73" s="965"/>
      <c r="FL73" s="965"/>
      <c r="FM73" s="965"/>
      <c r="FN73" s="965"/>
      <c r="FO73" s="965"/>
      <c r="FP73" s="965"/>
      <c r="FQ73" s="965"/>
      <c r="FR73" s="965"/>
      <c r="FS73" s="965"/>
      <c r="FT73" s="965"/>
      <c r="FU73" s="965"/>
      <c r="FV73" s="965"/>
      <c r="FW73" s="965"/>
      <c r="FX73" s="965"/>
      <c r="FY73" s="965"/>
      <c r="FZ73" s="965"/>
      <c r="GA73" s="965"/>
      <c r="GB73" s="965"/>
      <c r="GC73" s="965"/>
      <c r="GD73" s="965"/>
      <c r="GE73" s="965"/>
      <c r="GF73" s="965"/>
      <c r="GG73" s="965"/>
      <c r="GH73" s="965"/>
      <c r="GI73" s="965"/>
      <c r="GJ73" s="965"/>
      <c r="GK73" s="965"/>
      <c r="GL73" s="965"/>
      <c r="GM73" s="965"/>
      <c r="GN73" s="965"/>
      <c r="GO73" s="965"/>
      <c r="GP73" s="965"/>
      <c r="GQ73" s="965"/>
      <c r="GR73" s="965"/>
      <c r="GS73" s="965"/>
      <c r="GT73" s="965"/>
      <c r="GU73" s="965"/>
      <c r="GV73" s="965"/>
      <c r="GW73" s="965"/>
      <c r="GX73" s="965"/>
      <c r="GY73" s="965"/>
      <c r="GZ73" s="965"/>
      <c r="HA73" s="965"/>
      <c r="HB73" s="965"/>
      <c r="HC73" s="965"/>
      <c r="HD73" s="965"/>
      <c r="HE73" s="965"/>
      <c r="HF73" s="965"/>
      <c r="HG73" s="965"/>
      <c r="HH73" s="965"/>
      <c r="HI73" s="965"/>
      <c r="HJ73" s="965"/>
      <c r="HK73" s="965"/>
      <c r="HL73" s="965"/>
      <c r="HM73" s="965"/>
      <c r="HN73" s="965"/>
      <c r="HO73" s="965"/>
      <c r="HP73" s="965"/>
      <c r="HQ73" s="965"/>
      <c r="HR73" s="965"/>
      <c r="HS73" s="965"/>
      <c r="HT73" s="965"/>
      <c r="HU73" s="965"/>
      <c r="HV73" s="965"/>
      <c r="HW73" s="965"/>
      <c r="HX73" s="965"/>
      <c r="HY73" s="965"/>
      <c r="HZ73" s="965"/>
      <c r="IA73" s="965"/>
      <c r="IB73" s="965"/>
      <c r="IC73" s="965"/>
      <c r="ID73" s="965"/>
      <c r="IE73" s="965"/>
      <c r="IF73" s="965"/>
      <c r="IG73" s="965"/>
      <c r="IH73" s="965"/>
      <c r="II73" s="965"/>
    </row>
    <row r="74" spans="3:243">
      <c r="C74" s="965"/>
      <c r="D74" s="965"/>
      <c r="E74" s="965"/>
      <c r="F74" s="965"/>
      <c r="G74" s="965"/>
      <c r="H74" s="965"/>
      <c r="I74" s="965"/>
      <c r="J74" s="965"/>
      <c r="K74" s="965"/>
      <c r="L74" s="965"/>
      <c r="M74" s="965"/>
      <c r="N74" s="965"/>
      <c r="O74" s="965"/>
      <c r="P74" s="965"/>
      <c r="Q74" s="965"/>
      <c r="R74" s="965"/>
      <c r="S74" s="965"/>
      <c r="T74" s="965"/>
      <c r="U74" s="965"/>
      <c r="V74" s="965"/>
      <c r="W74" s="965"/>
      <c r="X74" s="965"/>
      <c r="Y74" s="965"/>
      <c r="Z74" s="965"/>
      <c r="AA74" s="965"/>
      <c r="AB74" s="965"/>
      <c r="AC74" s="965"/>
      <c r="AD74" s="965"/>
      <c r="AE74" s="965"/>
      <c r="AF74" s="965"/>
      <c r="AG74" s="965"/>
      <c r="AH74" s="965"/>
      <c r="AI74" s="965"/>
      <c r="AJ74" s="965"/>
      <c r="AK74" s="965"/>
      <c r="AL74" s="965"/>
      <c r="AM74" s="965"/>
      <c r="AN74" s="965"/>
      <c r="AO74" s="965"/>
      <c r="AP74" s="965"/>
      <c r="AQ74" s="965"/>
      <c r="AR74" s="965"/>
      <c r="AS74" s="965"/>
      <c r="AT74" s="965"/>
      <c r="AU74" s="965"/>
      <c r="AV74" s="965"/>
      <c r="AW74" s="965"/>
      <c r="AX74" s="965"/>
      <c r="AY74" s="965"/>
      <c r="AZ74" s="965"/>
      <c r="BA74" s="965"/>
      <c r="BB74" s="965"/>
      <c r="BC74" s="965"/>
      <c r="BD74" s="965"/>
      <c r="BE74" s="965"/>
      <c r="BF74" s="965"/>
      <c r="BG74" s="965"/>
      <c r="BH74" s="965"/>
      <c r="BI74" s="965"/>
      <c r="BJ74" s="965"/>
      <c r="BK74" s="965"/>
      <c r="BL74" s="965"/>
      <c r="BM74" s="965"/>
      <c r="BN74" s="965"/>
      <c r="BO74" s="965"/>
      <c r="BP74" s="965"/>
      <c r="BQ74" s="965"/>
      <c r="BR74" s="965"/>
      <c r="BS74" s="965"/>
      <c r="BT74" s="965"/>
      <c r="BU74" s="965"/>
      <c r="BV74" s="965"/>
      <c r="BW74" s="965"/>
      <c r="BX74" s="965"/>
      <c r="BY74" s="965"/>
      <c r="BZ74" s="965"/>
      <c r="CA74" s="965"/>
      <c r="CB74" s="965"/>
      <c r="CC74" s="965"/>
      <c r="CD74" s="965"/>
      <c r="CE74" s="965"/>
      <c r="CF74" s="965"/>
      <c r="CG74" s="965"/>
      <c r="CH74" s="965"/>
      <c r="CI74" s="965"/>
      <c r="CJ74" s="965"/>
      <c r="CK74" s="965"/>
      <c r="CL74" s="965"/>
      <c r="CM74" s="965"/>
      <c r="CN74" s="965"/>
      <c r="CO74" s="965"/>
      <c r="CP74" s="965"/>
      <c r="CQ74" s="965"/>
      <c r="CR74" s="965"/>
      <c r="CS74" s="965"/>
      <c r="CT74" s="965"/>
      <c r="CU74" s="965"/>
      <c r="CV74" s="965"/>
      <c r="CW74" s="965"/>
      <c r="CX74" s="965"/>
      <c r="CY74" s="965"/>
      <c r="CZ74" s="965"/>
      <c r="DA74" s="965"/>
      <c r="DB74" s="965"/>
      <c r="DC74" s="965"/>
      <c r="DD74" s="965"/>
      <c r="DE74" s="965"/>
      <c r="DF74" s="965"/>
      <c r="DG74" s="965"/>
      <c r="DH74" s="965"/>
      <c r="DI74" s="965"/>
      <c r="DJ74" s="965"/>
      <c r="DK74" s="965"/>
      <c r="DL74" s="965"/>
      <c r="DM74" s="965"/>
      <c r="DN74" s="965"/>
      <c r="DO74" s="965"/>
      <c r="DP74" s="965"/>
      <c r="DQ74" s="965"/>
      <c r="DR74" s="965"/>
      <c r="DS74" s="965"/>
      <c r="DT74" s="965"/>
      <c r="DU74" s="965"/>
      <c r="DV74" s="965"/>
      <c r="DW74" s="965"/>
      <c r="DX74" s="965"/>
      <c r="DY74" s="965"/>
      <c r="DZ74" s="965"/>
      <c r="EA74" s="965"/>
      <c r="EB74" s="965"/>
      <c r="EC74" s="965"/>
      <c r="ED74" s="965"/>
      <c r="EE74" s="965"/>
      <c r="EF74" s="965"/>
      <c r="EG74" s="965"/>
      <c r="EH74" s="965"/>
      <c r="EI74" s="965"/>
      <c r="EJ74" s="965"/>
      <c r="EK74" s="965"/>
      <c r="EL74" s="965"/>
      <c r="EM74" s="965"/>
      <c r="EN74" s="965"/>
      <c r="EO74" s="965"/>
      <c r="EP74" s="965"/>
      <c r="EQ74" s="965"/>
      <c r="ER74" s="965"/>
      <c r="ES74" s="965"/>
      <c r="ET74" s="965"/>
      <c r="EU74" s="965"/>
      <c r="EV74" s="965"/>
      <c r="EW74" s="965"/>
      <c r="EX74" s="965"/>
      <c r="EY74" s="965"/>
      <c r="EZ74" s="965"/>
      <c r="FA74" s="965"/>
      <c r="FB74" s="965"/>
      <c r="FC74" s="965"/>
      <c r="FD74" s="965"/>
      <c r="FE74" s="965"/>
      <c r="FF74" s="965"/>
      <c r="FG74" s="965"/>
      <c r="FH74" s="965"/>
      <c r="FI74" s="965"/>
      <c r="FJ74" s="965"/>
      <c r="FK74" s="965"/>
      <c r="FL74" s="965"/>
      <c r="FM74" s="965"/>
      <c r="FN74" s="965"/>
      <c r="FO74" s="965"/>
      <c r="FP74" s="965"/>
      <c r="FQ74" s="965"/>
      <c r="FR74" s="965"/>
      <c r="FS74" s="965"/>
      <c r="FT74" s="965"/>
      <c r="FU74" s="965"/>
      <c r="FV74" s="965"/>
      <c r="FW74" s="965"/>
      <c r="FX74" s="965"/>
      <c r="FY74" s="965"/>
      <c r="FZ74" s="965"/>
      <c r="GA74" s="965"/>
      <c r="GB74" s="965"/>
      <c r="GC74" s="965"/>
      <c r="GD74" s="965"/>
      <c r="GE74" s="965"/>
      <c r="GF74" s="965"/>
      <c r="GG74" s="965"/>
      <c r="GH74" s="965"/>
      <c r="GI74" s="965"/>
      <c r="GJ74" s="965"/>
      <c r="GK74" s="965"/>
      <c r="GL74" s="965"/>
      <c r="GM74" s="965"/>
      <c r="GN74" s="965"/>
      <c r="GO74" s="965"/>
      <c r="GP74" s="965"/>
      <c r="GQ74" s="965"/>
      <c r="GR74" s="965"/>
      <c r="GS74" s="965"/>
      <c r="GT74" s="965"/>
      <c r="GU74" s="965"/>
      <c r="GV74" s="965"/>
      <c r="GW74" s="965"/>
      <c r="GX74" s="965"/>
      <c r="GY74" s="965"/>
      <c r="GZ74" s="965"/>
      <c r="HA74" s="965"/>
      <c r="HB74" s="965"/>
      <c r="HC74" s="965"/>
      <c r="HD74" s="965"/>
      <c r="HE74" s="965"/>
      <c r="HF74" s="965"/>
      <c r="HG74" s="965"/>
      <c r="HH74" s="965"/>
      <c r="HI74" s="965"/>
      <c r="HJ74" s="965"/>
      <c r="HK74" s="965"/>
      <c r="HL74" s="965"/>
      <c r="HM74" s="965"/>
      <c r="HN74" s="965"/>
      <c r="HO74" s="965"/>
      <c r="HP74" s="965"/>
      <c r="HQ74" s="965"/>
      <c r="HR74" s="965"/>
      <c r="HS74" s="965"/>
      <c r="HT74" s="965"/>
      <c r="HU74" s="965"/>
      <c r="HV74" s="965"/>
      <c r="HW74" s="965"/>
      <c r="HX74" s="965"/>
      <c r="HY74" s="965"/>
      <c r="HZ74" s="965"/>
      <c r="IA74" s="965"/>
      <c r="IB74" s="965"/>
      <c r="IC74" s="965"/>
      <c r="ID74" s="965"/>
      <c r="IE74" s="965"/>
      <c r="IF74" s="965"/>
      <c r="IG74" s="965"/>
      <c r="IH74" s="965"/>
      <c r="II74" s="965"/>
    </row>
    <row r="75" spans="3:243">
      <c r="C75" s="965"/>
      <c r="D75" s="965"/>
      <c r="E75" s="965"/>
      <c r="F75" s="965"/>
      <c r="G75" s="965"/>
      <c r="H75" s="965"/>
      <c r="I75" s="965"/>
      <c r="J75" s="965"/>
      <c r="K75" s="965"/>
      <c r="L75" s="965"/>
      <c r="M75" s="965"/>
      <c r="N75" s="965"/>
      <c r="O75" s="965"/>
      <c r="P75" s="965"/>
      <c r="Q75" s="965"/>
      <c r="R75" s="965"/>
      <c r="S75" s="965"/>
      <c r="T75" s="965"/>
      <c r="U75" s="965"/>
      <c r="V75" s="965"/>
      <c r="W75" s="965"/>
      <c r="X75" s="965"/>
      <c r="Y75" s="965"/>
      <c r="Z75" s="965"/>
      <c r="AA75" s="965"/>
      <c r="AB75" s="965"/>
      <c r="AC75" s="965"/>
      <c r="AD75" s="965"/>
      <c r="AE75" s="965"/>
      <c r="AF75" s="965"/>
      <c r="AG75" s="965"/>
      <c r="AH75" s="965"/>
      <c r="AI75" s="965"/>
      <c r="AJ75" s="965"/>
      <c r="AK75" s="965"/>
      <c r="AL75" s="965"/>
      <c r="AM75" s="965"/>
      <c r="AN75" s="965"/>
      <c r="AO75" s="965"/>
      <c r="AP75" s="965"/>
      <c r="AQ75" s="965"/>
      <c r="AR75" s="965"/>
      <c r="AS75" s="965"/>
      <c r="AT75" s="965"/>
      <c r="AU75" s="965"/>
      <c r="AV75" s="965"/>
      <c r="AW75" s="965"/>
      <c r="AX75" s="965"/>
      <c r="AY75" s="965"/>
      <c r="AZ75" s="965"/>
      <c r="BA75" s="965"/>
      <c r="BB75" s="965"/>
      <c r="BC75" s="965"/>
      <c r="BD75" s="965"/>
      <c r="BE75" s="965"/>
      <c r="BF75" s="965"/>
      <c r="BG75" s="965"/>
      <c r="BH75" s="965"/>
      <c r="BI75" s="965"/>
      <c r="BJ75" s="965"/>
      <c r="BK75" s="965"/>
      <c r="BL75" s="965"/>
      <c r="BM75" s="965"/>
      <c r="BN75" s="965"/>
      <c r="BO75" s="965"/>
      <c r="BP75" s="965"/>
      <c r="BQ75" s="965"/>
      <c r="BR75" s="965"/>
      <c r="BS75" s="965"/>
      <c r="BT75" s="965"/>
      <c r="BU75" s="965"/>
      <c r="BV75" s="965"/>
      <c r="BW75" s="965"/>
      <c r="BX75" s="965"/>
      <c r="BY75" s="965"/>
      <c r="BZ75" s="965"/>
      <c r="CA75" s="965"/>
      <c r="CB75" s="965"/>
      <c r="CC75" s="965"/>
      <c r="CD75" s="965"/>
      <c r="CE75" s="965"/>
      <c r="CF75" s="965"/>
      <c r="CG75" s="965"/>
      <c r="CH75" s="965"/>
      <c r="CI75" s="965"/>
      <c r="CJ75" s="965"/>
      <c r="CK75" s="965"/>
      <c r="CL75" s="965"/>
      <c r="CM75" s="965"/>
      <c r="CN75" s="965"/>
      <c r="CO75" s="965"/>
      <c r="CP75" s="965"/>
      <c r="CQ75" s="965"/>
      <c r="CR75" s="965"/>
      <c r="CS75" s="965"/>
      <c r="CT75" s="965"/>
      <c r="CU75" s="965"/>
      <c r="CV75" s="965"/>
      <c r="CW75" s="965"/>
      <c r="CX75" s="965"/>
      <c r="CY75" s="965"/>
      <c r="CZ75" s="965"/>
      <c r="DA75" s="965"/>
      <c r="DB75" s="965"/>
      <c r="DC75" s="965"/>
      <c r="DD75" s="965"/>
      <c r="DE75" s="965"/>
      <c r="DF75" s="965"/>
      <c r="DG75" s="965"/>
      <c r="DH75" s="965"/>
      <c r="DI75" s="965"/>
      <c r="DJ75" s="965"/>
      <c r="DK75" s="965"/>
      <c r="DL75" s="965"/>
      <c r="DM75" s="965"/>
      <c r="DN75" s="965"/>
      <c r="DO75" s="965"/>
      <c r="DP75" s="965"/>
      <c r="DQ75" s="965"/>
      <c r="DR75" s="965"/>
      <c r="DS75" s="965"/>
      <c r="DT75" s="965"/>
      <c r="DU75" s="965"/>
      <c r="DV75" s="965"/>
      <c r="DW75" s="965"/>
      <c r="DX75" s="965"/>
      <c r="DY75" s="965"/>
      <c r="DZ75" s="965"/>
      <c r="EA75" s="965"/>
      <c r="EB75" s="965"/>
      <c r="EC75" s="965"/>
      <c r="ED75" s="965"/>
      <c r="EE75" s="965"/>
      <c r="EF75" s="965"/>
      <c r="EG75" s="965"/>
      <c r="EH75" s="965"/>
      <c r="EI75" s="965"/>
      <c r="EJ75" s="965"/>
      <c r="EK75" s="965"/>
      <c r="EL75" s="965"/>
      <c r="EM75" s="965"/>
      <c r="EN75" s="965"/>
      <c r="EO75" s="965"/>
      <c r="EP75" s="965"/>
      <c r="EQ75" s="965"/>
      <c r="ER75" s="965"/>
      <c r="ES75" s="965"/>
      <c r="ET75" s="965"/>
      <c r="EU75" s="965"/>
      <c r="EV75" s="965"/>
      <c r="EW75" s="965"/>
      <c r="EX75" s="965"/>
      <c r="EY75" s="965"/>
      <c r="EZ75" s="965"/>
      <c r="FA75" s="965"/>
      <c r="FB75" s="965"/>
      <c r="FC75" s="965"/>
      <c r="FD75" s="965"/>
      <c r="FE75" s="965"/>
      <c r="FF75" s="965"/>
      <c r="FG75" s="965"/>
      <c r="FH75" s="965"/>
      <c r="FI75" s="965"/>
      <c r="FJ75" s="965"/>
      <c r="FK75" s="965"/>
      <c r="FL75" s="965"/>
      <c r="FM75" s="965"/>
      <c r="FN75" s="965"/>
      <c r="FO75" s="965"/>
      <c r="FP75" s="965"/>
      <c r="FQ75" s="965"/>
      <c r="FR75" s="965"/>
      <c r="FS75" s="965"/>
      <c r="FT75" s="965"/>
      <c r="FU75" s="965"/>
      <c r="FV75" s="965"/>
      <c r="FW75" s="965"/>
      <c r="FX75" s="965"/>
      <c r="FY75" s="965"/>
      <c r="FZ75" s="965"/>
      <c r="GA75" s="965"/>
      <c r="GB75" s="965"/>
      <c r="GC75" s="965"/>
      <c r="GD75" s="965"/>
      <c r="GE75" s="965"/>
      <c r="GF75" s="965"/>
      <c r="GG75" s="965"/>
      <c r="GH75" s="965"/>
      <c r="GI75" s="965"/>
      <c r="GJ75" s="965"/>
      <c r="GK75" s="965"/>
      <c r="GL75" s="965"/>
      <c r="GM75" s="965"/>
      <c r="GN75" s="965"/>
      <c r="GO75" s="965"/>
      <c r="GP75" s="965"/>
      <c r="GQ75" s="965"/>
      <c r="GR75" s="965"/>
      <c r="GS75" s="965"/>
      <c r="GT75" s="965"/>
      <c r="GU75" s="965"/>
      <c r="GV75" s="965"/>
      <c r="GW75" s="965"/>
      <c r="GX75" s="965"/>
      <c r="GY75" s="965"/>
      <c r="GZ75" s="965"/>
      <c r="HA75" s="965"/>
      <c r="HB75" s="965"/>
      <c r="HC75" s="965"/>
      <c r="HD75" s="965"/>
      <c r="HE75" s="965"/>
      <c r="HF75" s="965"/>
      <c r="HG75" s="965"/>
      <c r="HH75" s="965"/>
      <c r="HI75" s="965"/>
      <c r="HJ75" s="965"/>
      <c r="HK75" s="965"/>
      <c r="HL75" s="965"/>
      <c r="HM75" s="965"/>
      <c r="HN75" s="965"/>
      <c r="HO75" s="965"/>
      <c r="HP75" s="965"/>
      <c r="HQ75" s="965"/>
      <c r="HR75" s="965"/>
      <c r="HS75" s="965"/>
      <c r="HT75" s="965"/>
      <c r="HU75" s="965"/>
      <c r="HV75" s="965"/>
      <c r="HW75" s="965"/>
      <c r="HX75" s="965"/>
      <c r="HY75" s="965"/>
      <c r="HZ75" s="965"/>
      <c r="IA75" s="965"/>
      <c r="IB75" s="965"/>
      <c r="IC75" s="965"/>
      <c r="ID75" s="965"/>
      <c r="IE75" s="965"/>
      <c r="IF75" s="965"/>
      <c r="IG75" s="965"/>
      <c r="IH75" s="965"/>
      <c r="II75" s="965"/>
    </row>
    <row r="76" spans="3:243">
      <c r="C76" s="965"/>
      <c r="D76" s="965"/>
      <c r="E76" s="965"/>
      <c r="F76" s="965"/>
      <c r="G76" s="965"/>
      <c r="H76" s="965"/>
      <c r="I76" s="965"/>
      <c r="J76" s="965"/>
      <c r="K76" s="965"/>
      <c r="L76" s="965"/>
      <c r="M76" s="965"/>
      <c r="N76" s="965"/>
      <c r="O76" s="965"/>
      <c r="P76" s="965"/>
      <c r="Q76" s="965"/>
      <c r="R76" s="965"/>
      <c r="S76" s="965"/>
      <c r="T76" s="965"/>
      <c r="U76" s="965"/>
      <c r="V76" s="965"/>
      <c r="W76" s="965"/>
      <c r="X76" s="965"/>
      <c r="Y76" s="965"/>
      <c r="Z76" s="965"/>
      <c r="AA76" s="965"/>
      <c r="AB76" s="965"/>
      <c r="AC76" s="965"/>
      <c r="AD76" s="965"/>
      <c r="AE76" s="965"/>
      <c r="AF76" s="965"/>
      <c r="AG76" s="965"/>
      <c r="AH76" s="965"/>
      <c r="AI76" s="965"/>
      <c r="AJ76" s="965"/>
      <c r="AK76" s="965"/>
      <c r="AL76" s="965"/>
      <c r="AM76" s="965"/>
      <c r="AN76" s="965"/>
      <c r="AO76" s="965"/>
      <c r="AP76" s="965"/>
      <c r="AQ76" s="965"/>
      <c r="AR76" s="965"/>
      <c r="AS76" s="965"/>
      <c r="AT76" s="965"/>
      <c r="AU76" s="965"/>
      <c r="AV76" s="965"/>
      <c r="AW76" s="965"/>
      <c r="AX76" s="965"/>
      <c r="AY76" s="965"/>
      <c r="AZ76" s="965"/>
      <c r="BA76" s="965"/>
      <c r="BB76" s="965"/>
      <c r="BC76" s="965"/>
      <c r="BD76" s="965"/>
      <c r="BE76" s="965"/>
      <c r="BF76" s="965"/>
      <c r="BG76" s="965"/>
      <c r="BH76" s="965"/>
      <c r="BI76" s="965"/>
      <c r="BJ76" s="965"/>
      <c r="BK76" s="965"/>
      <c r="BL76" s="965"/>
      <c r="BM76" s="965"/>
      <c r="BN76" s="965"/>
      <c r="BO76" s="965"/>
      <c r="BP76" s="965"/>
      <c r="BQ76" s="965"/>
      <c r="BR76" s="965"/>
      <c r="BS76" s="965"/>
      <c r="BT76" s="965"/>
      <c r="BU76" s="965"/>
      <c r="BV76" s="965"/>
      <c r="BW76" s="965"/>
      <c r="BX76" s="965"/>
      <c r="BY76" s="965"/>
      <c r="BZ76" s="965"/>
      <c r="CA76" s="965"/>
      <c r="CB76" s="965"/>
      <c r="CC76" s="965"/>
      <c r="CD76" s="965"/>
      <c r="CE76" s="965"/>
      <c r="CF76" s="965"/>
      <c r="CG76" s="965"/>
      <c r="CH76" s="965"/>
      <c r="CI76" s="965"/>
      <c r="CJ76" s="965"/>
      <c r="CK76" s="965"/>
      <c r="CL76" s="965"/>
      <c r="CM76" s="965"/>
      <c r="CN76" s="965"/>
      <c r="CO76" s="965"/>
      <c r="CP76" s="965"/>
      <c r="CQ76" s="965"/>
      <c r="CR76" s="965"/>
      <c r="CS76" s="965"/>
      <c r="CT76" s="965"/>
      <c r="CU76" s="965"/>
      <c r="CV76" s="965"/>
      <c r="CW76" s="965"/>
      <c r="CX76" s="965"/>
      <c r="CY76" s="965"/>
      <c r="CZ76" s="965"/>
      <c r="DA76" s="965"/>
      <c r="DB76" s="965"/>
      <c r="DC76" s="965"/>
      <c r="DD76" s="965"/>
      <c r="DE76" s="965"/>
      <c r="DF76" s="965"/>
      <c r="DG76" s="965"/>
      <c r="DH76" s="965"/>
      <c r="DI76" s="965"/>
      <c r="DJ76" s="965"/>
      <c r="DK76" s="965"/>
      <c r="DL76" s="965"/>
      <c r="DM76" s="965"/>
      <c r="DN76" s="965"/>
      <c r="DO76" s="965"/>
      <c r="DP76" s="965"/>
      <c r="DQ76" s="965"/>
      <c r="DR76" s="965"/>
      <c r="DS76" s="965"/>
      <c r="DT76" s="965"/>
      <c r="DU76" s="965"/>
      <c r="DV76" s="965"/>
      <c r="DW76" s="965"/>
      <c r="DX76" s="965"/>
      <c r="DY76" s="965"/>
      <c r="DZ76" s="965"/>
      <c r="EA76" s="965"/>
      <c r="EB76" s="965"/>
      <c r="EC76" s="965"/>
      <c r="ED76" s="965"/>
      <c r="EE76" s="965"/>
      <c r="EF76" s="965"/>
      <c r="EG76" s="965"/>
      <c r="EH76" s="965"/>
      <c r="EI76" s="965"/>
      <c r="EJ76" s="965"/>
      <c r="EK76" s="965"/>
      <c r="EL76" s="965"/>
      <c r="EM76" s="965"/>
      <c r="EN76" s="965"/>
      <c r="EO76" s="965"/>
      <c r="EP76" s="965"/>
      <c r="EQ76" s="965"/>
      <c r="ER76" s="965"/>
      <c r="ES76" s="965"/>
      <c r="ET76" s="965"/>
      <c r="EU76" s="965"/>
      <c r="EV76" s="965"/>
      <c r="EW76" s="965"/>
      <c r="EX76" s="965"/>
      <c r="EY76" s="965"/>
      <c r="EZ76" s="965"/>
      <c r="FA76" s="965"/>
      <c r="FB76" s="965"/>
      <c r="FC76" s="965"/>
      <c r="FD76" s="965"/>
      <c r="FE76" s="965"/>
      <c r="FF76" s="965"/>
      <c r="FG76" s="965"/>
      <c r="FH76" s="965"/>
      <c r="FI76" s="965"/>
      <c r="FJ76" s="965"/>
      <c r="FK76" s="965"/>
      <c r="FL76" s="965"/>
      <c r="FM76" s="965"/>
      <c r="FN76" s="965"/>
      <c r="FO76" s="965"/>
      <c r="FP76" s="965"/>
      <c r="FQ76" s="965"/>
      <c r="FR76" s="965"/>
      <c r="FS76" s="965"/>
      <c r="FT76" s="965"/>
      <c r="FU76" s="965"/>
      <c r="FV76" s="965"/>
      <c r="FW76" s="965"/>
      <c r="FX76" s="965"/>
      <c r="FY76" s="965"/>
      <c r="FZ76" s="965"/>
      <c r="GA76" s="965"/>
      <c r="GB76" s="965"/>
      <c r="GC76" s="965"/>
      <c r="GD76" s="965"/>
      <c r="GE76" s="965"/>
      <c r="GF76" s="965"/>
      <c r="GG76" s="965"/>
      <c r="GH76" s="965"/>
      <c r="GI76" s="965"/>
      <c r="GJ76" s="965"/>
      <c r="GK76" s="965"/>
      <c r="GL76" s="965"/>
      <c r="GM76" s="965"/>
      <c r="GN76" s="965"/>
      <c r="GO76" s="965"/>
      <c r="GP76" s="965"/>
      <c r="GQ76" s="965"/>
      <c r="GR76" s="965"/>
      <c r="GS76" s="965"/>
      <c r="GT76" s="965"/>
      <c r="GU76" s="965"/>
      <c r="GV76" s="965"/>
      <c r="GW76" s="965"/>
      <c r="GX76" s="965"/>
      <c r="GY76" s="965"/>
      <c r="GZ76" s="965"/>
      <c r="HA76" s="965"/>
      <c r="HB76" s="965"/>
      <c r="HC76" s="965"/>
      <c r="HD76" s="965"/>
      <c r="HE76" s="965"/>
      <c r="HF76" s="965"/>
      <c r="HG76" s="965"/>
      <c r="HH76" s="965"/>
      <c r="HI76" s="965"/>
      <c r="HJ76" s="965"/>
      <c r="HK76" s="965"/>
      <c r="HL76" s="965"/>
      <c r="HM76" s="965"/>
      <c r="HN76" s="965"/>
      <c r="HO76" s="965"/>
      <c r="HP76" s="965"/>
      <c r="HQ76" s="965"/>
      <c r="HR76" s="965"/>
      <c r="HS76" s="965"/>
      <c r="HT76" s="965"/>
      <c r="HU76" s="965"/>
      <c r="HV76" s="965"/>
      <c r="HW76" s="965"/>
      <c r="HX76" s="965"/>
      <c r="HY76" s="965"/>
      <c r="HZ76" s="965"/>
      <c r="IA76" s="965"/>
      <c r="IB76" s="965"/>
      <c r="IC76" s="965"/>
      <c r="ID76" s="965"/>
      <c r="IE76" s="965"/>
      <c r="IF76" s="965"/>
      <c r="IG76" s="965"/>
      <c r="IH76" s="965"/>
      <c r="II76" s="965"/>
    </row>
    <row r="77" spans="3:243">
      <c r="C77" s="965"/>
      <c r="D77" s="965"/>
      <c r="E77" s="965"/>
      <c r="F77" s="965"/>
      <c r="G77" s="965"/>
      <c r="H77" s="965"/>
      <c r="I77" s="965"/>
      <c r="J77" s="965"/>
      <c r="K77" s="965"/>
      <c r="L77" s="965"/>
      <c r="M77" s="965"/>
      <c r="N77" s="965"/>
      <c r="O77" s="965"/>
      <c r="P77" s="965"/>
      <c r="Q77" s="965"/>
      <c r="R77" s="965"/>
      <c r="S77" s="965"/>
      <c r="T77" s="965"/>
      <c r="U77" s="965"/>
      <c r="V77" s="965"/>
      <c r="W77" s="965"/>
      <c r="X77" s="965"/>
      <c r="Y77" s="965"/>
      <c r="Z77" s="965"/>
      <c r="AA77" s="965"/>
      <c r="AB77" s="965"/>
      <c r="AC77" s="965"/>
      <c r="AD77" s="965"/>
      <c r="AE77" s="965"/>
      <c r="AF77" s="965"/>
      <c r="AG77" s="965"/>
      <c r="AH77" s="965"/>
      <c r="AI77" s="965"/>
      <c r="AJ77" s="965"/>
      <c r="AK77" s="965"/>
      <c r="AL77" s="965"/>
      <c r="AM77" s="965"/>
      <c r="AN77" s="965"/>
      <c r="AO77" s="965"/>
      <c r="AP77" s="965"/>
      <c r="AQ77" s="965"/>
      <c r="AR77" s="965"/>
      <c r="AS77" s="965"/>
      <c r="AT77" s="965"/>
      <c r="AU77" s="965"/>
      <c r="AV77" s="965"/>
      <c r="AW77" s="965"/>
      <c r="AX77" s="965"/>
      <c r="AY77" s="965"/>
      <c r="AZ77" s="965"/>
      <c r="BA77" s="965"/>
      <c r="BB77" s="965"/>
      <c r="BC77" s="965"/>
      <c r="BD77" s="965"/>
      <c r="BE77" s="965"/>
      <c r="BF77" s="965"/>
      <c r="BG77" s="965"/>
      <c r="BH77" s="965"/>
      <c r="BI77" s="965"/>
      <c r="BJ77" s="965"/>
      <c r="BK77" s="965"/>
      <c r="BL77" s="965"/>
      <c r="BM77" s="965"/>
      <c r="BN77" s="965"/>
      <c r="BO77" s="965"/>
      <c r="BP77" s="965"/>
      <c r="BQ77" s="965"/>
      <c r="BR77" s="965"/>
      <c r="BS77" s="965"/>
      <c r="BT77" s="965"/>
      <c r="BU77" s="965"/>
      <c r="BV77" s="965"/>
      <c r="BW77" s="965"/>
      <c r="BX77" s="965"/>
      <c r="BY77" s="965"/>
      <c r="BZ77" s="965"/>
      <c r="CA77" s="965"/>
      <c r="CB77" s="965"/>
      <c r="CC77" s="965"/>
      <c r="CD77" s="965"/>
      <c r="CE77" s="965"/>
      <c r="CF77" s="965"/>
      <c r="CG77" s="965"/>
      <c r="CH77" s="965"/>
      <c r="CI77" s="965"/>
      <c r="CJ77" s="965"/>
      <c r="CK77" s="965"/>
      <c r="CL77" s="965"/>
      <c r="CM77" s="965"/>
      <c r="CN77" s="965"/>
      <c r="CO77" s="965"/>
      <c r="CP77" s="965"/>
      <c r="CQ77" s="965"/>
      <c r="CR77" s="965"/>
      <c r="CS77" s="965"/>
      <c r="CT77" s="965"/>
      <c r="CU77" s="965"/>
      <c r="CV77" s="965"/>
      <c r="CW77" s="965"/>
      <c r="CX77" s="965"/>
      <c r="CY77" s="965"/>
      <c r="CZ77" s="965"/>
      <c r="DA77" s="965"/>
      <c r="DB77" s="965"/>
      <c r="DC77" s="965"/>
      <c r="DD77" s="965"/>
      <c r="DE77" s="965"/>
      <c r="DF77" s="965"/>
      <c r="DG77" s="965"/>
      <c r="DH77" s="965"/>
      <c r="DI77" s="965"/>
      <c r="DJ77" s="965"/>
      <c r="DK77" s="965"/>
      <c r="DL77" s="965"/>
      <c r="DM77" s="965"/>
      <c r="DN77" s="965"/>
      <c r="DO77" s="965"/>
      <c r="DP77" s="965"/>
      <c r="DQ77" s="965"/>
      <c r="DR77" s="965"/>
      <c r="DS77" s="965"/>
      <c r="DT77" s="965"/>
      <c r="DU77" s="965"/>
      <c r="DV77" s="965"/>
      <c r="DW77" s="965"/>
      <c r="DX77" s="965"/>
      <c r="DY77" s="965"/>
      <c r="DZ77" s="965"/>
      <c r="EA77" s="965"/>
      <c r="EB77" s="965"/>
      <c r="EC77" s="965"/>
      <c r="ED77" s="965"/>
      <c r="EE77" s="965"/>
      <c r="EF77" s="965"/>
      <c r="EG77" s="965"/>
      <c r="EH77" s="965"/>
      <c r="EI77" s="965"/>
      <c r="EJ77" s="965"/>
      <c r="EK77" s="965"/>
      <c r="EL77" s="965"/>
      <c r="EM77" s="965"/>
      <c r="EN77" s="965"/>
      <c r="EO77" s="965"/>
      <c r="EP77" s="965"/>
      <c r="EQ77" s="965"/>
      <c r="ER77" s="965"/>
      <c r="ES77" s="965"/>
      <c r="ET77" s="965"/>
      <c r="EU77" s="965"/>
      <c r="EV77" s="965"/>
      <c r="EW77" s="965"/>
      <c r="EX77" s="965"/>
      <c r="EY77" s="965"/>
      <c r="EZ77" s="965"/>
      <c r="FA77" s="965"/>
      <c r="FB77" s="965"/>
      <c r="FC77" s="965"/>
      <c r="FD77" s="965"/>
      <c r="FE77" s="965"/>
      <c r="FF77" s="965"/>
      <c r="FG77" s="965"/>
      <c r="FH77" s="965"/>
      <c r="FI77" s="965"/>
      <c r="FJ77" s="965"/>
      <c r="FK77" s="965"/>
      <c r="FL77" s="965"/>
      <c r="FM77" s="965"/>
      <c r="FN77" s="965"/>
      <c r="FO77" s="965"/>
      <c r="FP77" s="965"/>
      <c r="FQ77" s="965"/>
      <c r="FR77" s="965"/>
      <c r="FS77" s="965"/>
      <c r="FT77" s="965"/>
      <c r="FU77" s="965"/>
      <c r="FV77" s="965"/>
      <c r="FW77" s="965"/>
      <c r="FX77" s="965"/>
      <c r="FY77" s="965"/>
      <c r="FZ77" s="965"/>
      <c r="GA77" s="965"/>
      <c r="GB77" s="965"/>
      <c r="GC77" s="965"/>
      <c r="GD77" s="965"/>
      <c r="GE77" s="965"/>
      <c r="GF77" s="965"/>
      <c r="GG77" s="965"/>
      <c r="GH77" s="965"/>
      <c r="GI77" s="965"/>
      <c r="GJ77" s="965"/>
      <c r="GK77" s="965"/>
      <c r="GL77" s="965"/>
      <c r="GM77" s="965"/>
      <c r="GN77" s="965"/>
      <c r="GO77" s="965"/>
      <c r="GP77" s="965"/>
      <c r="GQ77" s="965"/>
      <c r="GR77" s="965"/>
      <c r="GS77" s="965"/>
      <c r="GT77" s="965"/>
      <c r="GU77" s="965"/>
      <c r="GV77" s="965"/>
      <c r="GW77" s="965"/>
      <c r="GX77" s="965"/>
      <c r="GY77" s="965"/>
      <c r="GZ77" s="965"/>
      <c r="HA77" s="965"/>
      <c r="HB77" s="965"/>
      <c r="HC77" s="965"/>
      <c r="HD77" s="965"/>
      <c r="HE77" s="965"/>
      <c r="HF77" s="965"/>
      <c r="HG77" s="965"/>
      <c r="HH77" s="965"/>
      <c r="HI77" s="965"/>
      <c r="HJ77" s="965"/>
      <c r="HK77" s="965"/>
      <c r="HL77" s="965"/>
      <c r="HM77" s="965"/>
      <c r="HN77" s="965"/>
      <c r="HO77" s="965"/>
      <c r="HP77" s="965"/>
      <c r="HQ77" s="965"/>
      <c r="HR77" s="965"/>
      <c r="HS77" s="965"/>
      <c r="HT77" s="965"/>
      <c r="HU77" s="965"/>
      <c r="HV77" s="965"/>
      <c r="HW77" s="965"/>
      <c r="HX77" s="965"/>
      <c r="HY77" s="965"/>
      <c r="HZ77" s="965"/>
      <c r="IA77" s="965"/>
      <c r="IB77" s="965"/>
      <c r="IC77" s="965"/>
      <c r="ID77" s="965"/>
      <c r="IE77" s="965"/>
      <c r="IF77" s="965"/>
      <c r="IG77" s="965"/>
      <c r="IH77" s="965"/>
      <c r="II77" s="965"/>
    </row>
    <row r="78" spans="3:243">
      <c r="C78" s="965"/>
      <c r="D78" s="965"/>
      <c r="E78" s="965"/>
      <c r="F78" s="965"/>
      <c r="G78" s="965"/>
      <c r="H78" s="965"/>
      <c r="I78" s="965"/>
      <c r="J78" s="965"/>
      <c r="K78" s="965"/>
      <c r="L78" s="965"/>
      <c r="M78" s="965"/>
      <c r="N78" s="965"/>
      <c r="O78" s="965"/>
      <c r="P78" s="965"/>
      <c r="Q78" s="965"/>
      <c r="R78" s="965"/>
      <c r="S78" s="965"/>
      <c r="T78" s="965"/>
      <c r="U78" s="965"/>
      <c r="V78" s="965"/>
      <c r="W78" s="965"/>
      <c r="X78" s="965"/>
      <c r="Y78" s="965"/>
      <c r="Z78" s="965"/>
      <c r="AA78" s="965"/>
      <c r="AB78" s="965"/>
      <c r="AC78" s="965"/>
      <c r="AD78" s="965"/>
      <c r="AE78" s="965"/>
      <c r="AF78" s="965"/>
      <c r="AG78" s="965"/>
      <c r="AH78" s="965"/>
      <c r="AI78" s="965"/>
      <c r="AJ78" s="965"/>
      <c r="AK78" s="965"/>
      <c r="AL78" s="965"/>
      <c r="AM78" s="965"/>
      <c r="AN78" s="965"/>
      <c r="AO78" s="965"/>
      <c r="AP78" s="965"/>
      <c r="AQ78" s="965"/>
      <c r="AR78" s="965"/>
      <c r="AS78" s="965"/>
      <c r="AT78" s="965"/>
      <c r="AU78" s="965"/>
      <c r="AV78" s="965"/>
      <c r="AW78" s="965"/>
      <c r="AX78" s="965"/>
      <c r="AY78" s="965"/>
      <c r="AZ78" s="965"/>
      <c r="BA78" s="965"/>
      <c r="BB78" s="965"/>
      <c r="BC78" s="965"/>
      <c r="BD78" s="965"/>
      <c r="BE78" s="965"/>
      <c r="BF78" s="965"/>
      <c r="BG78" s="965"/>
      <c r="BH78" s="965"/>
      <c r="BI78" s="965"/>
      <c r="BJ78" s="965"/>
      <c r="BK78" s="965"/>
      <c r="BL78" s="965"/>
      <c r="BM78" s="965"/>
      <c r="BN78" s="965"/>
      <c r="BO78" s="965"/>
      <c r="BP78" s="965"/>
      <c r="BQ78" s="965"/>
      <c r="BR78" s="965"/>
      <c r="BS78" s="965"/>
      <c r="BT78" s="965"/>
      <c r="BU78" s="965"/>
      <c r="BV78" s="965"/>
      <c r="BW78" s="965"/>
      <c r="BX78" s="965"/>
      <c r="BY78" s="965"/>
      <c r="BZ78" s="965"/>
      <c r="CA78" s="965"/>
      <c r="CB78" s="965"/>
      <c r="CC78" s="965"/>
      <c r="CD78" s="965"/>
      <c r="CE78" s="965"/>
      <c r="CF78" s="965"/>
      <c r="CG78" s="965"/>
      <c r="CH78" s="965"/>
      <c r="CI78" s="965"/>
      <c r="CJ78" s="965"/>
      <c r="CK78" s="965"/>
      <c r="CL78" s="965"/>
      <c r="CM78" s="965"/>
      <c r="CN78" s="965"/>
      <c r="CO78" s="965"/>
      <c r="CP78" s="965"/>
      <c r="CQ78" s="965"/>
      <c r="CR78" s="965"/>
      <c r="CS78" s="965"/>
      <c r="CT78" s="965"/>
      <c r="CU78" s="965"/>
      <c r="CV78" s="965"/>
      <c r="CW78" s="965"/>
      <c r="CX78" s="965"/>
      <c r="CY78" s="965"/>
      <c r="CZ78" s="965"/>
      <c r="DA78" s="965"/>
      <c r="DB78" s="965"/>
      <c r="DC78" s="965"/>
      <c r="DD78" s="965"/>
      <c r="DE78" s="965"/>
      <c r="DF78" s="965"/>
      <c r="DG78" s="965"/>
      <c r="DH78" s="965"/>
      <c r="DI78" s="965"/>
      <c r="DJ78" s="965"/>
      <c r="DK78" s="965"/>
      <c r="DL78" s="965"/>
      <c r="DM78" s="965"/>
      <c r="DN78" s="965"/>
      <c r="DO78" s="965"/>
      <c r="DP78" s="965"/>
      <c r="DQ78" s="965"/>
      <c r="DR78" s="965"/>
      <c r="DS78" s="965"/>
      <c r="DT78" s="965"/>
      <c r="DU78" s="965"/>
      <c r="DV78" s="965"/>
      <c r="DW78" s="965"/>
      <c r="DX78" s="965"/>
      <c r="DY78" s="965"/>
      <c r="DZ78" s="965"/>
      <c r="EA78" s="965"/>
      <c r="EB78" s="965"/>
      <c r="EC78" s="965"/>
      <c r="ED78" s="965"/>
      <c r="EE78" s="965"/>
      <c r="EF78" s="965"/>
      <c r="EG78" s="965"/>
      <c r="EH78" s="965"/>
      <c r="EI78" s="965"/>
      <c r="EJ78" s="965"/>
      <c r="EK78" s="965"/>
      <c r="EL78" s="965"/>
      <c r="EM78" s="965"/>
      <c r="EN78" s="965"/>
      <c r="EO78" s="965"/>
      <c r="EP78" s="965"/>
      <c r="EQ78" s="965"/>
      <c r="ER78" s="965"/>
      <c r="ES78" s="965"/>
      <c r="ET78" s="965"/>
      <c r="EU78" s="965"/>
      <c r="EV78" s="965"/>
      <c r="EW78" s="965"/>
      <c r="EX78" s="965"/>
      <c r="EY78" s="965"/>
      <c r="EZ78" s="965"/>
      <c r="FA78" s="965"/>
      <c r="FB78" s="965"/>
      <c r="FC78" s="965"/>
      <c r="FD78" s="965"/>
      <c r="FE78" s="965"/>
      <c r="FF78" s="965"/>
      <c r="FG78" s="965"/>
      <c r="FH78" s="965"/>
      <c r="FI78" s="965"/>
      <c r="FJ78" s="965"/>
      <c r="FK78" s="965"/>
      <c r="FL78" s="965"/>
      <c r="FM78" s="965"/>
      <c r="FN78" s="965"/>
      <c r="FO78" s="965"/>
      <c r="FP78" s="965"/>
      <c r="FQ78" s="965"/>
      <c r="FR78" s="965"/>
      <c r="FS78" s="965"/>
      <c r="FT78" s="965"/>
      <c r="FU78" s="965"/>
      <c r="FV78" s="965"/>
      <c r="FW78" s="965"/>
      <c r="FX78" s="965"/>
      <c r="FY78" s="965"/>
      <c r="FZ78" s="965"/>
      <c r="GA78" s="965"/>
      <c r="GB78" s="965"/>
      <c r="GC78" s="965"/>
      <c r="GD78" s="965"/>
      <c r="GE78" s="965"/>
      <c r="GF78" s="965"/>
      <c r="GG78" s="965"/>
      <c r="GH78" s="965"/>
      <c r="GI78" s="965"/>
      <c r="GJ78" s="965"/>
      <c r="GK78" s="965"/>
      <c r="GL78" s="965"/>
      <c r="GM78" s="965"/>
      <c r="GN78" s="965"/>
      <c r="GO78" s="965"/>
      <c r="GP78" s="965"/>
      <c r="GQ78" s="965"/>
      <c r="GR78" s="965"/>
      <c r="GS78" s="965"/>
      <c r="GT78" s="965"/>
      <c r="GU78" s="965"/>
      <c r="GV78" s="965"/>
      <c r="GW78" s="965"/>
      <c r="GX78" s="965"/>
      <c r="GY78" s="965"/>
      <c r="GZ78" s="965"/>
      <c r="HA78" s="965"/>
      <c r="HB78" s="965"/>
      <c r="HC78" s="965"/>
      <c r="HD78" s="965"/>
      <c r="HE78" s="965"/>
      <c r="HF78" s="965"/>
      <c r="HG78" s="965"/>
      <c r="HH78" s="965"/>
      <c r="HI78" s="965"/>
      <c r="HJ78" s="965"/>
      <c r="HK78" s="965"/>
      <c r="HL78" s="965"/>
      <c r="HM78" s="965"/>
      <c r="HN78" s="965"/>
      <c r="HO78" s="965"/>
      <c r="HP78" s="965"/>
      <c r="HQ78" s="965"/>
      <c r="HR78" s="965"/>
      <c r="HS78" s="965"/>
      <c r="HT78" s="965"/>
      <c r="HU78" s="965"/>
      <c r="HV78" s="965"/>
      <c r="HW78" s="965"/>
      <c r="HX78" s="965"/>
      <c r="HY78" s="965"/>
      <c r="HZ78" s="965"/>
      <c r="IA78" s="965"/>
      <c r="IB78" s="965"/>
      <c r="IC78" s="965"/>
      <c r="ID78" s="965"/>
      <c r="IE78" s="965"/>
      <c r="IF78" s="965"/>
      <c r="IG78" s="965"/>
      <c r="IH78" s="965"/>
      <c r="II78" s="965"/>
    </row>
    <row r="79" spans="3:243">
      <c r="C79" s="965"/>
      <c r="D79" s="965"/>
      <c r="E79" s="965"/>
      <c r="F79" s="965"/>
      <c r="G79" s="965"/>
      <c r="H79" s="965"/>
      <c r="I79" s="965"/>
      <c r="J79" s="965"/>
      <c r="K79" s="965"/>
      <c r="L79" s="965"/>
      <c r="M79" s="965"/>
      <c r="N79" s="965"/>
      <c r="O79" s="965"/>
      <c r="P79" s="965"/>
      <c r="Q79" s="965"/>
      <c r="R79" s="965"/>
      <c r="S79" s="965"/>
      <c r="T79" s="965"/>
      <c r="U79" s="965"/>
      <c r="V79" s="965"/>
      <c r="W79" s="965"/>
      <c r="X79" s="965"/>
      <c r="Y79" s="965"/>
      <c r="Z79" s="965"/>
      <c r="AA79" s="965"/>
      <c r="AB79" s="965"/>
      <c r="AC79" s="965"/>
      <c r="AD79" s="965"/>
      <c r="AE79" s="965"/>
      <c r="AF79" s="965"/>
      <c r="AG79" s="965"/>
      <c r="AH79" s="965"/>
      <c r="AI79" s="965"/>
      <c r="AJ79" s="965"/>
      <c r="AK79" s="965"/>
      <c r="AL79" s="965"/>
      <c r="AM79" s="965"/>
      <c r="AN79" s="965"/>
      <c r="AO79" s="965"/>
      <c r="AP79" s="965"/>
      <c r="AQ79" s="965"/>
      <c r="AR79" s="965"/>
      <c r="AS79" s="965"/>
      <c r="AT79" s="965"/>
      <c r="AU79" s="965"/>
      <c r="AV79" s="965"/>
      <c r="AW79" s="965"/>
      <c r="AX79" s="965"/>
      <c r="AY79" s="965"/>
      <c r="AZ79" s="965"/>
      <c r="BA79" s="965"/>
      <c r="BB79" s="965"/>
      <c r="BC79" s="965"/>
      <c r="BD79" s="965"/>
      <c r="BE79" s="965"/>
      <c r="BF79" s="965"/>
      <c r="BG79" s="965"/>
      <c r="BH79" s="965"/>
      <c r="BI79" s="965"/>
      <c r="BJ79" s="965"/>
      <c r="BK79" s="965"/>
      <c r="BL79" s="965"/>
      <c r="BM79" s="965"/>
      <c r="BN79" s="965"/>
      <c r="BO79" s="965"/>
      <c r="BP79" s="965"/>
      <c r="BQ79" s="965"/>
      <c r="BR79" s="965"/>
      <c r="BS79" s="965"/>
      <c r="BT79" s="965"/>
      <c r="BU79" s="965"/>
      <c r="BV79" s="965"/>
      <c r="BW79" s="965"/>
      <c r="BX79" s="965"/>
      <c r="BY79" s="965"/>
      <c r="BZ79" s="965"/>
      <c r="CA79" s="965"/>
      <c r="CB79" s="965"/>
      <c r="CC79" s="965"/>
      <c r="CD79" s="965"/>
      <c r="CE79" s="965"/>
      <c r="CF79" s="965"/>
      <c r="CG79" s="965"/>
      <c r="CH79" s="965"/>
      <c r="CI79" s="965"/>
      <c r="CJ79" s="965"/>
      <c r="CK79" s="965"/>
      <c r="CL79" s="965"/>
      <c r="CM79" s="965"/>
      <c r="CN79" s="965"/>
      <c r="CO79" s="965"/>
      <c r="CP79" s="965"/>
      <c r="CQ79" s="965"/>
      <c r="CR79" s="965"/>
      <c r="CS79" s="965"/>
      <c r="CT79" s="965"/>
      <c r="CU79" s="965"/>
      <c r="CV79" s="965"/>
      <c r="CW79" s="965"/>
      <c r="CX79" s="965"/>
      <c r="CY79" s="965"/>
      <c r="CZ79" s="965"/>
      <c r="DA79" s="965"/>
      <c r="DB79" s="965"/>
      <c r="DC79" s="965"/>
      <c r="DD79" s="965"/>
      <c r="DE79" s="965"/>
      <c r="DF79" s="965"/>
      <c r="DG79" s="965"/>
      <c r="DH79" s="965"/>
      <c r="DI79" s="965"/>
      <c r="DJ79" s="965"/>
      <c r="DK79" s="965"/>
      <c r="DL79" s="965"/>
      <c r="DM79" s="965"/>
      <c r="DN79" s="965"/>
      <c r="DO79" s="965"/>
      <c r="DP79" s="965"/>
      <c r="DQ79" s="965"/>
      <c r="DR79" s="965"/>
      <c r="DS79" s="965"/>
      <c r="DT79" s="965"/>
      <c r="DU79" s="965"/>
      <c r="DV79" s="965"/>
      <c r="DW79" s="965"/>
      <c r="DX79" s="965"/>
      <c r="DY79" s="965"/>
      <c r="DZ79" s="965"/>
      <c r="EA79" s="965"/>
      <c r="EB79" s="965"/>
      <c r="EC79" s="965"/>
      <c r="ED79" s="965"/>
      <c r="EE79" s="965"/>
      <c r="EF79" s="965"/>
      <c r="EG79" s="965"/>
      <c r="EH79" s="965"/>
      <c r="EI79" s="965"/>
      <c r="EJ79" s="965"/>
      <c r="EK79" s="965"/>
      <c r="EL79" s="965"/>
      <c r="EM79" s="965"/>
      <c r="EN79" s="965"/>
      <c r="EO79" s="965"/>
      <c r="EP79" s="965"/>
      <c r="EQ79" s="965"/>
      <c r="ER79" s="965"/>
      <c r="ES79" s="965"/>
      <c r="ET79" s="965"/>
      <c r="EU79" s="965"/>
      <c r="EV79" s="965"/>
      <c r="EW79" s="965"/>
      <c r="EX79" s="965"/>
      <c r="EY79" s="965"/>
      <c r="EZ79" s="965"/>
      <c r="FA79" s="965"/>
      <c r="FB79" s="965"/>
      <c r="FC79" s="965"/>
      <c r="FD79" s="965"/>
      <c r="FE79" s="965"/>
      <c r="FF79" s="965"/>
      <c r="FG79" s="965"/>
      <c r="FH79" s="965"/>
      <c r="FI79" s="965"/>
      <c r="FJ79" s="965"/>
      <c r="FK79" s="965"/>
      <c r="FL79" s="965"/>
      <c r="FM79" s="965"/>
      <c r="FN79" s="965"/>
      <c r="FO79" s="965"/>
      <c r="FP79" s="965"/>
      <c r="FQ79" s="965"/>
      <c r="FR79" s="965"/>
      <c r="FS79" s="965"/>
      <c r="FT79" s="965"/>
      <c r="FU79" s="965"/>
      <c r="FV79" s="965"/>
      <c r="FW79" s="965"/>
      <c r="FX79" s="965"/>
      <c r="FY79" s="965"/>
      <c r="FZ79" s="965"/>
      <c r="GA79" s="965"/>
      <c r="GB79" s="965"/>
      <c r="GC79" s="965"/>
      <c r="GD79" s="965"/>
      <c r="GE79" s="965"/>
      <c r="GF79" s="965"/>
      <c r="GG79" s="965"/>
      <c r="GH79" s="965"/>
      <c r="GI79" s="965"/>
      <c r="GJ79" s="965"/>
      <c r="GK79" s="965"/>
      <c r="GL79" s="965"/>
      <c r="GM79" s="965"/>
      <c r="GN79" s="965"/>
      <c r="GO79" s="965"/>
      <c r="GP79" s="965"/>
      <c r="GQ79" s="965"/>
      <c r="GR79" s="965"/>
      <c r="GS79" s="965"/>
      <c r="GT79" s="965"/>
      <c r="GU79" s="965"/>
      <c r="GV79" s="965"/>
      <c r="GW79" s="965"/>
      <c r="GX79" s="965"/>
      <c r="GY79" s="965"/>
      <c r="GZ79" s="965"/>
      <c r="HA79" s="965"/>
      <c r="HB79" s="965"/>
      <c r="HC79" s="965"/>
      <c r="HD79" s="965"/>
      <c r="HE79" s="965"/>
      <c r="HF79" s="965"/>
      <c r="HG79" s="965"/>
      <c r="HH79" s="965"/>
      <c r="HI79" s="965"/>
      <c r="HJ79" s="965"/>
      <c r="HK79" s="965"/>
      <c r="HL79" s="965"/>
      <c r="HM79" s="965"/>
      <c r="HN79" s="965"/>
      <c r="HO79" s="965"/>
      <c r="HP79" s="965"/>
      <c r="HQ79" s="965"/>
      <c r="HR79" s="965"/>
      <c r="HS79" s="965"/>
      <c r="HT79" s="965"/>
      <c r="HU79" s="965"/>
      <c r="HV79" s="965"/>
      <c r="HW79" s="965"/>
      <c r="HX79" s="965"/>
      <c r="HY79" s="965"/>
      <c r="HZ79" s="965"/>
      <c r="IA79" s="965"/>
      <c r="IB79" s="965"/>
      <c r="IC79" s="965"/>
      <c r="ID79" s="965"/>
      <c r="IE79" s="965"/>
      <c r="IF79" s="965"/>
      <c r="IG79" s="965"/>
      <c r="IH79" s="965"/>
      <c r="II79" s="965"/>
    </row>
    <row r="80" spans="3:243">
      <c r="C80" s="965"/>
      <c r="D80" s="965"/>
      <c r="E80" s="965"/>
      <c r="F80" s="965"/>
      <c r="G80" s="965"/>
      <c r="H80" s="965"/>
      <c r="I80" s="965"/>
      <c r="J80" s="965"/>
      <c r="K80" s="965"/>
      <c r="L80" s="965"/>
      <c r="M80" s="965"/>
      <c r="N80" s="965"/>
      <c r="O80" s="965"/>
      <c r="P80" s="965"/>
      <c r="Q80" s="965"/>
      <c r="R80" s="965"/>
      <c r="S80" s="965"/>
      <c r="T80" s="965"/>
      <c r="U80" s="965"/>
      <c r="V80" s="965"/>
      <c r="W80" s="965"/>
      <c r="X80" s="965"/>
      <c r="Y80" s="965"/>
      <c r="Z80" s="965"/>
      <c r="AA80" s="965"/>
      <c r="AB80" s="965"/>
      <c r="AC80" s="965"/>
      <c r="AD80" s="965"/>
      <c r="AE80" s="965"/>
      <c r="AF80" s="965"/>
      <c r="AG80" s="965"/>
      <c r="AH80" s="965"/>
      <c r="AI80" s="965"/>
      <c r="AJ80" s="965"/>
      <c r="AK80" s="965"/>
      <c r="AL80" s="965"/>
      <c r="AM80" s="965"/>
      <c r="AN80" s="965"/>
      <c r="AO80" s="965"/>
      <c r="AP80" s="965"/>
      <c r="AQ80" s="965"/>
      <c r="AR80" s="965"/>
      <c r="AS80" s="965"/>
      <c r="AT80" s="965"/>
      <c r="AU80" s="965"/>
      <c r="AV80" s="965"/>
      <c r="AW80" s="965"/>
      <c r="AX80" s="965"/>
      <c r="AY80" s="965"/>
      <c r="AZ80" s="965"/>
      <c r="BA80" s="965"/>
      <c r="BB80" s="965"/>
      <c r="BC80" s="965"/>
      <c r="BD80" s="965"/>
      <c r="BE80" s="965"/>
      <c r="BF80" s="965"/>
      <c r="BG80" s="965"/>
      <c r="BH80" s="965"/>
      <c r="BI80" s="965"/>
      <c r="BJ80" s="965"/>
      <c r="BK80" s="965"/>
      <c r="BL80" s="965"/>
      <c r="BM80" s="965"/>
      <c r="BN80" s="965"/>
      <c r="BO80" s="965"/>
      <c r="BP80" s="965"/>
      <c r="BQ80" s="965"/>
      <c r="BR80" s="965"/>
      <c r="BS80" s="965"/>
      <c r="BT80" s="965"/>
      <c r="BU80" s="965"/>
      <c r="BV80" s="965"/>
      <c r="BW80" s="965"/>
      <c r="BX80" s="965"/>
      <c r="BY80" s="965"/>
      <c r="BZ80" s="965"/>
      <c r="CA80" s="965"/>
      <c r="CB80" s="965"/>
      <c r="CC80" s="965"/>
      <c r="CD80" s="965"/>
      <c r="CE80" s="965"/>
      <c r="CF80" s="965"/>
      <c r="CG80" s="965"/>
      <c r="CH80" s="965"/>
      <c r="CI80" s="965"/>
      <c r="CJ80" s="965"/>
      <c r="CK80" s="965"/>
      <c r="CL80" s="965"/>
      <c r="CM80" s="965"/>
      <c r="CN80" s="965"/>
      <c r="CO80" s="965"/>
      <c r="CP80" s="965"/>
      <c r="CQ80" s="965"/>
      <c r="CR80" s="965"/>
      <c r="CS80" s="965"/>
      <c r="CT80" s="965"/>
      <c r="CU80" s="965"/>
      <c r="CV80" s="965"/>
      <c r="CW80" s="965"/>
      <c r="CX80" s="965"/>
      <c r="CY80" s="965"/>
      <c r="CZ80" s="965"/>
      <c r="DA80" s="965"/>
      <c r="DB80" s="965"/>
      <c r="DC80" s="965"/>
      <c r="DD80" s="965"/>
      <c r="DE80" s="965"/>
      <c r="DF80" s="965"/>
      <c r="DG80" s="965"/>
      <c r="DH80" s="965"/>
      <c r="DI80" s="965"/>
      <c r="DJ80" s="965"/>
      <c r="DK80" s="965"/>
      <c r="DL80" s="965"/>
      <c r="DM80" s="965"/>
      <c r="DN80" s="965"/>
      <c r="DO80" s="965"/>
      <c r="DP80" s="965"/>
      <c r="DQ80" s="965"/>
      <c r="DR80" s="965"/>
      <c r="DS80" s="965"/>
      <c r="DT80" s="965"/>
      <c r="DU80" s="965"/>
      <c r="DV80" s="965"/>
      <c r="DW80" s="965"/>
      <c r="DX80" s="965"/>
      <c r="DY80" s="965"/>
      <c r="DZ80" s="965"/>
      <c r="EA80" s="965"/>
      <c r="EB80" s="965"/>
      <c r="EC80" s="965"/>
      <c r="ED80" s="965"/>
      <c r="EE80" s="965"/>
      <c r="EF80" s="965"/>
      <c r="EG80" s="965"/>
      <c r="EH80" s="965"/>
      <c r="EI80" s="965"/>
      <c r="EJ80" s="965"/>
      <c r="EK80" s="965"/>
      <c r="EL80" s="965"/>
      <c r="EM80" s="965"/>
      <c r="EN80" s="965"/>
      <c r="EO80" s="965"/>
      <c r="EP80" s="965"/>
      <c r="EQ80" s="965"/>
      <c r="ER80" s="965"/>
      <c r="ES80" s="965"/>
      <c r="ET80" s="965"/>
      <c r="EU80" s="965"/>
      <c r="EV80" s="965"/>
      <c r="EW80" s="965"/>
      <c r="EX80" s="965"/>
      <c r="EY80" s="965"/>
      <c r="EZ80" s="965"/>
      <c r="FA80" s="965"/>
      <c r="FB80" s="965"/>
      <c r="FC80" s="965"/>
      <c r="FD80" s="965"/>
      <c r="FE80" s="965"/>
      <c r="FF80" s="965"/>
      <c r="FG80" s="965"/>
      <c r="FH80" s="965"/>
      <c r="FI80" s="965"/>
      <c r="FJ80" s="965"/>
      <c r="FK80" s="965"/>
      <c r="FL80" s="965"/>
      <c r="FM80" s="965"/>
      <c r="FN80" s="965"/>
      <c r="FO80" s="965"/>
      <c r="FP80" s="965"/>
      <c r="FQ80" s="965"/>
      <c r="FR80" s="965"/>
      <c r="FS80" s="965"/>
      <c r="FT80" s="965"/>
      <c r="FU80" s="965"/>
      <c r="FV80" s="965"/>
      <c r="FW80" s="965"/>
      <c r="FX80" s="965"/>
      <c r="FY80" s="965"/>
      <c r="FZ80" s="965"/>
      <c r="GA80" s="965"/>
      <c r="GB80" s="965"/>
      <c r="GC80" s="965"/>
      <c r="GD80" s="965"/>
      <c r="GE80" s="965"/>
      <c r="GF80" s="965"/>
      <c r="GG80" s="965"/>
      <c r="GH80" s="965"/>
      <c r="GI80" s="965"/>
      <c r="GJ80" s="965"/>
      <c r="GK80" s="965"/>
      <c r="GL80" s="965"/>
      <c r="GM80" s="965"/>
      <c r="GN80" s="965"/>
      <c r="GO80" s="965"/>
      <c r="GP80" s="965"/>
      <c r="GQ80" s="965"/>
      <c r="GR80" s="965"/>
      <c r="GS80" s="965"/>
      <c r="GT80" s="965"/>
      <c r="GU80" s="965"/>
      <c r="GV80" s="965"/>
      <c r="GW80" s="965"/>
      <c r="GX80" s="965"/>
      <c r="GY80" s="965"/>
      <c r="GZ80" s="965"/>
      <c r="HA80" s="965"/>
      <c r="HB80" s="965"/>
      <c r="HC80" s="965"/>
      <c r="HD80" s="965"/>
      <c r="HE80" s="965"/>
      <c r="HF80" s="965"/>
      <c r="HG80" s="965"/>
      <c r="HH80" s="965"/>
      <c r="HI80" s="965"/>
      <c r="HJ80" s="965"/>
      <c r="HK80" s="965"/>
      <c r="HL80" s="965"/>
      <c r="HM80" s="965"/>
      <c r="HN80" s="965"/>
      <c r="HO80" s="965"/>
      <c r="HP80" s="965"/>
      <c r="HQ80" s="965"/>
      <c r="HR80" s="965"/>
      <c r="HS80" s="965"/>
      <c r="HT80" s="965"/>
      <c r="HU80" s="965"/>
      <c r="HV80" s="965"/>
      <c r="HW80" s="965"/>
      <c r="HX80" s="965"/>
      <c r="HY80" s="965"/>
      <c r="HZ80" s="965"/>
      <c r="IA80" s="965"/>
      <c r="IB80" s="965"/>
      <c r="IC80" s="965"/>
      <c r="ID80" s="965"/>
      <c r="IE80" s="965"/>
      <c r="IF80" s="965"/>
      <c r="IG80" s="965"/>
      <c r="IH80" s="965"/>
      <c r="II80" s="965"/>
    </row>
    <row r="81" spans="3:243">
      <c r="C81" s="965"/>
      <c r="D81" s="965"/>
      <c r="E81" s="965"/>
      <c r="F81" s="965"/>
      <c r="G81" s="965"/>
      <c r="H81" s="965"/>
      <c r="I81" s="965"/>
      <c r="J81" s="965"/>
      <c r="K81" s="965"/>
      <c r="L81" s="965"/>
      <c r="M81" s="965"/>
      <c r="N81" s="965"/>
      <c r="O81" s="965"/>
      <c r="P81" s="965"/>
      <c r="Q81" s="965"/>
      <c r="R81" s="965"/>
      <c r="S81" s="965"/>
      <c r="T81" s="965"/>
      <c r="U81" s="965"/>
      <c r="V81" s="965"/>
      <c r="W81" s="965"/>
      <c r="X81" s="965"/>
      <c r="Y81" s="965"/>
      <c r="Z81" s="965"/>
      <c r="AA81" s="965"/>
      <c r="AB81" s="965"/>
      <c r="AC81" s="965"/>
      <c r="AD81" s="965"/>
      <c r="AE81" s="965"/>
      <c r="AF81" s="965"/>
      <c r="AG81" s="965"/>
      <c r="AH81" s="965"/>
      <c r="AI81" s="965"/>
      <c r="AJ81" s="965"/>
      <c r="AK81" s="965"/>
      <c r="AL81" s="965"/>
      <c r="AM81" s="965"/>
      <c r="AN81" s="965"/>
      <c r="AO81" s="965"/>
      <c r="AP81" s="965"/>
      <c r="AQ81" s="965"/>
      <c r="AR81" s="965"/>
      <c r="AS81" s="965"/>
      <c r="AT81" s="965"/>
      <c r="AU81" s="965"/>
      <c r="AV81" s="965"/>
      <c r="AW81" s="965"/>
      <c r="AX81" s="965"/>
      <c r="AY81" s="965"/>
      <c r="AZ81" s="965"/>
      <c r="BA81" s="965"/>
      <c r="BB81" s="965"/>
      <c r="BC81" s="965"/>
      <c r="BD81" s="965"/>
      <c r="BE81" s="965"/>
      <c r="BF81" s="965"/>
      <c r="BG81" s="965"/>
      <c r="BH81" s="965"/>
      <c r="BI81" s="965"/>
      <c r="BJ81" s="965"/>
      <c r="BK81" s="965"/>
      <c r="BL81" s="965"/>
      <c r="BM81" s="965"/>
      <c r="BN81" s="965"/>
      <c r="BO81" s="965"/>
      <c r="BP81" s="965"/>
      <c r="BQ81" s="965"/>
      <c r="BR81" s="965"/>
      <c r="BS81" s="965"/>
      <c r="BT81" s="965"/>
      <c r="BU81" s="965"/>
      <c r="BV81" s="965"/>
      <c r="BW81" s="965"/>
      <c r="BX81" s="965"/>
      <c r="BY81" s="965"/>
      <c r="BZ81" s="965"/>
      <c r="CA81" s="965"/>
      <c r="CB81" s="965"/>
      <c r="CC81" s="965"/>
      <c r="CD81" s="965"/>
      <c r="CE81" s="965"/>
      <c r="CF81" s="965"/>
      <c r="CG81" s="965"/>
      <c r="CH81" s="965"/>
      <c r="CI81" s="965"/>
      <c r="CJ81" s="965"/>
      <c r="CK81" s="965"/>
      <c r="CL81" s="965"/>
      <c r="CM81" s="965"/>
      <c r="CN81" s="965"/>
      <c r="CO81" s="965"/>
      <c r="CP81" s="965"/>
      <c r="CQ81" s="965"/>
      <c r="CR81" s="965"/>
      <c r="CS81" s="965"/>
      <c r="CT81" s="965"/>
      <c r="CU81" s="965"/>
      <c r="CV81" s="965"/>
      <c r="CW81" s="965"/>
      <c r="CX81" s="965"/>
      <c r="CY81" s="965"/>
      <c r="CZ81" s="965"/>
      <c r="DA81" s="965"/>
      <c r="DB81" s="965"/>
      <c r="DC81" s="965"/>
      <c r="DD81" s="965"/>
      <c r="DE81" s="965"/>
      <c r="DF81" s="965"/>
      <c r="DG81" s="965"/>
      <c r="DH81" s="965"/>
      <c r="DI81" s="965"/>
      <c r="DJ81" s="965"/>
      <c r="DK81" s="965"/>
      <c r="DL81" s="965"/>
      <c r="DM81" s="965"/>
      <c r="DN81" s="965"/>
      <c r="DO81" s="965"/>
      <c r="DP81" s="965"/>
      <c r="DQ81" s="965"/>
      <c r="DR81" s="965"/>
      <c r="DS81" s="965"/>
      <c r="DT81" s="965"/>
      <c r="DU81" s="965"/>
      <c r="DV81" s="965"/>
      <c r="DW81" s="965"/>
      <c r="DX81" s="965"/>
      <c r="DY81" s="965"/>
      <c r="DZ81" s="965"/>
      <c r="EA81" s="965"/>
      <c r="EB81" s="965"/>
      <c r="EC81" s="965"/>
      <c r="ED81" s="965"/>
      <c r="EE81" s="965"/>
      <c r="EF81" s="965"/>
      <c r="EG81" s="965"/>
      <c r="EH81" s="965"/>
      <c r="EI81" s="965"/>
      <c r="EJ81" s="965"/>
      <c r="EK81" s="965"/>
      <c r="EL81" s="965"/>
      <c r="EM81" s="965"/>
      <c r="EN81" s="965"/>
      <c r="EO81" s="965"/>
      <c r="EP81" s="965"/>
      <c r="EQ81" s="965"/>
      <c r="ER81" s="965"/>
      <c r="ES81" s="965"/>
      <c r="ET81" s="965"/>
      <c r="EU81" s="965"/>
      <c r="EV81" s="965"/>
      <c r="EW81" s="965"/>
      <c r="EX81" s="965"/>
      <c r="EY81" s="965"/>
      <c r="EZ81" s="965"/>
      <c r="FA81" s="965"/>
      <c r="FB81" s="965"/>
      <c r="FC81" s="965"/>
      <c r="FD81" s="965"/>
      <c r="FE81" s="965"/>
      <c r="FF81" s="965"/>
      <c r="FG81" s="965"/>
      <c r="FH81" s="965"/>
      <c r="FI81" s="965"/>
      <c r="FJ81" s="965"/>
      <c r="FK81" s="965"/>
      <c r="FL81" s="965"/>
      <c r="FM81" s="965"/>
      <c r="FN81" s="965"/>
      <c r="FO81" s="965"/>
      <c r="FP81" s="965"/>
      <c r="FQ81" s="965"/>
      <c r="FR81" s="965"/>
      <c r="FS81" s="965"/>
      <c r="FT81" s="965"/>
      <c r="FU81" s="965"/>
      <c r="FV81" s="965"/>
      <c r="FW81" s="965"/>
      <c r="FX81" s="965"/>
      <c r="FY81" s="965"/>
      <c r="FZ81" s="965"/>
      <c r="GA81" s="965"/>
      <c r="GB81" s="965"/>
      <c r="GC81" s="965"/>
      <c r="GD81" s="965"/>
      <c r="GE81" s="965"/>
      <c r="GF81" s="965"/>
      <c r="GG81" s="965"/>
      <c r="GH81" s="965"/>
      <c r="GI81" s="965"/>
      <c r="GJ81" s="965"/>
      <c r="GK81" s="965"/>
      <c r="GL81" s="965"/>
      <c r="GM81" s="965"/>
      <c r="GN81" s="965"/>
      <c r="GO81" s="965"/>
      <c r="GP81" s="965"/>
      <c r="GQ81" s="965"/>
      <c r="GR81" s="965"/>
      <c r="GS81" s="965"/>
      <c r="GT81" s="965"/>
      <c r="GU81" s="965"/>
      <c r="GV81" s="965"/>
      <c r="GW81" s="965"/>
      <c r="GX81" s="965"/>
      <c r="GY81" s="965"/>
      <c r="GZ81" s="965"/>
      <c r="HA81" s="965"/>
      <c r="HB81" s="965"/>
      <c r="HC81" s="965"/>
      <c r="HD81" s="965"/>
      <c r="HE81" s="965"/>
      <c r="HF81" s="965"/>
      <c r="HG81" s="965"/>
      <c r="HH81" s="965"/>
      <c r="HI81" s="965"/>
      <c r="HJ81" s="965"/>
      <c r="HK81" s="965"/>
      <c r="HL81" s="965"/>
      <c r="HM81" s="965"/>
      <c r="HN81" s="965"/>
      <c r="HO81" s="965"/>
      <c r="HP81" s="965"/>
      <c r="HQ81" s="965"/>
      <c r="HR81" s="965"/>
      <c r="HS81" s="965"/>
      <c r="HT81" s="965"/>
      <c r="HU81" s="965"/>
      <c r="HV81" s="965"/>
      <c r="HW81" s="965"/>
      <c r="HX81" s="965"/>
      <c r="HY81" s="965"/>
      <c r="HZ81" s="965"/>
      <c r="IA81" s="965"/>
      <c r="IB81" s="965"/>
      <c r="IC81" s="965"/>
      <c r="ID81" s="965"/>
      <c r="IE81" s="965"/>
      <c r="IF81" s="965"/>
      <c r="IG81" s="965"/>
      <c r="IH81" s="965"/>
      <c r="II81" s="965"/>
    </row>
    <row r="82" spans="3:243">
      <c r="C82" s="965"/>
      <c r="D82" s="965"/>
      <c r="E82" s="965"/>
      <c r="F82" s="965"/>
      <c r="G82" s="965"/>
      <c r="H82" s="965"/>
      <c r="I82" s="965"/>
      <c r="J82" s="965"/>
      <c r="K82" s="965"/>
      <c r="L82" s="965"/>
      <c r="M82" s="965"/>
      <c r="N82" s="965"/>
      <c r="O82" s="965"/>
      <c r="P82" s="965"/>
      <c r="Q82" s="965"/>
      <c r="R82" s="965"/>
      <c r="S82" s="965"/>
      <c r="T82" s="965"/>
      <c r="U82" s="965"/>
      <c r="V82" s="965"/>
      <c r="W82" s="965"/>
      <c r="X82" s="965"/>
      <c r="Y82" s="965"/>
      <c r="Z82" s="965"/>
      <c r="AA82" s="965"/>
      <c r="AB82" s="965"/>
      <c r="AC82" s="965"/>
      <c r="AD82" s="965"/>
      <c r="AE82" s="965"/>
      <c r="AF82" s="965"/>
      <c r="AG82" s="965"/>
      <c r="AH82" s="965"/>
      <c r="AI82" s="965"/>
      <c r="AJ82" s="965"/>
      <c r="AK82" s="965"/>
      <c r="AL82" s="965"/>
      <c r="AM82" s="965"/>
      <c r="AN82" s="965"/>
      <c r="AO82" s="965"/>
      <c r="AP82" s="965"/>
      <c r="AQ82" s="965"/>
      <c r="AR82" s="965"/>
      <c r="AS82" s="965"/>
      <c r="AT82" s="965"/>
      <c r="AU82" s="965"/>
      <c r="AV82" s="965"/>
      <c r="AW82" s="965"/>
      <c r="AX82" s="965"/>
      <c r="AY82" s="965"/>
      <c r="AZ82" s="965"/>
      <c r="BA82" s="965"/>
      <c r="BB82" s="965"/>
      <c r="BC82" s="965"/>
      <c r="BD82" s="965"/>
      <c r="BE82" s="965"/>
      <c r="BF82" s="965"/>
      <c r="BG82" s="965"/>
      <c r="BH82" s="965"/>
      <c r="BI82" s="965"/>
      <c r="BJ82" s="965"/>
      <c r="BK82" s="965"/>
      <c r="BL82" s="965"/>
      <c r="BM82" s="965"/>
      <c r="BN82" s="965"/>
      <c r="BO82" s="965"/>
      <c r="BP82" s="965"/>
      <c r="BQ82" s="965"/>
      <c r="BR82" s="965"/>
      <c r="BS82" s="965"/>
      <c r="BT82" s="965"/>
      <c r="BU82" s="965"/>
      <c r="BV82" s="965"/>
      <c r="BW82" s="965"/>
      <c r="BX82" s="965"/>
      <c r="BY82" s="965"/>
      <c r="BZ82" s="965"/>
      <c r="CA82" s="965"/>
      <c r="CB82" s="965"/>
      <c r="CC82" s="965"/>
      <c r="CD82" s="965"/>
      <c r="CE82" s="965"/>
      <c r="CF82" s="965"/>
      <c r="CG82" s="965"/>
      <c r="CH82" s="965"/>
      <c r="CI82" s="965"/>
      <c r="CJ82" s="965"/>
      <c r="CK82" s="965"/>
      <c r="CL82" s="965"/>
      <c r="CM82" s="965"/>
      <c r="CN82" s="965"/>
      <c r="CO82" s="965"/>
      <c r="CP82" s="965"/>
      <c r="CQ82" s="965"/>
      <c r="CR82" s="965"/>
      <c r="CS82" s="965"/>
      <c r="CT82" s="965"/>
      <c r="CU82" s="965"/>
      <c r="CV82" s="965"/>
      <c r="CW82" s="965"/>
      <c r="CX82" s="965"/>
      <c r="CY82" s="965"/>
      <c r="CZ82" s="965"/>
      <c r="DA82" s="965"/>
      <c r="DB82" s="965"/>
      <c r="DC82" s="965"/>
      <c r="DD82" s="965"/>
      <c r="DE82" s="965"/>
      <c r="DF82" s="965"/>
      <c r="DG82" s="965"/>
      <c r="DH82" s="965"/>
      <c r="DI82" s="965"/>
      <c r="DJ82" s="965"/>
      <c r="DK82" s="965"/>
      <c r="DL82" s="965"/>
      <c r="DM82" s="965"/>
      <c r="DN82" s="965"/>
      <c r="DO82" s="965"/>
      <c r="DP82" s="965"/>
      <c r="DQ82" s="965"/>
      <c r="DR82" s="965"/>
      <c r="DS82" s="965"/>
      <c r="DT82" s="965"/>
      <c r="DU82" s="965"/>
      <c r="DV82" s="965"/>
      <c r="DW82" s="965"/>
      <c r="DX82" s="965"/>
      <c r="DY82" s="965"/>
      <c r="DZ82" s="965"/>
      <c r="EA82" s="965"/>
      <c r="EB82" s="965"/>
      <c r="EC82" s="965"/>
      <c r="ED82" s="965"/>
      <c r="EE82" s="965"/>
      <c r="EF82" s="965"/>
      <c r="EG82" s="965"/>
      <c r="EH82" s="965"/>
      <c r="EI82" s="965"/>
      <c r="EJ82" s="965"/>
      <c r="EK82" s="965"/>
      <c r="EL82" s="965"/>
      <c r="EM82" s="965"/>
      <c r="EN82" s="965"/>
      <c r="EO82" s="965"/>
      <c r="EP82" s="965"/>
      <c r="EQ82" s="965"/>
      <c r="ER82" s="965"/>
      <c r="ES82" s="965"/>
      <c r="ET82" s="965"/>
      <c r="EU82" s="965"/>
      <c r="EV82" s="965"/>
      <c r="EW82" s="965"/>
      <c r="EX82" s="965"/>
      <c r="EY82" s="965"/>
      <c r="EZ82" s="965"/>
      <c r="FA82" s="965"/>
      <c r="FB82" s="965"/>
      <c r="FC82" s="965"/>
      <c r="FD82" s="965"/>
      <c r="FE82" s="965"/>
      <c r="FF82" s="965"/>
      <c r="FG82" s="965"/>
      <c r="FH82" s="965"/>
      <c r="FI82" s="965"/>
      <c r="FJ82" s="965"/>
      <c r="FK82" s="965"/>
      <c r="FL82" s="965"/>
      <c r="FM82" s="965"/>
      <c r="FN82" s="965"/>
      <c r="FO82" s="965"/>
      <c r="FP82" s="965"/>
      <c r="FQ82" s="965"/>
      <c r="FR82" s="965"/>
      <c r="FS82" s="965"/>
      <c r="FT82" s="965"/>
      <c r="FU82" s="965"/>
      <c r="FV82" s="965"/>
      <c r="FW82" s="965"/>
      <c r="FX82" s="965"/>
      <c r="FY82" s="965"/>
      <c r="FZ82" s="965"/>
      <c r="GA82" s="965"/>
      <c r="GB82" s="965"/>
      <c r="GC82" s="965"/>
      <c r="GD82" s="965"/>
      <c r="GE82" s="965"/>
      <c r="GF82" s="965"/>
      <c r="GG82" s="965"/>
      <c r="GH82" s="965"/>
      <c r="GI82" s="965"/>
      <c r="GJ82" s="965"/>
      <c r="GK82" s="965"/>
      <c r="GL82" s="965"/>
      <c r="GM82" s="965"/>
      <c r="GN82" s="965"/>
      <c r="GO82" s="965"/>
      <c r="GP82" s="965"/>
      <c r="GQ82" s="965"/>
      <c r="GR82" s="965"/>
      <c r="GS82" s="965"/>
      <c r="GT82" s="965"/>
      <c r="GU82" s="965"/>
      <c r="GV82" s="965"/>
      <c r="GW82" s="965"/>
      <c r="GX82" s="965"/>
      <c r="GY82" s="965"/>
      <c r="GZ82" s="965"/>
      <c r="HA82" s="965"/>
      <c r="HB82" s="965"/>
      <c r="HC82" s="965"/>
      <c r="HD82" s="965"/>
      <c r="HE82" s="965"/>
      <c r="HF82" s="965"/>
      <c r="HG82" s="965"/>
      <c r="HH82" s="965"/>
      <c r="HI82" s="965"/>
      <c r="HJ82" s="965"/>
      <c r="HK82" s="965"/>
      <c r="HL82" s="965"/>
      <c r="HM82" s="965"/>
      <c r="HN82" s="965"/>
      <c r="HO82" s="965"/>
      <c r="HP82" s="965"/>
      <c r="HQ82" s="965"/>
      <c r="HR82" s="965"/>
      <c r="HS82" s="965"/>
      <c r="HT82" s="965"/>
      <c r="HU82" s="965"/>
      <c r="HV82" s="965"/>
      <c r="HW82" s="965"/>
      <c r="HX82" s="965"/>
      <c r="HY82" s="965"/>
      <c r="HZ82" s="965"/>
      <c r="IA82" s="965"/>
      <c r="IB82" s="965"/>
      <c r="IC82" s="965"/>
      <c r="ID82" s="965"/>
      <c r="IE82" s="965"/>
      <c r="IF82" s="965"/>
      <c r="IG82" s="965"/>
      <c r="IH82" s="965"/>
      <c r="II82" s="965"/>
    </row>
    <row r="83" spans="3:243">
      <c r="C83" s="965"/>
      <c r="D83" s="965"/>
      <c r="E83" s="965"/>
      <c r="F83" s="965"/>
      <c r="G83" s="965"/>
      <c r="H83" s="965"/>
      <c r="I83" s="965"/>
      <c r="J83" s="965"/>
      <c r="K83" s="965"/>
      <c r="L83" s="965"/>
      <c r="M83" s="965"/>
      <c r="N83" s="965"/>
      <c r="O83" s="965"/>
      <c r="P83" s="965"/>
      <c r="Q83" s="965"/>
      <c r="R83" s="965"/>
      <c r="S83" s="965"/>
      <c r="T83" s="965"/>
      <c r="U83" s="965"/>
      <c r="V83" s="965"/>
      <c r="W83" s="965"/>
      <c r="X83" s="965"/>
      <c r="Y83" s="965"/>
      <c r="Z83" s="965"/>
      <c r="AA83" s="965"/>
      <c r="AB83" s="965"/>
      <c r="AC83" s="965"/>
      <c r="AD83" s="965"/>
      <c r="AE83" s="965"/>
      <c r="AF83" s="965"/>
      <c r="AG83" s="965"/>
      <c r="AH83" s="965"/>
      <c r="AI83" s="965"/>
      <c r="AJ83" s="965"/>
      <c r="AK83" s="965"/>
      <c r="AL83" s="965"/>
      <c r="AM83" s="965"/>
      <c r="AN83" s="965"/>
      <c r="AO83" s="965"/>
      <c r="AP83" s="965"/>
      <c r="AQ83" s="965"/>
      <c r="AR83" s="965"/>
      <c r="AS83" s="965"/>
      <c r="AT83" s="965"/>
      <c r="AU83" s="965"/>
      <c r="AV83" s="965"/>
      <c r="AW83" s="965"/>
      <c r="AX83" s="965"/>
      <c r="AY83" s="965"/>
      <c r="AZ83" s="965"/>
      <c r="BA83" s="965"/>
      <c r="BB83" s="965"/>
      <c r="BC83" s="965"/>
      <c r="BD83" s="965"/>
      <c r="BE83" s="965"/>
      <c r="BF83" s="965"/>
      <c r="BG83" s="965"/>
      <c r="BH83" s="965"/>
      <c r="BI83" s="965"/>
      <c r="BJ83" s="965"/>
      <c r="BK83" s="965"/>
      <c r="BL83" s="965"/>
      <c r="BM83" s="965"/>
      <c r="BN83" s="965"/>
      <c r="BO83" s="965"/>
      <c r="BP83" s="965"/>
      <c r="BQ83" s="965"/>
      <c r="BR83" s="965"/>
      <c r="BS83" s="965"/>
      <c r="BT83" s="965"/>
      <c r="BU83" s="965"/>
      <c r="BV83" s="965"/>
      <c r="BW83" s="965"/>
      <c r="BX83" s="965"/>
      <c r="BY83" s="965"/>
      <c r="BZ83" s="965"/>
      <c r="CA83" s="965"/>
      <c r="CB83" s="965"/>
      <c r="CC83" s="965"/>
      <c r="CD83" s="965"/>
      <c r="CE83" s="965"/>
      <c r="CF83" s="965"/>
      <c r="CG83" s="965"/>
      <c r="CH83" s="965"/>
      <c r="CI83" s="965"/>
      <c r="CJ83" s="965"/>
      <c r="CK83" s="965"/>
      <c r="CL83" s="965"/>
      <c r="CM83" s="965"/>
      <c r="CN83" s="965"/>
      <c r="CO83" s="965"/>
      <c r="CP83" s="965"/>
      <c r="CQ83" s="965"/>
      <c r="CR83" s="965"/>
      <c r="CS83" s="965"/>
      <c r="CT83" s="965"/>
      <c r="CU83" s="965"/>
      <c r="CV83" s="965"/>
      <c r="CW83" s="965"/>
      <c r="CX83" s="965"/>
      <c r="CY83" s="965"/>
      <c r="CZ83" s="965"/>
      <c r="DA83" s="965"/>
      <c r="DB83" s="965"/>
      <c r="DC83" s="965"/>
      <c r="DD83" s="965"/>
      <c r="DE83" s="965"/>
      <c r="DF83" s="965"/>
      <c r="DG83" s="965"/>
      <c r="DH83" s="965"/>
      <c r="DI83" s="965"/>
      <c r="DJ83" s="965"/>
      <c r="DK83" s="965"/>
      <c r="DL83" s="965"/>
      <c r="DM83" s="965"/>
      <c r="DN83" s="965"/>
      <c r="DO83" s="965"/>
      <c r="DP83" s="965"/>
      <c r="DQ83" s="965"/>
      <c r="DR83" s="965"/>
      <c r="DS83" s="965"/>
      <c r="DT83" s="965"/>
      <c r="DU83" s="965"/>
      <c r="DV83" s="965"/>
      <c r="DW83" s="965"/>
      <c r="DX83" s="965"/>
      <c r="DY83" s="965"/>
      <c r="DZ83" s="965"/>
      <c r="EA83" s="965"/>
      <c r="EB83" s="965"/>
      <c r="EC83" s="965"/>
      <c r="ED83" s="965"/>
      <c r="EE83" s="965"/>
      <c r="EF83" s="965"/>
      <c r="EG83" s="965"/>
      <c r="EH83" s="965"/>
      <c r="EI83" s="965"/>
      <c r="EJ83" s="965"/>
      <c r="EK83" s="965"/>
      <c r="EL83" s="965"/>
      <c r="EM83" s="965"/>
      <c r="EN83" s="965"/>
      <c r="EO83" s="965"/>
      <c r="EP83" s="965"/>
      <c r="EQ83" s="965"/>
      <c r="ER83" s="965"/>
      <c r="ES83" s="965"/>
      <c r="ET83" s="965"/>
      <c r="EU83" s="965"/>
      <c r="EV83" s="965"/>
      <c r="EW83" s="965"/>
      <c r="EX83" s="965"/>
      <c r="EY83" s="965"/>
      <c r="EZ83" s="965"/>
      <c r="FA83" s="965"/>
      <c r="FB83" s="965"/>
      <c r="FC83" s="965"/>
      <c r="FD83" s="965"/>
      <c r="FE83" s="965"/>
      <c r="FF83" s="965"/>
      <c r="FG83" s="965"/>
      <c r="FH83" s="965"/>
      <c r="FI83" s="965"/>
      <c r="FJ83" s="965"/>
      <c r="FK83" s="965"/>
      <c r="FL83" s="965"/>
      <c r="FM83" s="965"/>
      <c r="FN83" s="965"/>
      <c r="FO83" s="965"/>
      <c r="FP83" s="965"/>
      <c r="FQ83" s="965"/>
      <c r="FR83" s="965"/>
      <c r="FS83" s="965"/>
      <c r="FT83" s="965"/>
      <c r="FU83" s="965"/>
      <c r="FV83" s="965"/>
      <c r="FW83" s="965"/>
      <c r="FX83" s="965"/>
      <c r="FY83" s="965"/>
      <c r="FZ83" s="965"/>
      <c r="GA83" s="965"/>
      <c r="GB83" s="965"/>
      <c r="GC83" s="965"/>
      <c r="GD83" s="965"/>
      <c r="GE83" s="965"/>
      <c r="GF83" s="965"/>
      <c r="GG83" s="965"/>
      <c r="GH83" s="965"/>
      <c r="GI83" s="965"/>
      <c r="GJ83" s="965"/>
      <c r="GK83" s="965"/>
      <c r="GL83" s="965"/>
      <c r="GM83" s="965"/>
      <c r="GN83" s="965"/>
      <c r="GO83" s="965"/>
      <c r="GP83" s="965"/>
      <c r="GQ83" s="965"/>
      <c r="GR83" s="965"/>
      <c r="GS83" s="965"/>
      <c r="GT83" s="965"/>
      <c r="GU83" s="965"/>
      <c r="GV83" s="965"/>
      <c r="GW83" s="965"/>
      <c r="GX83" s="965"/>
      <c r="GY83" s="965"/>
      <c r="GZ83" s="965"/>
      <c r="HA83" s="965"/>
      <c r="HB83" s="965"/>
      <c r="HC83" s="965"/>
      <c r="HD83" s="965"/>
      <c r="HE83" s="965"/>
      <c r="HF83" s="965"/>
      <c r="HG83" s="965"/>
      <c r="HH83" s="965"/>
      <c r="HI83" s="965"/>
      <c r="HJ83" s="965"/>
      <c r="HK83" s="965"/>
      <c r="HL83" s="965"/>
      <c r="HM83" s="965"/>
      <c r="HN83" s="965"/>
      <c r="HO83" s="965"/>
      <c r="HP83" s="965"/>
      <c r="HQ83" s="965"/>
      <c r="HR83" s="965"/>
      <c r="HS83" s="965"/>
      <c r="HT83" s="965"/>
      <c r="HU83" s="965"/>
      <c r="HV83" s="965"/>
      <c r="HW83" s="965"/>
      <c r="HX83" s="965"/>
      <c r="HY83" s="965"/>
      <c r="HZ83" s="965"/>
      <c r="IA83" s="965"/>
      <c r="IB83" s="965"/>
      <c r="IC83" s="965"/>
      <c r="ID83" s="965"/>
      <c r="IE83" s="965"/>
      <c r="IF83" s="965"/>
      <c r="IG83" s="965"/>
      <c r="IH83" s="965"/>
      <c r="II83" s="965"/>
    </row>
    <row r="84" spans="3:243">
      <c r="C84" s="965"/>
      <c r="D84" s="965"/>
      <c r="E84" s="965"/>
      <c r="F84" s="965"/>
      <c r="G84" s="965"/>
      <c r="H84" s="965"/>
      <c r="I84" s="965"/>
      <c r="J84" s="965"/>
      <c r="K84" s="965"/>
      <c r="L84" s="965"/>
      <c r="M84" s="965"/>
      <c r="N84" s="965"/>
      <c r="O84" s="965"/>
      <c r="P84" s="965"/>
      <c r="Q84" s="965"/>
      <c r="R84" s="965"/>
      <c r="S84" s="965"/>
      <c r="T84" s="965"/>
      <c r="U84" s="965"/>
      <c r="V84" s="965"/>
      <c r="W84" s="965"/>
      <c r="X84" s="965"/>
      <c r="Y84" s="965"/>
      <c r="Z84" s="965"/>
      <c r="AA84" s="965"/>
      <c r="AB84" s="965"/>
      <c r="AC84" s="965"/>
      <c r="AD84" s="965"/>
      <c r="AE84" s="965"/>
      <c r="AF84" s="965"/>
      <c r="AG84" s="965"/>
      <c r="AH84" s="965"/>
      <c r="AI84" s="965"/>
      <c r="AJ84" s="965"/>
      <c r="AK84" s="965"/>
      <c r="AL84" s="965"/>
      <c r="AM84" s="965"/>
      <c r="AN84" s="965"/>
      <c r="AO84" s="965"/>
      <c r="AP84" s="965"/>
      <c r="AQ84" s="965"/>
      <c r="AR84" s="965"/>
      <c r="AS84" s="965"/>
      <c r="AT84" s="965"/>
      <c r="AU84" s="965"/>
      <c r="AV84" s="965"/>
      <c r="AW84" s="965"/>
      <c r="AX84" s="965"/>
      <c r="AY84" s="965"/>
      <c r="AZ84" s="965"/>
      <c r="BA84" s="965"/>
      <c r="BB84" s="965"/>
      <c r="BC84" s="965"/>
      <c r="BD84" s="965"/>
      <c r="BE84" s="965"/>
      <c r="BF84" s="965"/>
      <c r="BG84" s="965"/>
      <c r="BH84" s="965"/>
      <c r="BI84" s="965"/>
      <c r="BJ84" s="965"/>
      <c r="BK84" s="965"/>
      <c r="BL84" s="965"/>
      <c r="BM84" s="965"/>
      <c r="BN84" s="965"/>
      <c r="BO84" s="965"/>
      <c r="BP84" s="965"/>
      <c r="BQ84" s="965"/>
      <c r="BR84" s="965"/>
      <c r="BS84" s="965"/>
      <c r="BT84" s="965"/>
      <c r="BU84" s="965"/>
      <c r="BV84" s="965"/>
      <c r="BW84" s="965"/>
      <c r="BX84" s="965"/>
      <c r="BY84" s="965"/>
      <c r="BZ84" s="965"/>
      <c r="CA84" s="965"/>
      <c r="CB84" s="965"/>
      <c r="CC84" s="965"/>
      <c r="CD84" s="965"/>
      <c r="CE84" s="965"/>
      <c r="CF84" s="965"/>
      <c r="CG84" s="965"/>
      <c r="CH84" s="965"/>
      <c r="CI84" s="965"/>
      <c r="CJ84" s="965"/>
      <c r="CK84" s="965"/>
      <c r="CL84" s="965"/>
      <c r="CM84" s="965"/>
      <c r="CN84" s="965"/>
      <c r="CO84" s="965"/>
      <c r="CP84" s="965"/>
      <c r="CQ84" s="965"/>
      <c r="CR84" s="965"/>
      <c r="CS84" s="965"/>
      <c r="CT84" s="965"/>
      <c r="CU84" s="965"/>
      <c r="CV84" s="965"/>
      <c r="CW84" s="965"/>
      <c r="CX84" s="965"/>
      <c r="CY84" s="965"/>
      <c r="CZ84" s="965"/>
      <c r="DA84" s="965"/>
      <c r="DB84" s="965"/>
      <c r="DC84" s="965"/>
      <c r="DD84" s="965"/>
      <c r="DE84" s="965"/>
      <c r="DF84" s="965"/>
      <c r="DG84" s="965"/>
      <c r="DH84" s="965"/>
      <c r="DI84" s="965"/>
      <c r="DJ84" s="965"/>
      <c r="DK84" s="965"/>
      <c r="DL84" s="965"/>
      <c r="DM84" s="965"/>
      <c r="DN84" s="965"/>
      <c r="DO84" s="965"/>
      <c r="DP84" s="965"/>
      <c r="DQ84" s="965"/>
      <c r="DR84" s="965"/>
      <c r="DS84" s="965"/>
      <c r="DT84" s="965"/>
      <c r="DU84" s="965"/>
      <c r="DV84" s="965"/>
      <c r="DW84" s="965"/>
      <c r="DX84" s="965"/>
      <c r="DY84" s="965"/>
      <c r="DZ84" s="965"/>
      <c r="EA84" s="965"/>
      <c r="EB84" s="965"/>
      <c r="EC84" s="965"/>
      <c r="ED84" s="965"/>
      <c r="EE84" s="965"/>
      <c r="EF84" s="965"/>
      <c r="EG84" s="965"/>
      <c r="EH84" s="965"/>
      <c r="EI84" s="965"/>
      <c r="EJ84" s="965"/>
      <c r="EK84" s="965"/>
      <c r="EL84" s="965"/>
      <c r="EM84" s="965"/>
      <c r="EN84" s="965"/>
      <c r="EO84" s="965"/>
      <c r="EP84" s="965"/>
      <c r="EQ84" s="965"/>
      <c r="ER84" s="965"/>
      <c r="ES84" s="965"/>
      <c r="ET84" s="965"/>
      <c r="EU84" s="965"/>
      <c r="EV84" s="965"/>
      <c r="EW84" s="965"/>
      <c r="EX84" s="965"/>
      <c r="EY84" s="965"/>
      <c r="EZ84" s="965"/>
      <c r="FA84" s="965"/>
      <c r="FB84" s="965"/>
      <c r="FC84" s="965"/>
      <c r="FD84" s="965"/>
      <c r="FE84" s="965"/>
      <c r="FF84" s="965"/>
      <c r="FG84" s="965"/>
      <c r="FH84" s="965"/>
      <c r="FI84" s="965"/>
      <c r="FJ84" s="965"/>
      <c r="FK84" s="965"/>
      <c r="FL84" s="965"/>
      <c r="FM84" s="965"/>
      <c r="FN84" s="965"/>
      <c r="FO84" s="965"/>
      <c r="FP84" s="965"/>
      <c r="FQ84" s="965"/>
      <c r="FR84" s="965"/>
      <c r="FS84" s="965"/>
      <c r="FT84" s="965"/>
      <c r="FU84" s="965"/>
      <c r="FV84" s="965"/>
      <c r="FW84" s="965"/>
      <c r="FX84" s="965"/>
      <c r="FY84" s="965"/>
      <c r="FZ84" s="965"/>
      <c r="GA84" s="965"/>
      <c r="GB84" s="965"/>
      <c r="GC84" s="965"/>
      <c r="GD84" s="965"/>
      <c r="GE84" s="965"/>
      <c r="GF84" s="965"/>
      <c r="GG84" s="965"/>
      <c r="GH84" s="965"/>
      <c r="GI84" s="965"/>
      <c r="GJ84" s="965"/>
      <c r="GK84" s="965"/>
      <c r="GL84" s="965"/>
      <c r="GM84" s="965"/>
      <c r="GN84" s="965"/>
      <c r="GO84" s="965"/>
      <c r="GP84" s="965"/>
      <c r="GQ84" s="965"/>
      <c r="GR84" s="965"/>
      <c r="GS84" s="965"/>
      <c r="GT84" s="965"/>
      <c r="GU84" s="965"/>
      <c r="GV84" s="965"/>
      <c r="GW84" s="965"/>
      <c r="GX84" s="965"/>
      <c r="GY84" s="965"/>
      <c r="GZ84" s="965"/>
      <c r="HA84" s="965"/>
      <c r="HB84" s="965"/>
      <c r="HC84" s="965"/>
      <c r="HD84" s="965"/>
      <c r="HE84" s="965"/>
      <c r="HF84" s="965"/>
      <c r="HG84" s="965"/>
      <c r="HH84" s="965"/>
      <c r="HI84" s="965"/>
      <c r="HJ84" s="965"/>
      <c r="HK84" s="965"/>
      <c r="HL84" s="965"/>
      <c r="HM84" s="965"/>
      <c r="HN84" s="965"/>
      <c r="HO84" s="965"/>
      <c r="HP84" s="965"/>
      <c r="HQ84" s="965"/>
      <c r="HR84" s="965"/>
      <c r="HS84" s="965"/>
      <c r="HT84" s="965"/>
      <c r="HU84" s="965"/>
      <c r="HV84" s="965"/>
      <c r="HW84" s="965"/>
      <c r="HX84" s="965"/>
      <c r="HY84" s="965"/>
      <c r="HZ84" s="965"/>
      <c r="IA84" s="965"/>
      <c r="IB84" s="965"/>
      <c r="IC84" s="965"/>
      <c r="ID84" s="965"/>
      <c r="IE84" s="965"/>
      <c r="IF84" s="965"/>
      <c r="IG84" s="965"/>
      <c r="IH84" s="965"/>
      <c r="II84" s="965"/>
    </row>
    <row r="85" spans="3:243">
      <c r="C85" s="965"/>
      <c r="D85" s="965"/>
      <c r="E85" s="965"/>
      <c r="F85" s="965"/>
      <c r="G85" s="965"/>
      <c r="H85" s="965"/>
      <c r="I85" s="965"/>
      <c r="J85" s="965"/>
      <c r="K85" s="965"/>
      <c r="L85" s="965"/>
      <c r="M85" s="965"/>
      <c r="N85" s="965"/>
      <c r="O85" s="965"/>
      <c r="P85" s="965"/>
      <c r="Q85" s="965"/>
      <c r="R85" s="965"/>
      <c r="S85" s="965"/>
      <c r="T85" s="965"/>
      <c r="U85" s="965"/>
      <c r="V85" s="965"/>
      <c r="W85" s="965"/>
      <c r="X85" s="965"/>
      <c r="Y85" s="965"/>
      <c r="Z85" s="965"/>
      <c r="AA85" s="965"/>
      <c r="AB85" s="965"/>
      <c r="AC85" s="965"/>
      <c r="AD85" s="965"/>
      <c r="AE85" s="965"/>
      <c r="AF85" s="965"/>
      <c r="AG85" s="965"/>
      <c r="AH85" s="965"/>
      <c r="AI85" s="965"/>
      <c r="AJ85" s="965"/>
      <c r="AK85" s="965"/>
      <c r="AL85" s="965"/>
      <c r="AM85" s="965"/>
      <c r="AN85" s="965"/>
      <c r="AO85" s="965"/>
      <c r="AP85" s="965"/>
      <c r="AQ85" s="965"/>
      <c r="AR85" s="965"/>
      <c r="AS85" s="965"/>
      <c r="AT85" s="965"/>
      <c r="AU85" s="965"/>
      <c r="AV85" s="965"/>
      <c r="AW85" s="965"/>
      <c r="AX85" s="965"/>
      <c r="AY85" s="965"/>
      <c r="AZ85" s="965"/>
      <c r="BA85" s="965"/>
      <c r="BB85" s="965"/>
      <c r="BC85" s="965"/>
      <c r="BD85" s="965"/>
      <c r="BE85" s="965"/>
      <c r="BF85" s="965"/>
      <c r="BG85" s="965"/>
      <c r="BH85" s="965"/>
      <c r="BI85" s="965"/>
      <c r="BJ85" s="965"/>
      <c r="BK85" s="965"/>
      <c r="BL85" s="965"/>
      <c r="BM85" s="965"/>
      <c r="BN85" s="965"/>
      <c r="BO85" s="965"/>
      <c r="BP85" s="965"/>
      <c r="BQ85" s="965"/>
      <c r="BR85" s="965"/>
      <c r="BS85" s="965"/>
      <c r="BT85" s="965"/>
      <c r="BU85" s="965"/>
      <c r="BV85" s="965"/>
      <c r="BW85" s="965"/>
      <c r="BX85" s="965"/>
      <c r="BY85" s="965"/>
      <c r="BZ85" s="965"/>
      <c r="CA85" s="965"/>
      <c r="CB85" s="965"/>
      <c r="CC85" s="965"/>
      <c r="CD85" s="965"/>
      <c r="CE85" s="965"/>
      <c r="CF85" s="965"/>
      <c r="CG85" s="965"/>
      <c r="CH85" s="965"/>
      <c r="CI85" s="965"/>
      <c r="CJ85" s="965"/>
      <c r="CK85" s="965"/>
      <c r="CL85" s="965"/>
      <c r="CM85" s="965"/>
      <c r="CN85" s="965"/>
      <c r="CO85" s="965"/>
      <c r="CP85" s="965"/>
      <c r="CQ85" s="965"/>
      <c r="CR85" s="965"/>
      <c r="CS85" s="965"/>
      <c r="CT85" s="965"/>
      <c r="CU85" s="965"/>
      <c r="CV85" s="965"/>
      <c r="CW85" s="965"/>
      <c r="CX85" s="965"/>
      <c r="CY85" s="965"/>
      <c r="CZ85" s="965"/>
      <c r="DA85" s="965"/>
      <c r="DB85" s="965"/>
      <c r="DC85" s="965"/>
      <c r="DD85" s="965"/>
      <c r="DE85" s="965"/>
      <c r="DF85" s="965"/>
      <c r="DG85" s="965"/>
      <c r="DH85" s="965"/>
      <c r="DI85" s="965"/>
      <c r="DJ85" s="965"/>
      <c r="DK85" s="965"/>
      <c r="DL85" s="965"/>
      <c r="DM85" s="965"/>
      <c r="DN85" s="965"/>
      <c r="DO85" s="965"/>
      <c r="DP85" s="965"/>
      <c r="DQ85" s="965"/>
      <c r="DR85" s="965"/>
      <c r="DS85" s="965"/>
      <c r="DT85" s="965"/>
      <c r="DU85" s="965"/>
      <c r="DV85" s="965"/>
      <c r="DW85" s="965"/>
      <c r="DX85" s="965"/>
      <c r="DY85" s="965"/>
      <c r="DZ85" s="965"/>
      <c r="EA85" s="965"/>
      <c r="EB85" s="965"/>
      <c r="EC85" s="965"/>
      <c r="ED85" s="965"/>
      <c r="EE85" s="965"/>
      <c r="EF85" s="965"/>
      <c r="EG85" s="965"/>
      <c r="EH85" s="965"/>
      <c r="EI85" s="965"/>
      <c r="EJ85" s="965"/>
      <c r="EK85" s="965"/>
      <c r="EL85" s="965"/>
      <c r="EM85" s="965"/>
      <c r="EN85" s="965"/>
      <c r="EO85" s="965"/>
      <c r="EP85" s="965"/>
      <c r="EQ85" s="965"/>
      <c r="ER85" s="965"/>
      <c r="ES85" s="965"/>
      <c r="ET85" s="965"/>
      <c r="EU85" s="965"/>
      <c r="EV85" s="965"/>
      <c r="EW85" s="965"/>
      <c r="EX85" s="965"/>
      <c r="EY85" s="965"/>
      <c r="EZ85" s="965"/>
      <c r="FA85" s="965"/>
      <c r="FB85" s="965"/>
      <c r="FC85" s="965"/>
      <c r="FD85" s="965"/>
      <c r="FE85" s="965"/>
      <c r="FF85" s="965"/>
      <c r="FG85" s="965"/>
      <c r="FH85" s="965"/>
      <c r="FI85" s="965"/>
      <c r="FJ85" s="965"/>
      <c r="FK85" s="965"/>
      <c r="FL85" s="965"/>
      <c r="FM85" s="965"/>
      <c r="FN85" s="965"/>
      <c r="FO85" s="965"/>
      <c r="FP85" s="965"/>
      <c r="FQ85" s="965"/>
      <c r="FR85" s="965"/>
      <c r="FS85" s="965"/>
      <c r="FT85" s="965"/>
      <c r="FU85" s="965"/>
      <c r="FV85" s="965"/>
      <c r="FW85" s="965"/>
      <c r="FX85" s="965"/>
      <c r="FY85" s="965"/>
      <c r="FZ85" s="965"/>
      <c r="GA85" s="965"/>
      <c r="GB85" s="965"/>
      <c r="GC85" s="965"/>
      <c r="GD85" s="965"/>
      <c r="GE85" s="965"/>
      <c r="GF85" s="965"/>
      <c r="GG85" s="965"/>
      <c r="GH85" s="965"/>
      <c r="GI85" s="965"/>
      <c r="GJ85" s="965"/>
      <c r="GK85" s="965"/>
      <c r="GL85" s="965"/>
      <c r="GM85" s="965"/>
      <c r="GN85" s="965"/>
      <c r="GO85" s="965"/>
      <c r="GP85" s="965"/>
      <c r="GQ85" s="965"/>
      <c r="GR85" s="965"/>
      <c r="GS85" s="965"/>
      <c r="GT85" s="965"/>
      <c r="GU85" s="965"/>
      <c r="GV85" s="965"/>
      <c r="GW85" s="965"/>
      <c r="GX85" s="965"/>
      <c r="GY85" s="965"/>
      <c r="GZ85" s="965"/>
      <c r="HA85" s="965"/>
      <c r="HB85" s="965"/>
      <c r="HC85" s="965"/>
      <c r="HD85" s="965"/>
      <c r="HE85" s="965"/>
      <c r="HF85" s="965"/>
      <c r="HG85" s="965"/>
      <c r="HH85" s="965"/>
      <c r="HI85" s="965"/>
      <c r="HJ85" s="965"/>
      <c r="HK85" s="965"/>
      <c r="HL85" s="965"/>
      <c r="HM85" s="965"/>
      <c r="HN85" s="965"/>
      <c r="HO85" s="965"/>
      <c r="HP85" s="965"/>
      <c r="HQ85" s="965"/>
      <c r="HR85" s="965"/>
      <c r="HS85" s="965"/>
      <c r="HT85" s="965"/>
      <c r="HU85" s="965"/>
      <c r="HV85" s="965"/>
      <c r="HW85" s="965"/>
      <c r="HX85" s="965"/>
      <c r="HY85" s="965"/>
      <c r="HZ85" s="965"/>
      <c r="IA85" s="965"/>
      <c r="IB85" s="965"/>
      <c r="IC85" s="965"/>
      <c r="ID85" s="965"/>
      <c r="IE85" s="965"/>
      <c r="IF85" s="965"/>
      <c r="IG85" s="965"/>
      <c r="IH85" s="965"/>
      <c r="II85" s="965"/>
    </row>
    <row r="86" spans="3:243">
      <c r="C86" s="965"/>
      <c r="D86" s="965"/>
      <c r="E86" s="965"/>
      <c r="F86" s="965"/>
      <c r="G86" s="965"/>
      <c r="H86" s="965"/>
      <c r="I86" s="965"/>
      <c r="J86" s="965"/>
      <c r="K86" s="965"/>
      <c r="L86" s="965"/>
      <c r="M86" s="965"/>
      <c r="N86" s="965"/>
      <c r="O86" s="965"/>
      <c r="P86" s="965"/>
      <c r="Q86" s="965"/>
      <c r="R86" s="965"/>
      <c r="S86" s="965"/>
      <c r="T86" s="965"/>
      <c r="U86" s="965"/>
      <c r="V86" s="965"/>
      <c r="W86" s="965"/>
      <c r="X86" s="965"/>
      <c r="Y86" s="965"/>
      <c r="Z86" s="965"/>
      <c r="AA86" s="965"/>
      <c r="AB86" s="965"/>
      <c r="AC86" s="965"/>
      <c r="AD86" s="965"/>
      <c r="AE86" s="965"/>
      <c r="AF86" s="965"/>
      <c r="AG86" s="965"/>
      <c r="AH86" s="965"/>
      <c r="AI86" s="965"/>
      <c r="AJ86" s="965"/>
      <c r="AK86" s="965"/>
      <c r="AL86" s="965"/>
      <c r="AM86" s="965"/>
      <c r="AN86" s="965"/>
      <c r="AO86" s="965"/>
      <c r="AP86" s="965"/>
      <c r="AQ86" s="965"/>
      <c r="AR86" s="965"/>
      <c r="AS86" s="965"/>
      <c r="AT86" s="965"/>
      <c r="AU86" s="965"/>
      <c r="AV86" s="965"/>
      <c r="AW86" s="965"/>
      <c r="AX86" s="965"/>
      <c r="AY86" s="965"/>
      <c r="AZ86" s="965"/>
      <c r="BA86" s="965"/>
      <c r="BB86" s="965"/>
      <c r="BC86" s="965"/>
      <c r="BD86" s="965"/>
      <c r="BE86" s="965"/>
      <c r="BF86" s="965"/>
      <c r="BG86" s="965"/>
      <c r="BH86" s="965"/>
      <c r="BI86" s="965"/>
      <c r="BJ86" s="965"/>
      <c r="BK86" s="965"/>
      <c r="BL86" s="965"/>
      <c r="BM86" s="965"/>
      <c r="BN86" s="965"/>
      <c r="BO86" s="965"/>
      <c r="BP86" s="965"/>
      <c r="BQ86" s="965"/>
      <c r="BR86" s="965"/>
      <c r="BS86" s="965"/>
      <c r="BT86" s="965"/>
      <c r="BU86" s="965"/>
      <c r="BV86" s="965"/>
      <c r="BW86" s="965"/>
      <c r="BX86" s="965"/>
      <c r="BY86" s="965"/>
      <c r="BZ86" s="965"/>
      <c r="CA86" s="965"/>
      <c r="CB86" s="965"/>
      <c r="CC86" s="965"/>
      <c r="CD86" s="965"/>
      <c r="CE86" s="965"/>
      <c r="CF86" s="965"/>
      <c r="CG86" s="965"/>
      <c r="CH86" s="965"/>
      <c r="CI86" s="965"/>
      <c r="CJ86" s="965"/>
      <c r="CK86" s="965"/>
      <c r="CL86" s="965"/>
      <c r="CM86" s="965"/>
      <c r="CN86" s="965"/>
      <c r="CO86" s="965"/>
      <c r="CP86" s="965"/>
      <c r="CQ86" s="965"/>
      <c r="CR86" s="965"/>
      <c r="CS86" s="965"/>
      <c r="CT86" s="965"/>
      <c r="CU86" s="965"/>
      <c r="CV86" s="965"/>
      <c r="CW86" s="965"/>
      <c r="CX86" s="965"/>
      <c r="CY86" s="965"/>
      <c r="CZ86" s="965"/>
      <c r="DA86" s="965"/>
      <c r="DB86" s="965"/>
      <c r="DC86" s="965"/>
      <c r="DD86" s="965"/>
      <c r="DE86" s="965"/>
      <c r="DF86" s="965"/>
      <c r="DG86" s="965"/>
      <c r="DH86" s="965"/>
      <c r="DI86" s="965"/>
      <c r="DJ86" s="965"/>
      <c r="DK86" s="965"/>
      <c r="DL86" s="965"/>
      <c r="DM86" s="965"/>
      <c r="DN86" s="965"/>
      <c r="DO86" s="965"/>
      <c r="DP86" s="965"/>
      <c r="DQ86" s="965"/>
      <c r="DR86" s="965"/>
      <c r="DS86" s="965"/>
      <c r="DT86" s="965"/>
      <c r="DU86" s="965"/>
      <c r="DV86" s="965"/>
      <c r="DW86" s="965"/>
      <c r="DX86" s="965"/>
      <c r="DY86" s="965"/>
      <c r="DZ86" s="965"/>
      <c r="EA86" s="965"/>
      <c r="EB86" s="965"/>
      <c r="EC86" s="965"/>
      <c r="ED86" s="965"/>
      <c r="EE86" s="965"/>
      <c r="EF86" s="965"/>
      <c r="EG86" s="965"/>
      <c r="EH86" s="965"/>
      <c r="EI86" s="965"/>
      <c r="EJ86" s="965"/>
      <c r="EK86" s="965"/>
      <c r="EL86" s="965"/>
      <c r="EM86" s="965"/>
      <c r="EN86" s="965"/>
      <c r="EO86" s="965"/>
      <c r="EP86" s="965"/>
      <c r="EQ86" s="965"/>
      <c r="ER86" s="965"/>
      <c r="ES86" s="965"/>
      <c r="ET86" s="965"/>
      <c r="EU86" s="965"/>
      <c r="EV86" s="965"/>
      <c r="EW86" s="965"/>
      <c r="EX86" s="965"/>
      <c r="EY86" s="965"/>
      <c r="EZ86" s="965"/>
      <c r="FA86" s="965"/>
      <c r="FB86" s="965"/>
      <c r="FC86" s="965"/>
      <c r="FD86" s="965"/>
      <c r="FE86" s="965"/>
      <c r="FF86" s="965"/>
      <c r="FG86" s="965"/>
      <c r="FH86" s="965"/>
      <c r="FI86" s="965"/>
      <c r="FJ86" s="965"/>
      <c r="FK86" s="965"/>
      <c r="FL86" s="965"/>
      <c r="FM86" s="965"/>
      <c r="FN86" s="965"/>
      <c r="FO86" s="965"/>
      <c r="FP86" s="965"/>
      <c r="FQ86" s="965"/>
      <c r="FR86" s="965"/>
      <c r="FS86" s="965"/>
      <c r="FT86" s="965"/>
      <c r="FU86" s="965"/>
      <c r="FV86" s="965"/>
      <c r="FW86" s="965"/>
      <c r="FX86" s="965"/>
      <c r="FY86" s="965"/>
      <c r="FZ86" s="965"/>
      <c r="GA86" s="965"/>
      <c r="GB86" s="965"/>
      <c r="GC86" s="965"/>
      <c r="GD86" s="965"/>
      <c r="GE86" s="965"/>
      <c r="GF86" s="965"/>
      <c r="GG86" s="965"/>
      <c r="GH86" s="965"/>
      <c r="GI86" s="965"/>
      <c r="GJ86" s="965"/>
      <c r="GK86" s="965"/>
      <c r="GL86" s="965"/>
      <c r="GM86" s="965"/>
      <c r="GN86" s="965"/>
      <c r="GO86" s="965"/>
      <c r="GP86" s="965"/>
      <c r="GQ86" s="965"/>
      <c r="GR86" s="965"/>
      <c r="GS86" s="965"/>
      <c r="GT86" s="965"/>
      <c r="GU86" s="965"/>
      <c r="GV86" s="965"/>
      <c r="GW86" s="965"/>
      <c r="GX86" s="965"/>
      <c r="GY86" s="965"/>
      <c r="GZ86" s="965"/>
      <c r="HA86" s="965"/>
      <c r="HB86" s="965"/>
      <c r="HC86" s="965"/>
      <c r="HD86" s="965"/>
      <c r="HE86" s="965"/>
      <c r="HF86" s="965"/>
      <c r="HG86" s="965"/>
      <c r="HH86" s="965"/>
      <c r="HI86" s="965"/>
      <c r="HJ86" s="965"/>
      <c r="HK86" s="965"/>
      <c r="HL86" s="965"/>
      <c r="HM86" s="965"/>
      <c r="HN86" s="965"/>
      <c r="HO86" s="965"/>
      <c r="HP86" s="965"/>
      <c r="HQ86" s="965"/>
      <c r="HR86" s="965"/>
      <c r="HS86" s="965"/>
      <c r="HT86" s="965"/>
      <c r="HU86" s="965"/>
      <c r="HV86" s="965"/>
      <c r="HW86" s="965"/>
      <c r="HX86" s="965"/>
      <c r="HY86" s="965"/>
      <c r="HZ86" s="965"/>
      <c r="IA86" s="965"/>
      <c r="IB86" s="965"/>
      <c r="IC86" s="965"/>
      <c r="ID86" s="965"/>
      <c r="IE86" s="965"/>
      <c r="IF86" s="965"/>
      <c r="IG86" s="965"/>
      <c r="IH86" s="965"/>
      <c r="II86" s="965"/>
    </row>
    <row r="87" spans="3:243">
      <c r="C87" s="965"/>
      <c r="D87" s="965"/>
      <c r="E87" s="965"/>
      <c r="F87" s="965"/>
      <c r="G87" s="965"/>
      <c r="H87" s="965"/>
      <c r="I87" s="965"/>
      <c r="J87" s="965"/>
      <c r="K87" s="965"/>
      <c r="L87" s="965"/>
      <c r="M87" s="965"/>
      <c r="N87" s="965"/>
      <c r="O87" s="965"/>
      <c r="P87" s="965"/>
      <c r="Q87" s="965"/>
      <c r="R87" s="965"/>
      <c r="S87" s="965"/>
      <c r="T87" s="965"/>
      <c r="U87" s="965"/>
      <c r="V87" s="965"/>
      <c r="W87" s="965"/>
      <c r="X87" s="965"/>
      <c r="Y87" s="965"/>
      <c r="Z87" s="965"/>
      <c r="AA87" s="965"/>
      <c r="AB87" s="965"/>
      <c r="AC87" s="965"/>
      <c r="AD87" s="965"/>
      <c r="AE87" s="965"/>
      <c r="AF87" s="965"/>
      <c r="AG87" s="965"/>
      <c r="AH87" s="965"/>
      <c r="AI87" s="965"/>
      <c r="AJ87" s="965"/>
      <c r="AK87" s="965"/>
      <c r="AL87" s="965"/>
      <c r="AM87" s="965"/>
      <c r="AN87" s="965"/>
      <c r="AO87" s="965"/>
      <c r="AP87" s="965"/>
      <c r="AQ87" s="965"/>
      <c r="AR87" s="965"/>
      <c r="AS87" s="965"/>
      <c r="AT87" s="965"/>
      <c r="AU87" s="965"/>
      <c r="AV87" s="965"/>
      <c r="AW87" s="965"/>
      <c r="AX87" s="965"/>
      <c r="AY87" s="965"/>
      <c r="AZ87" s="965"/>
      <c r="BA87" s="965"/>
      <c r="BB87" s="965"/>
      <c r="BC87" s="965"/>
      <c r="BD87" s="965"/>
      <c r="BE87" s="965"/>
      <c r="BF87" s="965"/>
      <c r="BG87" s="965"/>
      <c r="BH87" s="965"/>
      <c r="BI87" s="965"/>
      <c r="BJ87" s="965"/>
      <c r="BK87" s="965"/>
      <c r="BL87" s="965"/>
      <c r="BM87" s="965"/>
      <c r="BN87" s="965"/>
      <c r="BO87" s="965"/>
      <c r="BP87" s="965"/>
      <c r="BQ87" s="965"/>
      <c r="BR87" s="965"/>
      <c r="BS87" s="965"/>
      <c r="BT87" s="965"/>
      <c r="BU87" s="965"/>
      <c r="BV87" s="965"/>
      <c r="BW87" s="965"/>
      <c r="BX87" s="965"/>
      <c r="BY87" s="965"/>
      <c r="BZ87" s="965"/>
      <c r="CA87" s="965"/>
      <c r="CB87" s="965"/>
      <c r="CC87" s="965"/>
      <c r="CD87" s="965"/>
      <c r="CE87" s="965"/>
      <c r="CF87" s="965"/>
      <c r="CG87" s="965"/>
      <c r="CH87" s="965"/>
      <c r="CI87" s="965"/>
      <c r="CJ87" s="965"/>
      <c r="CK87" s="965"/>
      <c r="CL87" s="965"/>
      <c r="CM87" s="965"/>
      <c r="CN87" s="965"/>
      <c r="CO87" s="965"/>
      <c r="CP87" s="965"/>
      <c r="CQ87" s="965"/>
      <c r="CR87" s="965"/>
      <c r="CS87" s="965"/>
      <c r="CT87" s="965"/>
      <c r="CU87" s="965"/>
      <c r="CV87" s="965"/>
      <c r="CW87" s="965"/>
      <c r="CX87" s="965"/>
      <c r="CY87" s="965"/>
      <c r="CZ87" s="965"/>
      <c r="DA87" s="965"/>
      <c r="DB87" s="965"/>
      <c r="DC87" s="965"/>
      <c r="DD87" s="965"/>
      <c r="DE87" s="965"/>
      <c r="DF87" s="965"/>
      <c r="DG87" s="965"/>
      <c r="DH87" s="965"/>
      <c r="DI87" s="965"/>
      <c r="DJ87" s="965"/>
      <c r="DK87" s="965"/>
      <c r="DL87" s="965"/>
      <c r="DM87" s="965"/>
      <c r="DN87" s="965"/>
      <c r="DO87" s="965"/>
      <c r="DP87" s="965"/>
      <c r="DQ87" s="965"/>
      <c r="DR87" s="965"/>
      <c r="DS87" s="965"/>
      <c r="DT87" s="965"/>
      <c r="DU87" s="965"/>
      <c r="DV87" s="965"/>
      <c r="DW87" s="965"/>
      <c r="DX87" s="965"/>
      <c r="DY87" s="965"/>
      <c r="DZ87" s="965"/>
      <c r="EA87" s="965"/>
      <c r="EB87" s="965"/>
      <c r="EC87" s="965"/>
      <c r="ED87" s="965"/>
      <c r="EE87" s="965"/>
      <c r="EF87" s="965"/>
      <c r="EG87" s="965"/>
      <c r="EH87" s="965"/>
      <c r="EI87" s="965"/>
      <c r="EJ87" s="965"/>
      <c r="EK87" s="965"/>
      <c r="EL87" s="965"/>
      <c r="EM87" s="965"/>
      <c r="EN87" s="965"/>
      <c r="EO87" s="965"/>
      <c r="EP87" s="965"/>
      <c r="EQ87" s="965"/>
      <c r="ER87" s="965"/>
      <c r="ES87" s="965"/>
      <c r="ET87" s="965"/>
      <c r="EU87" s="965"/>
      <c r="EV87" s="965"/>
      <c r="EW87" s="965"/>
      <c r="EX87" s="965"/>
      <c r="EY87" s="965"/>
      <c r="EZ87" s="965"/>
      <c r="FA87" s="965"/>
      <c r="FB87" s="965"/>
      <c r="FC87" s="965"/>
      <c r="FD87" s="965"/>
      <c r="FE87" s="965"/>
      <c r="FF87" s="965"/>
      <c r="FG87" s="965"/>
      <c r="FH87" s="965"/>
      <c r="FI87" s="965"/>
      <c r="FJ87" s="965"/>
      <c r="FK87" s="965"/>
      <c r="FL87" s="965"/>
      <c r="FM87" s="965"/>
      <c r="FN87" s="965"/>
      <c r="FO87" s="965"/>
      <c r="FP87" s="965"/>
      <c r="FQ87" s="965"/>
      <c r="FR87" s="965"/>
      <c r="FS87" s="965"/>
      <c r="FT87" s="965"/>
      <c r="FU87" s="965"/>
      <c r="FV87" s="965"/>
      <c r="FW87" s="965"/>
      <c r="FX87" s="965"/>
      <c r="FY87" s="965"/>
      <c r="FZ87" s="965"/>
      <c r="GA87" s="965"/>
      <c r="GB87" s="965"/>
      <c r="GC87" s="965"/>
      <c r="GD87" s="965"/>
      <c r="GE87" s="965"/>
      <c r="GF87" s="965"/>
      <c r="GG87" s="965"/>
      <c r="GH87" s="965"/>
      <c r="GI87" s="965"/>
      <c r="GJ87" s="965"/>
      <c r="GK87" s="965"/>
      <c r="GL87" s="965"/>
      <c r="GM87" s="965"/>
      <c r="GN87" s="965"/>
      <c r="GO87" s="965"/>
      <c r="GP87" s="965"/>
      <c r="GQ87" s="965"/>
      <c r="GR87" s="965"/>
      <c r="GS87" s="965"/>
      <c r="GT87" s="965"/>
      <c r="GU87" s="965"/>
      <c r="GV87" s="965"/>
      <c r="GW87" s="965"/>
      <c r="GX87" s="965"/>
      <c r="GY87" s="965"/>
      <c r="GZ87" s="965"/>
      <c r="HA87" s="965"/>
      <c r="HB87" s="965"/>
      <c r="HC87" s="965"/>
      <c r="HD87" s="965"/>
      <c r="HE87" s="965"/>
      <c r="HF87" s="965"/>
      <c r="HG87" s="965"/>
      <c r="HH87" s="965"/>
      <c r="HI87" s="965"/>
      <c r="HJ87" s="965"/>
      <c r="HK87" s="965"/>
      <c r="HL87" s="965"/>
      <c r="HM87" s="965"/>
      <c r="HN87" s="965"/>
      <c r="HO87" s="965"/>
      <c r="HP87" s="965"/>
      <c r="HQ87" s="965"/>
      <c r="HR87" s="965"/>
      <c r="HS87" s="965"/>
      <c r="HT87" s="965"/>
      <c r="HU87" s="965"/>
      <c r="HV87" s="965"/>
      <c r="HW87" s="965"/>
      <c r="HX87" s="965"/>
      <c r="HY87" s="965"/>
      <c r="HZ87" s="965"/>
      <c r="IA87" s="965"/>
      <c r="IB87" s="965"/>
      <c r="IC87" s="965"/>
      <c r="ID87" s="965"/>
      <c r="IE87" s="965"/>
      <c r="IF87" s="965"/>
      <c r="IG87" s="965"/>
      <c r="IH87" s="965"/>
      <c r="II87" s="965"/>
    </row>
    <row r="88" spans="3:243">
      <c r="C88" s="965"/>
      <c r="D88" s="965"/>
      <c r="E88" s="965"/>
      <c r="F88" s="965"/>
      <c r="G88" s="965"/>
      <c r="H88" s="965"/>
      <c r="I88" s="965"/>
      <c r="J88" s="965"/>
      <c r="K88" s="965"/>
      <c r="L88" s="965"/>
      <c r="M88" s="965"/>
      <c r="N88" s="965"/>
      <c r="O88" s="965"/>
      <c r="P88" s="965"/>
      <c r="Q88" s="965"/>
      <c r="R88" s="965"/>
      <c r="S88" s="965"/>
      <c r="T88" s="965"/>
      <c r="U88" s="965"/>
      <c r="V88" s="965"/>
      <c r="W88" s="965"/>
      <c r="X88" s="965"/>
      <c r="Y88" s="965"/>
      <c r="Z88" s="965"/>
      <c r="AA88" s="965"/>
      <c r="AB88" s="965"/>
      <c r="AC88" s="965"/>
      <c r="AD88" s="965"/>
      <c r="AE88" s="965"/>
      <c r="AF88" s="965"/>
      <c r="AG88" s="965"/>
      <c r="AH88" s="965"/>
      <c r="AI88" s="965"/>
      <c r="AJ88" s="965"/>
      <c r="AK88" s="965"/>
      <c r="AL88" s="965"/>
      <c r="AM88" s="965"/>
      <c r="AN88" s="965"/>
      <c r="AO88" s="965"/>
      <c r="AP88" s="965"/>
      <c r="AQ88" s="965"/>
      <c r="AR88" s="965"/>
      <c r="AS88" s="965"/>
      <c r="AT88" s="965"/>
      <c r="AU88" s="965"/>
      <c r="AV88" s="965"/>
      <c r="AW88" s="965"/>
      <c r="AX88" s="965"/>
      <c r="AY88" s="965"/>
      <c r="AZ88" s="965"/>
      <c r="BA88" s="965"/>
      <c r="BB88" s="965"/>
      <c r="BC88" s="965"/>
      <c r="BD88" s="965"/>
      <c r="BE88" s="965"/>
      <c r="BF88" s="965"/>
      <c r="BG88" s="965"/>
      <c r="BH88" s="965"/>
      <c r="BI88" s="965"/>
      <c r="BJ88" s="965"/>
      <c r="BK88" s="965"/>
      <c r="BL88" s="965"/>
      <c r="BM88" s="965"/>
      <c r="BN88" s="965"/>
      <c r="BO88" s="965"/>
      <c r="BP88" s="965"/>
      <c r="BQ88" s="965"/>
      <c r="BR88" s="965"/>
      <c r="BS88" s="965"/>
      <c r="BT88" s="965"/>
      <c r="BU88" s="965"/>
      <c r="BV88" s="965"/>
      <c r="BW88" s="965"/>
      <c r="BX88" s="965"/>
      <c r="BY88" s="965"/>
      <c r="BZ88" s="965"/>
      <c r="CA88" s="965"/>
      <c r="CB88" s="965"/>
      <c r="CC88" s="965"/>
      <c r="CD88" s="965"/>
      <c r="CE88" s="965"/>
      <c r="CF88" s="965"/>
      <c r="CG88" s="965"/>
      <c r="CH88" s="965"/>
      <c r="CI88" s="965"/>
      <c r="CJ88" s="965"/>
      <c r="CK88" s="965"/>
      <c r="CL88" s="965"/>
      <c r="CM88" s="965"/>
      <c r="CN88" s="965"/>
      <c r="CO88" s="965"/>
      <c r="CP88" s="965"/>
      <c r="CQ88" s="965"/>
      <c r="CR88" s="965"/>
      <c r="CS88" s="965"/>
      <c r="CT88" s="965"/>
      <c r="CU88" s="965"/>
      <c r="CV88" s="965"/>
      <c r="CW88" s="965"/>
      <c r="CX88" s="965"/>
      <c r="CY88" s="965"/>
      <c r="CZ88" s="965"/>
      <c r="DA88" s="965"/>
      <c r="DB88" s="965"/>
      <c r="DC88" s="965"/>
      <c r="DD88" s="965"/>
      <c r="DE88" s="965"/>
      <c r="DF88" s="965"/>
      <c r="DG88" s="965"/>
      <c r="DH88" s="965"/>
      <c r="DI88" s="965"/>
      <c r="DJ88" s="965"/>
      <c r="DK88" s="965"/>
      <c r="DL88" s="965"/>
      <c r="DM88" s="965"/>
      <c r="DN88" s="965"/>
      <c r="DO88" s="965"/>
      <c r="DP88" s="965"/>
      <c r="DQ88" s="965"/>
      <c r="DR88" s="965"/>
      <c r="DS88" s="965"/>
      <c r="DT88" s="965"/>
      <c r="DU88" s="965"/>
      <c r="DV88" s="965"/>
      <c r="DW88" s="965"/>
      <c r="DX88" s="965"/>
      <c r="DY88" s="965"/>
      <c r="DZ88" s="965"/>
      <c r="EA88" s="965"/>
      <c r="EB88" s="965"/>
      <c r="EC88" s="965"/>
      <c r="ED88" s="965"/>
      <c r="EE88" s="965"/>
      <c r="EF88" s="965"/>
      <c r="EG88" s="965"/>
      <c r="EH88" s="965"/>
      <c r="EI88" s="965"/>
      <c r="EJ88" s="965"/>
      <c r="EK88" s="965"/>
      <c r="EL88" s="965"/>
      <c r="EM88" s="965"/>
      <c r="EN88" s="965"/>
      <c r="EO88" s="965"/>
      <c r="EP88" s="965"/>
      <c r="EQ88" s="965"/>
      <c r="ER88" s="965"/>
      <c r="ES88" s="965"/>
      <c r="ET88" s="965"/>
      <c r="EU88" s="965"/>
      <c r="EV88" s="965"/>
      <c r="EW88" s="965"/>
      <c r="EX88" s="965"/>
      <c r="EY88" s="965"/>
      <c r="EZ88" s="965"/>
      <c r="FA88" s="965"/>
      <c r="FB88" s="965"/>
      <c r="FC88" s="965"/>
      <c r="FD88" s="965"/>
      <c r="FE88" s="965"/>
      <c r="FF88" s="965"/>
      <c r="FG88" s="965"/>
      <c r="FH88" s="965"/>
      <c r="FI88" s="965"/>
      <c r="FJ88" s="965"/>
      <c r="FK88" s="965"/>
      <c r="FL88" s="965"/>
      <c r="FM88" s="965"/>
      <c r="FN88" s="965"/>
      <c r="FO88" s="965"/>
      <c r="FP88" s="965"/>
      <c r="FQ88" s="965"/>
      <c r="FR88" s="965"/>
      <c r="FS88" s="965"/>
      <c r="FT88" s="965"/>
      <c r="FU88" s="965"/>
      <c r="FV88" s="965"/>
      <c r="FW88" s="965"/>
      <c r="FX88" s="965"/>
      <c r="FY88" s="965"/>
      <c r="FZ88" s="965"/>
      <c r="GA88" s="965"/>
      <c r="GB88" s="965"/>
      <c r="GC88" s="965"/>
      <c r="GD88" s="965"/>
      <c r="GE88" s="965"/>
      <c r="GF88" s="965"/>
      <c r="GG88" s="965"/>
      <c r="GH88" s="965"/>
      <c r="GI88" s="965"/>
      <c r="GJ88" s="965"/>
      <c r="GK88" s="965"/>
      <c r="GL88" s="965"/>
      <c r="GM88" s="965"/>
      <c r="GN88" s="965"/>
      <c r="GO88" s="965"/>
      <c r="GP88" s="965"/>
      <c r="GQ88" s="965"/>
      <c r="GR88" s="965"/>
      <c r="GS88" s="965"/>
      <c r="GT88" s="965"/>
      <c r="GU88" s="965"/>
      <c r="GV88" s="965"/>
      <c r="GW88" s="965"/>
      <c r="GX88" s="965"/>
      <c r="GY88" s="965"/>
      <c r="GZ88" s="965"/>
      <c r="HA88" s="965"/>
      <c r="HB88" s="965"/>
      <c r="HC88" s="965"/>
      <c r="HD88" s="965"/>
      <c r="HE88" s="965"/>
      <c r="HF88" s="965"/>
      <c r="HG88" s="965"/>
      <c r="HH88" s="965"/>
      <c r="HI88" s="965"/>
      <c r="HJ88" s="965"/>
      <c r="HK88" s="965"/>
      <c r="HL88" s="965"/>
      <c r="HM88" s="965"/>
      <c r="HN88" s="965"/>
      <c r="HO88" s="965"/>
      <c r="HP88" s="965"/>
      <c r="HQ88" s="965"/>
      <c r="HR88" s="965"/>
      <c r="HS88" s="965"/>
      <c r="HT88" s="965"/>
      <c r="HU88" s="965"/>
      <c r="HV88" s="965"/>
      <c r="HW88" s="965"/>
      <c r="HX88" s="965"/>
      <c r="HY88" s="965"/>
      <c r="HZ88" s="965"/>
      <c r="IA88" s="965"/>
      <c r="IB88" s="965"/>
      <c r="IC88" s="965"/>
      <c r="ID88" s="965"/>
      <c r="IE88" s="965"/>
      <c r="IF88" s="965"/>
      <c r="IG88" s="965"/>
      <c r="IH88" s="965"/>
      <c r="II88" s="965"/>
    </row>
    <row r="89" spans="3:243">
      <c r="C89" s="965"/>
      <c r="D89" s="965"/>
      <c r="E89" s="965"/>
      <c r="F89" s="965"/>
      <c r="G89" s="965"/>
      <c r="H89" s="965"/>
      <c r="I89" s="965"/>
      <c r="J89" s="965"/>
      <c r="K89" s="965"/>
      <c r="L89" s="965"/>
      <c r="M89" s="965"/>
      <c r="N89" s="965"/>
      <c r="O89" s="965"/>
      <c r="P89" s="965"/>
      <c r="Q89" s="965"/>
      <c r="R89" s="965"/>
      <c r="S89" s="965"/>
      <c r="T89" s="965"/>
      <c r="U89" s="965"/>
      <c r="V89" s="965"/>
      <c r="W89" s="965"/>
      <c r="X89" s="965"/>
      <c r="Y89" s="965"/>
      <c r="Z89" s="965"/>
      <c r="AA89" s="965"/>
      <c r="AB89" s="965"/>
      <c r="AC89" s="965"/>
      <c r="AD89" s="965"/>
      <c r="AE89" s="965"/>
      <c r="AF89" s="965"/>
      <c r="AG89" s="965"/>
      <c r="AH89" s="965"/>
      <c r="AI89" s="965"/>
      <c r="AJ89" s="965"/>
      <c r="AK89" s="965"/>
      <c r="AL89" s="965"/>
      <c r="AM89" s="965"/>
      <c r="AN89" s="965"/>
      <c r="AO89" s="965"/>
      <c r="AP89" s="965"/>
      <c r="AQ89" s="965"/>
      <c r="AR89" s="965"/>
      <c r="AS89" s="965"/>
      <c r="AT89" s="965"/>
      <c r="AU89" s="965"/>
      <c r="AV89" s="965"/>
      <c r="AW89" s="965"/>
      <c r="AX89" s="965"/>
      <c r="AY89" s="965"/>
      <c r="AZ89" s="965"/>
      <c r="BA89" s="965"/>
      <c r="BB89" s="965"/>
      <c r="BC89" s="965"/>
      <c r="BD89" s="965"/>
      <c r="BE89" s="965"/>
      <c r="BF89" s="965"/>
      <c r="BG89" s="965"/>
      <c r="BH89" s="965"/>
      <c r="BI89" s="965"/>
      <c r="BJ89" s="965"/>
      <c r="BK89" s="965"/>
      <c r="BL89" s="965"/>
      <c r="BM89" s="965"/>
      <c r="BN89" s="965"/>
      <c r="BO89" s="965"/>
      <c r="BP89" s="965"/>
      <c r="BQ89" s="965"/>
      <c r="BR89" s="965"/>
      <c r="BS89" s="965"/>
      <c r="BT89" s="965"/>
      <c r="BU89" s="965"/>
      <c r="BV89" s="965"/>
      <c r="BW89" s="965"/>
      <c r="BX89" s="965"/>
      <c r="BY89" s="965"/>
      <c r="BZ89" s="965"/>
      <c r="CA89" s="965"/>
      <c r="CB89" s="965"/>
      <c r="CC89" s="965"/>
      <c r="CD89" s="965"/>
      <c r="CE89" s="965"/>
      <c r="CF89" s="965"/>
      <c r="CG89" s="965"/>
      <c r="CH89" s="965"/>
      <c r="CI89" s="965"/>
      <c r="CJ89" s="965"/>
      <c r="CK89" s="965"/>
      <c r="CL89" s="965"/>
      <c r="CM89" s="965"/>
      <c r="CN89" s="965"/>
      <c r="CO89" s="965"/>
      <c r="CP89" s="965"/>
      <c r="CQ89" s="965"/>
      <c r="CR89" s="965"/>
      <c r="CS89" s="965"/>
      <c r="CT89" s="965"/>
      <c r="CU89" s="965"/>
      <c r="CV89" s="965"/>
      <c r="CW89" s="965"/>
      <c r="CX89" s="965"/>
      <c r="CY89" s="965"/>
      <c r="CZ89" s="965"/>
      <c r="DA89" s="965"/>
      <c r="DB89" s="965"/>
      <c r="DC89" s="965"/>
      <c r="DD89" s="965"/>
      <c r="DE89" s="965"/>
      <c r="DF89" s="965"/>
      <c r="DG89" s="965"/>
      <c r="DH89" s="965"/>
      <c r="DI89" s="965"/>
      <c r="DJ89" s="965"/>
      <c r="DK89" s="965"/>
      <c r="DL89" s="965"/>
      <c r="DM89" s="965"/>
      <c r="DN89" s="965"/>
      <c r="DO89" s="965"/>
      <c r="DP89" s="965"/>
      <c r="DQ89" s="965"/>
      <c r="DR89" s="965"/>
      <c r="DS89" s="965"/>
      <c r="DT89" s="965"/>
      <c r="DU89" s="965"/>
      <c r="DV89" s="965"/>
      <c r="DW89" s="965"/>
      <c r="DX89" s="965"/>
      <c r="DY89" s="965"/>
      <c r="DZ89" s="965"/>
      <c r="EA89" s="965"/>
      <c r="EB89" s="965"/>
      <c r="EC89" s="965"/>
      <c r="ED89" s="965"/>
      <c r="EE89" s="965"/>
      <c r="EF89" s="965"/>
      <c r="EG89" s="965"/>
      <c r="EH89" s="965"/>
      <c r="EI89" s="965"/>
      <c r="EJ89" s="965"/>
      <c r="EK89" s="965"/>
      <c r="EL89" s="965"/>
      <c r="EM89" s="965"/>
      <c r="EN89" s="965"/>
      <c r="EO89" s="965"/>
      <c r="EP89" s="965"/>
      <c r="EQ89" s="965"/>
      <c r="ER89" s="965"/>
      <c r="ES89" s="965"/>
      <c r="ET89" s="965"/>
      <c r="EU89" s="965"/>
      <c r="EV89" s="965"/>
      <c r="EW89" s="965"/>
      <c r="EX89" s="965"/>
      <c r="EY89" s="965"/>
      <c r="EZ89" s="965"/>
      <c r="FA89" s="965"/>
      <c r="FB89" s="965"/>
      <c r="FC89" s="965"/>
      <c r="FD89" s="965"/>
      <c r="FE89" s="965"/>
      <c r="FF89" s="965"/>
      <c r="FG89" s="965"/>
      <c r="FH89" s="965"/>
      <c r="FI89" s="965"/>
      <c r="FJ89" s="965"/>
      <c r="FK89" s="965"/>
      <c r="FL89" s="965"/>
      <c r="FM89" s="965"/>
      <c r="FN89" s="965"/>
      <c r="FO89" s="965"/>
      <c r="FP89" s="965"/>
      <c r="FQ89" s="965"/>
      <c r="FR89" s="965"/>
      <c r="FS89" s="965"/>
      <c r="FT89" s="965"/>
      <c r="FU89" s="965"/>
      <c r="FV89" s="965"/>
      <c r="FW89" s="965"/>
      <c r="FX89" s="965"/>
      <c r="FY89" s="965"/>
      <c r="FZ89" s="965"/>
      <c r="GA89" s="965"/>
      <c r="GB89" s="965"/>
      <c r="GC89" s="965"/>
      <c r="GD89" s="965"/>
      <c r="GE89" s="965"/>
      <c r="GF89" s="965"/>
      <c r="GG89" s="965"/>
      <c r="GH89" s="965"/>
      <c r="GI89" s="965"/>
      <c r="GJ89" s="965"/>
      <c r="GK89" s="965"/>
      <c r="GL89" s="965"/>
      <c r="GM89" s="965"/>
      <c r="GN89" s="965"/>
      <c r="GO89" s="965"/>
      <c r="GP89" s="965"/>
      <c r="GQ89" s="965"/>
      <c r="GR89" s="965"/>
      <c r="GS89" s="965"/>
      <c r="GT89" s="965"/>
      <c r="GU89" s="965"/>
      <c r="GV89" s="965"/>
      <c r="GW89" s="965"/>
      <c r="GX89" s="965"/>
      <c r="GY89" s="965"/>
      <c r="GZ89" s="965"/>
      <c r="HA89" s="965"/>
      <c r="HB89" s="965"/>
      <c r="HC89" s="965"/>
      <c r="HD89" s="965"/>
      <c r="HE89" s="965"/>
      <c r="HF89" s="965"/>
      <c r="HG89" s="965"/>
      <c r="HH89" s="965"/>
      <c r="HI89" s="965"/>
      <c r="HJ89" s="965"/>
      <c r="HK89" s="965"/>
      <c r="HL89" s="965"/>
      <c r="HM89" s="965"/>
      <c r="HN89" s="965"/>
      <c r="HO89" s="965"/>
      <c r="HP89" s="965"/>
      <c r="HQ89" s="965"/>
      <c r="HR89" s="965"/>
      <c r="HS89" s="965"/>
      <c r="HT89" s="965"/>
      <c r="HU89" s="965"/>
      <c r="HV89" s="965"/>
      <c r="HW89" s="965"/>
      <c r="HX89" s="965"/>
      <c r="HY89" s="965"/>
      <c r="HZ89" s="965"/>
      <c r="IA89" s="965"/>
      <c r="IB89" s="965"/>
      <c r="IC89" s="965"/>
      <c r="ID89" s="965"/>
      <c r="IE89" s="965"/>
      <c r="IF89" s="965"/>
      <c r="IG89" s="965"/>
      <c r="IH89" s="965"/>
      <c r="II89" s="965"/>
    </row>
    <row r="90" spans="3:243">
      <c r="C90" s="965"/>
      <c r="D90" s="965"/>
      <c r="E90" s="965"/>
      <c r="F90" s="965"/>
      <c r="G90" s="965"/>
      <c r="H90" s="965"/>
      <c r="I90" s="965"/>
      <c r="J90" s="965"/>
      <c r="K90" s="965"/>
      <c r="L90" s="965"/>
      <c r="M90" s="965"/>
      <c r="N90" s="965"/>
      <c r="O90" s="965"/>
      <c r="P90" s="965"/>
      <c r="Q90" s="965"/>
      <c r="R90" s="965"/>
      <c r="S90" s="965"/>
      <c r="T90" s="965"/>
      <c r="U90" s="965"/>
      <c r="V90" s="965"/>
      <c r="W90" s="965"/>
      <c r="X90" s="965"/>
      <c r="Y90" s="965"/>
      <c r="Z90" s="965"/>
      <c r="AA90" s="965"/>
      <c r="AB90" s="965"/>
      <c r="AC90" s="965"/>
      <c r="AD90" s="965"/>
      <c r="AE90" s="965"/>
      <c r="AF90" s="965"/>
      <c r="AG90" s="965"/>
      <c r="AH90" s="965"/>
      <c r="AI90" s="965"/>
      <c r="AJ90" s="965"/>
      <c r="AK90" s="965"/>
      <c r="AL90" s="965"/>
      <c r="AM90" s="965"/>
      <c r="AN90" s="965"/>
      <c r="AO90" s="965"/>
      <c r="AP90" s="965"/>
      <c r="AQ90" s="965"/>
      <c r="AR90" s="965"/>
      <c r="AS90" s="965"/>
      <c r="AT90" s="965"/>
      <c r="AU90" s="965"/>
      <c r="AV90" s="965"/>
      <c r="AW90" s="965"/>
      <c r="AX90" s="965"/>
      <c r="AY90" s="965"/>
      <c r="AZ90" s="965"/>
      <c r="BA90" s="965"/>
      <c r="BB90" s="965"/>
      <c r="BC90" s="965"/>
      <c r="BD90" s="965"/>
      <c r="BE90" s="965"/>
      <c r="BF90" s="965"/>
      <c r="BG90" s="965"/>
      <c r="BH90" s="965"/>
      <c r="BI90" s="965"/>
      <c r="BJ90" s="965"/>
      <c r="BK90" s="965"/>
      <c r="BL90" s="965"/>
      <c r="BM90" s="965"/>
      <c r="BN90" s="965"/>
      <c r="BO90" s="965"/>
      <c r="BP90" s="965"/>
      <c r="BQ90" s="965"/>
      <c r="BR90" s="965"/>
      <c r="BS90" s="965"/>
      <c r="BT90" s="965"/>
      <c r="BU90" s="965"/>
      <c r="BV90" s="965"/>
      <c r="BW90" s="965"/>
      <c r="BX90" s="965"/>
      <c r="BY90" s="965"/>
      <c r="BZ90" s="965"/>
      <c r="CA90" s="965"/>
      <c r="CB90" s="965"/>
      <c r="CC90" s="965"/>
      <c r="CD90" s="965"/>
      <c r="CE90" s="965"/>
      <c r="CF90" s="965"/>
      <c r="CG90" s="965"/>
      <c r="CH90" s="965"/>
      <c r="CI90" s="965"/>
      <c r="CJ90" s="965"/>
      <c r="CK90" s="965"/>
      <c r="CL90" s="965"/>
      <c r="CM90" s="965"/>
      <c r="CN90" s="965"/>
      <c r="CO90" s="965"/>
      <c r="CP90" s="965"/>
      <c r="CQ90" s="965"/>
      <c r="CR90" s="965"/>
      <c r="CS90" s="965"/>
      <c r="CT90" s="965"/>
      <c r="CU90" s="965"/>
      <c r="CV90" s="965"/>
      <c r="CW90" s="965"/>
      <c r="CX90" s="965"/>
      <c r="CY90" s="965"/>
      <c r="CZ90" s="965"/>
      <c r="DA90" s="965"/>
      <c r="DB90" s="965"/>
      <c r="DC90" s="965"/>
      <c r="DD90" s="965"/>
      <c r="DE90" s="965"/>
      <c r="DF90" s="965"/>
      <c r="DG90" s="965"/>
      <c r="DH90" s="965"/>
      <c r="DI90" s="965"/>
      <c r="DJ90" s="965"/>
      <c r="DK90" s="965"/>
      <c r="DL90" s="965"/>
      <c r="DM90" s="965"/>
      <c r="DN90" s="965"/>
      <c r="DO90" s="965"/>
      <c r="DP90" s="965"/>
      <c r="DQ90" s="965"/>
      <c r="DR90" s="965"/>
      <c r="DS90" s="965"/>
      <c r="DT90" s="965"/>
      <c r="DU90" s="965"/>
      <c r="DV90" s="965"/>
      <c r="DW90" s="965"/>
      <c r="DX90" s="965"/>
      <c r="DY90" s="965"/>
      <c r="DZ90" s="965"/>
      <c r="EA90" s="965"/>
      <c r="EB90" s="965"/>
      <c r="EC90" s="965"/>
      <c r="ED90" s="965"/>
      <c r="EE90" s="965"/>
      <c r="EF90" s="965"/>
      <c r="EG90" s="965"/>
      <c r="EH90" s="965"/>
      <c r="EI90" s="965"/>
      <c r="EJ90" s="965"/>
      <c r="EK90" s="965"/>
      <c r="EL90" s="965"/>
      <c r="EM90" s="965"/>
      <c r="EN90" s="965"/>
      <c r="EO90" s="965"/>
      <c r="EP90" s="965"/>
      <c r="EQ90" s="965"/>
      <c r="ER90" s="965"/>
      <c r="ES90" s="965"/>
      <c r="ET90" s="965"/>
      <c r="EU90" s="965"/>
      <c r="EV90" s="965"/>
      <c r="EW90" s="965"/>
      <c r="EX90" s="965"/>
      <c r="EY90" s="965"/>
      <c r="EZ90" s="965"/>
      <c r="FA90" s="965"/>
      <c r="FB90" s="965"/>
      <c r="FC90" s="965"/>
      <c r="FD90" s="965"/>
      <c r="FE90" s="965"/>
      <c r="FF90" s="965"/>
      <c r="FG90" s="965"/>
      <c r="FH90" s="965"/>
      <c r="FI90" s="965"/>
      <c r="FJ90" s="965"/>
      <c r="FK90" s="965"/>
      <c r="FL90" s="965"/>
      <c r="FM90" s="965"/>
      <c r="FN90" s="965"/>
      <c r="FO90" s="965"/>
      <c r="FP90" s="965"/>
      <c r="FQ90" s="965"/>
      <c r="FR90" s="965"/>
      <c r="FS90" s="965"/>
      <c r="FT90" s="965"/>
      <c r="FU90" s="965"/>
      <c r="FV90" s="965"/>
      <c r="FW90" s="965"/>
      <c r="FX90" s="965"/>
      <c r="FY90" s="965"/>
      <c r="FZ90" s="965"/>
      <c r="GA90" s="965"/>
      <c r="GB90" s="965"/>
      <c r="GC90" s="965"/>
      <c r="GD90" s="965"/>
      <c r="GE90" s="965"/>
      <c r="GF90" s="965"/>
      <c r="GG90" s="965"/>
      <c r="GH90" s="965"/>
      <c r="GI90" s="965"/>
      <c r="GJ90" s="965"/>
      <c r="GK90" s="965"/>
      <c r="GL90" s="965"/>
      <c r="GM90" s="965"/>
      <c r="GN90" s="965"/>
      <c r="GO90" s="965"/>
      <c r="GP90" s="965"/>
      <c r="GQ90" s="965"/>
      <c r="GR90" s="965"/>
      <c r="GS90" s="965"/>
      <c r="GT90" s="965"/>
      <c r="GU90" s="965"/>
      <c r="GV90" s="965"/>
      <c r="GW90" s="965"/>
      <c r="GX90" s="965"/>
      <c r="GY90" s="965"/>
      <c r="GZ90" s="965"/>
      <c r="HA90" s="965"/>
      <c r="HB90" s="965"/>
      <c r="HC90" s="965"/>
      <c r="HD90" s="965"/>
      <c r="HE90" s="965"/>
      <c r="HF90" s="965"/>
      <c r="HG90" s="965"/>
      <c r="HH90" s="965"/>
      <c r="HI90" s="965"/>
      <c r="HJ90" s="965"/>
      <c r="HK90" s="965"/>
      <c r="HL90" s="965"/>
      <c r="HM90" s="965"/>
      <c r="HN90" s="965"/>
      <c r="HO90" s="965"/>
      <c r="HP90" s="965"/>
      <c r="HQ90" s="965"/>
      <c r="HR90" s="965"/>
      <c r="HS90" s="965"/>
      <c r="HT90" s="965"/>
      <c r="HU90" s="965"/>
      <c r="HV90" s="965"/>
      <c r="HW90" s="965"/>
      <c r="HX90" s="965"/>
      <c r="HY90" s="965"/>
      <c r="HZ90" s="965"/>
      <c r="IA90" s="965"/>
      <c r="IB90" s="965"/>
      <c r="IC90" s="965"/>
      <c r="ID90" s="965"/>
      <c r="IE90" s="965"/>
      <c r="IF90" s="965"/>
      <c r="IG90" s="965"/>
      <c r="IH90" s="965"/>
      <c r="II90" s="965"/>
    </row>
    <row r="91" spans="3:243">
      <c r="C91" s="965"/>
      <c r="D91" s="965"/>
      <c r="E91" s="965"/>
      <c r="F91" s="965"/>
      <c r="G91" s="965"/>
      <c r="H91" s="965"/>
      <c r="I91" s="965"/>
      <c r="J91" s="965"/>
      <c r="K91" s="965"/>
      <c r="L91" s="965"/>
      <c r="M91" s="965"/>
      <c r="N91" s="965"/>
      <c r="O91" s="965"/>
      <c r="P91" s="965"/>
      <c r="Q91" s="965"/>
      <c r="R91" s="965"/>
      <c r="S91" s="965"/>
      <c r="T91" s="965"/>
      <c r="U91" s="965"/>
      <c r="V91" s="965"/>
      <c r="W91" s="965"/>
      <c r="X91" s="965"/>
      <c r="Y91" s="965"/>
      <c r="Z91" s="965"/>
      <c r="AA91" s="965"/>
      <c r="AB91" s="965"/>
      <c r="AC91" s="965"/>
      <c r="AD91" s="965"/>
      <c r="AE91" s="965"/>
      <c r="AF91" s="965"/>
      <c r="AG91" s="965"/>
      <c r="AH91" s="965"/>
      <c r="AI91" s="965"/>
      <c r="AJ91" s="965"/>
      <c r="AK91" s="965"/>
      <c r="AL91" s="965"/>
      <c r="AM91" s="965"/>
      <c r="AN91" s="965"/>
      <c r="AO91" s="965"/>
      <c r="AP91" s="965"/>
      <c r="AQ91" s="965"/>
      <c r="AR91" s="965"/>
      <c r="AS91" s="965"/>
      <c r="AT91" s="965"/>
      <c r="AU91" s="965"/>
      <c r="AV91" s="965"/>
      <c r="AW91" s="965"/>
      <c r="AX91" s="965"/>
      <c r="AY91" s="965"/>
      <c r="AZ91" s="965"/>
      <c r="BA91" s="965"/>
      <c r="BB91" s="965"/>
      <c r="BC91" s="965"/>
      <c r="BD91" s="965"/>
      <c r="BE91" s="965"/>
      <c r="BF91" s="965"/>
      <c r="BG91" s="965"/>
      <c r="BH91" s="965"/>
      <c r="BI91" s="965"/>
      <c r="BJ91" s="965"/>
      <c r="BK91" s="965"/>
      <c r="BL91" s="965"/>
      <c r="BM91" s="965"/>
      <c r="BN91" s="965"/>
      <c r="BO91" s="965"/>
      <c r="BP91" s="965"/>
      <c r="BQ91" s="965"/>
      <c r="BR91" s="965"/>
      <c r="BS91" s="965"/>
      <c r="BT91" s="965"/>
      <c r="BU91" s="965"/>
      <c r="BV91" s="965"/>
      <c r="BW91" s="965"/>
      <c r="BX91" s="965"/>
      <c r="BY91" s="965"/>
      <c r="BZ91" s="965"/>
      <c r="CA91" s="965"/>
      <c r="CB91" s="965"/>
      <c r="CC91" s="965"/>
      <c r="CD91" s="965"/>
      <c r="CE91" s="965"/>
      <c r="CF91" s="965"/>
      <c r="CG91" s="965"/>
      <c r="CH91" s="965"/>
      <c r="CI91" s="965"/>
      <c r="CJ91" s="965"/>
      <c r="CK91" s="965"/>
      <c r="CL91" s="965"/>
      <c r="CM91" s="965"/>
      <c r="CN91" s="965"/>
      <c r="CO91" s="965"/>
      <c r="CP91" s="965"/>
      <c r="CQ91" s="965"/>
      <c r="CR91" s="965"/>
      <c r="CS91" s="965"/>
      <c r="CT91" s="965"/>
      <c r="CU91" s="965"/>
      <c r="CV91" s="965"/>
      <c r="CW91" s="965"/>
      <c r="CX91" s="965"/>
      <c r="CY91" s="965"/>
      <c r="CZ91" s="965"/>
      <c r="DA91" s="965"/>
      <c r="DB91" s="965"/>
      <c r="DC91" s="965"/>
      <c r="DD91" s="965"/>
      <c r="DE91" s="965"/>
      <c r="DF91" s="965"/>
      <c r="DG91" s="965"/>
      <c r="DH91" s="965"/>
      <c r="DI91" s="965"/>
      <c r="DJ91" s="965"/>
      <c r="DK91" s="965"/>
      <c r="DL91" s="965"/>
      <c r="DM91" s="965"/>
      <c r="DN91" s="965"/>
      <c r="DO91" s="965"/>
      <c r="DP91" s="965"/>
      <c r="DQ91" s="965"/>
      <c r="DR91" s="965"/>
      <c r="DS91" s="965"/>
      <c r="DT91" s="965"/>
      <c r="DU91" s="965"/>
      <c r="DV91" s="965"/>
      <c r="DW91" s="965"/>
      <c r="DX91" s="965"/>
      <c r="DY91" s="965"/>
      <c r="DZ91" s="965"/>
      <c r="EA91" s="965"/>
      <c r="EB91" s="965"/>
      <c r="EC91" s="965"/>
      <c r="ED91" s="965"/>
      <c r="EE91" s="965"/>
      <c r="EF91" s="965"/>
      <c r="EG91" s="965"/>
      <c r="EH91" s="965"/>
      <c r="EI91" s="965"/>
      <c r="EJ91" s="965"/>
      <c r="EK91" s="965"/>
      <c r="EL91" s="965"/>
      <c r="EM91" s="965"/>
      <c r="EN91" s="965"/>
      <c r="EO91" s="965"/>
      <c r="EP91" s="965"/>
      <c r="EQ91" s="965"/>
      <c r="ER91" s="965"/>
      <c r="ES91" s="965"/>
      <c r="ET91" s="965"/>
      <c r="EU91" s="965"/>
      <c r="EV91" s="965"/>
      <c r="EW91" s="965"/>
      <c r="EX91" s="965"/>
      <c r="EY91" s="965"/>
      <c r="EZ91" s="965"/>
      <c r="FA91" s="965"/>
      <c r="FB91" s="965"/>
      <c r="FC91" s="965"/>
      <c r="FD91" s="965"/>
      <c r="FE91" s="965"/>
      <c r="FF91" s="965"/>
      <c r="FG91" s="965"/>
      <c r="FH91" s="965"/>
      <c r="FI91" s="965"/>
      <c r="FJ91" s="965"/>
      <c r="FK91" s="965"/>
      <c r="FL91" s="965"/>
      <c r="FM91" s="965"/>
      <c r="FN91" s="965"/>
      <c r="FO91" s="965"/>
      <c r="FP91" s="965"/>
      <c r="FQ91" s="965"/>
      <c r="FR91" s="965"/>
      <c r="FS91" s="965"/>
      <c r="FT91" s="965"/>
      <c r="FU91" s="965"/>
      <c r="FV91" s="965"/>
      <c r="FW91" s="965"/>
      <c r="FX91" s="965"/>
      <c r="FY91" s="965"/>
      <c r="FZ91" s="965"/>
      <c r="GA91" s="965"/>
      <c r="GB91" s="965"/>
      <c r="GC91" s="965"/>
      <c r="GD91" s="965"/>
      <c r="GE91" s="965"/>
      <c r="GF91" s="965"/>
      <c r="GG91" s="965"/>
      <c r="GH91" s="965"/>
      <c r="GI91" s="965"/>
      <c r="GJ91" s="965"/>
      <c r="GK91" s="965"/>
      <c r="GL91" s="965"/>
      <c r="GM91" s="965"/>
      <c r="GN91" s="965"/>
      <c r="GO91" s="965"/>
      <c r="GP91" s="965"/>
      <c r="GQ91" s="965"/>
      <c r="GR91" s="965"/>
      <c r="GS91" s="965"/>
      <c r="GT91" s="965"/>
      <c r="GU91" s="965"/>
      <c r="GV91" s="965"/>
      <c r="GW91" s="965"/>
      <c r="GX91" s="965"/>
      <c r="GY91" s="965"/>
      <c r="GZ91" s="965"/>
      <c r="HA91" s="965"/>
      <c r="HB91" s="965"/>
      <c r="HC91" s="965"/>
      <c r="HD91" s="965"/>
      <c r="HE91" s="965"/>
      <c r="HF91" s="965"/>
      <c r="HG91" s="965"/>
      <c r="HH91" s="965"/>
      <c r="HI91" s="965"/>
      <c r="HJ91" s="965"/>
      <c r="HK91" s="965"/>
      <c r="HL91" s="965"/>
      <c r="HM91" s="965"/>
      <c r="HN91" s="965"/>
      <c r="HO91" s="965"/>
      <c r="HP91" s="965"/>
      <c r="HQ91" s="965"/>
      <c r="HR91" s="965"/>
      <c r="HS91" s="965"/>
      <c r="HT91" s="965"/>
      <c r="HU91" s="965"/>
      <c r="HV91" s="965"/>
      <c r="HW91" s="965"/>
      <c r="HX91" s="965"/>
      <c r="HY91" s="965"/>
      <c r="HZ91" s="965"/>
      <c r="IA91" s="965"/>
      <c r="IB91" s="965"/>
      <c r="IC91" s="965"/>
      <c r="ID91" s="965"/>
      <c r="IE91" s="965"/>
      <c r="IF91" s="965"/>
      <c r="IG91" s="965"/>
      <c r="IH91" s="965"/>
      <c r="II91" s="965"/>
    </row>
    <row r="92" spans="3:243">
      <c r="C92" s="965"/>
      <c r="D92" s="965"/>
      <c r="E92" s="965"/>
      <c r="F92" s="965"/>
      <c r="G92" s="965"/>
      <c r="H92" s="965"/>
      <c r="I92" s="965"/>
      <c r="J92" s="965"/>
      <c r="K92" s="965"/>
      <c r="L92" s="965"/>
      <c r="M92" s="965"/>
      <c r="N92" s="965"/>
      <c r="O92" s="965"/>
      <c r="P92" s="965"/>
      <c r="Q92" s="965"/>
      <c r="R92" s="965"/>
      <c r="S92" s="965"/>
      <c r="T92" s="965"/>
      <c r="U92" s="965"/>
      <c r="V92" s="965"/>
      <c r="W92" s="965"/>
      <c r="X92" s="965"/>
      <c r="Y92" s="965"/>
      <c r="Z92" s="965"/>
      <c r="AA92" s="965"/>
      <c r="AB92" s="965"/>
      <c r="AC92" s="965"/>
      <c r="AD92" s="965"/>
      <c r="AE92" s="965"/>
      <c r="AF92" s="965"/>
      <c r="AG92" s="965"/>
      <c r="AH92" s="965"/>
      <c r="AI92" s="965"/>
      <c r="AJ92" s="965"/>
      <c r="AK92" s="965"/>
      <c r="AL92" s="965"/>
      <c r="AM92" s="965"/>
      <c r="AN92" s="965"/>
      <c r="AO92" s="965"/>
      <c r="AP92" s="965"/>
      <c r="AQ92" s="965"/>
      <c r="AR92" s="965"/>
      <c r="AS92" s="965"/>
      <c r="AT92" s="965"/>
      <c r="AU92" s="965"/>
      <c r="AV92" s="965"/>
      <c r="AW92" s="965"/>
      <c r="AX92" s="965"/>
      <c r="AY92" s="965"/>
      <c r="AZ92" s="965"/>
      <c r="BA92" s="965"/>
      <c r="BB92" s="965"/>
      <c r="BC92" s="965"/>
      <c r="BD92" s="965"/>
      <c r="BE92" s="965"/>
      <c r="BF92" s="965"/>
      <c r="BG92" s="965"/>
      <c r="BH92" s="965"/>
      <c r="BI92" s="965"/>
      <c r="BJ92" s="965"/>
      <c r="BK92" s="965"/>
      <c r="BL92" s="965"/>
      <c r="BM92" s="965"/>
      <c r="BN92" s="965"/>
      <c r="BO92" s="965"/>
      <c r="BP92" s="965"/>
      <c r="BQ92" s="965"/>
      <c r="BR92" s="965"/>
      <c r="BS92" s="965"/>
      <c r="BT92" s="965"/>
      <c r="BU92" s="965"/>
      <c r="BV92" s="965"/>
      <c r="BW92" s="965"/>
      <c r="BX92" s="965"/>
      <c r="BY92" s="965"/>
      <c r="BZ92" s="965"/>
      <c r="CA92" s="965"/>
      <c r="CB92" s="965"/>
      <c r="CC92" s="965"/>
      <c r="CD92" s="965"/>
      <c r="CE92" s="965"/>
      <c r="CF92" s="965"/>
      <c r="CG92" s="965"/>
      <c r="CH92" s="965"/>
      <c r="CI92" s="965"/>
      <c r="CJ92" s="965"/>
      <c r="CK92" s="965"/>
      <c r="CL92" s="965"/>
      <c r="CM92" s="965"/>
      <c r="CN92" s="965"/>
      <c r="CO92" s="965"/>
      <c r="CP92" s="965"/>
      <c r="CQ92" s="965"/>
      <c r="CR92" s="965"/>
      <c r="CS92" s="965"/>
      <c r="CT92" s="965"/>
      <c r="CU92" s="965"/>
      <c r="CV92" s="965"/>
      <c r="CW92" s="965"/>
      <c r="CX92" s="965"/>
      <c r="CY92" s="965"/>
      <c r="CZ92" s="965"/>
      <c r="DA92" s="965"/>
      <c r="DB92" s="965"/>
      <c r="DC92" s="965"/>
      <c r="DD92" s="965"/>
      <c r="DE92" s="965"/>
      <c r="DF92" s="965"/>
      <c r="DG92" s="965"/>
      <c r="DH92" s="965"/>
      <c r="DI92" s="965"/>
      <c r="DJ92" s="965"/>
      <c r="DK92" s="965"/>
      <c r="DL92" s="965"/>
      <c r="DM92" s="965"/>
      <c r="DN92" s="965"/>
      <c r="DO92" s="965"/>
      <c r="DP92" s="965"/>
      <c r="DQ92" s="965"/>
      <c r="DR92" s="965"/>
      <c r="DS92" s="965"/>
      <c r="DT92" s="965"/>
      <c r="DU92" s="965"/>
      <c r="DV92" s="965"/>
      <c r="DW92" s="965"/>
      <c r="DX92" s="965"/>
      <c r="DY92" s="965"/>
      <c r="DZ92" s="965"/>
      <c r="EA92" s="965"/>
      <c r="EB92" s="965"/>
      <c r="EC92" s="965"/>
      <c r="ED92" s="965"/>
      <c r="EE92" s="965"/>
      <c r="EF92" s="965"/>
      <c r="EG92" s="965"/>
      <c r="EH92" s="965"/>
      <c r="EI92" s="965"/>
      <c r="EJ92" s="965"/>
      <c r="EK92" s="965"/>
      <c r="EL92" s="965"/>
      <c r="EM92" s="965"/>
      <c r="EN92" s="965"/>
      <c r="EO92" s="965"/>
      <c r="EP92" s="965"/>
      <c r="EQ92" s="965"/>
      <c r="ER92" s="965"/>
      <c r="ES92" s="965"/>
      <c r="ET92" s="965"/>
      <c r="EU92" s="965"/>
      <c r="EV92" s="965"/>
      <c r="EW92" s="965"/>
      <c r="EX92" s="965"/>
      <c r="EY92" s="965"/>
      <c r="EZ92" s="965"/>
      <c r="FA92" s="965"/>
      <c r="FB92" s="965"/>
      <c r="FC92" s="965"/>
      <c r="FD92" s="965"/>
      <c r="FE92" s="965"/>
      <c r="FF92" s="965"/>
      <c r="FG92" s="965"/>
      <c r="FH92" s="965"/>
      <c r="FI92" s="965"/>
      <c r="FJ92" s="965"/>
      <c r="FK92" s="965"/>
      <c r="FL92" s="965"/>
      <c r="FM92" s="965"/>
      <c r="FN92" s="965"/>
      <c r="FO92" s="965"/>
      <c r="FP92" s="965"/>
      <c r="FQ92" s="965"/>
      <c r="FR92" s="965"/>
      <c r="FS92" s="965"/>
      <c r="FT92" s="965"/>
      <c r="FU92" s="965"/>
      <c r="FV92" s="965"/>
      <c r="FW92" s="965"/>
      <c r="FX92" s="965"/>
      <c r="FY92" s="965"/>
      <c r="FZ92" s="965"/>
      <c r="GA92" s="965"/>
      <c r="GB92" s="965"/>
      <c r="GC92" s="965"/>
      <c r="GD92" s="965"/>
      <c r="GE92" s="965"/>
      <c r="GF92" s="965"/>
      <c r="GG92" s="965"/>
      <c r="GH92" s="965"/>
      <c r="GI92" s="965"/>
      <c r="GJ92" s="965"/>
      <c r="GK92" s="965"/>
      <c r="GL92" s="965"/>
      <c r="GM92" s="965"/>
      <c r="GN92" s="965"/>
      <c r="GO92" s="965"/>
      <c r="GP92" s="965"/>
      <c r="GQ92" s="965"/>
      <c r="GR92" s="965"/>
      <c r="GS92" s="965"/>
      <c r="GT92" s="965"/>
      <c r="GU92" s="965"/>
      <c r="GV92" s="965"/>
      <c r="GW92" s="965"/>
      <c r="GX92" s="965"/>
      <c r="GY92" s="965"/>
      <c r="GZ92" s="965"/>
      <c r="HA92" s="965"/>
      <c r="HB92" s="965"/>
      <c r="HC92" s="965"/>
      <c r="HD92" s="965"/>
      <c r="HE92" s="965"/>
      <c r="HF92" s="965"/>
      <c r="HG92" s="965"/>
      <c r="HH92" s="965"/>
      <c r="HI92" s="965"/>
      <c r="HJ92" s="965"/>
      <c r="HK92" s="965"/>
      <c r="HL92" s="965"/>
      <c r="HM92" s="965"/>
      <c r="HN92" s="965"/>
      <c r="HO92" s="965"/>
      <c r="HP92" s="965"/>
      <c r="HQ92" s="965"/>
      <c r="HR92" s="965"/>
      <c r="HS92" s="965"/>
      <c r="HT92" s="965"/>
      <c r="HU92" s="965"/>
      <c r="HV92" s="965"/>
      <c r="HW92" s="965"/>
      <c r="HX92" s="965"/>
      <c r="HY92" s="965"/>
      <c r="HZ92" s="965"/>
      <c r="IA92" s="965"/>
      <c r="IB92" s="965"/>
      <c r="IC92" s="965"/>
      <c r="ID92" s="965"/>
      <c r="IE92" s="965"/>
      <c r="IF92" s="965"/>
      <c r="IG92" s="965"/>
      <c r="IH92" s="965"/>
      <c r="II92" s="965"/>
    </row>
    <row r="93" spans="3:243">
      <c r="C93" s="965"/>
      <c r="D93" s="965"/>
      <c r="E93" s="965"/>
      <c r="F93" s="965"/>
      <c r="G93" s="965"/>
      <c r="H93" s="965"/>
      <c r="I93" s="965"/>
      <c r="J93" s="965"/>
      <c r="K93" s="965"/>
      <c r="L93" s="965"/>
      <c r="M93" s="965"/>
      <c r="N93" s="965"/>
      <c r="O93" s="965"/>
      <c r="P93" s="965"/>
      <c r="Q93" s="965"/>
      <c r="R93" s="965"/>
      <c r="S93" s="965"/>
      <c r="T93" s="965"/>
      <c r="U93" s="965"/>
      <c r="V93" s="965"/>
      <c r="W93" s="965"/>
      <c r="X93" s="965"/>
      <c r="Y93" s="965"/>
      <c r="Z93" s="965"/>
      <c r="AA93" s="965"/>
      <c r="AB93" s="965"/>
      <c r="AC93" s="965"/>
      <c r="AD93" s="965"/>
      <c r="AE93" s="965"/>
      <c r="AF93" s="965"/>
      <c r="AG93" s="965"/>
      <c r="AH93" s="965"/>
      <c r="AI93" s="965"/>
      <c r="AJ93" s="965"/>
      <c r="AK93" s="965"/>
      <c r="AL93" s="965"/>
      <c r="AM93" s="965"/>
      <c r="AN93" s="965"/>
      <c r="AO93" s="965"/>
      <c r="AP93" s="965"/>
      <c r="AQ93" s="965"/>
      <c r="AR93" s="965"/>
      <c r="AS93" s="965"/>
      <c r="AT93" s="965"/>
      <c r="AU93" s="965"/>
      <c r="AV93" s="965"/>
      <c r="AW93" s="965"/>
      <c r="AX93" s="965"/>
      <c r="AY93" s="965"/>
      <c r="AZ93" s="965"/>
      <c r="BA93" s="965"/>
      <c r="BB93" s="965"/>
      <c r="BC93" s="965"/>
      <c r="BD93" s="965"/>
      <c r="BE93" s="965"/>
      <c r="BF93" s="965"/>
      <c r="BG93" s="965"/>
      <c r="BH93" s="965"/>
      <c r="BI93" s="965"/>
      <c r="BJ93" s="965"/>
      <c r="BK93" s="965"/>
      <c r="BL93" s="965"/>
      <c r="BM93" s="965"/>
      <c r="BN93" s="965"/>
      <c r="BO93" s="965"/>
      <c r="BP93" s="965"/>
      <c r="BQ93" s="965"/>
      <c r="BR93" s="965"/>
      <c r="BS93" s="965"/>
      <c r="BT93" s="965"/>
      <c r="BU93" s="965"/>
      <c r="BV93" s="965"/>
      <c r="BW93" s="965"/>
      <c r="BX93" s="965"/>
      <c r="BY93" s="965"/>
      <c r="BZ93" s="965"/>
      <c r="CA93" s="965"/>
      <c r="CB93" s="965"/>
      <c r="CC93" s="965"/>
      <c r="CD93" s="965"/>
      <c r="CE93" s="965"/>
      <c r="CF93" s="965"/>
      <c r="CG93" s="965"/>
      <c r="CH93" s="965"/>
      <c r="CI93" s="965"/>
      <c r="CJ93" s="965"/>
      <c r="CK93" s="965"/>
      <c r="CL93" s="965"/>
      <c r="CM93" s="965"/>
      <c r="CN93" s="965"/>
      <c r="CO93" s="965"/>
      <c r="CP93" s="965"/>
      <c r="CQ93" s="965"/>
      <c r="CR93" s="965"/>
      <c r="CS93" s="965"/>
      <c r="CT93" s="965"/>
      <c r="CU93" s="965"/>
      <c r="CV93" s="965"/>
      <c r="CW93" s="965"/>
      <c r="CX93" s="965"/>
      <c r="CY93" s="965"/>
      <c r="CZ93" s="965"/>
      <c r="DA93" s="965"/>
      <c r="DB93" s="965"/>
      <c r="DC93" s="965"/>
      <c r="DD93" s="965"/>
      <c r="DE93" s="965"/>
      <c r="DF93" s="965"/>
      <c r="DG93" s="965"/>
      <c r="DH93" s="965"/>
      <c r="DI93" s="965"/>
      <c r="DJ93" s="965"/>
      <c r="DK93" s="965"/>
      <c r="DL93" s="965"/>
      <c r="DM93" s="965"/>
      <c r="DN93" s="965"/>
      <c r="DO93" s="965"/>
      <c r="DP93" s="965"/>
      <c r="DQ93" s="965"/>
      <c r="DR93" s="965"/>
      <c r="DS93" s="965"/>
      <c r="DT93" s="965"/>
      <c r="DU93" s="965"/>
      <c r="DV93" s="965"/>
      <c r="DW93" s="965"/>
      <c r="DX93" s="965"/>
      <c r="DY93" s="965"/>
      <c r="DZ93" s="965"/>
      <c r="EA93" s="965"/>
      <c r="EB93" s="965"/>
      <c r="EC93" s="965"/>
      <c r="ED93" s="965"/>
      <c r="EE93" s="965"/>
      <c r="EF93" s="965"/>
      <c r="EG93" s="965"/>
      <c r="EH93" s="965"/>
      <c r="EI93" s="965"/>
      <c r="EJ93" s="965"/>
      <c r="EK93" s="965"/>
      <c r="EL93" s="965"/>
      <c r="EM93" s="965"/>
      <c r="EN93" s="965"/>
      <c r="EO93" s="965"/>
      <c r="EP93" s="965"/>
      <c r="EQ93" s="965"/>
      <c r="ER93" s="965"/>
      <c r="ES93" s="965"/>
      <c r="ET93" s="965"/>
      <c r="EU93" s="965"/>
      <c r="EV93" s="965"/>
      <c r="EW93" s="965"/>
      <c r="EX93" s="965"/>
      <c r="EY93" s="965"/>
      <c r="EZ93" s="965"/>
      <c r="FA93" s="965"/>
      <c r="FB93" s="965"/>
      <c r="FC93" s="965"/>
      <c r="FD93" s="965"/>
      <c r="FE93" s="965"/>
      <c r="FF93" s="965"/>
      <c r="FG93" s="965"/>
      <c r="FH93" s="965"/>
      <c r="FI93" s="965"/>
      <c r="FJ93" s="965"/>
      <c r="FK93" s="965"/>
      <c r="FL93" s="965"/>
      <c r="FM93" s="965"/>
      <c r="FN93" s="965"/>
      <c r="FO93" s="965"/>
      <c r="FP93" s="965"/>
      <c r="FQ93" s="965"/>
      <c r="FR93" s="965"/>
      <c r="FS93" s="965"/>
      <c r="FT93" s="965"/>
      <c r="FU93" s="965"/>
      <c r="FV93" s="965"/>
      <c r="FW93" s="965"/>
      <c r="FX93" s="965"/>
      <c r="FY93" s="965"/>
      <c r="FZ93" s="965"/>
      <c r="GA93" s="965"/>
      <c r="GB93" s="965"/>
      <c r="GC93" s="965"/>
      <c r="GD93" s="965"/>
      <c r="GE93" s="965"/>
      <c r="GF93" s="965"/>
      <c r="GG93" s="965"/>
      <c r="GH93" s="965"/>
      <c r="GI93" s="965"/>
      <c r="GJ93" s="965"/>
      <c r="GK93" s="965"/>
      <c r="GL93" s="965"/>
      <c r="GM93" s="965"/>
      <c r="GN93" s="965"/>
      <c r="GO93" s="965"/>
      <c r="GP93" s="965"/>
      <c r="GQ93" s="965"/>
      <c r="GR93" s="965"/>
      <c r="GS93" s="965"/>
      <c r="GT93" s="965"/>
      <c r="GU93" s="965"/>
      <c r="GV93" s="965"/>
      <c r="GW93" s="965"/>
      <c r="GX93" s="965"/>
      <c r="GY93" s="965"/>
      <c r="GZ93" s="965"/>
      <c r="HA93" s="965"/>
      <c r="HB93" s="965"/>
      <c r="HC93" s="965"/>
      <c r="HD93" s="965"/>
      <c r="HE93" s="965"/>
      <c r="HF93" s="965"/>
      <c r="HG93" s="965"/>
      <c r="HH93" s="965"/>
      <c r="HI93" s="965"/>
      <c r="HJ93" s="965"/>
      <c r="HK93" s="965"/>
      <c r="HL93" s="965"/>
      <c r="HM93" s="965"/>
      <c r="HN93" s="965"/>
      <c r="HO93" s="965"/>
      <c r="HP93" s="965"/>
      <c r="HQ93" s="965"/>
      <c r="HR93" s="965"/>
      <c r="HS93" s="965"/>
      <c r="HT93" s="965"/>
      <c r="HU93" s="965"/>
      <c r="HV93" s="965"/>
      <c r="HW93" s="965"/>
      <c r="HX93" s="965"/>
      <c r="HY93" s="965"/>
      <c r="HZ93" s="965"/>
      <c r="IA93" s="965"/>
      <c r="IB93" s="965"/>
      <c r="IC93" s="965"/>
      <c r="ID93" s="965"/>
      <c r="IE93" s="965"/>
      <c r="IF93" s="965"/>
      <c r="IG93" s="965"/>
      <c r="IH93" s="965"/>
      <c r="II93" s="965"/>
    </row>
    <row r="94" spans="3:243">
      <c r="C94" s="965"/>
      <c r="D94" s="965"/>
      <c r="E94" s="965"/>
      <c r="F94" s="965"/>
      <c r="G94" s="965"/>
      <c r="H94" s="965"/>
      <c r="I94" s="965"/>
      <c r="J94" s="965"/>
      <c r="K94" s="965"/>
      <c r="L94" s="965"/>
      <c r="M94" s="965"/>
      <c r="N94" s="965"/>
      <c r="O94" s="965"/>
      <c r="P94" s="965"/>
      <c r="Q94" s="965"/>
      <c r="R94" s="965"/>
      <c r="S94" s="965"/>
      <c r="T94" s="965"/>
      <c r="U94" s="965"/>
      <c r="V94" s="965"/>
      <c r="W94" s="965"/>
      <c r="X94" s="965"/>
      <c r="Y94" s="965"/>
      <c r="Z94" s="965"/>
      <c r="AA94" s="965"/>
      <c r="AB94" s="965"/>
      <c r="AC94" s="965"/>
      <c r="AD94" s="965"/>
      <c r="AE94" s="965"/>
      <c r="AF94" s="965"/>
      <c r="AG94" s="965"/>
      <c r="AH94" s="965"/>
      <c r="AI94" s="965"/>
      <c r="AJ94" s="965"/>
      <c r="AK94" s="965"/>
      <c r="AL94" s="965"/>
      <c r="AM94" s="965"/>
      <c r="AN94" s="965"/>
      <c r="AO94" s="965"/>
      <c r="AP94" s="965"/>
      <c r="AQ94" s="965"/>
      <c r="AR94" s="965"/>
      <c r="AS94" s="965"/>
      <c r="AT94" s="965"/>
      <c r="AU94" s="965"/>
      <c r="AV94" s="965"/>
      <c r="AW94" s="965"/>
      <c r="AX94" s="965"/>
      <c r="AY94" s="965"/>
      <c r="AZ94" s="965"/>
      <c r="BA94" s="965"/>
      <c r="BB94" s="965"/>
      <c r="BC94" s="965"/>
      <c r="BD94" s="965"/>
      <c r="BE94" s="965"/>
      <c r="BF94" s="965"/>
      <c r="BG94" s="965"/>
      <c r="BH94" s="965"/>
      <c r="BI94" s="965"/>
      <c r="BJ94" s="965"/>
      <c r="BK94" s="965"/>
      <c r="BL94" s="965"/>
      <c r="BM94" s="965"/>
      <c r="BN94" s="965"/>
      <c r="BO94" s="965"/>
      <c r="BP94" s="965"/>
      <c r="BQ94" s="965"/>
      <c r="BR94" s="965"/>
      <c r="BS94" s="965"/>
      <c r="BT94" s="965"/>
      <c r="BU94" s="965"/>
      <c r="BV94" s="965"/>
      <c r="BW94" s="965"/>
      <c r="BX94" s="965"/>
      <c r="BY94" s="965"/>
      <c r="BZ94" s="965"/>
      <c r="CA94" s="965"/>
      <c r="CB94" s="965"/>
      <c r="CC94" s="965"/>
      <c r="CD94" s="965"/>
      <c r="CE94" s="965"/>
      <c r="CF94" s="965"/>
      <c r="CG94" s="965"/>
      <c r="CH94" s="965"/>
      <c r="CI94" s="965"/>
      <c r="CJ94" s="965"/>
      <c r="CK94" s="965"/>
      <c r="CL94" s="965"/>
      <c r="CM94" s="965"/>
      <c r="CN94" s="965"/>
      <c r="CO94" s="965"/>
      <c r="CP94" s="965"/>
      <c r="CQ94" s="965"/>
      <c r="CR94" s="965"/>
      <c r="CS94" s="965"/>
      <c r="CT94" s="965"/>
      <c r="CU94" s="965"/>
      <c r="CV94" s="965"/>
      <c r="CW94" s="965"/>
      <c r="CX94" s="965"/>
      <c r="CY94" s="965"/>
      <c r="CZ94" s="965"/>
      <c r="DA94" s="965"/>
      <c r="DB94" s="965"/>
      <c r="DC94" s="965"/>
      <c r="DD94" s="965"/>
      <c r="DE94" s="965"/>
      <c r="DF94" s="965"/>
      <c r="DG94" s="965"/>
      <c r="DH94" s="965"/>
      <c r="DI94" s="965"/>
      <c r="DJ94" s="965"/>
      <c r="DK94" s="965"/>
      <c r="DL94" s="965"/>
      <c r="DM94" s="965"/>
      <c r="DN94" s="965"/>
      <c r="DO94" s="965"/>
      <c r="DP94" s="965"/>
      <c r="DQ94" s="965"/>
      <c r="DR94" s="965"/>
      <c r="DS94" s="965"/>
      <c r="DT94" s="965"/>
      <c r="DU94" s="965"/>
      <c r="DV94" s="965"/>
      <c r="DW94" s="965"/>
      <c r="DX94" s="965"/>
      <c r="DY94" s="965"/>
      <c r="DZ94" s="965"/>
      <c r="EA94" s="965"/>
      <c r="EB94" s="965"/>
      <c r="EC94" s="965"/>
      <c r="ED94" s="965"/>
      <c r="EE94" s="965"/>
      <c r="EF94" s="965"/>
      <c r="EG94" s="965"/>
      <c r="EH94" s="965"/>
      <c r="EI94" s="965"/>
      <c r="EJ94" s="965"/>
      <c r="EK94" s="965"/>
      <c r="EL94" s="965"/>
      <c r="EM94" s="965"/>
      <c r="EN94" s="965"/>
      <c r="EO94" s="965"/>
      <c r="EP94" s="965"/>
      <c r="EQ94" s="965"/>
      <c r="ER94" s="965"/>
      <c r="ES94" s="965"/>
      <c r="ET94" s="965"/>
      <c r="EU94" s="965"/>
      <c r="EV94" s="965"/>
      <c r="EW94" s="965"/>
      <c r="EX94" s="965"/>
      <c r="EY94" s="965"/>
      <c r="EZ94" s="965"/>
      <c r="FA94" s="965"/>
      <c r="FB94" s="965"/>
      <c r="FC94" s="965"/>
      <c r="FD94" s="965"/>
      <c r="FE94" s="965"/>
      <c r="FF94" s="965"/>
      <c r="FG94" s="965"/>
      <c r="FH94" s="965"/>
      <c r="FI94" s="965"/>
      <c r="FJ94" s="965"/>
      <c r="FK94" s="965"/>
      <c r="FL94" s="965"/>
      <c r="FM94" s="965"/>
      <c r="FN94" s="965"/>
      <c r="FO94" s="965"/>
      <c r="FP94" s="965"/>
      <c r="FQ94" s="965"/>
      <c r="FR94" s="965"/>
      <c r="FS94" s="965"/>
      <c r="FT94" s="965"/>
      <c r="FU94" s="965"/>
      <c r="FV94" s="965"/>
      <c r="FW94" s="965"/>
      <c r="FX94" s="965"/>
      <c r="FY94" s="965"/>
      <c r="FZ94" s="965"/>
      <c r="GA94" s="965"/>
      <c r="GB94" s="965"/>
      <c r="GC94" s="965"/>
      <c r="GD94" s="965"/>
      <c r="GE94" s="965"/>
      <c r="GF94" s="965"/>
      <c r="GG94" s="965"/>
      <c r="GH94" s="965"/>
      <c r="GI94" s="965"/>
      <c r="GJ94" s="965"/>
      <c r="GK94" s="965"/>
      <c r="GL94" s="965"/>
      <c r="GM94" s="965"/>
      <c r="GN94" s="965"/>
      <c r="GO94" s="965"/>
      <c r="GP94" s="965"/>
      <c r="GQ94" s="965"/>
      <c r="GR94" s="965"/>
      <c r="GS94" s="965"/>
      <c r="GT94" s="965"/>
      <c r="GU94" s="965"/>
      <c r="GV94" s="965"/>
      <c r="GW94" s="965"/>
      <c r="GX94" s="965"/>
      <c r="GY94" s="965"/>
      <c r="GZ94" s="965"/>
      <c r="HA94" s="965"/>
      <c r="HB94" s="965"/>
      <c r="HC94" s="965"/>
      <c r="HD94" s="965"/>
      <c r="HE94" s="965"/>
      <c r="HF94" s="965"/>
      <c r="HG94" s="965"/>
      <c r="HH94" s="965"/>
      <c r="HI94" s="965"/>
      <c r="HJ94" s="965"/>
      <c r="HK94" s="965"/>
      <c r="HL94" s="965"/>
      <c r="HM94" s="965"/>
      <c r="HN94" s="965"/>
      <c r="HO94" s="965"/>
      <c r="HP94" s="965"/>
      <c r="HQ94" s="965"/>
      <c r="HR94" s="965"/>
      <c r="HS94" s="965"/>
      <c r="HT94" s="965"/>
      <c r="HU94" s="965"/>
      <c r="HV94" s="965"/>
      <c r="HW94" s="965"/>
      <c r="HX94" s="965"/>
      <c r="HY94" s="965"/>
      <c r="HZ94" s="965"/>
      <c r="IA94" s="965"/>
      <c r="IB94" s="965"/>
      <c r="IC94" s="965"/>
      <c r="ID94" s="965"/>
      <c r="IE94" s="965"/>
      <c r="IF94" s="965"/>
      <c r="IG94" s="965"/>
      <c r="IH94" s="965"/>
      <c r="II94" s="965"/>
    </row>
    <row r="95" spans="3:243">
      <c r="C95" s="965"/>
      <c r="D95" s="965"/>
      <c r="E95" s="965"/>
      <c r="F95" s="965"/>
      <c r="G95" s="965"/>
      <c r="H95" s="965"/>
      <c r="I95" s="965"/>
      <c r="J95" s="965"/>
      <c r="K95" s="965"/>
      <c r="L95" s="965"/>
      <c r="M95" s="965"/>
      <c r="N95" s="965"/>
      <c r="O95" s="965"/>
      <c r="P95" s="965"/>
      <c r="Q95" s="965"/>
      <c r="R95" s="965"/>
      <c r="S95" s="965"/>
      <c r="T95" s="965"/>
      <c r="U95" s="965"/>
      <c r="V95" s="965"/>
      <c r="W95" s="965"/>
      <c r="X95" s="965"/>
      <c r="Y95" s="965"/>
      <c r="Z95" s="965"/>
      <c r="AA95" s="965"/>
      <c r="AB95" s="965"/>
      <c r="AC95" s="965"/>
      <c r="AD95" s="965"/>
      <c r="AE95" s="965"/>
      <c r="AF95" s="965"/>
      <c r="AG95" s="965"/>
      <c r="AH95" s="965"/>
      <c r="AI95" s="965"/>
      <c r="AJ95" s="965"/>
      <c r="AK95" s="965"/>
      <c r="AL95" s="965"/>
      <c r="AM95" s="965"/>
      <c r="AN95" s="965"/>
      <c r="AO95" s="965"/>
      <c r="AP95" s="965"/>
      <c r="AQ95" s="965"/>
      <c r="AR95" s="965"/>
      <c r="AS95" s="965"/>
      <c r="AT95" s="965"/>
      <c r="AU95" s="965"/>
      <c r="AV95" s="965"/>
      <c r="AW95" s="965"/>
      <c r="AX95" s="965"/>
      <c r="AY95" s="965"/>
      <c r="AZ95" s="965"/>
      <c r="BA95" s="965"/>
      <c r="BB95" s="965"/>
      <c r="BC95" s="965"/>
      <c r="BD95" s="965"/>
      <c r="BE95" s="965"/>
      <c r="BF95" s="965"/>
      <c r="BG95" s="965"/>
      <c r="BH95" s="965"/>
      <c r="BI95" s="965"/>
      <c r="BJ95" s="965"/>
      <c r="BK95" s="965"/>
      <c r="BL95" s="965"/>
      <c r="BM95" s="965"/>
      <c r="BN95" s="965"/>
      <c r="BO95" s="965"/>
      <c r="BP95" s="965"/>
      <c r="BQ95" s="965"/>
      <c r="BR95" s="965"/>
      <c r="BS95" s="965"/>
      <c r="BT95" s="965"/>
      <c r="BU95" s="965"/>
      <c r="BV95" s="965"/>
      <c r="BW95" s="965"/>
      <c r="BX95" s="965"/>
      <c r="BY95" s="965"/>
      <c r="BZ95" s="965"/>
      <c r="CA95" s="965"/>
      <c r="CB95" s="965"/>
      <c r="CC95" s="965"/>
      <c r="CD95" s="965"/>
      <c r="CE95" s="965"/>
      <c r="CF95" s="965"/>
      <c r="CG95" s="965"/>
      <c r="CH95" s="965"/>
      <c r="CI95" s="965"/>
      <c r="CJ95" s="965"/>
      <c r="CK95" s="965"/>
      <c r="CL95" s="965"/>
      <c r="CM95" s="965"/>
      <c r="CN95" s="965"/>
      <c r="CO95" s="965"/>
      <c r="CP95" s="965"/>
      <c r="CQ95" s="965"/>
      <c r="CR95" s="965"/>
      <c r="CS95" s="965"/>
      <c r="CT95" s="965"/>
      <c r="CU95" s="965"/>
      <c r="CV95" s="965"/>
      <c r="CW95" s="965"/>
      <c r="CX95" s="965"/>
      <c r="CY95" s="965"/>
      <c r="CZ95" s="965"/>
      <c r="DA95" s="965"/>
      <c r="DB95" s="965"/>
      <c r="DC95" s="965"/>
      <c r="DD95" s="965"/>
      <c r="DE95" s="965"/>
      <c r="DF95" s="965"/>
      <c r="DG95" s="965"/>
      <c r="DH95" s="965"/>
      <c r="DI95" s="965"/>
      <c r="DJ95" s="965"/>
      <c r="DK95" s="965"/>
      <c r="DL95" s="965"/>
      <c r="DM95" s="965"/>
      <c r="DN95" s="965"/>
      <c r="DO95" s="965"/>
      <c r="DP95" s="965"/>
      <c r="DQ95" s="965"/>
      <c r="DR95" s="965"/>
      <c r="DS95" s="965"/>
      <c r="DT95" s="965"/>
      <c r="DU95" s="965"/>
      <c r="DV95" s="965"/>
      <c r="DW95" s="965"/>
      <c r="DX95" s="965"/>
      <c r="DY95" s="965"/>
      <c r="DZ95" s="965"/>
      <c r="EA95" s="965"/>
      <c r="EB95" s="965"/>
      <c r="EC95" s="965"/>
      <c r="ED95" s="965"/>
      <c r="EE95" s="965"/>
      <c r="EF95" s="965"/>
      <c r="EG95" s="965"/>
      <c r="EH95" s="965"/>
      <c r="EI95" s="965"/>
      <c r="EJ95" s="965"/>
      <c r="EK95" s="965"/>
      <c r="EL95" s="965"/>
      <c r="EM95" s="965"/>
      <c r="EN95" s="965"/>
      <c r="EO95" s="965"/>
      <c r="EP95" s="965"/>
      <c r="EQ95" s="965"/>
      <c r="ER95" s="965"/>
      <c r="ES95" s="965"/>
      <c r="ET95" s="965"/>
      <c r="EU95" s="965"/>
      <c r="EV95" s="965"/>
      <c r="EW95" s="965"/>
      <c r="EX95" s="965"/>
      <c r="EY95" s="965"/>
      <c r="EZ95" s="965"/>
      <c r="FA95" s="965"/>
      <c r="FB95" s="965"/>
      <c r="FC95" s="965"/>
      <c r="FD95" s="965"/>
      <c r="FE95" s="965"/>
      <c r="FF95" s="965"/>
      <c r="FG95" s="965"/>
      <c r="FH95" s="965"/>
      <c r="FI95" s="965"/>
      <c r="FJ95" s="965"/>
      <c r="FK95" s="965"/>
      <c r="FL95" s="965"/>
      <c r="FM95" s="965"/>
      <c r="FN95" s="965"/>
      <c r="FO95" s="965"/>
      <c r="FP95" s="965"/>
      <c r="FQ95" s="965"/>
      <c r="FR95" s="965"/>
      <c r="FS95" s="965"/>
      <c r="FT95" s="965"/>
      <c r="FU95" s="965"/>
      <c r="FV95" s="965"/>
      <c r="FW95" s="965"/>
      <c r="FX95" s="965"/>
      <c r="FY95" s="965"/>
      <c r="FZ95" s="965"/>
      <c r="GA95" s="965"/>
      <c r="GB95" s="965"/>
      <c r="GC95" s="965"/>
      <c r="GD95" s="965"/>
      <c r="GE95" s="965"/>
      <c r="GF95" s="965"/>
      <c r="GG95" s="965"/>
      <c r="GH95" s="965"/>
      <c r="GI95" s="965"/>
      <c r="GJ95" s="965"/>
      <c r="GK95" s="965"/>
      <c r="GL95" s="965"/>
      <c r="GM95" s="965"/>
      <c r="GN95" s="965"/>
      <c r="GO95" s="965"/>
      <c r="GP95" s="965"/>
      <c r="GQ95" s="965"/>
      <c r="GR95" s="965"/>
      <c r="GS95" s="965"/>
      <c r="GT95" s="965"/>
      <c r="GU95" s="965"/>
      <c r="GV95" s="965"/>
      <c r="GW95" s="965"/>
      <c r="GX95" s="965"/>
      <c r="GY95" s="965"/>
      <c r="GZ95" s="965"/>
      <c r="HA95" s="965"/>
      <c r="HB95" s="965"/>
      <c r="HC95" s="965"/>
      <c r="HD95" s="965"/>
      <c r="HE95" s="965"/>
      <c r="HF95" s="965"/>
      <c r="HG95" s="965"/>
      <c r="HH95" s="965"/>
      <c r="HI95" s="965"/>
      <c r="HJ95" s="965"/>
      <c r="HK95" s="965"/>
      <c r="HL95" s="965"/>
      <c r="HM95" s="965"/>
      <c r="HN95" s="965"/>
      <c r="HO95" s="965"/>
      <c r="HP95" s="965"/>
      <c r="HQ95" s="965"/>
      <c r="HR95" s="965"/>
      <c r="HS95" s="965"/>
      <c r="HT95" s="965"/>
      <c r="HU95" s="965"/>
      <c r="HV95" s="965"/>
      <c r="HW95" s="965"/>
      <c r="HX95" s="965"/>
      <c r="HY95" s="965"/>
      <c r="HZ95" s="965"/>
      <c r="IA95" s="965"/>
      <c r="IB95" s="965"/>
      <c r="IC95" s="965"/>
      <c r="ID95" s="965"/>
      <c r="IE95" s="965"/>
      <c r="IF95" s="965"/>
      <c r="IG95" s="965"/>
      <c r="IH95" s="965"/>
      <c r="II95" s="965"/>
    </row>
    <row r="96" spans="3:243">
      <c r="C96" s="965"/>
      <c r="D96" s="965"/>
      <c r="E96" s="965"/>
      <c r="F96" s="965"/>
      <c r="G96" s="965"/>
      <c r="H96" s="965"/>
      <c r="I96" s="965"/>
      <c r="J96" s="965"/>
      <c r="K96" s="965"/>
      <c r="L96" s="965"/>
      <c r="M96" s="965"/>
      <c r="N96" s="965"/>
      <c r="O96" s="965"/>
      <c r="P96" s="965"/>
      <c r="Q96" s="965"/>
      <c r="R96" s="965"/>
      <c r="S96" s="965"/>
      <c r="T96" s="965"/>
      <c r="U96" s="965"/>
      <c r="V96" s="965"/>
      <c r="W96" s="965"/>
      <c r="X96" s="965"/>
      <c r="Y96" s="965"/>
      <c r="Z96" s="965"/>
      <c r="AA96" s="965"/>
      <c r="AB96" s="965"/>
      <c r="AC96" s="965"/>
      <c r="AD96" s="965"/>
      <c r="AE96" s="965"/>
      <c r="AF96" s="965"/>
      <c r="AG96" s="965"/>
      <c r="AH96" s="965"/>
      <c r="AI96" s="965"/>
      <c r="AJ96" s="965"/>
      <c r="AK96" s="965"/>
      <c r="AL96" s="965"/>
      <c r="AM96" s="965"/>
      <c r="AN96" s="965"/>
      <c r="AO96" s="965"/>
      <c r="AP96" s="965"/>
      <c r="AQ96" s="965"/>
      <c r="AR96" s="965"/>
      <c r="AS96" s="965"/>
      <c r="AT96" s="965"/>
      <c r="AU96" s="965"/>
      <c r="AV96" s="965"/>
      <c r="AW96" s="965"/>
      <c r="AX96" s="965"/>
      <c r="AY96" s="965"/>
      <c r="AZ96" s="965"/>
      <c r="BA96" s="965"/>
      <c r="BB96" s="965"/>
      <c r="BC96" s="965"/>
      <c r="BD96" s="965"/>
      <c r="BE96" s="965"/>
      <c r="BF96" s="965"/>
      <c r="BG96" s="965"/>
      <c r="BH96" s="965"/>
      <c r="BI96" s="965"/>
      <c r="BJ96" s="965"/>
      <c r="BK96" s="965"/>
      <c r="BL96" s="965"/>
      <c r="BM96" s="965"/>
      <c r="BN96" s="965"/>
      <c r="BO96" s="965"/>
      <c r="BP96" s="965"/>
      <c r="BQ96" s="965"/>
      <c r="BR96" s="965"/>
      <c r="BS96" s="965"/>
      <c r="BT96" s="965"/>
      <c r="BU96" s="965"/>
      <c r="BV96" s="965"/>
      <c r="BW96" s="965"/>
      <c r="BX96" s="965"/>
      <c r="BY96" s="965"/>
      <c r="BZ96" s="965"/>
      <c r="CA96" s="965"/>
      <c r="CB96" s="965"/>
      <c r="CC96" s="965"/>
      <c r="CD96" s="965"/>
      <c r="CE96" s="965"/>
      <c r="CF96" s="965"/>
      <c r="CG96" s="965"/>
      <c r="CH96" s="965"/>
      <c r="CI96" s="965"/>
      <c r="CJ96" s="965"/>
      <c r="CK96" s="965"/>
      <c r="CL96" s="965"/>
      <c r="CM96" s="965"/>
      <c r="CN96" s="965"/>
      <c r="CO96" s="965"/>
      <c r="CP96" s="965"/>
      <c r="CQ96" s="965"/>
      <c r="CR96" s="965"/>
      <c r="CS96" s="965"/>
      <c r="CT96" s="965"/>
      <c r="CU96" s="965"/>
      <c r="CV96" s="965"/>
      <c r="CW96" s="965"/>
      <c r="CX96" s="965"/>
      <c r="CY96" s="965"/>
      <c r="CZ96" s="965"/>
      <c r="DA96" s="965"/>
      <c r="DB96" s="965"/>
      <c r="DC96" s="965"/>
      <c r="DD96" s="965"/>
      <c r="DE96" s="965"/>
      <c r="DF96" s="965"/>
      <c r="DG96" s="965"/>
      <c r="DH96" s="965"/>
      <c r="DI96" s="965"/>
      <c r="DJ96" s="965"/>
      <c r="DK96" s="965"/>
      <c r="DL96" s="965"/>
      <c r="DM96" s="965"/>
      <c r="DN96" s="965"/>
      <c r="DO96" s="965"/>
      <c r="DP96" s="965"/>
      <c r="DQ96" s="965"/>
      <c r="DR96" s="965"/>
      <c r="DS96" s="965"/>
      <c r="DT96" s="965"/>
      <c r="DU96" s="965"/>
      <c r="DV96" s="965"/>
      <c r="DW96" s="965"/>
      <c r="DX96" s="965"/>
      <c r="DY96" s="965"/>
      <c r="DZ96" s="965"/>
      <c r="EA96" s="965"/>
      <c r="EB96" s="965"/>
      <c r="EC96" s="965"/>
      <c r="ED96" s="965"/>
      <c r="EE96" s="965"/>
      <c r="EF96" s="965"/>
      <c r="EG96" s="965"/>
      <c r="EH96" s="965"/>
      <c r="EI96" s="965"/>
      <c r="EJ96" s="965"/>
      <c r="EK96" s="965"/>
      <c r="EL96" s="965"/>
      <c r="EM96" s="965"/>
      <c r="EN96" s="965"/>
      <c r="EO96" s="965"/>
      <c r="EP96" s="965"/>
      <c r="EQ96" s="965"/>
      <c r="ER96" s="965"/>
      <c r="ES96" s="965"/>
      <c r="ET96" s="965"/>
      <c r="EU96" s="965"/>
      <c r="EV96" s="965"/>
      <c r="EW96" s="965"/>
      <c r="EX96" s="965"/>
      <c r="EY96" s="965"/>
      <c r="EZ96" s="965"/>
      <c r="FA96" s="965"/>
      <c r="FB96" s="965"/>
      <c r="FC96" s="965"/>
      <c r="FD96" s="965"/>
      <c r="FE96" s="965"/>
      <c r="FF96" s="965"/>
      <c r="FG96" s="965"/>
      <c r="FH96" s="965"/>
      <c r="FI96" s="965"/>
      <c r="FJ96" s="965"/>
      <c r="FK96" s="965"/>
      <c r="FL96" s="965"/>
      <c r="FM96" s="965"/>
      <c r="FN96" s="965"/>
      <c r="FO96" s="965"/>
      <c r="FP96" s="965"/>
      <c r="FQ96" s="965"/>
      <c r="FR96" s="965"/>
      <c r="FS96" s="965"/>
      <c r="FT96" s="965"/>
      <c r="FU96" s="965"/>
      <c r="FV96" s="965"/>
      <c r="FW96" s="965"/>
      <c r="FX96" s="965"/>
      <c r="FY96" s="965"/>
      <c r="FZ96" s="965"/>
      <c r="GA96" s="965"/>
      <c r="GB96" s="965"/>
      <c r="GC96" s="965"/>
      <c r="GD96" s="965"/>
      <c r="GE96" s="965"/>
      <c r="GF96" s="965"/>
      <c r="GG96" s="965"/>
      <c r="GH96" s="965"/>
      <c r="GI96" s="965"/>
      <c r="GJ96" s="965"/>
      <c r="GK96" s="965"/>
      <c r="GL96" s="965"/>
      <c r="GM96" s="965"/>
      <c r="GN96" s="965"/>
      <c r="GO96" s="965"/>
      <c r="GP96" s="965"/>
      <c r="GQ96" s="965"/>
      <c r="GR96" s="965"/>
      <c r="GS96" s="965"/>
      <c r="GT96" s="965"/>
      <c r="GU96" s="965"/>
      <c r="GV96" s="965"/>
      <c r="GW96" s="965"/>
      <c r="GX96" s="965"/>
      <c r="GY96" s="965"/>
      <c r="GZ96" s="965"/>
      <c r="HA96" s="965"/>
      <c r="HB96" s="965"/>
      <c r="HC96" s="965"/>
      <c r="HD96" s="965"/>
      <c r="HE96" s="965"/>
      <c r="HF96" s="965"/>
      <c r="HG96" s="965"/>
      <c r="HH96" s="965"/>
      <c r="HI96" s="965"/>
      <c r="HJ96" s="965"/>
      <c r="HK96" s="965"/>
      <c r="HL96" s="965"/>
      <c r="HM96" s="965"/>
      <c r="HN96" s="965"/>
      <c r="HO96" s="965"/>
      <c r="HP96" s="965"/>
      <c r="HQ96" s="965"/>
      <c r="HR96" s="965"/>
      <c r="HS96" s="965"/>
      <c r="HT96" s="965"/>
      <c r="HU96" s="965"/>
      <c r="HV96" s="965"/>
      <c r="HW96" s="965"/>
      <c r="HX96" s="965"/>
      <c r="HY96" s="965"/>
      <c r="HZ96" s="965"/>
      <c r="IA96" s="965"/>
      <c r="IB96" s="965"/>
      <c r="IC96" s="965"/>
      <c r="ID96" s="965"/>
      <c r="IE96" s="965"/>
      <c r="IF96" s="965"/>
      <c r="IG96" s="965"/>
      <c r="IH96" s="965"/>
      <c r="II96" s="965"/>
    </row>
    <row r="97" spans="3:243">
      <c r="C97" s="965"/>
      <c r="D97" s="965"/>
      <c r="E97" s="965"/>
      <c r="F97" s="965"/>
      <c r="G97" s="965"/>
      <c r="H97" s="965"/>
      <c r="I97" s="965"/>
      <c r="J97" s="965"/>
      <c r="K97" s="965"/>
      <c r="L97" s="965"/>
      <c r="M97" s="965"/>
      <c r="N97" s="965"/>
      <c r="O97" s="965"/>
      <c r="P97" s="965"/>
      <c r="Q97" s="965"/>
      <c r="R97" s="965"/>
      <c r="S97" s="965"/>
      <c r="T97" s="965"/>
      <c r="U97" s="965"/>
      <c r="V97" s="965"/>
      <c r="W97" s="965"/>
      <c r="X97" s="965"/>
      <c r="Y97" s="965"/>
      <c r="Z97" s="965"/>
      <c r="AA97" s="965"/>
      <c r="AB97" s="965"/>
      <c r="AC97" s="965"/>
      <c r="AD97" s="965"/>
      <c r="AE97" s="965"/>
      <c r="AF97" s="965"/>
      <c r="AG97" s="965"/>
      <c r="AH97" s="965"/>
      <c r="AI97" s="965"/>
      <c r="AJ97" s="965"/>
      <c r="AK97" s="965"/>
      <c r="AL97" s="965"/>
      <c r="AM97" s="965"/>
      <c r="AN97" s="965"/>
      <c r="AO97" s="965"/>
      <c r="AP97" s="965"/>
      <c r="AQ97" s="965"/>
      <c r="AR97" s="965"/>
      <c r="AS97" s="965"/>
      <c r="AT97" s="965"/>
      <c r="AU97" s="965"/>
      <c r="AV97" s="965"/>
      <c r="AW97" s="965"/>
      <c r="AX97" s="965"/>
      <c r="AY97" s="965"/>
      <c r="AZ97" s="965"/>
      <c r="BA97" s="965"/>
      <c r="BB97" s="965"/>
      <c r="BC97" s="965"/>
      <c r="BD97" s="965"/>
      <c r="BE97" s="965"/>
      <c r="BF97" s="965"/>
      <c r="BG97" s="965"/>
      <c r="BH97" s="965"/>
      <c r="BI97" s="965"/>
      <c r="BJ97" s="965"/>
      <c r="BK97" s="965"/>
      <c r="BL97" s="965"/>
      <c r="BM97" s="965"/>
      <c r="BN97" s="965"/>
      <c r="BO97" s="965"/>
      <c r="BP97" s="965"/>
      <c r="BQ97" s="965"/>
      <c r="BR97" s="965"/>
      <c r="BS97" s="965"/>
      <c r="BT97" s="965"/>
      <c r="BU97" s="965"/>
      <c r="BV97" s="965"/>
      <c r="BW97" s="965"/>
      <c r="BX97" s="965"/>
      <c r="BY97" s="965"/>
      <c r="BZ97" s="965"/>
      <c r="CA97" s="965"/>
      <c r="CB97" s="965"/>
      <c r="CC97" s="965"/>
      <c r="CD97" s="965"/>
      <c r="CE97" s="965"/>
      <c r="CF97" s="965"/>
      <c r="CG97" s="965"/>
      <c r="CH97" s="965"/>
      <c r="CI97" s="965"/>
      <c r="CJ97" s="965"/>
      <c r="CK97" s="965"/>
      <c r="CL97" s="965"/>
      <c r="CM97" s="965"/>
      <c r="CN97" s="965"/>
      <c r="CO97" s="965"/>
      <c r="CP97" s="965"/>
      <c r="CQ97" s="965"/>
      <c r="CR97" s="965"/>
      <c r="CS97" s="965"/>
      <c r="CT97" s="965"/>
      <c r="CU97" s="965"/>
      <c r="CV97" s="965"/>
      <c r="CW97" s="965"/>
      <c r="CX97" s="965"/>
      <c r="CY97" s="965"/>
      <c r="CZ97" s="965"/>
      <c r="DA97" s="965"/>
      <c r="DB97" s="965"/>
      <c r="DC97" s="965"/>
      <c r="DD97" s="965"/>
      <c r="DE97" s="965"/>
      <c r="DF97" s="965"/>
      <c r="DG97" s="965"/>
      <c r="DH97" s="965"/>
      <c r="DI97" s="965"/>
      <c r="DJ97" s="965"/>
      <c r="DK97" s="965"/>
      <c r="DL97" s="965"/>
      <c r="DM97" s="965"/>
      <c r="DN97" s="965"/>
      <c r="DO97" s="965"/>
      <c r="DP97" s="965"/>
      <c r="DQ97" s="965"/>
      <c r="DR97" s="965"/>
      <c r="DS97" s="965"/>
      <c r="DT97" s="965"/>
      <c r="DU97" s="965"/>
      <c r="DV97" s="965"/>
      <c r="DW97" s="965"/>
      <c r="DX97" s="965"/>
      <c r="DY97" s="965"/>
      <c r="DZ97" s="965"/>
      <c r="EA97" s="965"/>
      <c r="EB97" s="965"/>
      <c r="EC97" s="965"/>
      <c r="ED97" s="965"/>
      <c r="EE97" s="965"/>
      <c r="EF97" s="965"/>
      <c r="EG97" s="965"/>
      <c r="EH97" s="965"/>
      <c r="EI97" s="965"/>
      <c r="EJ97" s="965"/>
      <c r="EK97" s="965"/>
      <c r="EL97" s="965"/>
      <c r="EM97" s="965"/>
      <c r="EN97" s="965"/>
      <c r="EO97" s="965"/>
      <c r="EP97" s="965"/>
      <c r="EQ97" s="965"/>
      <c r="ER97" s="965"/>
      <c r="ES97" s="965"/>
      <c r="ET97" s="965"/>
      <c r="EU97" s="965"/>
      <c r="EV97" s="965"/>
      <c r="EW97" s="965"/>
      <c r="EX97" s="965"/>
      <c r="EY97" s="965"/>
      <c r="EZ97" s="965"/>
      <c r="FA97" s="965"/>
      <c r="FB97" s="965"/>
      <c r="FC97" s="965"/>
      <c r="FD97" s="965"/>
      <c r="FE97" s="965"/>
      <c r="FF97" s="965"/>
      <c r="FG97" s="965"/>
      <c r="FH97" s="965"/>
      <c r="FI97" s="965"/>
      <c r="FJ97" s="965"/>
      <c r="FK97" s="965"/>
      <c r="FL97" s="965"/>
      <c r="FM97" s="965"/>
      <c r="FN97" s="965"/>
      <c r="FO97" s="965"/>
      <c r="FP97" s="965"/>
      <c r="FQ97" s="965"/>
      <c r="FR97" s="965"/>
      <c r="FS97" s="965"/>
      <c r="FT97" s="965"/>
      <c r="FU97" s="965"/>
      <c r="FV97" s="965"/>
      <c r="FW97" s="965"/>
      <c r="FX97" s="965"/>
      <c r="FY97" s="965"/>
      <c r="FZ97" s="965"/>
      <c r="GA97" s="965"/>
      <c r="GB97" s="965"/>
      <c r="GC97" s="965"/>
      <c r="GD97" s="965"/>
      <c r="GE97" s="965"/>
      <c r="GF97" s="965"/>
      <c r="GG97" s="965"/>
      <c r="GH97" s="965"/>
      <c r="GI97" s="965"/>
      <c r="GJ97" s="965"/>
      <c r="GK97" s="965"/>
      <c r="GL97" s="965"/>
      <c r="GM97" s="965"/>
      <c r="GN97" s="965"/>
      <c r="GO97" s="965"/>
      <c r="GP97" s="965"/>
      <c r="GQ97" s="965"/>
      <c r="GR97" s="965"/>
      <c r="GS97" s="965"/>
      <c r="GT97" s="965"/>
      <c r="GU97" s="965"/>
      <c r="GV97" s="965"/>
      <c r="GW97" s="965"/>
      <c r="GX97" s="965"/>
      <c r="GY97" s="965"/>
      <c r="GZ97" s="965"/>
      <c r="HA97" s="965"/>
      <c r="HB97" s="965"/>
      <c r="HC97" s="965"/>
      <c r="HD97" s="965"/>
      <c r="HE97" s="965"/>
      <c r="HF97" s="965"/>
      <c r="HG97" s="965"/>
      <c r="HH97" s="965"/>
      <c r="HI97" s="965"/>
      <c r="HJ97" s="965"/>
      <c r="HK97" s="965"/>
      <c r="HL97" s="965"/>
      <c r="HM97" s="965"/>
      <c r="HN97" s="965"/>
      <c r="HO97" s="965"/>
      <c r="HP97" s="965"/>
      <c r="HQ97" s="965"/>
      <c r="HR97" s="965"/>
      <c r="HS97" s="965"/>
      <c r="HT97" s="965"/>
      <c r="HU97" s="965"/>
      <c r="HV97" s="965"/>
      <c r="HW97" s="965"/>
      <c r="HX97" s="965"/>
      <c r="HY97" s="965"/>
      <c r="HZ97" s="965"/>
      <c r="IA97" s="965"/>
      <c r="IB97" s="965"/>
      <c r="IC97" s="965"/>
      <c r="ID97" s="965"/>
      <c r="IE97" s="965"/>
      <c r="IF97" s="965"/>
      <c r="IG97" s="965"/>
      <c r="IH97" s="965"/>
      <c r="II97" s="965"/>
    </row>
    <row r="98" spans="3:243">
      <c r="C98" s="965"/>
      <c r="D98" s="965"/>
      <c r="E98" s="965"/>
      <c r="F98" s="965"/>
      <c r="G98" s="965"/>
      <c r="H98" s="965"/>
      <c r="I98" s="965"/>
      <c r="J98" s="965"/>
      <c r="K98" s="965"/>
      <c r="L98" s="965"/>
      <c r="M98" s="965"/>
      <c r="N98" s="965"/>
      <c r="O98" s="965"/>
      <c r="P98" s="965"/>
      <c r="Q98" s="965"/>
      <c r="R98" s="965"/>
      <c r="S98" s="965"/>
      <c r="T98" s="965"/>
      <c r="U98" s="965"/>
      <c r="V98" s="965"/>
      <c r="W98" s="965"/>
      <c r="X98" s="965"/>
      <c r="Y98" s="965"/>
      <c r="Z98" s="965"/>
      <c r="AA98" s="965"/>
      <c r="AB98" s="965"/>
      <c r="AC98" s="965"/>
      <c r="AD98" s="965"/>
      <c r="AE98" s="965"/>
      <c r="AF98" s="965"/>
      <c r="AG98" s="965"/>
      <c r="AH98" s="965"/>
      <c r="AI98" s="965"/>
      <c r="AJ98" s="965"/>
      <c r="AK98" s="965"/>
      <c r="AL98" s="965"/>
      <c r="AM98" s="965"/>
      <c r="AN98" s="965"/>
      <c r="AO98" s="965"/>
      <c r="AP98" s="965"/>
      <c r="AQ98" s="965"/>
      <c r="AR98" s="965"/>
      <c r="AS98" s="965"/>
      <c r="AT98" s="965"/>
      <c r="AU98" s="965"/>
      <c r="AV98" s="965"/>
      <c r="AW98" s="965"/>
      <c r="AX98" s="965"/>
      <c r="AY98" s="965"/>
      <c r="AZ98" s="965"/>
      <c r="BA98" s="965"/>
      <c r="BB98" s="965"/>
      <c r="BC98" s="965"/>
      <c r="BD98" s="965"/>
      <c r="BE98" s="965"/>
      <c r="BF98" s="965"/>
      <c r="BG98" s="965"/>
      <c r="BH98" s="965"/>
      <c r="BI98" s="965"/>
      <c r="BJ98" s="965"/>
      <c r="BK98" s="965"/>
      <c r="BL98" s="965"/>
      <c r="BM98" s="965"/>
      <c r="BN98" s="965"/>
      <c r="BO98" s="965"/>
      <c r="BP98" s="965"/>
      <c r="BQ98" s="965"/>
      <c r="BR98" s="965"/>
      <c r="BS98" s="965"/>
      <c r="BT98" s="965"/>
      <c r="BU98" s="965"/>
      <c r="BV98" s="965"/>
      <c r="BW98" s="965"/>
      <c r="BX98" s="965"/>
      <c r="BY98" s="965"/>
      <c r="BZ98" s="965"/>
      <c r="CA98" s="965"/>
      <c r="CB98" s="965"/>
      <c r="CC98" s="965"/>
      <c r="CD98" s="965"/>
      <c r="CE98" s="965"/>
      <c r="CF98" s="965"/>
      <c r="CG98" s="965"/>
      <c r="CH98" s="965"/>
      <c r="CI98" s="965"/>
      <c r="CJ98" s="965"/>
      <c r="CK98" s="965"/>
      <c r="CL98" s="965"/>
      <c r="CM98" s="965"/>
      <c r="CN98" s="965"/>
      <c r="CO98" s="965"/>
      <c r="CP98" s="965"/>
      <c r="CQ98" s="965"/>
      <c r="CR98" s="965"/>
      <c r="CS98" s="965"/>
      <c r="CT98" s="965"/>
      <c r="CU98" s="965"/>
      <c r="CV98" s="965"/>
      <c r="CW98" s="965"/>
      <c r="CX98" s="965"/>
      <c r="CY98" s="965"/>
      <c r="CZ98" s="965"/>
      <c r="DA98" s="965"/>
      <c r="DB98" s="965"/>
      <c r="DC98" s="965"/>
      <c r="DD98" s="965"/>
      <c r="DE98" s="965"/>
      <c r="DF98" s="965"/>
      <c r="DG98" s="965"/>
      <c r="DH98" s="965"/>
      <c r="DI98" s="965"/>
      <c r="DJ98" s="965"/>
      <c r="DK98" s="965"/>
      <c r="DL98" s="965"/>
      <c r="DM98" s="965"/>
      <c r="DN98" s="965"/>
      <c r="DO98" s="965"/>
      <c r="DP98" s="965"/>
      <c r="DQ98" s="965"/>
      <c r="DR98" s="965"/>
      <c r="DS98" s="965"/>
      <c r="DT98" s="965"/>
      <c r="DU98" s="965"/>
      <c r="DV98" s="965"/>
      <c r="DW98" s="965"/>
      <c r="DX98" s="965"/>
      <c r="DY98" s="965"/>
      <c r="DZ98" s="965"/>
      <c r="EA98" s="965"/>
      <c r="EB98" s="965"/>
      <c r="EC98" s="965"/>
      <c r="ED98" s="965"/>
      <c r="EE98" s="965"/>
      <c r="EF98" s="965"/>
      <c r="EG98" s="965"/>
      <c r="EH98" s="965"/>
      <c r="EI98" s="965"/>
      <c r="EJ98" s="965"/>
      <c r="EK98" s="965"/>
      <c r="EL98" s="965"/>
      <c r="EM98" s="965"/>
      <c r="EN98" s="965"/>
      <c r="EO98" s="965"/>
      <c r="EP98" s="965"/>
      <c r="EQ98" s="965"/>
      <c r="ER98" s="965"/>
      <c r="ES98" s="965"/>
      <c r="ET98" s="965"/>
      <c r="EU98" s="965"/>
      <c r="EV98" s="965"/>
      <c r="EW98" s="965"/>
      <c r="EX98" s="965"/>
      <c r="EY98" s="965"/>
      <c r="EZ98" s="965"/>
      <c r="FA98" s="965"/>
      <c r="FB98" s="965"/>
      <c r="FC98" s="965"/>
      <c r="FD98" s="965"/>
      <c r="FE98" s="965"/>
      <c r="FF98" s="965"/>
      <c r="FG98" s="965"/>
      <c r="FH98" s="965"/>
      <c r="FI98" s="965"/>
      <c r="FJ98" s="965"/>
      <c r="FK98" s="965"/>
      <c r="FL98" s="965"/>
      <c r="FM98" s="965"/>
      <c r="FN98" s="965"/>
      <c r="FO98" s="965"/>
      <c r="FP98" s="965"/>
      <c r="FQ98" s="965"/>
      <c r="FR98" s="965"/>
      <c r="FS98" s="965"/>
      <c r="FT98" s="965"/>
      <c r="FU98" s="965"/>
      <c r="FV98" s="965"/>
      <c r="FW98" s="965"/>
      <c r="FX98" s="965"/>
      <c r="FY98" s="965"/>
      <c r="FZ98" s="965"/>
      <c r="GA98" s="965"/>
      <c r="GB98" s="965"/>
      <c r="GC98" s="965"/>
      <c r="GD98" s="965"/>
      <c r="GE98" s="965"/>
      <c r="GF98" s="965"/>
      <c r="GG98" s="965"/>
      <c r="GH98" s="965"/>
      <c r="GI98" s="965"/>
      <c r="GJ98" s="965"/>
      <c r="GK98" s="965"/>
      <c r="GL98" s="965"/>
      <c r="GM98" s="965"/>
      <c r="GN98" s="965"/>
      <c r="GO98" s="965"/>
      <c r="GP98" s="965"/>
      <c r="GQ98" s="965"/>
      <c r="GR98" s="965"/>
      <c r="GS98" s="965"/>
      <c r="GT98" s="965"/>
      <c r="GU98" s="965"/>
      <c r="GV98" s="965"/>
      <c r="GW98" s="965"/>
      <c r="GX98" s="965"/>
      <c r="GY98" s="965"/>
      <c r="GZ98" s="965"/>
      <c r="HA98" s="965"/>
      <c r="HB98" s="965"/>
      <c r="HC98" s="965"/>
      <c r="HD98" s="965"/>
      <c r="HE98" s="965"/>
      <c r="HF98" s="965"/>
      <c r="HG98" s="965"/>
      <c r="HH98" s="965"/>
      <c r="HI98" s="965"/>
      <c r="HJ98" s="965"/>
      <c r="HK98" s="965"/>
      <c r="HL98" s="965"/>
      <c r="HM98" s="965"/>
      <c r="HN98" s="965"/>
      <c r="HO98" s="965"/>
      <c r="HP98" s="965"/>
      <c r="HQ98" s="965"/>
      <c r="HR98" s="965"/>
      <c r="HS98" s="965"/>
      <c r="HT98" s="965"/>
      <c r="HU98" s="965"/>
      <c r="HV98" s="965"/>
      <c r="HW98" s="965"/>
      <c r="HX98" s="965"/>
      <c r="HY98" s="965"/>
      <c r="HZ98" s="965"/>
      <c r="IA98" s="965"/>
      <c r="IB98" s="965"/>
      <c r="IC98" s="965"/>
      <c r="ID98" s="965"/>
      <c r="IE98" s="965"/>
      <c r="IF98" s="965"/>
      <c r="IG98" s="965"/>
      <c r="IH98" s="965"/>
      <c r="II98" s="965"/>
    </row>
    <row r="99" spans="3:243">
      <c r="C99" s="965"/>
      <c r="D99" s="965"/>
      <c r="E99" s="965"/>
      <c r="F99" s="965"/>
      <c r="G99" s="965"/>
      <c r="H99" s="965"/>
      <c r="I99" s="965"/>
      <c r="J99" s="965"/>
      <c r="K99" s="965"/>
      <c r="L99" s="965"/>
      <c r="M99" s="965"/>
      <c r="N99" s="965"/>
      <c r="O99" s="965"/>
      <c r="P99" s="965"/>
      <c r="Q99" s="965"/>
      <c r="R99" s="965"/>
      <c r="S99" s="965"/>
      <c r="T99" s="965"/>
      <c r="U99" s="965"/>
      <c r="V99" s="965"/>
      <c r="W99" s="965"/>
      <c r="X99" s="965"/>
      <c r="Y99" s="965"/>
      <c r="Z99" s="965"/>
      <c r="AA99" s="965"/>
      <c r="AB99" s="965"/>
      <c r="AC99" s="965"/>
      <c r="AD99" s="965"/>
      <c r="AE99" s="965"/>
      <c r="AF99" s="965"/>
      <c r="AG99" s="965"/>
      <c r="AH99" s="965"/>
      <c r="AI99" s="965"/>
      <c r="AJ99" s="965"/>
      <c r="AK99" s="965"/>
      <c r="AL99" s="965"/>
      <c r="AM99" s="965"/>
      <c r="AN99" s="965"/>
      <c r="AO99" s="965"/>
      <c r="AP99" s="965"/>
      <c r="AQ99" s="965"/>
      <c r="AR99" s="965"/>
      <c r="AS99" s="965"/>
      <c r="AT99" s="965"/>
      <c r="AU99" s="965"/>
      <c r="AV99" s="965"/>
      <c r="AW99" s="965"/>
      <c r="AX99" s="965"/>
      <c r="AY99" s="965"/>
      <c r="AZ99" s="965"/>
      <c r="BA99" s="965"/>
      <c r="BB99" s="965"/>
      <c r="BC99" s="965"/>
      <c r="BD99" s="965"/>
      <c r="BE99" s="965"/>
      <c r="BF99" s="965"/>
      <c r="BG99" s="965"/>
      <c r="BH99" s="965"/>
      <c r="BI99" s="965"/>
      <c r="BJ99" s="965"/>
      <c r="BK99" s="965"/>
      <c r="BL99" s="965"/>
      <c r="BM99" s="965"/>
      <c r="BN99" s="965"/>
      <c r="BO99" s="965"/>
      <c r="BP99" s="965"/>
      <c r="BQ99" s="965"/>
      <c r="BR99" s="965"/>
      <c r="BS99" s="965"/>
      <c r="BT99" s="965"/>
      <c r="BU99" s="965"/>
      <c r="BV99" s="965"/>
      <c r="BW99" s="965"/>
      <c r="BX99" s="965"/>
      <c r="BY99" s="965"/>
      <c r="BZ99" s="965"/>
      <c r="CA99" s="965"/>
      <c r="CB99" s="965"/>
      <c r="CC99" s="965"/>
      <c r="CD99" s="965"/>
      <c r="CE99" s="965"/>
      <c r="CF99" s="965"/>
      <c r="CG99" s="965"/>
      <c r="CH99" s="965"/>
      <c r="CI99" s="965"/>
      <c r="CJ99" s="965"/>
      <c r="CK99" s="965"/>
      <c r="CL99" s="965"/>
      <c r="CM99" s="965"/>
      <c r="CN99" s="965"/>
      <c r="CO99" s="965"/>
      <c r="CP99" s="965"/>
      <c r="CQ99" s="965"/>
      <c r="CR99" s="965"/>
      <c r="CS99" s="965"/>
      <c r="CT99" s="965"/>
      <c r="CU99" s="965"/>
      <c r="CV99" s="965"/>
      <c r="CW99" s="965"/>
      <c r="CX99" s="965"/>
      <c r="CY99" s="965"/>
      <c r="CZ99" s="965"/>
      <c r="DA99" s="965"/>
      <c r="DB99" s="965"/>
      <c r="DC99" s="965"/>
      <c r="DD99" s="965"/>
      <c r="DE99" s="965"/>
      <c r="DF99" s="965"/>
      <c r="DG99" s="965"/>
      <c r="DH99" s="965"/>
      <c r="DI99" s="965"/>
      <c r="DJ99" s="965"/>
      <c r="DK99" s="965"/>
      <c r="DL99" s="965"/>
      <c r="DM99" s="965"/>
      <c r="DN99" s="965"/>
      <c r="DO99" s="965"/>
      <c r="DP99" s="965"/>
      <c r="DQ99" s="965"/>
      <c r="DR99" s="965"/>
      <c r="DS99" s="965"/>
      <c r="DT99" s="965"/>
      <c r="DU99" s="965"/>
      <c r="DV99" s="965"/>
      <c r="DW99" s="965"/>
      <c r="DX99" s="965"/>
      <c r="DY99" s="965"/>
      <c r="DZ99" s="965"/>
      <c r="EA99" s="965"/>
      <c r="EB99" s="965"/>
      <c r="EC99" s="965"/>
      <c r="ED99" s="965"/>
      <c r="EE99" s="965"/>
      <c r="EF99" s="965"/>
      <c r="EG99" s="965"/>
      <c r="EH99" s="965"/>
      <c r="EI99" s="965"/>
      <c r="EJ99" s="965"/>
      <c r="EK99" s="965"/>
      <c r="EL99" s="965"/>
      <c r="EM99" s="965"/>
      <c r="EN99" s="965"/>
      <c r="EO99" s="965"/>
      <c r="EP99" s="965"/>
      <c r="EQ99" s="965"/>
      <c r="ER99" s="965"/>
      <c r="ES99" s="965"/>
      <c r="ET99" s="965"/>
      <c r="EU99" s="965"/>
      <c r="EV99" s="965"/>
      <c r="EW99" s="965"/>
      <c r="EX99" s="965"/>
      <c r="EY99" s="965"/>
      <c r="EZ99" s="965"/>
      <c r="FA99" s="965"/>
      <c r="FB99" s="965"/>
      <c r="FC99" s="965"/>
      <c r="FD99" s="965"/>
      <c r="FE99" s="965"/>
      <c r="FF99" s="965"/>
      <c r="FG99" s="965"/>
      <c r="FH99" s="965"/>
      <c r="FI99" s="965"/>
      <c r="FJ99" s="965"/>
      <c r="FK99" s="965"/>
      <c r="FL99" s="965"/>
      <c r="FM99" s="965"/>
      <c r="FN99" s="965"/>
      <c r="FO99" s="965"/>
      <c r="FP99" s="965"/>
      <c r="FQ99" s="965"/>
      <c r="FR99" s="965"/>
      <c r="FS99" s="965"/>
      <c r="FT99" s="965"/>
      <c r="FU99" s="965"/>
      <c r="FV99" s="965"/>
      <c r="FW99" s="965"/>
      <c r="FX99" s="965"/>
      <c r="FY99" s="965"/>
      <c r="FZ99" s="965"/>
      <c r="GA99" s="965"/>
      <c r="GB99" s="965"/>
      <c r="GC99" s="965"/>
      <c r="GD99" s="965"/>
      <c r="GE99" s="965"/>
      <c r="GF99" s="965"/>
      <c r="GG99" s="965"/>
      <c r="GH99" s="965"/>
      <c r="GI99" s="965"/>
      <c r="GJ99" s="965"/>
      <c r="GK99" s="965"/>
      <c r="GL99" s="965"/>
      <c r="GM99" s="965"/>
      <c r="GN99" s="965"/>
      <c r="GO99" s="965"/>
      <c r="GP99" s="965"/>
      <c r="GQ99" s="965"/>
      <c r="GR99" s="965"/>
      <c r="GS99" s="965"/>
      <c r="GT99" s="965"/>
      <c r="GU99" s="965"/>
      <c r="GV99" s="965"/>
      <c r="GW99" s="965"/>
      <c r="GX99" s="965"/>
      <c r="GY99" s="965"/>
      <c r="GZ99" s="965"/>
      <c r="HA99" s="965"/>
      <c r="HB99" s="965"/>
      <c r="HC99" s="965"/>
      <c r="HD99" s="965"/>
      <c r="HE99" s="965"/>
      <c r="HF99" s="965"/>
      <c r="HG99" s="965"/>
      <c r="HH99" s="965"/>
      <c r="HI99" s="965"/>
      <c r="HJ99" s="965"/>
      <c r="HK99" s="965"/>
      <c r="HL99" s="965"/>
      <c r="HM99" s="965"/>
      <c r="HN99" s="965"/>
      <c r="HO99" s="965"/>
      <c r="HP99" s="965"/>
      <c r="HQ99" s="965"/>
      <c r="HR99" s="965"/>
      <c r="HS99" s="965"/>
      <c r="HT99" s="965"/>
      <c r="HU99" s="965"/>
      <c r="HV99" s="965"/>
      <c r="HW99" s="965"/>
      <c r="HX99" s="965"/>
      <c r="HY99" s="965"/>
      <c r="HZ99" s="965"/>
      <c r="IA99" s="965"/>
      <c r="IB99" s="965"/>
      <c r="IC99" s="965"/>
      <c r="ID99" s="965"/>
      <c r="IE99" s="965"/>
      <c r="IF99" s="965"/>
      <c r="IG99" s="965"/>
      <c r="IH99" s="965"/>
      <c r="II99" s="965"/>
    </row>
    <row r="100" spans="3:243">
      <c r="C100" s="965"/>
      <c r="D100" s="965"/>
      <c r="E100" s="965"/>
      <c r="F100" s="965"/>
      <c r="G100" s="965"/>
      <c r="H100" s="965"/>
      <c r="I100" s="965"/>
      <c r="J100" s="965"/>
      <c r="K100" s="965"/>
      <c r="L100" s="965"/>
      <c r="M100" s="965"/>
      <c r="N100" s="965"/>
      <c r="O100" s="965"/>
      <c r="P100" s="965"/>
      <c r="Q100" s="965"/>
      <c r="R100" s="965"/>
      <c r="S100" s="965"/>
      <c r="T100" s="965"/>
      <c r="U100" s="965"/>
      <c r="V100" s="965"/>
      <c r="W100" s="965"/>
      <c r="X100" s="965"/>
      <c r="Y100" s="965"/>
      <c r="Z100" s="965"/>
      <c r="AA100" s="965"/>
      <c r="AB100" s="965"/>
      <c r="AC100" s="965"/>
      <c r="AD100" s="965"/>
      <c r="AE100" s="965"/>
      <c r="AF100" s="965"/>
      <c r="AG100" s="965"/>
      <c r="AH100" s="965"/>
      <c r="AI100" s="965"/>
      <c r="AJ100" s="965"/>
      <c r="AK100" s="965"/>
      <c r="AL100" s="965"/>
      <c r="AM100" s="965"/>
      <c r="AN100" s="965"/>
      <c r="AO100" s="965"/>
      <c r="AP100" s="965"/>
      <c r="AQ100" s="965"/>
      <c r="AR100" s="965"/>
      <c r="AS100" s="965"/>
      <c r="AT100" s="965"/>
      <c r="AU100" s="965"/>
      <c r="AV100" s="965"/>
      <c r="AW100" s="965"/>
      <c r="AX100" s="965"/>
      <c r="AY100" s="965"/>
      <c r="AZ100" s="965"/>
      <c r="BA100" s="965"/>
      <c r="BB100" s="965"/>
      <c r="BC100" s="965"/>
      <c r="BD100" s="965"/>
      <c r="BE100" s="965"/>
      <c r="BF100" s="965"/>
      <c r="BG100" s="965"/>
      <c r="BH100" s="965"/>
      <c r="BI100" s="965"/>
      <c r="BJ100" s="965"/>
      <c r="BK100" s="965"/>
      <c r="BL100" s="965"/>
      <c r="BM100" s="965"/>
      <c r="BN100" s="965"/>
      <c r="BO100" s="965"/>
      <c r="BP100" s="965"/>
      <c r="BQ100" s="965"/>
      <c r="BR100" s="965"/>
      <c r="BS100" s="965"/>
      <c r="BT100" s="965"/>
      <c r="BU100" s="965"/>
      <c r="BV100" s="965"/>
      <c r="BW100" s="965"/>
      <c r="BX100" s="965"/>
      <c r="BY100" s="965"/>
      <c r="BZ100" s="965"/>
      <c r="CA100" s="965"/>
      <c r="CB100" s="965"/>
      <c r="CC100" s="965"/>
      <c r="CD100" s="965"/>
      <c r="CE100" s="965"/>
      <c r="CF100" s="965"/>
      <c r="CG100" s="965"/>
      <c r="CH100" s="965"/>
      <c r="CI100" s="965"/>
      <c r="CJ100" s="965"/>
      <c r="CK100" s="965"/>
      <c r="CL100" s="965"/>
      <c r="CM100" s="965"/>
      <c r="CN100" s="965"/>
      <c r="CO100" s="965"/>
      <c r="CP100" s="965"/>
      <c r="CQ100" s="965"/>
      <c r="CR100" s="965"/>
      <c r="CS100" s="965"/>
      <c r="CT100" s="965"/>
      <c r="CU100" s="965"/>
      <c r="CV100" s="965"/>
      <c r="CW100" s="965"/>
      <c r="CX100" s="965"/>
      <c r="CY100" s="965"/>
      <c r="CZ100" s="965"/>
      <c r="DA100" s="965"/>
      <c r="DB100" s="965"/>
      <c r="DC100" s="965"/>
      <c r="DD100" s="965"/>
      <c r="DE100" s="965"/>
      <c r="DF100" s="965"/>
      <c r="DG100" s="965"/>
      <c r="DH100" s="965"/>
      <c r="DI100" s="965"/>
      <c r="DJ100" s="965"/>
      <c r="DK100" s="965"/>
      <c r="DL100" s="965"/>
      <c r="DM100" s="965"/>
      <c r="DN100" s="965"/>
      <c r="DO100" s="965"/>
      <c r="DP100" s="965"/>
      <c r="DQ100" s="965"/>
      <c r="DR100" s="965"/>
      <c r="DS100" s="965"/>
      <c r="DT100" s="965"/>
      <c r="DU100" s="965"/>
      <c r="DV100" s="965"/>
      <c r="DW100" s="965"/>
      <c r="DX100" s="965"/>
      <c r="DY100" s="965"/>
      <c r="DZ100" s="965"/>
      <c r="EA100" s="965"/>
      <c r="EB100" s="965"/>
      <c r="EC100" s="965"/>
      <c r="ED100" s="965"/>
      <c r="EE100" s="965"/>
      <c r="EF100" s="965"/>
      <c r="EG100" s="965"/>
      <c r="EH100" s="965"/>
      <c r="EI100" s="965"/>
      <c r="EJ100" s="965"/>
      <c r="EK100" s="965"/>
      <c r="EL100" s="965"/>
      <c r="EM100" s="965"/>
      <c r="EN100" s="965"/>
      <c r="EO100" s="965"/>
      <c r="EP100" s="965"/>
      <c r="EQ100" s="965"/>
      <c r="ER100" s="965"/>
      <c r="ES100" s="965"/>
      <c r="ET100" s="965"/>
      <c r="EU100" s="965"/>
      <c r="EV100" s="965"/>
      <c r="EW100" s="965"/>
      <c r="EX100" s="965"/>
      <c r="EY100" s="965"/>
      <c r="EZ100" s="965"/>
      <c r="FA100" s="965"/>
      <c r="FB100" s="965"/>
      <c r="FC100" s="965"/>
      <c r="FD100" s="965"/>
      <c r="FE100" s="965"/>
      <c r="FF100" s="965"/>
      <c r="FG100" s="965"/>
      <c r="FH100" s="965"/>
      <c r="FI100" s="965"/>
      <c r="FJ100" s="965"/>
      <c r="FK100" s="965"/>
      <c r="FL100" s="965"/>
      <c r="FM100" s="965"/>
      <c r="FN100" s="965"/>
      <c r="FO100" s="965"/>
      <c r="FP100" s="965"/>
      <c r="FQ100" s="965"/>
      <c r="FR100" s="965"/>
      <c r="FS100" s="965"/>
      <c r="FT100" s="965"/>
      <c r="FU100" s="965"/>
      <c r="FV100" s="965"/>
      <c r="FW100" s="965"/>
      <c r="FX100" s="965"/>
      <c r="FY100" s="965"/>
      <c r="FZ100" s="965"/>
      <c r="GA100" s="965"/>
      <c r="GB100" s="965"/>
      <c r="GC100" s="965"/>
      <c r="GD100" s="965"/>
      <c r="GE100" s="965"/>
      <c r="GF100" s="965"/>
      <c r="GG100" s="965"/>
      <c r="GH100" s="965"/>
      <c r="GI100" s="965"/>
      <c r="GJ100" s="965"/>
      <c r="GK100" s="965"/>
      <c r="GL100" s="965"/>
      <c r="GM100" s="965"/>
      <c r="GN100" s="965"/>
      <c r="GO100" s="965"/>
      <c r="GP100" s="965"/>
      <c r="GQ100" s="965"/>
      <c r="GR100" s="965"/>
      <c r="GS100" s="965"/>
      <c r="GT100" s="965"/>
      <c r="GU100" s="965"/>
      <c r="GV100" s="965"/>
      <c r="GW100" s="965"/>
      <c r="GX100" s="965"/>
      <c r="GY100" s="965"/>
      <c r="GZ100" s="965"/>
      <c r="HA100" s="965"/>
      <c r="HB100" s="965"/>
      <c r="HC100" s="965"/>
      <c r="HD100" s="965"/>
      <c r="HE100" s="965"/>
      <c r="HF100" s="965"/>
      <c r="HG100" s="965"/>
      <c r="HH100" s="965"/>
      <c r="HI100" s="965"/>
      <c r="HJ100" s="965"/>
      <c r="HK100" s="965"/>
      <c r="HL100" s="965"/>
      <c r="HM100" s="965"/>
      <c r="HN100" s="965"/>
      <c r="HO100" s="965"/>
      <c r="HP100" s="965"/>
      <c r="HQ100" s="965"/>
      <c r="HR100" s="965"/>
      <c r="HS100" s="965"/>
      <c r="HT100" s="965"/>
      <c r="HU100" s="965"/>
      <c r="HV100" s="965"/>
      <c r="HW100" s="965"/>
      <c r="HX100" s="965"/>
      <c r="HY100" s="965"/>
      <c r="HZ100" s="965"/>
      <c r="IA100" s="965"/>
      <c r="IB100" s="965"/>
      <c r="IC100" s="965"/>
      <c r="ID100" s="965"/>
      <c r="IE100" s="965"/>
      <c r="IF100" s="965"/>
      <c r="IG100" s="965"/>
      <c r="IH100" s="965"/>
      <c r="II100" s="965"/>
    </row>
    <row r="101" spans="3:243">
      <c r="C101" s="965"/>
      <c r="D101" s="965"/>
      <c r="E101" s="965"/>
      <c r="F101" s="965"/>
      <c r="G101" s="965"/>
      <c r="H101" s="965"/>
      <c r="I101" s="965"/>
      <c r="J101" s="965"/>
      <c r="K101" s="965"/>
      <c r="L101" s="965"/>
      <c r="M101" s="965"/>
      <c r="N101" s="965"/>
      <c r="O101" s="965"/>
      <c r="P101" s="965"/>
      <c r="Q101" s="965"/>
      <c r="R101" s="965"/>
      <c r="S101" s="965"/>
      <c r="T101" s="965"/>
      <c r="U101" s="965"/>
      <c r="V101" s="965"/>
      <c r="W101" s="965"/>
      <c r="X101" s="965"/>
      <c r="Y101" s="965"/>
      <c r="Z101" s="965"/>
      <c r="AA101" s="965"/>
      <c r="AB101" s="965"/>
      <c r="AC101" s="965"/>
      <c r="AD101" s="965"/>
      <c r="AE101" s="965"/>
      <c r="AF101" s="965"/>
      <c r="AG101" s="965"/>
      <c r="AH101" s="965"/>
      <c r="AI101" s="965"/>
      <c r="AJ101" s="965"/>
      <c r="AK101" s="965"/>
      <c r="AL101" s="965"/>
      <c r="AM101" s="965"/>
      <c r="AN101" s="965"/>
      <c r="AO101" s="965"/>
      <c r="AP101" s="965"/>
      <c r="AQ101" s="965"/>
      <c r="AR101" s="965"/>
      <c r="AS101" s="965"/>
      <c r="AT101" s="965"/>
      <c r="AU101" s="965"/>
      <c r="AV101" s="965"/>
      <c r="AW101" s="965"/>
      <c r="AX101" s="965"/>
      <c r="AY101" s="965"/>
      <c r="AZ101" s="965"/>
      <c r="BA101" s="965"/>
      <c r="BB101" s="965"/>
      <c r="BC101" s="965"/>
      <c r="BD101" s="965"/>
      <c r="BE101" s="965"/>
      <c r="BF101" s="965"/>
      <c r="BG101" s="965"/>
      <c r="BH101" s="965"/>
      <c r="BI101" s="965"/>
      <c r="BJ101" s="965"/>
      <c r="BK101" s="965"/>
      <c r="BL101" s="965"/>
      <c r="BM101" s="965"/>
      <c r="BN101" s="965"/>
      <c r="BO101" s="965"/>
      <c r="BP101" s="965"/>
      <c r="BQ101" s="965"/>
      <c r="BR101" s="965"/>
      <c r="BS101" s="965"/>
      <c r="BT101" s="965"/>
      <c r="BU101" s="965"/>
      <c r="BV101" s="965"/>
      <c r="BW101" s="965"/>
      <c r="BX101" s="965"/>
      <c r="BY101" s="965"/>
      <c r="BZ101" s="965"/>
      <c r="CA101" s="965"/>
      <c r="CB101" s="965"/>
      <c r="CC101" s="965"/>
      <c r="CD101" s="965"/>
      <c r="CE101" s="965"/>
      <c r="CF101" s="965"/>
      <c r="CG101" s="965"/>
      <c r="CH101" s="965"/>
      <c r="CI101" s="965"/>
      <c r="CJ101" s="965"/>
      <c r="CK101" s="965"/>
      <c r="CL101" s="965"/>
      <c r="CM101" s="965"/>
      <c r="CN101" s="965"/>
      <c r="CO101" s="965"/>
      <c r="CP101" s="965"/>
      <c r="CQ101" s="965"/>
      <c r="CR101" s="965"/>
      <c r="CS101" s="965"/>
      <c r="CT101" s="965"/>
      <c r="CU101" s="965"/>
      <c r="CV101" s="965"/>
      <c r="CW101" s="965"/>
      <c r="CX101" s="965"/>
      <c r="CY101" s="965"/>
      <c r="CZ101" s="965"/>
      <c r="DA101" s="965"/>
      <c r="DB101" s="965"/>
      <c r="DC101" s="965"/>
      <c r="DD101" s="965"/>
      <c r="DE101" s="965"/>
      <c r="DF101" s="965"/>
      <c r="DG101" s="965"/>
      <c r="DH101" s="965"/>
      <c r="DI101" s="965"/>
      <c r="DJ101" s="965"/>
      <c r="DK101" s="965"/>
      <c r="DL101" s="965"/>
      <c r="DM101" s="965"/>
      <c r="DN101" s="965"/>
      <c r="DO101" s="965"/>
      <c r="DP101" s="965"/>
      <c r="DQ101" s="965"/>
      <c r="DR101" s="965"/>
      <c r="DS101" s="965"/>
      <c r="DT101" s="965"/>
      <c r="DU101" s="965"/>
      <c r="DV101" s="965"/>
      <c r="DW101" s="965"/>
      <c r="DX101" s="965"/>
      <c r="DY101" s="965"/>
      <c r="DZ101" s="965"/>
      <c r="EA101" s="965"/>
      <c r="EB101" s="965"/>
      <c r="EC101" s="965"/>
      <c r="ED101" s="965"/>
      <c r="EE101" s="965"/>
      <c r="EF101" s="965"/>
      <c r="EG101" s="965"/>
      <c r="EH101" s="965"/>
      <c r="EI101" s="965"/>
      <c r="EJ101" s="965"/>
      <c r="EK101" s="965"/>
      <c r="EL101" s="965"/>
      <c r="EM101" s="965"/>
      <c r="EN101" s="965"/>
      <c r="EO101" s="965"/>
      <c r="EP101" s="965"/>
      <c r="EQ101" s="965"/>
      <c r="ER101" s="965"/>
      <c r="ES101" s="965"/>
      <c r="ET101" s="965"/>
      <c r="EU101" s="965"/>
      <c r="EV101" s="965"/>
      <c r="EW101" s="965"/>
      <c r="EX101" s="965"/>
      <c r="EY101" s="965"/>
      <c r="EZ101" s="965"/>
      <c r="FA101" s="965"/>
      <c r="FB101" s="965"/>
      <c r="FC101" s="965"/>
      <c r="FD101" s="965"/>
      <c r="FE101" s="965"/>
      <c r="FF101" s="965"/>
      <c r="FG101" s="965"/>
      <c r="FH101" s="965"/>
      <c r="FI101" s="965"/>
      <c r="FJ101" s="965"/>
      <c r="FK101" s="965"/>
      <c r="FL101" s="965"/>
      <c r="FM101" s="965"/>
      <c r="FN101" s="965"/>
      <c r="FO101" s="965"/>
      <c r="FP101" s="965"/>
      <c r="FQ101" s="965"/>
      <c r="FR101" s="965"/>
      <c r="FS101" s="965"/>
      <c r="FT101" s="965"/>
      <c r="FU101" s="965"/>
      <c r="FV101" s="965"/>
      <c r="FW101" s="965"/>
      <c r="FX101" s="965"/>
      <c r="FY101" s="965"/>
      <c r="FZ101" s="965"/>
      <c r="GA101" s="965"/>
      <c r="GB101" s="965"/>
      <c r="GC101" s="965"/>
      <c r="GD101" s="965"/>
      <c r="GE101" s="965"/>
      <c r="GF101" s="965"/>
      <c r="GG101" s="965"/>
      <c r="GH101" s="965"/>
      <c r="GI101" s="965"/>
      <c r="GJ101" s="965"/>
      <c r="GK101" s="965"/>
      <c r="GL101" s="965"/>
      <c r="GM101" s="965"/>
      <c r="GN101" s="965"/>
      <c r="GO101" s="965"/>
      <c r="GP101" s="965"/>
      <c r="GQ101" s="965"/>
      <c r="GR101" s="965"/>
      <c r="GS101" s="965"/>
      <c r="GT101" s="965"/>
      <c r="GU101" s="965"/>
      <c r="GV101" s="965"/>
      <c r="GW101" s="965"/>
      <c r="GX101" s="965"/>
      <c r="GY101" s="965"/>
      <c r="GZ101" s="965"/>
      <c r="HA101" s="965"/>
      <c r="HB101" s="965"/>
      <c r="HC101" s="965"/>
      <c r="HD101" s="965"/>
      <c r="HE101" s="965"/>
      <c r="HF101" s="965"/>
      <c r="HG101" s="965"/>
      <c r="HH101" s="965"/>
      <c r="HI101" s="965"/>
      <c r="HJ101" s="965"/>
      <c r="HK101" s="965"/>
      <c r="HL101" s="965"/>
      <c r="HM101" s="965"/>
      <c r="HN101" s="965"/>
      <c r="HO101" s="965"/>
      <c r="HP101" s="965"/>
      <c r="HQ101" s="965"/>
      <c r="HR101" s="965"/>
      <c r="HS101" s="965"/>
      <c r="HT101" s="965"/>
      <c r="HU101" s="965"/>
      <c r="HV101" s="965"/>
      <c r="HW101" s="965"/>
      <c r="HX101" s="965"/>
      <c r="HY101" s="965"/>
      <c r="HZ101" s="965"/>
      <c r="IA101" s="965"/>
      <c r="IB101" s="965"/>
      <c r="IC101" s="965"/>
      <c r="ID101" s="965"/>
      <c r="IE101" s="965"/>
      <c r="IF101" s="965"/>
      <c r="IG101" s="965"/>
      <c r="IH101" s="965"/>
      <c r="II101" s="965"/>
    </row>
    <row r="102" spans="3:243">
      <c r="C102" s="965"/>
      <c r="D102" s="965"/>
      <c r="E102" s="965"/>
      <c r="F102" s="965"/>
      <c r="G102" s="965"/>
      <c r="H102" s="965"/>
      <c r="I102" s="965"/>
      <c r="J102" s="965"/>
      <c r="K102" s="965"/>
      <c r="L102" s="965"/>
      <c r="M102" s="965"/>
      <c r="N102" s="965"/>
      <c r="O102" s="965"/>
      <c r="P102" s="965"/>
      <c r="Q102" s="965"/>
      <c r="R102" s="965"/>
      <c r="S102" s="965"/>
      <c r="T102" s="965"/>
      <c r="U102" s="965"/>
      <c r="V102" s="965"/>
      <c r="W102" s="965"/>
      <c r="X102" s="965"/>
      <c r="Y102" s="965"/>
      <c r="Z102" s="965"/>
      <c r="AA102" s="965"/>
      <c r="AB102" s="965"/>
      <c r="AC102" s="965"/>
      <c r="AD102" s="965"/>
      <c r="AE102" s="965"/>
      <c r="AF102" s="965"/>
      <c r="AG102" s="965"/>
      <c r="AH102" s="965"/>
      <c r="AI102" s="965"/>
      <c r="AJ102" s="965"/>
      <c r="AK102" s="965"/>
      <c r="AL102" s="965"/>
      <c r="AM102" s="965"/>
      <c r="AN102" s="965"/>
      <c r="AO102" s="965"/>
      <c r="AP102" s="965"/>
      <c r="AQ102" s="965"/>
      <c r="AR102" s="965"/>
      <c r="AS102" s="965"/>
      <c r="AT102" s="965"/>
      <c r="AU102" s="965"/>
      <c r="AV102" s="965"/>
      <c r="AW102" s="965"/>
      <c r="AX102" s="965"/>
      <c r="AY102" s="965"/>
      <c r="AZ102" s="965"/>
      <c r="BA102" s="965"/>
      <c r="BB102" s="965"/>
      <c r="BC102" s="965"/>
      <c r="BD102" s="965"/>
      <c r="BE102" s="965"/>
      <c r="BF102" s="965"/>
      <c r="BG102" s="965"/>
      <c r="BH102" s="965"/>
      <c r="BI102" s="965"/>
      <c r="BJ102" s="965"/>
      <c r="BK102" s="965"/>
      <c r="BL102" s="965"/>
      <c r="BM102" s="965"/>
      <c r="BN102" s="965"/>
      <c r="BO102" s="965"/>
      <c r="BP102" s="965"/>
      <c r="BQ102" s="965"/>
      <c r="BR102" s="965"/>
      <c r="BS102" s="965"/>
      <c r="BT102" s="965"/>
      <c r="BU102" s="965"/>
      <c r="BV102" s="965"/>
      <c r="BW102" s="965"/>
      <c r="BX102" s="965"/>
      <c r="BY102" s="965"/>
      <c r="BZ102" s="965"/>
      <c r="CA102" s="965"/>
      <c r="CB102" s="965"/>
      <c r="CC102" s="965"/>
      <c r="CD102" s="965"/>
      <c r="CE102" s="965"/>
      <c r="CF102" s="965"/>
      <c r="CG102" s="965"/>
      <c r="CH102" s="965"/>
      <c r="CI102" s="965"/>
      <c r="CJ102" s="965"/>
      <c r="CK102" s="965"/>
      <c r="CL102" s="965"/>
      <c r="CM102" s="965"/>
      <c r="CN102" s="965"/>
      <c r="CO102" s="965"/>
      <c r="CP102" s="965"/>
      <c r="CQ102" s="965"/>
      <c r="CR102" s="965"/>
      <c r="CS102" s="965"/>
      <c r="CT102" s="965"/>
      <c r="CU102" s="965"/>
      <c r="CV102" s="965"/>
      <c r="CW102" s="965"/>
      <c r="CX102" s="965"/>
      <c r="CY102" s="965"/>
      <c r="CZ102" s="965"/>
      <c r="DA102" s="965"/>
      <c r="DB102" s="965"/>
      <c r="DC102" s="965"/>
      <c r="DD102" s="965"/>
      <c r="DE102" s="965"/>
      <c r="DF102" s="965"/>
      <c r="DG102" s="965"/>
      <c r="DH102" s="965"/>
      <c r="DI102" s="965"/>
      <c r="DJ102" s="965"/>
      <c r="DK102" s="965"/>
      <c r="DL102" s="965"/>
      <c r="DM102" s="965"/>
      <c r="DN102" s="965"/>
      <c r="DO102" s="965"/>
      <c r="DP102" s="965"/>
      <c r="DQ102" s="965"/>
      <c r="DR102" s="965"/>
      <c r="DS102" s="965"/>
      <c r="DT102" s="965"/>
      <c r="DU102" s="965"/>
      <c r="DV102" s="965"/>
      <c r="DW102" s="965"/>
      <c r="DX102" s="965"/>
      <c r="DY102" s="965"/>
      <c r="DZ102" s="965"/>
      <c r="EA102" s="965"/>
      <c r="EB102" s="965"/>
      <c r="EC102" s="965"/>
      <c r="ED102" s="965"/>
      <c r="EE102" s="965"/>
      <c r="EF102" s="965"/>
      <c r="EG102" s="965"/>
      <c r="EH102" s="965"/>
      <c r="EI102" s="965"/>
      <c r="EJ102" s="965"/>
      <c r="EK102" s="965"/>
      <c r="EL102" s="965"/>
      <c r="EM102" s="965"/>
      <c r="EN102" s="965"/>
      <c r="EO102" s="965"/>
      <c r="EP102" s="965"/>
      <c r="EQ102" s="965"/>
      <c r="ER102" s="965"/>
      <c r="ES102" s="965"/>
      <c r="ET102" s="965"/>
      <c r="EU102" s="965"/>
      <c r="EV102" s="965"/>
      <c r="EW102" s="965"/>
      <c r="EX102" s="965"/>
      <c r="EY102" s="965"/>
      <c r="EZ102" s="965"/>
      <c r="FA102" s="965"/>
      <c r="FB102" s="965"/>
      <c r="FC102" s="965"/>
      <c r="FD102" s="965"/>
      <c r="FE102" s="965"/>
      <c r="FF102" s="965"/>
      <c r="FG102" s="965"/>
      <c r="FH102" s="965"/>
      <c r="FI102" s="965"/>
      <c r="FJ102" s="965"/>
      <c r="FK102" s="965"/>
      <c r="FL102" s="965"/>
      <c r="FM102" s="965"/>
      <c r="FN102" s="965"/>
      <c r="FO102" s="965"/>
      <c r="FP102" s="965"/>
      <c r="FQ102" s="965"/>
      <c r="FR102" s="965"/>
      <c r="FS102" s="965"/>
      <c r="FT102" s="965"/>
      <c r="FU102" s="965"/>
      <c r="FV102" s="965"/>
      <c r="FW102" s="965"/>
      <c r="FX102" s="965"/>
      <c r="FY102" s="965"/>
      <c r="FZ102" s="965"/>
      <c r="GA102" s="965"/>
      <c r="GB102" s="965"/>
      <c r="GC102" s="965"/>
      <c r="GD102" s="965"/>
      <c r="GE102" s="965"/>
      <c r="GF102" s="965"/>
      <c r="GG102" s="965"/>
      <c r="GH102" s="965"/>
      <c r="GI102" s="965"/>
      <c r="GJ102" s="965"/>
      <c r="GK102" s="965"/>
      <c r="GL102" s="965"/>
      <c r="GM102" s="965"/>
      <c r="GN102" s="965"/>
      <c r="GO102" s="965"/>
      <c r="GP102" s="965"/>
      <c r="GQ102" s="965"/>
      <c r="GR102" s="965"/>
      <c r="GS102" s="965"/>
      <c r="GT102" s="965"/>
      <c r="GU102" s="965"/>
      <c r="GV102" s="965"/>
      <c r="GW102" s="965"/>
      <c r="GX102" s="965"/>
      <c r="GY102" s="965"/>
      <c r="GZ102" s="965"/>
      <c r="HA102" s="965"/>
      <c r="HB102" s="965"/>
      <c r="HC102" s="965"/>
      <c r="HD102" s="965"/>
      <c r="HE102" s="965"/>
      <c r="HF102" s="965"/>
      <c r="HG102" s="965"/>
      <c r="HH102" s="965"/>
      <c r="HI102" s="965"/>
      <c r="HJ102" s="965"/>
      <c r="HK102" s="965"/>
      <c r="HL102" s="965"/>
      <c r="HM102" s="965"/>
      <c r="HN102" s="965"/>
      <c r="HO102" s="965"/>
      <c r="HP102" s="965"/>
      <c r="HQ102" s="965"/>
      <c r="HR102" s="965"/>
      <c r="HS102" s="965"/>
      <c r="HT102" s="965"/>
      <c r="HU102" s="965"/>
      <c r="HV102" s="965"/>
      <c r="HW102" s="965"/>
      <c r="HX102" s="965"/>
      <c r="HY102" s="965"/>
      <c r="HZ102" s="965"/>
      <c r="IA102" s="965"/>
      <c r="IB102" s="965"/>
      <c r="IC102" s="965"/>
      <c r="ID102" s="965"/>
      <c r="IE102" s="965"/>
      <c r="IF102" s="965"/>
      <c r="IG102" s="965"/>
      <c r="IH102" s="965"/>
      <c r="II102" s="965"/>
    </row>
    <row r="103" spans="3:243">
      <c r="C103" s="965"/>
      <c r="D103" s="965"/>
      <c r="E103" s="965"/>
      <c r="F103" s="965"/>
      <c r="G103" s="965"/>
      <c r="H103" s="965"/>
      <c r="I103" s="965"/>
      <c r="J103" s="965"/>
      <c r="K103" s="965"/>
      <c r="L103" s="965"/>
      <c r="M103" s="965"/>
      <c r="N103" s="965"/>
      <c r="O103" s="965"/>
      <c r="P103" s="965"/>
      <c r="Q103" s="965"/>
      <c r="R103" s="965"/>
      <c r="S103" s="965"/>
      <c r="T103" s="965"/>
      <c r="U103" s="965"/>
      <c r="V103" s="965"/>
      <c r="W103" s="965"/>
      <c r="X103" s="965"/>
      <c r="Y103" s="965"/>
      <c r="Z103" s="965"/>
      <c r="AA103" s="965"/>
      <c r="AB103" s="965"/>
      <c r="AC103" s="965"/>
      <c r="AD103" s="965"/>
      <c r="AE103" s="965"/>
      <c r="AF103" s="965"/>
      <c r="AG103" s="965"/>
      <c r="AH103" s="965"/>
      <c r="AI103" s="965"/>
      <c r="AJ103" s="965"/>
      <c r="AK103" s="965"/>
      <c r="AL103" s="965"/>
      <c r="AM103" s="965"/>
      <c r="AN103" s="965"/>
      <c r="AO103" s="965"/>
      <c r="AP103" s="965"/>
      <c r="AQ103" s="965"/>
      <c r="AR103" s="965"/>
      <c r="AS103" s="965"/>
      <c r="AT103" s="965"/>
      <c r="AU103" s="965"/>
      <c r="AV103" s="965"/>
      <c r="AW103" s="965"/>
      <c r="AX103" s="965"/>
      <c r="AY103" s="965"/>
      <c r="AZ103" s="965"/>
      <c r="BA103" s="965"/>
      <c r="BB103" s="965"/>
      <c r="BC103" s="965"/>
      <c r="BD103" s="965"/>
      <c r="BE103" s="965"/>
      <c r="BF103" s="965"/>
      <c r="BG103" s="965"/>
      <c r="BH103" s="965"/>
      <c r="BI103" s="965"/>
      <c r="BJ103" s="965"/>
      <c r="BK103" s="965"/>
      <c r="BL103" s="965"/>
      <c r="BM103" s="965"/>
      <c r="BN103" s="965"/>
      <c r="BO103" s="965"/>
      <c r="BP103" s="965"/>
      <c r="BQ103" s="965"/>
      <c r="BR103" s="965"/>
      <c r="BS103" s="965"/>
      <c r="BT103" s="965"/>
      <c r="BU103" s="965"/>
      <c r="BV103" s="965"/>
      <c r="BW103" s="965"/>
      <c r="BX103" s="965"/>
      <c r="BY103" s="965"/>
      <c r="BZ103" s="965"/>
      <c r="CA103" s="965"/>
      <c r="CB103" s="965"/>
      <c r="CC103" s="965"/>
      <c r="CD103" s="965"/>
      <c r="CE103" s="965"/>
      <c r="CF103" s="965"/>
      <c r="CG103" s="965"/>
      <c r="CH103" s="965"/>
      <c r="CI103" s="965"/>
      <c r="CJ103" s="965"/>
      <c r="CK103" s="965"/>
      <c r="CL103" s="965"/>
      <c r="CM103" s="965"/>
      <c r="CN103" s="965"/>
      <c r="CO103" s="965"/>
      <c r="CP103" s="965"/>
      <c r="CQ103" s="965"/>
      <c r="CR103" s="965"/>
      <c r="CS103" s="965"/>
      <c r="CT103" s="965"/>
      <c r="CU103" s="965"/>
      <c r="CV103" s="965"/>
      <c r="CW103" s="965"/>
      <c r="CX103" s="965"/>
      <c r="CY103" s="965"/>
      <c r="CZ103" s="965"/>
      <c r="DA103" s="965"/>
      <c r="DB103" s="965"/>
      <c r="DC103" s="965"/>
      <c r="DD103" s="965"/>
      <c r="DE103" s="965"/>
      <c r="DF103" s="965"/>
      <c r="DG103" s="965"/>
      <c r="DH103" s="965"/>
      <c r="DI103" s="965"/>
      <c r="DJ103" s="965"/>
      <c r="DK103" s="965"/>
      <c r="DL103" s="965"/>
      <c r="DM103" s="965"/>
      <c r="DN103" s="965"/>
      <c r="DO103" s="965"/>
      <c r="DP103" s="965"/>
      <c r="DQ103" s="965"/>
      <c r="DR103" s="965"/>
      <c r="DS103" s="965"/>
      <c r="DT103" s="965"/>
      <c r="DU103" s="965"/>
      <c r="DV103" s="965"/>
      <c r="DW103" s="965"/>
      <c r="DX103" s="965"/>
      <c r="DY103" s="965"/>
      <c r="DZ103" s="965"/>
      <c r="EA103" s="965"/>
      <c r="EB103" s="965"/>
      <c r="EC103" s="965"/>
      <c r="ED103" s="965"/>
      <c r="EE103" s="965"/>
      <c r="EF103" s="965"/>
      <c r="EG103" s="965"/>
      <c r="EH103" s="965"/>
      <c r="EI103" s="965"/>
      <c r="EJ103" s="965"/>
      <c r="EK103" s="965"/>
      <c r="EL103" s="965"/>
      <c r="EM103" s="965"/>
      <c r="EN103" s="965"/>
      <c r="EO103" s="965"/>
      <c r="EP103" s="965"/>
      <c r="EQ103" s="965"/>
      <c r="ER103" s="965"/>
      <c r="ES103" s="965"/>
      <c r="ET103" s="965"/>
      <c r="EU103" s="965"/>
      <c r="EV103" s="965"/>
      <c r="EW103" s="965"/>
      <c r="EX103" s="965"/>
      <c r="EY103" s="965"/>
      <c r="EZ103" s="965"/>
      <c r="FA103" s="965"/>
      <c r="FB103" s="965"/>
      <c r="FC103" s="965"/>
      <c r="FD103" s="965"/>
      <c r="FE103" s="965"/>
      <c r="FF103" s="965"/>
      <c r="FG103" s="965"/>
      <c r="FH103" s="965"/>
      <c r="FI103" s="965"/>
      <c r="FJ103" s="965"/>
      <c r="FK103" s="965"/>
      <c r="FL103" s="965"/>
      <c r="FM103" s="965"/>
      <c r="FN103" s="965"/>
      <c r="FO103" s="965"/>
      <c r="FP103" s="965"/>
      <c r="FQ103" s="965"/>
      <c r="FR103" s="965"/>
      <c r="FS103" s="965"/>
      <c r="FT103" s="965"/>
      <c r="FU103" s="965"/>
      <c r="FV103" s="965"/>
      <c r="FW103" s="965"/>
      <c r="FX103" s="965"/>
      <c r="FY103" s="965"/>
      <c r="FZ103" s="965"/>
      <c r="GA103" s="965"/>
      <c r="GB103" s="965"/>
      <c r="GC103" s="965"/>
      <c r="GD103" s="965"/>
      <c r="GE103" s="965"/>
      <c r="GF103" s="965"/>
      <c r="GG103" s="965"/>
      <c r="GH103" s="965"/>
      <c r="GI103" s="965"/>
      <c r="GJ103" s="965"/>
      <c r="GK103" s="965"/>
      <c r="GL103" s="965"/>
      <c r="GM103" s="965"/>
      <c r="GN103" s="965"/>
      <c r="GO103" s="965"/>
      <c r="GP103" s="965"/>
      <c r="GQ103" s="965"/>
      <c r="GR103" s="965"/>
      <c r="GS103" s="965"/>
      <c r="GT103" s="965"/>
      <c r="GU103" s="965"/>
      <c r="GV103" s="965"/>
      <c r="GW103" s="965"/>
      <c r="GX103" s="965"/>
      <c r="GY103" s="965"/>
      <c r="GZ103" s="965"/>
      <c r="HA103" s="965"/>
      <c r="HB103" s="965"/>
      <c r="HC103" s="965"/>
      <c r="HD103" s="965"/>
      <c r="HE103" s="965"/>
      <c r="HF103" s="965"/>
      <c r="HG103" s="965"/>
      <c r="HH103" s="965"/>
      <c r="HI103" s="965"/>
      <c r="HJ103" s="965"/>
      <c r="HK103" s="965"/>
      <c r="HL103" s="965"/>
      <c r="HM103" s="965"/>
      <c r="HN103" s="965"/>
      <c r="HO103" s="965"/>
      <c r="HP103" s="965"/>
      <c r="HQ103" s="965"/>
      <c r="HR103" s="965"/>
      <c r="HS103" s="965"/>
      <c r="HT103" s="965"/>
      <c r="HU103" s="965"/>
      <c r="HV103" s="965"/>
      <c r="HW103" s="965"/>
      <c r="HX103" s="965"/>
      <c r="HY103" s="965"/>
      <c r="HZ103" s="965"/>
      <c r="IA103" s="965"/>
      <c r="IB103" s="965"/>
      <c r="IC103" s="965"/>
      <c r="ID103" s="965"/>
      <c r="IE103" s="965"/>
      <c r="IF103" s="965"/>
      <c r="IG103" s="965"/>
      <c r="IH103" s="965"/>
      <c r="II103" s="965"/>
    </row>
    <row r="104" spans="3:243">
      <c r="C104" s="965"/>
      <c r="D104" s="965"/>
      <c r="E104" s="965"/>
      <c r="F104" s="965"/>
      <c r="G104" s="965"/>
      <c r="H104" s="965"/>
      <c r="I104" s="965"/>
      <c r="J104" s="965"/>
      <c r="K104" s="965"/>
      <c r="L104" s="965"/>
      <c r="M104" s="965"/>
      <c r="N104" s="965"/>
      <c r="O104" s="965"/>
      <c r="P104" s="965"/>
      <c r="Q104" s="965"/>
      <c r="R104" s="965"/>
      <c r="S104" s="965"/>
      <c r="T104" s="965"/>
      <c r="U104" s="965"/>
      <c r="V104" s="965"/>
      <c r="W104" s="965"/>
      <c r="X104" s="965"/>
      <c r="Y104" s="965"/>
      <c r="Z104" s="965"/>
      <c r="AA104" s="965"/>
      <c r="AB104" s="965"/>
      <c r="AC104" s="965"/>
      <c r="AD104" s="965"/>
      <c r="AE104" s="965"/>
      <c r="AF104" s="965"/>
      <c r="AG104" s="965"/>
      <c r="AH104" s="965"/>
      <c r="AI104" s="965"/>
      <c r="AJ104" s="965"/>
      <c r="AK104" s="965"/>
      <c r="AL104" s="965"/>
      <c r="AM104" s="965"/>
      <c r="AN104" s="965"/>
      <c r="AO104" s="965"/>
      <c r="AP104" s="965"/>
      <c r="AQ104" s="965"/>
      <c r="AR104" s="965"/>
      <c r="AS104" s="965"/>
      <c r="AT104" s="965"/>
      <c r="AU104" s="965"/>
      <c r="AV104" s="965"/>
      <c r="AW104" s="965"/>
      <c r="AX104" s="965"/>
      <c r="AY104" s="965"/>
      <c r="AZ104" s="965"/>
      <c r="BA104" s="965"/>
      <c r="BB104" s="965"/>
      <c r="BC104" s="965"/>
      <c r="BD104" s="965"/>
      <c r="BE104" s="965"/>
      <c r="BF104" s="965"/>
      <c r="BG104" s="965"/>
      <c r="BH104" s="965"/>
      <c r="BI104" s="965"/>
      <c r="BJ104" s="965"/>
      <c r="BK104" s="965"/>
      <c r="BL104" s="965"/>
      <c r="BM104" s="965"/>
      <c r="BN104" s="965"/>
      <c r="BO104" s="965"/>
      <c r="BP104" s="965"/>
      <c r="BQ104" s="965"/>
      <c r="BR104" s="965"/>
      <c r="BS104" s="965"/>
      <c r="BT104" s="965"/>
      <c r="BU104" s="965"/>
      <c r="BV104" s="965"/>
      <c r="BW104" s="965"/>
      <c r="BX104" s="965"/>
      <c r="BY104" s="965"/>
      <c r="BZ104" s="965"/>
      <c r="CA104" s="965"/>
      <c r="CB104" s="965"/>
      <c r="CC104" s="965"/>
      <c r="CD104" s="965"/>
      <c r="CE104" s="965"/>
      <c r="CF104" s="965"/>
      <c r="CG104" s="965"/>
      <c r="CH104" s="965"/>
      <c r="CI104" s="965"/>
      <c r="CJ104" s="965"/>
      <c r="CK104" s="965"/>
      <c r="CL104" s="965"/>
      <c r="CM104" s="965"/>
      <c r="CN104" s="965"/>
      <c r="CO104" s="965"/>
      <c r="CP104" s="965"/>
      <c r="CQ104" s="965"/>
      <c r="CR104" s="965"/>
      <c r="CS104" s="965"/>
      <c r="CT104" s="965"/>
      <c r="CU104" s="965"/>
      <c r="CV104" s="965"/>
      <c r="CW104" s="965"/>
      <c r="CX104" s="965"/>
      <c r="CY104" s="965"/>
      <c r="CZ104" s="965"/>
      <c r="DA104" s="965"/>
      <c r="DB104" s="965"/>
      <c r="DC104" s="965"/>
      <c r="DD104" s="965"/>
      <c r="DE104" s="965"/>
      <c r="DF104" s="965"/>
      <c r="DG104" s="965"/>
      <c r="DH104" s="965"/>
      <c r="DI104" s="965"/>
      <c r="DJ104" s="965"/>
      <c r="DK104" s="965"/>
      <c r="DL104" s="965"/>
      <c r="DM104" s="965"/>
      <c r="DN104" s="965"/>
      <c r="DO104" s="965"/>
      <c r="DP104" s="965"/>
      <c r="DQ104" s="965"/>
      <c r="DR104" s="965"/>
      <c r="DS104" s="965"/>
      <c r="DT104" s="965"/>
      <c r="DU104" s="965"/>
      <c r="DV104" s="965"/>
      <c r="DW104" s="965"/>
      <c r="DX104" s="965"/>
      <c r="DY104" s="965"/>
      <c r="DZ104" s="965"/>
      <c r="EA104" s="965"/>
      <c r="EB104" s="965"/>
      <c r="EC104" s="965"/>
      <c r="ED104" s="965"/>
      <c r="EE104" s="965"/>
      <c r="EF104" s="965"/>
      <c r="EG104" s="965"/>
      <c r="EH104" s="965"/>
      <c r="EI104" s="965"/>
      <c r="EJ104" s="965"/>
      <c r="EK104" s="965"/>
      <c r="EL104" s="965"/>
      <c r="EM104" s="965"/>
      <c r="EN104" s="965"/>
      <c r="EO104" s="965"/>
      <c r="EP104" s="965"/>
      <c r="EQ104" s="965"/>
      <c r="ER104" s="965"/>
      <c r="ES104" s="965"/>
      <c r="ET104" s="965"/>
      <c r="EU104" s="965"/>
      <c r="EV104" s="965"/>
      <c r="EW104" s="965"/>
      <c r="EX104" s="965"/>
      <c r="EY104" s="965"/>
      <c r="EZ104" s="965"/>
      <c r="FA104" s="965"/>
      <c r="FB104" s="965"/>
      <c r="FC104" s="965"/>
      <c r="FD104" s="965"/>
      <c r="FE104" s="965"/>
      <c r="FF104" s="965"/>
      <c r="FG104" s="965"/>
      <c r="FH104" s="965"/>
      <c r="FI104" s="965"/>
      <c r="FJ104" s="965"/>
      <c r="FK104" s="965"/>
      <c r="FL104" s="965"/>
      <c r="FM104" s="965"/>
      <c r="FN104" s="965"/>
      <c r="FO104" s="965"/>
      <c r="FP104" s="965"/>
      <c r="FQ104" s="965"/>
      <c r="FR104" s="965"/>
      <c r="FS104" s="965"/>
      <c r="FT104" s="965"/>
      <c r="FU104" s="965"/>
      <c r="FV104" s="965"/>
      <c r="FW104" s="965"/>
      <c r="FX104" s="965"/>
      <c r="FY104" s="965"/>
      <c r="FZ104" s="965"/>
      <c r="GA104" s="965"/>
      <c r="GB104" s="965"/>
      <c r="GC104" s="965"/>
      <c r="GD104" s="965"/>
      <c r="GE104" s="965"/>
      <c r="GF104" s="965"/>
      <c r="GG104" s="965"/>
      <c r="GH104" s="965"/>
      <c r="GI104" s="965"/>
      <c r="GJ104" s="965"/>
      <c r="GK104" s="965"/>
      <c r="GL104" s="965"/>
      <c r="GM104" s="965"/>
      <c r="GN104" s="965"/>
      <c r="GO104" s="965"/>
      <c r="GP104" s="965"/>
      <c r="GQ104" s="965"/>
      <c r="GR104" s="965"/>
      <c r="GS104" s="965"/>
      <c r="GT104" s="965"/>
      <c r="GU104" s="965"/>
      <c r="GV104" s="965"/>
      <c r="GW104" s="965"/>
      <c r="GX104" s="965"/>
      <c r="GY104" s="965"/>
      <c r="GZ104" s="965"/>
      <c r="HA104" s="965"/>
      <c r="HB104" s="965"/>
      <c r="HC104" s="965"/>
      <c r="HD104" s="965"/>
      <c r="HE104" s="965"/>
      <c r="HF104" s="965"/>
      <c r="HG104" s="965"/>
      <c r="HH104" s="965"/>
      <c r="HI104" s="965"/>
      <c r="HJ104" s="965"/>
      <c r="HK104" s="965"/>
      <c r="HL104" s="965"/>
      <c r="HM104" s="965"/>
      <c r="HN104" s="965"/>
      <c r="HO104" s="965"/>
      <c r="HP104" s="965"/>
      <c r="HQ104" s="965"/>
      <c r="HR104" s="965"/>
      <c r="HS104" s="965"/>
      <c r="HT104" s="965"/>
      <c r="HU104" s="965"/>
      <c r="HV104" s="965"/>
      <c r="HW104" s="965"/>
      <c r="HX104" s="965"/>
      <c r="HY104" s="965"/>
      <c r="HZ104" s="965"/>
      <c r="IA104" s="965"/>
      <c r="IB104" s="965"/>
      <c r="IC104" s="965"/>
      <c r="ID104" s="965"/>
      <c r="IE104" s="965"/>
      <c r="IF104" s="965"/>
      <c r="IG104" s="965"/>
      <c r="IH104" s="965"/>
      <c r="II104" s="965"/>
    </row>
    <row r="105" spans="3:243">
      <c r="C105" s="965"/>
      <c r="D105" s="965"/>
      <c r="E105" s="965"/>
      <c r="F105" s="965"/>
      <c r="G105" s="965"/>
      <c r="H105" s="965"/>
      <c r="I105" s="965"/>
      <c r="J105" s="965"/>
      <c r="K105" s="965"/>
      <c r="L105" s="965"/>
      <c r="M105" s="965"/>
      <c r="N105" s="965"/>
      <c r="O105" s="965"/>
      <c r="P105" s="965"/>
      <c r="Q105" s="965"/>
      <c r="R105" s="965"/>
      <c r="S105" s="965"/>
      <c r="T105" s="965"/>
      <c r="U105" s="965"/>
      <c r="V105" s="965"/>
      <c r="W105" s="965"/>
      <c r="X105" s="965"/>
      <c r="Y105" s="965"/>
      <c r="Z105" s="965"/>
      <c r="AA105" s="965"/>
      <c r="AB105" s="965"/>
      <c r="AC105" s="965"/>
      <c r="AD105" s="965"/>
      <c r="AE105" s="965"/>
      <c r="AF105" s="965"/>
      <c r="AG105" s="965"/>
      <c r="AH105" s="965"/>
      <c r="AI105" s="965"/>
      <c r="AJ105" s="965"/>
      <c r="AK105" s="965"/>
      <c r="AL105" s="965"/>
      <c r="AM105" s="965"/>
      <c r="AN105" s="965"/>
      <c r="AO105" s="965"/>
      <c r="AP105" s="965"/>
      <c r="AQ105" s="965"/>
      <c r="AR105" s="965"/>
      <c r="AS105" s="965"/>
      <c r="AT105" s="965"/>
      <c r="AU105" s="965"/>
      <c r="AV105" s="965"/>
      <c r="AW105" s="965"/>
      <c r="AX105" s="965"/>
      <c r="AY105" s="965"/>
      <c r="AZ105" s="965"/>
      <c r="BA105" s="965"/>
      <c r="BB105" s="965"/>
      <c r="BC105" s="965"/>
      <c r="BD105" s="965"/>
      <c r="BE105" s="965"/>
      <c r="BF105" s="965"/>
      <c r="BG105" s="965"/>
      <c r="BH105" s="965"/>
      <c r="BI105" s="965"/>
      <c r="BJ105" s="965"/>
      <c r="BK105" s="965"/>
      <c r="BL105" s="965"/>
      <c r="BM105" s="965"/>
      <c r="BN105" s="965"/>
      <c r="BO105" s="965"/>
      <c r="BP105" s="965"/>
      <c r="BQ105" s="965"/>
      <c r="BR105" s="965"/>
      <c r="BS105" s="965"/>
      <c r="BT105" s="965"/>
      <c r="BU105" s="965"/>
      <c r="BV105" s="965"/>
      <c r="BW105" s="965"/>
      <c r="BX105" s="965"/>
      <c r="BY105" s="965"/>
      <c r="BZ105" s="965"/>
      <c r="CA105" s="965"/>
      <c r="CB105" s="965"/>
      <c r="CC105" s="965"/>
      <c r="CD105" s="965"/>
      <c r="CE105" s="965"/>
      <c r="CF105" s="965"/>
      <c r="CG105" s="965"/>
      <c r="CH105" s="965"/>
      <c r="CI105" s="965"/>
      <c r="CJ105" s="965"/>
      <c r="CK105" s="965"/>
      <c r="CL105" s="965"/>
      <c r="CM105" s="965"/>
      <c r="CN105" s="965"/>
      <c r="CO105" s="965"/>
      <c r="CP105" s="965"/>
      <c r="CQ105" s="965"/>
      <c r="CR105" s="965"/>
      <c r="CS105" s="965"/>
      <c r="CT105" s="965"/>
      <c r="CU105" s="965"/>
      <c r="CV105" s="965"/>
      <c r="CW105" s="965"/>
      <c r="CX105" s="965"/>
      <c r="CY105" s="965"/>
      <c r="CZ105" s="965"/>
      <c r="DA105" s="965"/>
      <c r="DB105" s="965"/>
      <c r="DC105" s="965"/>
      <c r="DD105" s="965"/>
      <c r="DE105" s="965"/>
      <c r="DF105" s="965"/>
      <c r="DG105" s="965"/>
      <c r="DH105" s="965"/>
      <c r="DI105" s="965"/>
      <c r="DJ105" s="965"/>
      <c r="DK105" s="965"/>
      <c r="DL105" s="965"/>
      <c r="DM105" s="965"/>
      <c r="DN105" s="965"/>
      <c r="DO105" s="965"/>
      <c r="DP105" s="965"/>
      <c r="DQ105" s="965"/>
      <c r="DR105" s="965"/>
      <c r="DS105" s="965"/>
      <c r="DT105" s="965"/>
      <c r="DU105" s="965"/>
      <c r="DV105" s="965"/>
      <c r="DW105" s="965"/>
      <c r="DX105" s="965"/>
      <c r="DY105" s="965"/>
      <c r="DZ105" s="965"/>
      <c r="EA105" s="965"/>
      <c r="EB105" s="965"/>
      <c r="EC105" s="965"/>
      <c r="ED105" s="965"/>
      <c r="EE105" s="965"/>
      <c r="EF105" s="965"/>
      <c r="EG105" s="965"/>
      <c r="EH105" s="965"/>
      <c r="EI105" s="965"/>
      <c r="EJ105" s="965"/>
      <c r="EK105" s="965"/>
      <c r="EL105" s="965"/>
      <c r="EM105" s="965"/>
      <c r="EN105" s="965"/>
      <c r="EO105" s="965"/>
      <c r="EP105" s="965"/>
      <c r="EQ105" s="965"/>
      <c r="ER105" s="965"/>
      <c r="ES105" s="965"/>
      <c r="ET105" s="965"/>
      <c r="EU105" s="965"/>
      <c r="EV105" s="965"/>
      <c r="EW105" s="965"/>
      <c r="EX105" s="965"/>
      <c r="EY105" s="965"/>
      <c r="EZ105" s="965"/>
      <c r="FA105" s="965"/>
      <c r="FB105" s="965"/>
      <c r="FC105" s="965"/>
      <c r="FD105" s="965"/>
      <c r="FE105" s="965"/>
      <c r="FF105" s="965"/>
      <c r="FG105" s="965"/>
      <c r="FH105" s="965"/>
      <c r="FI105" s="965"/>
      <c r="FJ105" s="965"/>
      <c r="FK105" s="965"/>
      <c r="FL105" s="965"/>
      <c r="FM105" s="965"/>
      <c r="FN105" s="965"/>
      <c r="FO105" s="965"/>
      <c r="FP105" s="965"/>
      <c r="FQ105" s="965"/>
      <c r="FR105" s="965"/>
      <c r="FS105" s="965"/>
      <c r="FT105" s="965"/>
      <c r="FU105" s="965"/>
      <c r="FV105" s="965"/>
      <c r="FW105" s="965"/>
      <c r="FX105" s="965"/>
      <c r="FY105" s="965"/>
      <c r="FZ105" s="965"/>
      <c r="GA105" s="965"/>
      <c r="GB105" s="965"/>
      <c r="GC105" s="965"/>
      <c r="GD105" s="965"/>
      <c r="GE105" s="965"/>
      <c r="GF105" s="965"/>
      <c r="GG105" s="965"/>
      <c r="GH105" s="965"/>
      <c r="GI105" s="965"/>
      <c r="GJ105" s="965"/>
      <c r="GK105" s="965"/>
      <c r="GL105" s="965"/>
      <c r="GM105" s="965"/>
      <c r="GN105" s="965"/>
      <c r="GO105" s="965"/>
      <c r="GP105" s="965"/>
      <c r="GQ105" s="965"/>
      <c r="GR105" s="965"/>
      <c r="GS105" s="965"/>
      <c r="GT105" s="965"/>
      <c r="GU105" s="965"/>
      <c r="GV105" s="965"/>
      <c r="GW105" s="965"/>
      <c r="GX105" s="965"/>
      <c r="GY105" s="965"/>
      <c r="GZ105" s="965"/>
      <c r="HA105" s="965"/>
      <c r="HB105" s="965"/>
      <c r="HC105" s="965"/>
      <c r="HD105" s="965"/>
      <c r="HE105" s="965"/>
      <c r="HF105" s="965"/>
      <c r="HG105" s="965"/>
      <c r="HH105" s="965"/>
      <c r="HI105" s="965"/>
      <c r="HJ105" s="965"/>
      <c r="HK105" s="965"/>
      <c r="HL105" s="965"/>
      <c r="HM105" s="965"/>
      <c r="HN105" s="965"/>
      <c r="HO105" s="965"/>
      <c r="HP105" s="965"/>
      <c r="HQ105" s="965"/>
      <c r="HR105" s="965"/>
      <c r="HS105" s="965"/>
      <c r="HT105" s="965"/>
      <c r="HU105" s="965"/>
      <c r="HV105" s="965"/>
      <c r="HW105" s="965"/>
      <c r="HX105" s="965"/>
      <c r="HY105" s="965"/>
      <c r="HZ105" s="965"/>
      <c r="IA105" s="965"/>
      <c r="IB105" s="965"/>
      <c r="IC105" s="965"/>
      <c r="ID105" s="965"/>
      <c r="IE105" s="965"/>
      <c r="IF105" s="965"/>
      <c r="IG105" s="965"/>
      <c r="IH105" s="965"/>
      <c r="II105" s="965"/>
    </row>
    <row r="106" spans="3:243">
      <c r="C106" s="965"/>
      <c r="D106" s="965"/>
      <c r="E106" s="965"/>
      <c r="F106" s="965"/>
      <c r="G106" s="965"/>
      <c r="H106" s="965"/>
      <c r="I106" s="965"/>
      <c r="J106" s="965"/>
      <c r="K106" s="965"/>
      <c r="L106" s="965"/>
      <c r="M106" s="965"/>
      <c r="N106" s="965"/>
      <c r="O106" s="965"/>
      <c r="P106" s="965"/>
      <c r="Q106" s="965"/>
      <c r="R106" s="965"/>
      <c r="S106" s="965"/>
      <c r="T106" s="965"/>
      <c r="U106" s="965"/>
      <c r="V106" s="965"/>
      <c r="W106" s="965"/>
      <c r="X106" s="965"/>
      <c r="Y106" s="965"/>
      <c r="Z106" s="965"/>
      <c r="AA106" s="965"/>
      <c r="AB106" s="965"/>
      <c r="AC106" s="965"/>
      <c r="AD106" s="965"/>
      <c r="AE106" s="965"/>
      <c r="AF106" s="965"/>
      <c r="AG106" s="965"/>
      <c r="AH106" s="965"/>
      <c r="AI106" s="965"/>
      <c r="AJ106" s="965"/>
      <c r="AK106" s="965"/>
      <c r="AL106" s="965"/>
      <c r="AM106" s="965"/>
      <c r="AN106" s="965"/>
      <c r="AO106" s="965"/>
      <c r="AP106" s="965"/>
      <c r="AQ106" s="965"/>
      <c r="AR106" s="965"/>
      <c r="AS106" s="965"/>
      <c r="AT106" s="965"/>
      <c r="AU106" s="965"/>
      <c r="AV106" s="965"/>
      <c r="AW106" s="965"/>
      <c r="AX106" s="965"/>
      <c r="AY106" s="965"/>
      <c r="AZ106" s="965"/>
      <c r="BA106" s="965"/>
      <c r="BB106" s="965"/>
      <c r="BC106" s="965"/>
      <c r="BD106" s="965"/>
      <c r="BE106" s="965"/>
      <c r="BF106" s="965"/>
      <c r="BG106" s="965"/>
      <c r="BH106" s="965"/>
      <c r="BI106" s="965"/>
      <c r="BJ106" s="965"/>
      <c r="BK106" s="965"/>
      <c r="BL106" s="965"/>
      <c r="BM106" s="965"/>
      <c r="BN106" s="965"/>
      <c r="BO106" s="965"/>
      <c r="BP106" s="965"/>
      <c r="BQ106" s="965"/>
      <c r="BR106" s="965"/>
      <c r="BS106" s="965"/>
      <c r="BT106" s="965"/>
      <c r="BU106" s="965"/>
      <c r="BV106" s="965"/>
      <c r="BW106" s="965"/>
      <c r="BX106" s="965"/>
      <c r="BY106" s="965"/>
      <c r="BZ106" s="965"/>
      <c r="CA106" s="965"/>
      <c r="CB106" s="965"/>
      <c r="CC106" s="965"/>
      <c r="CD106" s="965"/>
      <c r="CE106" s="965"/>
      <c r="CF106" s="965"/>
      <c r="CG106" s="965"/>
      <c r="CH106" s="965"/>
      <c r="CI106" s="965"/>
      <c r="CJ106" s="965"/>
      <c r="CK106" s="965"/>
      <c r="CL106" s="965"/>
      <c r="CM106" s="965"/>
      <c r="CN106" s="965"/>
      <c r="CO106" s="965"/>
      <c r="CP106" s="965"/>
      <c r="CQ106" s="965"/>
      <c r="CR106" s="965"/>
      <c r="CS106" s="965"/>
      <c r="CT106" s="965"/>
      <c r="CU106" s="965"/>
      <c r="CV106" s="965"/>
      <c r="CW106" s="965"/>
      <c r="CX106" s="965"/>
      <c r="CY106" s="965"/>
      <c r="CZ106" s="965"/>
      <c r="DA106" s="965"/>
      <c r="DB106" s="965"/>
      <c r="DC106" s="965"/>
      <c r="DD106" s="965"/>
      <c r="DE106" s="965"/>
      <c r="DF106" s="965"/>
      <c r="DG106" s="965"/>
      <c r="DH106" s="965"/>
      <c r="DI106" s="965"/>
      <c r="DJ106" s="965"/>
      <c r="DK106" s="965"/>
      <c r="DL106" s="965"/>
      <c r="DM106" s="965"/>
      <c r="DN106" s="965"/>
      <c r="DO106" s="965"/>
      <c r="DP106" s="965"/>
      <c r="DQ106" s="965"/>
      <c r="DR106" s="965"/>
      <c r="DS106" s="965"/>
      <c r="DT106" s="965"/>
      <c r="DU106" s="965"/>
      <c r="DV106" s="965"/>
      <c r="DW106" s="965"/>
      <c r="DX106" s="965"/>
      <c r="DY106" s="965"/>
      <c r="DZ106" s="965"/>
      <c r="EA106" s="965"/>
      <c r="EB106" s="965"/>
      <c r="EC106" s="965"/>
      <c r="ED106" s="965"/>
      <c r="EE106" s="965"/>
      <c r="EF106" s="965"/>
      <c r="EG106" s="965"/>
      <c r="EH106" s="965"/>
      <c r="EI106" s="965"/>
      <c r="EJ106" s="965"/>
      <c r="EK106" s="965"/>
      <c r="EL106" s="965"/>
      <c r="EM106" s="965"/>
      <c r="EN106" s="965"/>
      <c r="EO106" s="965"/>
      <c r="EP106" s="965"/>
      <c r="EQ106" s="965"/>
      <c r="ER106" s="965"/>
      <c r="ES106" s="965"/>
      <c r="ET106" s="965"/>
      <c r="EU106" s="965"/>
      <c r="EV106" s="965"/>
      <c r="EW106" s="965"/>
      <c r="EX106" s="965"/>
      <c r="EY106" s="965"/>
      <c r="EZ106" s="965"/>
      <c r="FA106" s="965"/>
      <c r="FB106" s="965"/>
      <c r="FC106" s="965"/>
      <c r="FD106" s="965"/>
      <c r="FE106" s="965"/>
      <c r="FF106" s="965"/>
      <c r="FG106" s="965"/>
      <c r="FH106" s="965"/>
      <c r="FI106" s="965"/>
      <c r="FJ106" s="965"/>
      <c r="FK106" s="965"/>
      <c r="FL106" s="965"/>
      <c r="FM106" s="965"/>
      <c r="FN106" s="965"/>
      <c r="FO106" s="965"/>
      <c r="FP106" s="965"/>
      <c r="FQ106" s="965"/>
      <c r="FR106" s="965"/>
      <c r="FS106" s="965"/>
      <c r="FT106" s="965"/>
      <c r="FU106" s="965"/>
      <c r="FV106" s="965"/>
      <c r="FW106" s="965"/>
      <c r="FX106" s="965"/>
      <c r="FY106" s="965"/>
      <c r="FZ106" s="965"/>
      <c r="GA106" s="965"/>
      <c r="GB106" s="965"/>
      <c r="GC106" s="965"/>
      <c r="GD106" s="965"/>
      <c r="GE106" s="965"/>
      <c r="GF106" s="965"/>
      <c r="GG106" s="965"/>
      <c r="GH106" s="965"/>
      <c r="GI106" s="965"/>
      <c r="GJ106" s="965"/>
      <c r="GK106" s="965"/>
      <c r="GL106" s="965"/>
      <c r="GM106" s="965"/>
      <c r="GN106" s="965"/>
      <c r="GO106" s="965"/>
      <c r="GP106" s="965"/>
      <c r="GQ106" s="965"/>
      <c r="GR106" s="965"/>
      <c r="GS106" s="965"/>
      <c r="GT106" s="965"/>
      <c r="GU106" s="965"/>
      <c r="GV106" s="965"/>
      <c r="GW106" s="965"/>
      <c r="GX106" s="965"/>
      <c r="GY106" s="965"/>
      <c r="GZ106" s="965"/>
      <c r="HA106" s="965"/>
      <c r="HB106" s="965"/>
      <c r="HC106" s="965"/>
      <c r="HD106" s="965"/>
      <c r="HE106" s="965"/>
      <c r="HF106" s="965"/>
      <c r="HG106" s="965"/>
      <c r="HH106" s="965"/>
      <c r="HI106" s="965"/>
      <c r="HJ106" s="965"/>
      <c r="HK106" s="965"/>
      <c r="HL106" s="965"/>
      <c r="HM106" s="965"/>
      <c r="HN106" s="965"/>
      <c r="HO106" s="965"/>
      <c r="HP106" s="965"/>
      <c r="HQ106" s="965"/>
      <c r="HR106" s="965"/>
      <c r="HS106" s="965"/>
      <c r="HT106" s="965"/>
      <c r="HU106" s="965"/>
      <c r="HV106" s="965"/>
      <c r="HW106" s="965"/>
      <c r="HX106" s="965"/>
      <c r="HY106" s="965"/>
      <c r="HZ106" s="965"/>
      <c r="IA106" s="965"/>
      <c r="IB106" s="965"/>
      <c r="IC106" s="965"/>
      <c r="ID106" s="965"/>
      <c r="IE106" s="965"/>
      <c r="IF106" s="965"/>
      <c r="IG106" s="965"/>
      <c r="IH106" s="965"/>
      <c r="II106" s="965"/>
    </row>
    <row r="107" spans="3:243">
      <c r="C107" s="965"/>
      <c r="D107" s="965"/>
      <c r="E107" s="965"/>
      <c r="F107" s="965"/>
      <c r="G107" s="965"/>
      <c r="H107" s="965"/>
      <c r="I107" s="965"/>
      <c r="J107" s="965"/>
      <c r="K107" s="965"/>
      <c r="L107" s="965"/>
      <c r="M107" s="965"/>
      <c r="N107" s="965"/>
      <c r="O107" s="965"/>
      <c r="P107" s="965"/>
      <c r="Q107" s="965"/>
      <c r="R107" s="965"/>
      <c r="S107" s="965"/>
      <c r="T107" s="965"/>
      <c r="U107" s="965"/>
      <c r="V107" s="965"/>
      <c r="W107" s="965"/>
      <c r="X107" s="965"/>
      <c r="Y107" s="965"/>
      <c r="Z107" s="965"/>
      <c r="AA107" s="965"/>
      <c r="AB107" s="965"/>
      <c r="AC107" s="965"/>
      <c r="AD107" s="965"/>
      <c r="AE107" s="965"/>
      <c r="AF107" s="965"/>
      <c r="AG107" s="965"/>
      <c r="AH107" s="965"/>
      <c r="AI107" s="965"/>
      <c r="AJ107" s="965"/>
      <c r="AK107" s="965"/>
      <c r="AL107" s="965"/>
      <c r="AM107" s="965"/>
      <c r="AN107" s="965"/>
      <c r="AO107" s="965"/>
      <c r="AP107" s="965"/>
      <c r="AQ107" s="965"/>
      <c r="AR107" s="965"/>
      <c r="AS107" s="965"/>
      <c r="AT107" s="965"/>
      <c r="AU107" s="965"/>
      <c r="AV107" s="965"/>
      <c r="AW107" s="965"/>
      <c r="AX107" s="965"/>
      <c r="AY107" s="965"/>
      <c r="AZ107" s="965"/>
      <c r="BA107" s="965"/>
      <c r="BB107" s="965"/>
      <c r="BC107" s="965"/>
      <c r="BD107" s="965"/>
      <c r="BE107" s="965"/>
      <c r="BF107" s="965"/>
      <c r="BG107" s="965"/>
      <c r="BH107" s="965"/>
      <c r="BI107" s="965"/>
      <c r="BJ107" s="965"/>
      <c r="BK107" s="965"/>
      <c r="BL107" s="965"/>
      <c r="BM107" s="965"/>
      <c r="BN107" s="965"/>
      <c r="BO107" s="965"/>
      <c r="BP107" s="965"/>
      <c r="BQ107" s="965"/>
      <c r="BR107" s="965"/>
      <c r="BS107" s="965"/>
      <c r="BT107" s="965"/>
      <c r="BU107" s="965"/>
      <c r="BV107" s="965"/>
      <c r="BW107" s="965"/>
      <c r="BX107" s="965"/>
      <c r="BY107" s="965"/>
      <c r="BZ107" s="965"/>
      <c r="CA107" s="965"/>
      <c r="CB107" s="965"/>
      <c r="CC107" s="965"/>
      <c r="CD107" s="965"/>
      <c r="CE107" s="965"/>
      <c r="CF107" s="965"/>
      <c r="CG107" s="965"/>
      <c r="CH107" s="965"/>
      <c r="CI107" s="965"/>
      <c r="CJ107" s="965"/>
      <c r="CK107" s="965"/>
      <c r="CL107" s="965"/>
      <c r="CM107" s="965"/>
      <c r="CN107" s="965"/>
      <c r="CO107" s="965"/>
      <c r="CP107" s="965"/>
      <c r="CQ107" s="965"/>
      <c r="CR107" s="965"/>
      <c r="CS107" s="965"/>
      <c r="CT107" s="965"/>
      <c r="CU107" s="965"/>
      <c r="CV107" s="965"/>
      <c r="CW107" s="965"/>
      <c r="CX107" s="965"/>
      <c r="CY107" s="965"/>
      <c r="CZ107" s="965"/>
      <c r="DA107" s="965"/>
      <c r="DB107" s="965"/>
      <c r="DC107" s="965"/>
      <c r="DD107" s="965"/>
      <c r="DE107" s="965"/>
      <c r="DF107" s="965"/>
      <c r="DG107" s="965"/>
      <c r="DH107" s="965"/>
      <c r="DI107" s="965"/>
      <c r="DJ107" s="965"/>
      <c r="DK107" s="965"/>
      <c r="DL107" s="965"/>
      <c r="DM107" s="965"/>
      <c r="DN107" s="965"/>
      <c r="DO107" s="965"/>
      <c r="DP107" s="965"/>
      <c r="DQ107" s="965"/>
      <c r="DR107" s="965"/>
      <c r="DS107" s="965"/>
      <c r="DT107" s="965"/>
      <c r="DU107" s="965"/>
      <c r="DV107" s="965"/>
      <c r="DW107" s="965"/>
      <c r="DX107" s="965"/>
      <c r="DY107" s="965"/>
      <c r="DZ107" s="965"/>
      <c r="EA107" s="965"/>
      <c r="EB107" s="965"/>
      <c r="EC107" s="965"/>
      <c r="ED107" s="965"/>
      <c r="EE107" s="965"/>
      <c r="EF107" s="965"/>
      <c r="EG107" s="965"/>
      <c r="EH107" s="965"/>
      <c r="EI107" s="965"/>
      <c r="EJ107" s="965"/>
      <c r="EK107" s="965"/>
      <c r="EL107" s="965"/>
      <c r="EM107" s="965"/>
      <c r="EN107" s="965"/>
      <c r="EO107" s="965"/>
      <c r="EP107" s="965"/>
      <c r="EQ107" s="965"/>
      <c r="ER107" s="965"/>
      <c r="ES107" s="965"/>
      <c r="ET107" s="965"/>
      <c r="EU107" s="965"/>
      <c r="EV107" s="965"/>
      <c r="EW107" s="965"/>
      <c r="EX107" s="965"/>
      <c r="EY107" s="965"/>
      <c r="EZ107" s="965"/>
      <c r="FA107" s="965"/>
      <c r="FB107" s="965"/>
      <c r="FC107" s="965"/>
      <c r="FD107" s="965"/>
      <c r="FE107" s="965"/>
      <c r="FF107" s="965"/>
      <c r="FG107" s="965"/>
      <c r="FH107" s="965"/>
      <c r="FI107" s="965"/>
      <c r="FJ107" s="965"/>
      <c r="FK107" s="965"/>
      <c r="FL107" s="965"/>
      <c r="FM107" s="965"/>
      <c r="FN107" s="965"/>
      <c r="FO107" s="965"/>
      <c r="FP107" s="965"/>
      <c r="FQ107" s="965"/>
      <c r="FR107" s="965"/>
      <c r="FS107" s="965"/>
      <c r="FT107" s="965"/>
      <c r="FU107" s="965"/>
      <c r="FV107" s="965"/>
      <c r="FW107" s="965"/>
      <c r="FX107" s="965"/>
      <c r="FY107" s="965"/>
      <c r="FZ107" s="965"/>
      <c r="GA107" s="965"/>
      <c r="GB107" s="965"/>
      <c r="GC107" s="965"/>
      <c r="GD107" s="965"/>
      <c r="GE107" s="965"/>
      <c r="GF107" s="965"/>
      <c r="GG107" s="965"/>
      <c r="GH107" s="965"/>
      <c r="GI107" s="965"/>
      <c r="GJ107" s="965"/>
      <c r="GK107" s="965"/>
      <c r="GL107" s="965"/>
      <c r="GM107" s="965"/>
      <c r="GN107" s="965"/>
      <c r="GO107" s="965"/>
      <c r="GP107" s="965"/>
      <c r="GQ107" s="965"/>
      <c r="GR107" s="965"/>
      <c r="GS107" s="965"/>
      <c r="GT107" s="965"/>
      <c r="GU107" s="965"/>
      <c r="GV107" s="965"/>
      <c r="GW107" s="965"/>
      <c r="GX107" s="965"/>
      <c r="GY107" s="965"/>
      <c r="GZ107" s="965"/>
      <c r="HA107" s="965"/>
      <c r="HB107" s="965"/>
      <c r="HC107" s="965"/>
      <c r="HD107" s="965"/>
      <c r="HE107" s="965"/>
      <c r="HF107" s="965"/>
      <c r="HG107" s="965"/>
      <c r="HH107" s="965"/>
      <c r="HI107" s="965"/>
      <c r="HJ107" s="965"/>
      <c r="HK107" s="965"/>
      <c r="HL107" s="965"/>
      <c r="HM107" s="965"/>
      <c r="HN107" s="965"/>
      <c r="HO107" s="965"/>
      <c r="HP107" s="965"/>
      <c r="HQ107" s="965"/>
      <c r="HR107" s="965"/>
      <c r="HS107" s="965"/>
      <c r="HT107" s="965"/>
      <c r="HU107" s="965"/>
      <c r="HV107" s="965"/>
      <c r="HW107" s="965"/>
      <c r="HX107" s="965"/>
      <c r="HY107" s="965"/>
      <c r="HZ107" s="965"/>
      <c r="IA107" s="965"/>
      <c r="IB107" s="965"/>
      <c r="IC107" s="965"/>
      <c r="ID107" s="965"/>
      <c r="IE107" s="965"/>
      <c r="IF107" s="965"/>
      <c r="IG107" s="965"/>
      <c r="IH107" s="965"/>
      <c r="II107" s="965"/>
    </row>
    <row r="108" spans="3:243">
      <c r="C108" s="965"/>
      <c r="D108" s="965"/>
      <c r="E108" s="965"/>
      <c r="F108" s="965"/>
      <c r="G108" s="965"/>
      <c r="H108" s="965"/>
      <c r="I108" s="965"/>
      <c r="J108" s="965"/>
      <c r="K108" s="965"/>
      <c r="L108" s="965"/>
      <c r="M108" s="965"/>
      <c r="N108" s="965"/>
      <c r="O108" s="965"/>
      <c r="P108" s="965"/>
      <c r="Q108" s="965"/>
      <c r="R108" s="965"/>
      <c r="S108" s="965"/>
      <c r="T108" s="965"/>
      <c r="U108" s="965"/>
      <c r="V108" s="965"/>
      <c r="W108" s="965"/>
      <c r="X108" s="965"/>
      <c r="Y108" s="965"/>
      <c r="Z108" s="965"/>
      <c r="AA108" s="965"/>
      <c r="AB108" s="965"/>
      <c r="AC108" s="965"/>
      <c r="AD108" s="965"/>
      <c r="AE108" s="965"/>
      <c r="AF108" s="965"/>
      <c r="AG108" s="965"/>
      <c r="AH108" s="965"/>
      <c r="AI108" s="965"/>
      <c r="AJ108" s="965"/>
      <c r="AK108" s="965"/>
      <c r="AL108" s="965"/>
      <c r="AM108" s="965"/>
      <c r="AN108" s="965"/>
      <c r="AO108" s="965"/>
      <c r="AP108" s="965"/>
      <c r="AQ108" s="965"/>
      <c r="AR108" s="965"/>
      <c r="AS108" s="965"/>
      <c r="AT108" s="965"/>
      <c r="AU108" s="965"/>
      <c r="AV108" s="965"/>
      <c r="AW108" s="965"/>
      <c r="AX108" s="965"/>
      <c r="AY108" s="965"/>
      <c r="AZ108" s="965"/>
      <c r="BA108" s="965"/>
      <c r="BB108" s="965"/>
      <c r="BC108" s="965"/>
      <c r="BD108" s="965"/>
      <c r="BE108" s="965"/>
      <c r="BF108" s="965"/>
      <c r="BG108" s="965"/>
      <c r="BH108" s="965"/>
      <c r="BI108" s="965"/>
      <c r="BJ108" s="965"/>
      <c r="BK108" s="965"/>
      <c r="BL108" s="965"/>
      <c r="BM108" s="965"/>
      <c r="BN108" s="965"/>
      <c r="BO108" s="965"/>
      <c r="BP108" s="965"/>
      <c r="BQ108" s="965"/>
      <c r="BR108" s="965"/>
      <c r="BS108" s="965"/>
      <c r="BT108" s="965"/>
      <c r="BU108" s="965"/>
      <c r="BV108" s="965"/>
      <c r="BW108" s="965"/>
      <c r="BX108" s="965"/>
      <c r="BY108" s="965"/>
      <c r="BZ108" s="965"/>
      <c r="CA108" s="965"/>
      <c r="CB108" s="965"/>
      <c r="CC108" s="965"/>
      <c r="CD108" s="965"/>
      <c r="CE108" s="965"/>
      <c r="CF108" s="965"/>
      <c r="CG108" s="965"/>
      <c r="CH108" s="965"/>
      <c r="CI108" s="965"/>
      <c r="CJ108" s="965"/>
      <c r="CK108" s="965"/>
      <c r="CL108" s="965"/>
      <c r="CM108" s="965"/>
      <c r="CN108" s="965"/>
      <c r="CO108" s="965"/>
      <c r="CP108" s="965"/>
      <c r="CQ108" s="965"/>
      <c r="CR108" s="965"/>
      <c r="CS108" s="965"/>
      <c r="CT108" s="965"/>
      <c r="CU108" s="965"/>
      <c r="CV108" s="965"/>
      <c r="CW108" s="965"/>
      <c r="CX108" s="965"/>
      <c r="CY108" s="965"/>
      <c r="CZ108" s="965"/>
      <c r="DA108" s="965"/>
      <c r="DB108" s="965"/>
      <c r="DC108" s="965"/>
      <c r="DD108" s="965"/>
      <c r="DE108" s="965"/>
      <c r="DF108" s="965"/>
      <c r="DG108" s="965"/>
      <c r="DH108" s="965"/>
      <c r="DI108" s="965"/>
      <c r="DJ108" s="965"/>
      <c r="DK108" s="965"/>
      <c r="DL108" s="965"/>
      <c r="DM108" s="965"/>
      <c r="DN108" s="965"/>
      <c r="DO108" s="965"/>
      <c r="DP108" s="965"/>
      <c r="DQ108" s="965"/>
      <c r="DR108" s="965"/>
      <c r="DS108" s="965"/>
      <c r="DT108" s="965"/>
      <c r="DU108" s="965"/>
      <c r="DV108" s="965"/>
      <c r="DW108" s="965"/>
      <c r="DX108" s="965"/>
      <c r="DY108" s="965"/>
      <c r="DZ108" s="965"/>
      <c r="EA108" s="965"/>
      <c r="EB108" s="965"/>
      <c r="EC108" s="965"/>
      <c r="ED108" s="965"/>
      <c r="EE108" s="965"/>
      <c r="EF108" s="965"/>
      <c r="EG108" s="965"/>
      <c r="EH108" s="965"/>
      <c r="EI108" s="965"/>
      <c r="EJ108" s="965"/>
      <c r="EK108" s="965"/>
      <c r="EL108" s="965"/>
      <c r="EM108" s="965"/>
      <c r="EN108" s="965"/>
      <c r="EO108" s="965"/>
      <c r="EP108" s="965"/>
      <c r="EQ108" s="965"/>
      <c r="ER108" s="965"/>
      <c r="ES108" s="965"/>
      <c r="ET108" s="965"/>
      <c r="EU108" s="965"/>
      <c r="EV108" s="965"/>
      <c r="EW108" s="965"/>
      <c r="EX108" s="965"/>
      <c r="EY108" s="965"/>
      <c r="EZ108" s="965"/>
      <c r="FA108" s="965"/>
      <c r="FB108" s="965"/>
      <c r="FC108" s="965"/>
      <c r="FD108" s="965"/>
      <c r="FE108" s="965"/>
      <c r="FF108" s="965"/>
      <c r="FG108" s="965"/>
      <c r="FH108" s="965"/>
      <c r="FI108" s="965"/>
      <c r="FJ108" s="965"/>
      <c r="FK108" s="965"/>
      <c r="FL108" s="965"/>
      <c r="FM108" s="965"/>
      <c r="FN108" s="965"/>
      <c r="FO108" s="965"/>
      <c r="FP108" s="965"/>
      <c r="FQ108" s="965"/>
      <c r="FR108" s="965"/>
      <c r="FS108" s="965"/>
      <c r="FT108" s="965"/>
      <c r="FU108" s="965"/>
      <c r="FV108" s="965"/>
      <c r="FW108" s="965"/>
      <c r="FX108" s="965"/>
      <c r="FY108" s="965"/>
      <c r="FZ108" s="965"/>
      <c r="GA108" s="965"/>
      <c r="GB108" s="965"/>
      <c r="GC108" s="965"/>
      <c r="GD108" s="965"/>
      <c r="GE108" s="965"/>
      <c r="GF108" s="965"/>
      <c r="GG108" s="965"/>
      <c r="GH108" s="965"/>
      <c r="GI108" s="965"/>
      <c r="GJ108" s="965"/>
      <c r="GK108" s="965"/>
      <c r="GL108" s="965"/>
      <c r="GM108" s="965"/>
      <c r="GN108" s="965"/>
      <c r="GO108" s="965"/>
      <c r="GP108" s="965"/>
      <c r="GQ108" s="965"/>
      <c r="GR108" s="965"/>
      <c r="GS108" s="965"/>
      <c r="GT108" s="965"/>
      <c r="GU108" s="965"/>
      <c r="GV108" s="965"/>
      <c r="GW108" s="965"/>
      <c r="GX108" s="965"/>
      <c r="GY108" s="965"/>
      <c r="GZ108" s="965"/>
      <c r="HA108" s="965"/>
      <c r="HB108" s="965"/>
      <c r="HC108" s="965"/>
      <c r="HD108" s="965"/>
      <c r="HE108" s="965"/>
      <c r="HF108" s="965"/>
      <c r="HG108" s="965"/>
      <c r="HH108" s="965"/>
      <c r="HI108" s="965"/>
      <c r="HJ108" s="965"/>
      <c r="HK108" s="965"/>
      <c r="HL108" s="965"/>
      <c r="HM108" s="965"/>
      <c r="HN108" s="965"/>
      <c r="HO108" s="965"/>
      <c r="HP108" s="965"/>
      <c r="HQ108" s="965"/>
      <c r="HR108" s="965"/>
      <c r="HS108" s="965"/>
      <c r="HT108" s="965"/>
      <c r="HU108" s="965"/>
      <c r="HV108" s="965"/>
      <c r="HW108" s="965"/>
      <c r="HX108" s="965"/>
      <c r="HY108" s="965"/>
      <c r="HZ108" s="965"/>
      <c r="IA108" s="965"/>
      <c r="IB108" s="965"/>
      <c r="IC108" s="965"/>
      <c r="ID108" s="965"/>
      <c r="IE108" s="965"/>
      <c r="IF108" s="965"/>
      <c r="IG108" s="965"/>
      <c r="IH108" s="965"/>
      <c r="II108" s="965"/>
    </row>
    <row r="109" spans="3:243">
      <c r="C109" s="965"/>
      <c r="D109" s="965"/>
      <c r="E109" s="965"/>
      <c r="F109" s="965"/>
      <c r="G109" s="965"/>
      <c r="H109" s="965"/>
      <c r="I109" s="965"/>
      <c r="J109" s="965"/>
      <c r="K109" s="965"/>
      <c r="L109" s="965"/>
      <c r="M109" s="965"/>
      <c r="N109" s="965"/>
      <c r="O109" s="965"/>
      <c r="P109" s="965"/>
      <c r="Q109" s="965"/>
      <c r="R109" s="965"/>
      <c r="S109" s="965"/>
      <c r="T109" s="965"/>
      <c r="U109" s="965"/>
      <c r="V109" s="965"/>
      <c r="W109" s="965"/>
      <c r="X109" s="965"/>
      <c r="Y109" s="965"/>
      <c r="Z109" s="965"/>
      <c r="AA109" s="965"/>
      <c r="AB109" s="965"/>
      <c r="AC109" s="965"/>
      <c r="AD109" s="965"/>
      <c r="AE109" s="965"/>
      <c r="AF109" s="965"/>
      <c r="AG109" s="965"/>
      <c r="AH109" s="965"/>
      <c r="AI109" s="965"/>
      <c r="AJ109" s="965"/>
      <c r="AK109" s="965"/>
      <c r="AL109" s="965"/>
      <c r="AM109" s="965"/>
      <c r="AN109" s="965"/>
      <c r="AO109" s="965"/>
      <c r="AP109" s="965"/>
      <c r="AQ109" s="965"/>
      <c r="AR109" s="965"/>
      <c r="AS109" s="965"/>
      <c r="AT109" s="965"/>
      <c r="AU109" s="965"/>
      <c r="AV109" s="965"/>
      <c r="AW109" s="965"/>
      <c r="AX109" s="965"/>
      <c r="AY109" s="965"/>
      <c r="AZ109" s="965"/>
      <c r="BA109" s="965"/>
      <c r="BB109" s="965"/>
      <c r="BC109" s="965"/>
      <c r="BD109" s="965"/>
      <c r="BE109" s="965"/>
      <c r="BF109" s="965"/>
      <c r="BG109" s="965"/>
      <c r="BH109" s="965"/>
      <c r="BI109" s="965"/>
      <c r="BJ109" s="965"/>
      <c r="BK109" s="965"/>
      <c r="BL109" s="965"/>
      <c r="BM109" s="965"/>
      <c r="BN109" s="965"/>
      <c r="BO109" s="965"/>
      <c r="BP109" s="965"/>
      <c r="BQ109" s="965"/>
      <c r="BR109" s="965"/>
      <c r="BS109" s="965"/>
      <c r="BT109" s="965"/>
      <c r="BU109" s="965"/>
      <c r="BV109" s="965"/>
      <c r="BW109" s="965"/>
      <c r="BX109" s="965"/>
      <c r="BY109" s="965"/>
      <c r="BZ109" s="965"/>
      <c r="CA109" s="965"/>
      <c r="CB109" s="965"/>
      <c r="CC109" s="965"/>
      <c r="CD109" s="965"/>
      <c r="CE109" s="965"/>
      <c r="CF109" s="965"/>
      <c r="CG109" s="965"/>
      <c r="CH109" s="965"/>
      <c r="CI109" s="965"/>
      <c r="CJ109" s="965"/>
      <c r="CK109" s="965"/>
      <c r="CL109" s="965"/>
      <c r="CM109" s="965"/>
      <c r="CN109" s="965"/>
      <c r="CO109" s="965"/>
      <c r="CP109" s="965"/>
      <c r="CQ109" s="965"/>
      <c r="CR109" s="965"/>
      <c r="CS109" s="965"/>
      <c r="CT109" s="965"/>
      <c r="CU109" s="965"/>
      <c r="CV109" s="965"/>
      <c r="CW109" s="965"/>
      <c r="CX109" s="965"/>
      <c r="CY109" s="965"/>
      <c r="CZ109" s="965"/>
      <c r="DA109" s="965"/>
      <c r="DB109" s="965"/>
      <c r="DC109" s="965"/>
      <c r="DD109" s="965"/>
      <c r="DE109" s="965"/>
      <c r="DF109" s="965"/>
      <c r="DG109" s="965"/>
      <c r="DH109" s="965"/>
      <c r="DI109" s="965"/>
      <c r="DJ109" s="965"/>
      <c r="DK109" s="965"/>
      <c r="DL109" s="965"/>
      <c r="DM109" s="965"/>
      <c r="DN109" s="965"/>
      <c r="DO109" s="965"/>
      <c r="DP109" s="965"/>
      <c r="DQ109" s="965"/>
      <c r="DR109" s="965"/>
      <c r="DS109" s="965"/>
      <c r="DT109" s="965"/>
      <c r="DU109" s="965"/>
      <c r="DV109" s="965"/>
      <c r="DW109" s="965"/>
      <c r="DX109" s="965"/>
      <c r="DY109" s="965"/>
      <c r="DZ109" s="965"/>
      <c r="EA109" s="965"/>
      <c r="EB109" s="965"/>
      <c r="EC109" s="965"/>
      <c r="ED109" s="965"/>
      <c r="EE109" s="965"/>
      <c r="EF109" s="965"/>
      <c r="EG109" s="965"/>
      <c r="EH109" s="965"/>
      <c r="EI109" s="965"/>
      <c r="EJ109" s="965"/>
      <c r="EK109" s="965"/>
      <c r="EL109" s="965"/>
      <c r="EM109" s="965"/>
      <c r="EN109" s="965"/>
      <c r="EO109" s="965"/>
      <c r="EP109" s="965"/>
      <c r="EQ109" s="965"/>
      <c r="ER109" s="965"/>
      <c r="ES109" s="965"/>
      <c r="ET109" s="965"/>
      <c r="EU109" s="965"/>
      <c r="EV109" s="965"/>
      <c r="EW109" s="965"/>
      <c r="EX109" s="965"/>
      <c r="EY109" s="965"/>
      <c r="EZ109" s="965"/>
      <c r="FA109" s="965"/>
      <c r="FB109" s="965"/>
      <c r="FC109" s="965"/>
      <c r="FD109" s="965"/>
      <c r="FE109" s="965"/>
      <c r="FF109" s="965"/>
      <c r="FG109" s="965"/>
      <c r="FH109" s="965"/>
      <c r="FI109" s="965"/>
      <c r="FJ109" s="965"/>
      <c r="FK109" s="965"/>
      <c r="FL109" s="965"/>
      <c r="FM109" s="965"/>
      <c r="FN109" s="965"/>
      <c r="FO109" s="965"/>
      <c r="FP109" s="965"/>
      <c r="FQ109" s="965"/>
      <c r="FR109" s="965"/>
      <c r="FS109" s="965"/>
      <c r="FT109" s="965"/>
      <c r="FU109" s="965"/>
      <c r="FV109" s="965"/>
      <c r="FW109" s="965"/>
      <c r="FX109" s="965"/>
      <c r="FY109" s="965"/>
      <c r="FZ109" s="965"/>
      <c r="GA109" s="965"/>
      <c r="GB109" s="965"/>
      <c r="GC109" s="965"/>
      <c r="GD109" s="965"/>
      <c r="GE109" s="965"/>
      <c r="GF109" s="965"/>
      <c r="GG109" s="965"/>
      <c r="GH109" s="965"/>
      <c r="GI109" s="965"/>
      <c r="GJ109" s="965"/>
      <c r="GK109" s="965"/>
      <c r="GL109" s="965"/>
      <c r="GM109" s="965"/>
      <c r="GN109" s="965"/>
      <c r="GO109" s="965"/>
      <c r="GP109" s="965"/>
      <c r="GQ109" s="965"/>
      <c r="GR109" s="965"/>
      <c r="GS109" s="965"/>
      <c r="GT109" s="965"/>
      <c r="GU109" s="965"/>
      <c r="GV109" s="965"/>
      <c r="GW109" s="965"/>
      <c r="GX109" s="965"/>
      <c r="GY109" s="965"/>
      <c r="GZ109" s="965"/>
      <c r="HA109" s="965"/>
      <c r="HB109" s="965"/>
      <c r="HC109" s="965"/>
      <c r="HD109" s="965"/>
      <c r="HE109" s="965"/>
      <c r="HF109" s="965"/>
      <c r="HG109" s="965"/>
      <c r="HH109" s="965"/>
      <c r="HI109" s="965"/>
      <c r="HJ109" s="965"/>
      <c r="HK109" s="965"/>
      <c r="HL109" s="965"/>
      <c r="HM109" s="965"/>
      <c r="HN109" s="965"/>
      <c r="HO109" s="965"/>
      <c r="HP109" s="965"/>
      <c r="HQ109" s="965"/>
      <c r="HR109" s="965"/>
      <c r="HS109" s="965"/>
      <c r="HT109" s="965"/>
      <c r="HU109" s="965"/>
      <c r="HV109" s="965"/>
      <c r="HW109" s="965"/>
      <c r="HX109" s="965"/>
      <c r="HY109" s="965"/>
      <c r="HZ109" s="965"/>
      <c r="IA109" s="965"/>
      <c r="IB109" s="965"/>
      <c r="IC109" s="965"/>
      <c r="ID109" s="965"/>
      <c r="IE109" s="965"/>
      <c r="IF109" s="965"/>
      <c r="IG109" s="965"/>
      <c r="IH109" s="965"/>
      <c r="II109" s="965"/>
    </row>
  </sheetData>
  <mergeCells count="1">
    <mergeCell ref="A1:C1"/>
  </mergeCells>
  <hyperlinks>
    <hyperlink ref="D1" location="目录!A1" display="目录!A1"/>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4"/>
  <sheetViews>
    <sheetView topLeftCell="A11" workbookViewId="0">
      <selection activeCell="D24" sqref="D24"/>
    </sheetView>
  </sheetViews>
  <sheetFormatPr defaultColWidth="9" defaultRowHeight="15.6" outlineLevelCol="4"/>
  <cols>
    <col min="1" max="1" width="18.875" style="950" customWidth="1"/>
    <col min="2" max="2" width="16.625" style="951" customWidth="1"/>
    <col min="3" max="3" width="20.875" style="636" customWidth="1"/>
    <col min="4" max="6" width="12.75" style="636" customWidth="1"/>
    <col min="7" max="16384" width="9" style="636"/>
  </cols>
  <sheetData>
    <row r="1" ht="26.25" customHeight="1" spans="1:4">
      <c r="A1" s="630" t="s">
        <v>2244</v>
      </c>
      <c r="B1" s="630"/>
      <c r="C1" s="630"/>
      <c r="D1" s="155" t="s">
        <v>88</v>
      </c>
    </row>
    <row r="2" spans="1:2">
      <c r="A2" s="636"/>
      <c r="B2" s="636"/>
    </row>
    <row r="3" spans="1:3">
      <c r="A3" s="950" t="s">
        <v>2245</v>
      </c>
      <c r="B3" s="952">
        <v>6.3</v>
      </c>
      <c r="C3" s="636" t="s">
        <v>2246</v>
      </c>
    </row>
    <row r="4" spans="1:3">
      <c r="A4" s="950" t="s">
        <v>2247</v>
      </c>
      <c r="B4" s="952">
        <v>110</v>
      </c>
      <c r="C4" s="953" t="s">
        <v>2248</v>
      </c>
    </row>
    <row r="5" spans="1:3">
      <c r="A5" s="950" t="s">
        <v>2249</v>
      </c>
      <c r="B5" s="952">
        <v>10</v>
      </c>
      <c r="C5" s="953" t="s">
        <v>2248</v>
      </c>
    </row>
    <row r="6" ht="17.25" customHeight="1" spans="1:3">
      <c r="A6" s="630" t="s">
        <v>2250</v>
      </c>
      <c r="B6" s="630"/>
      <c r="C6" s="168"/>
    </row>
    <row r="7" spans="1:5">
      <c r="A7" s="950" t="s">
        <v>2251</v>
      </c>
      <c r="B7" s="951">
        <f>B3*10^6/(B4*10^3*3^0.5)</f>
        <v>33.0664245081331</v>
      </c>
      <c r="C7" s="636" t="s">
        <v>632</v>
      </c>
      <c r="E7" s="636" t="s">
        <v>2252</v>
      </c>
    </row>
    <row r="8" spans="1:3">
      <c r="A8" s="950" t="s">
        <v>2253</v>
      </c>
      <c r="B8" s="951">
        <f>B3*10^6/(B5*10^3*3^0.5)</f>
        <v>363.730669589464</v>
      </c>
      <c r="C8" s="636" t="s">
        <v>632</v>
      </c>
    </row>
    <row r="9" spans="1:2">
      <c r="A9" s="950" t="s">
        <v>2254</v>
      </c>
      <c r="B9" s="954">
        <f>250/5</f>
        <v>50</v>
      </c>
    </row>
    <row r="10" spans="1:2">
      <c r="A10" s="950" t="s">
        <v>2255</v>
      </c>
      <c r="B10" s="954">
        <f>4000/5</f>
        <v>800</v>
      </c>
    </row>
    <row r="11" spans="1:3">
      <c r="A11" s="950" t="s">
        <v>2256</v>
      </c>
      <c r="B11" s="955">
        <f>B7/B9</f>
        <v>0.661328490162662</v>
      </c>
      <c r="C11" s="636" t="s">
        <v>2257</v>
      </c>
    </row>
    <row r="12" spans="1:3">
      <c r="A12" s="950" t="s">
        <v>2258</v>
      </c>
      <c r="B12" s="955">
        <f>B8/B10</f>
        <v>0.45466333698683</v>
      </c>
      <c r="C12" s="636" t="s">
        <v>2259</v>
      </c>
    </row>
    <row r="13" ht="17.25" customHeight="1" spans="1:3">
      <c r="A13" s="849" t="s">
        <v>2260</v>
      </c>
      <c r="B13" s="849"/>
      <c r="C13" s="956"/>
    </row>
    <row r="14" ht="18.75" customHeight="1" spans="1:3">
      <c r="A14" s="957" t="s">
        <v>2261</v>
      </c>
      <c r="B14" s="957"/>
      <c r="C14" s="957"/>
    </row>
    <row r="15" spans="1:3">
      <c r="A15" s="950" t="s">
        <v>2262</v>
      </c>
      <c r="B15" s="958">
        <v>0.23</v>
      </c>
      <c r="C15" s="636" t="s">
        <v>2263</v>
      </c>
    </row>
    <row r="16" spans="1:3">
      <c r="A16" s="950" t="s">
        <v>2264</v>
      </c>
      <c r="B16" s="955">
        <f>B11*B15*1.732</f>
        <v>0.263446817341198</v>
      </c>
      <c r="C16" s="636" t="s">
        <v>632</v>
      </c>
    </row>
    <row r="17" spans="1:3">
      <c r="A17" s="950" t="s">
        <v>2265</v>
      </c>
      <c r="B17" s="955">
        <f>B12*B15</f>
        <v>0.104572567506971</v>
      </c>
      <c r="C17" s="636" t="s">
        <v>632</v>
      </c>
    </row>
    <row r="19" spans="1:1">
      <c r="A19" s="959" t="s">
        <v>2266</v>
      </c>
    </row>
    <row r="20" spans="1:1">
      <c r="A20" s="959" t="s">
        <v>2267</v>
      </c>
    </row>
    <row r="21" spans="1:1">
      <c r="A21" s="959" t="s">
        <v>2268</v>
      </c>
    </row>
    <row r="22" spans="1:3">
      <c r="A22" s="630" t="s">
        <v>106</v>
      </c>
      <c r="B22" s="630"/>
      <c r="C22" s="630"/>
    </row>
    <row r="23" spans="1:3">
      <c r="A23" s="957" t="s">
        <v>2269</v>
      </c>
      <c r="B23" s="957"/>
      <c r="C23" s="957"/>
    </row>
    <row r="24" spans="1:3">
      <c r="A24" s="950" t="s">
        <v>2270</v>
      </c>
      <c r="B24" s="958">
        <v>0.4</v>
      </c>
      <c r="C24" s="636" t="s">
        <v>2271</v>
      </c>
    </row>
    <row r="25" spans="1:3">
      <c r="A25" s="960" t="s">
        <v>2272</v>
      </c>
      <c r="B25" s="958">
        <v>1</v>
      </c>
      <c r="C25" s="636" t="s">
        <v>2273</v>
      </c>
    </row>
    <row r="26" spans="1:3">
      <c r="A26" s="960" t="s">
        <v>2274</v>
      </c>
      <c r="B26" s="961">
        <f>B25*B24</f>
        <v>0.4</v>
      </c>
      <c r="C26" s="636" t="s">
        <v>2275</v>
      </c>
    </row>
    <row r="27" spans="1:2">
      <c r="A27" s="950" t="s">
        <v>2276</v>
      </c>
      <c r="B27" s="951">
        <f>(2*B25+B26)/2</f>
        <v>1.2</v>
      </c>
    </row>
    <row r="28" spans="1:2">
      <c r="A28" s="950" t="s">
        <v>2277</v>
      </c>
      <c r="B28" s="951">
        <f>(2*B25-B26)/2</f>
        <v>0.8</v>
      </c>
    </row>
    <row r="29" ht="14.25" customHeight="1" spans="1:3">
      <c r="A29" s="950" t="s">
        <v>2278</v>
      </c>
      <c r="B29" s="955">
        <f>B27*B11*3^0.5</f>
        <v>1.37454545454545</v>
      </c>
      <c r="C29" s="636" t="s">
        <v>632</v>
      </c>
    </row>
    <row r="30" ht="14.25" customHeight="1" spans="1:3">
      <c r="A30" s="950" t="s">
        <v>2279</v>
      </c>
      <c r="B30" s="955">
        <f>B28*B12</f>
        <v>0.363730669589464</v>
      </c>
      <c r="C30" s="636" t="s">
        <v>2280</v>
      </c>
    </row>
    <row r="31" ht="14.25" customHeight="1" spans="1:3">
      <c r="A31" s="950" t="s">
        <v>2281</v>
      </c>
      <c r="B31" s="955">
        <f>B27*B12</f>
        <v>0.545596004384196</v>
      </c>
      <c r="C31" s="636" t="s">
        <v>2282</v>
      </c>
    </row>
    <row r="32" ht="14.25" customHeight="1" spans="1:2">
      <c r="A32" s="636"/>
      <c r="B32" s="636"/>
    </row>
    <row r="33" ht="14.25" customHeight="1" spans="1:1">
      <c r="A33" s="959" t="s">
        <v>2266</v>
      </c>
    </row>
    <row r="34" ht="14.25" customHeight="1" spans="1:1">
      <c r="A34" s="959" t="s">
        <v>2283</v>
      </c>
    </row>
    <row r="35" ht="14.25" customHeight="1" spans="1:1">
      <c r="A35" s="959" t="s">
        <v>2284</v>
      </c>
    </row>
    <row r="36" ht="14.25" customHeight="1" spans="1:1">
      <c r="A36" s="959" t="s">
        <v>2285</v>
      </c>
    </row>
    <row r="37" ht="14.25" customHeight="1" spans="1:1">
      <c r="A37" s="959" t="s">
        <v>2286</v>
      </c>
    </row>
    <row r="39" ht="14.25" customHeight="1" spans="1:3">
      <c r="A39" s="957" t="s">
        <v>2287</v>
      </c>
      <c r="B39" s="957"/>
      <c r="C39" s="957"/>
    </row>
    <row r="40" ht="14.25" customHeight="1" spans="1:3">
      <c r="A40" s="950" t="s">
        <v>2288</v>
      </c>
      <c r="B40" s="958">
        <v>7</v>
      </c>
      <c r="C40" s="636" t="s">
        <v>2289</v>
      </c>
    </row>
    <row r="41" ht="14.25" customHeight="1" spans="1:3">
      <c r="A41" s="950" t="s">
        <v>2264</v>
      </c>
      <c r="B41" s="962">
        <f>B40*B11*1.732</f>
        <v>8.01794661473212</v>
      </c>
      <c r="C41" s="636" t="s">
        <v>632</v>
      </c>
    </row>
    <row r="42" ht="14.25" customHeight="1" spans="1:3">
      <c r="A42" s="950" t="s">
        <v>2265</v>
      </c>
      <c r="B42" s="962">
        <f>B40*B12</f>
        <v>3.18264335890781</v>
      </c>
      <c r="C42" s="636" t="s">
        <v>632</v>
      </c>
    </row>
    <row r="43" ht="14.25" customHeight="1"/>
    <row r="44" ht="14.25" customHeight="1" spans="1:1">
      <c r="A44" s="959" t="s">
        <v>2266</v>
      </c>
    </row>
    <row r="45" spans="1:1">
      <c r="A45" s="959" t="s">
        <v>2290</v>
      </c>
    </row>
    <row r="46" spans="1:1">
      <c r="A46" s="959" t="s">
        <v>2291</v>
      </c>
    </row>
    <row r="47" spans="1:2">
      <c r="A47" s="630" t="s">
        <v>106</v>
      </c>
      <c r="B47" s="630"/>
    </row>
    <row r="49" spans="4:4">
      <c r="D49" s="636" t="s">
        <v>395</v>
      </c>
    </row>
    <row r="53" spans="1:2">
      <c r="A53" s="963"/>
      <c r="B53" s="636"/>
    </row>
    <row r="54" spans="2:2">
      <c r="B54" s="636"/>
    </row>
    <row r="55" spans="2:2">
      <c r="B55" s="636"/>
    </row>
    <row r="56" spans="2:2">
      <c r="B56" s="636"/>
    </row>
    <row r="57" spans="1:2">
      <c r="A57" s="963"/>
      <c r="B57" s="636"/>
    </row>
    <row r="58" spans="2:2">
      <c r="B58" s="636"/>
    </row>
    <row r="59" spans="2:2">
      <c r="B59" s="636"/>
    </row>
    <row r="60" spans="2:2">
      <c r="B60" s="636"/>
    </row>
    <row r="61" spans="2:2">
      <c r="B61" s="636"/>
    </row>
    <row r="62" spans="2:2">
      <c r="B62" s="636"/>
    </row>
    <row r="63" spans="1:2">
      <c r="A63" s="636"/>
      <c r="B63" s="636"/>
    </row>
    <row r="64" spans="1:2">
      <c r="A64" s="636"/>
      <c r="B64" s="636"/>
    </row>
  </sheetData>
  <customSheetViews>
    <customSheetView guid="{B9330FFD-B5EF-4680-A375-DB92D4738404}">
      <selection activeCell="D22" sqref="D22"/>
      <pageMargins left="0.7" right="0.7" top="0.75" bottom="0.75" header="0.3" footer="0.3"/>
      <headerFooter/>
    </customSheetView>
  </customSheetViews>
  <mergeCells count="7">
    <mergeCell ref="A1:C1"/>
    <mergeCell ref="A6:C6"/>
    <mergeCell ref="A13:C13"/>
    <mergeCell ref="A14:C14"/>
    <mergeCell ref="A22:C22"/>
    <mergeCell ref="A23:C23"/>
    <mergeCell ref="A47:B47"/>
  </mergeCells>
  <hyperlinks>
    <hyperlink ref="D1" location="目录!A1" display="目录!A1"/>
  </hyperlinks>
  <pageMargins left="0.7" right="0.7" top="0.75" bottom="0.75" header="0.3" footer="0.3"/>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
  <sheetViews>
    <sheetView workbookViewId="0">
      <selection activeCell="P24" sqref="P24"/>
    </sheetView>
  </sheetViews>
  <sheetFormatPr defaultColWidth="9" defaultRowHeight="15.6"/>
  <cols>
    <col min="1" max="1" width="4.25" customWidth="1"/>
    <col min="2" max="2" width="22.75" customWidth="1"/>
    <col min="3" max="3" width="5.75" customWidth="1"/>
    <col min="4" max="4" width="6.75" customWidth="1"/>
    <col min="5" max="7" width="5.25" customWidth="1"/>
    <col min="8" max="11" width="8.75" customWidth="1"/>
  </cols>
  <sheetData>
    <row r="1" spans="1:11">
      <c r="A1" s="18"/>
      <c r="B1" s="18"/>
      <c r="C1" s="467" t="s">
        <v>2292</v>
      </c>
      <c r="D1" s="468"/>
      <c r="E1" s="468"/>
      <c r="F1" s="468"/>
      <c r="G1" s="468"/>
      <c r="H1" s="468"/>
      <c r="I1" s="468"/>
      <c r="J1" s="155" t="s">
        <v>88</v>
      </c>
      <c r="K1" s="155"/>
    </row>
    <row r="2" ht="15.75" customHeight="1" spans="1:24">
      <c r="A2" s="18"/>
      <c r="B2" s="18"/>
      <c r="C2" s="468"/>
      <c r="D2" s="468"/>
      <c r="E2" s="468"/>
      <c r="F2" s="468"/>
      <c r="G2" s="468"/>
      <c r="H2" s="468"/>
      <c r="I2" s="468"/>
      <c r="J2" s="155"/>
      <c r="K2" s="155"/>
      <c r="L2" s="19"/>
      <c r="M2" s="19"/>
      <c r="N2" s="19"/>
      <c r="O2" s="19"/>
      <c r="P2" s="19"/>
      <c r="Q2" s="19"/>
      <c r="R2" s="19"/>
      <c r="S2" s="19"/>
      <c r="T2" s="19"/>
      <c r="U2" s="19"/>
      <c r="V2" s="19"/>
      <c r="W2" s="19"/>
      <c r="X2" s="19"/>
    </row>
    <row r="3" spans="1:11">
      <c r="A3" s="18"/>
      <c r="B3" s="18"/>
      <c r="C3" s="468"/>
      <c r="D3" s="468"/>
      <c r="E3" s="468"/>
      <c r="F3" s="468"/>
      <c r="G3" s="468"/>
      <c r="H3" s="468"/>
      <c r="I3" s="468"/>
      <c r="J3" s="155"/>
      <c r="K3" s="155"/>
    </row>
    <row r="4" spans="1:12">
      <c r="A4" s="18"/>
      <c r="B4" s="60" t="s">
        <v>2293</v>
      </c>
      <c r="C4" s="60"/>
      <c r="D4" s="60"/>
      <c r="E4" s="60"/>
      <c r="F4" s="60"/>
      <c r="G4" s="60"/>
      <c r="H4" s="60"/>
      <c r="I4" s="60"/>
      <c r="J4" s="511">
        <f ca="1">NOW()</f>
        <v>44513.4700231481</v>
      </c>
      <c r="K4" s="512"/>
      <c r="L4" s="513"/>
    </row>
    <row r="5" spans="1:11">
      <c r="A5" s="18"/>
      <c r="B5" s="60" t="s">
        <v>2294</v>
      </c>
      <c r="C5" s="60"/>
      <c r="D5" s="60"/>
      <c r="E5" s="60" t="s">
        <v>2295</v>
      </c>
      <c r="F5" s="469"/>
      <c r="G5" s="469"/>
      <c r="H5" s="470" t="s">
        <v>2296</v>
      </c>
      <c r="I5" s="469"/>
      <c r="J5" s="514" t="s">
        <v>2297</v>
      </c>
      <c r="K5" s="513"/>
    </row>
    <row r="6" spans="1:11">
      <c r="A6" s="498" t="s">
        <v>106</v>
      </c>
      <c r="B6" s="498"/>
      <c r="C6" s="498"/>
      <c r="D6" s="498"/>
      <c r="E6" s="498"/>
      <c r="F6" s="498"/>
      <c r="G6" s="498"/>
      <c r="H6" s="498"/>
      <c r="I6" s="498"/>
      <c r="J6" s="498"/>
      <c r="K6" s="498"/>
    </row>
    <row r="7" spans="1:11">
      <c r="A7" s="472" t="s">
        <v>8</v>
      </c>
      <c r="B7" s="473" t="s">
        <v>2298</v>
      </c>
      <c r="C7" s="472" t="s">
        <v>2299</v>
      </c>
      <c r="D7" s="472" t="s">
        <v>2300</v>
      </c>
      <c r="E7" s="474" t="s">
        <v>2301</v>
      </c>
      <c r="F7" s="474" t="s">
        <v>2302</v>
      </c>
      <c r="G7" s="474" t="s">
        <v>2303</v>
      </c>
      <c r="H7" s="475" t="s">
        <v>2304</v>
      </c>
      <c r="I7" s="515"/>
      <c r="J7" s="515"/>
      <c r="K7" s="516"/>
    </row>
    <row r="8" spans="1:11">
      <c r="A8" s="476"/>
      <c r="B8" s="477"/>
      <c r="C8" s="476"/>
      <c r="D8" s="476"/>
      <c r="E8" s="478"/>
      <c r="F8" s="478"/>
      <c r="G8" s="478"/>
      <c r="H8" s="479" t="s">
        <v>2305</v>
      </c>
      <c r="I8" s="517" t="s">
        <v>2306</v>
      </c>
      <c r="J8" s="517" t="s">
        <v>2307</v>
      </c>
      <c r="K8" s="479" t="s">
        <v>2308</v>
      </c>
    </row>
    <row r="9" spans="1:11">
      <c r="A9" s="480">
        <v>1</v>
      </c>
      <c r="B9" s="481" t="s">
        <v>2309</v>
      </c>
      <c r="C9" s="482" t="s">
        <v>2310</v>
      </c>
      <c r="D9" s="483">
        <v>145</v>
      </c>
      <c r="E9" s="484">
        <v>0.3</v>
      </c>
      <c r="F9" s="484">
        <v>0.6</v>
      </c>
      <c r="G9" s="485">
        <f t="shared" ref="G9:G36" si="0">TAN(ACOS(F9))</f>
        <v>1.33333333333333</v>
      </c>
      <c r="H9" s="486">
        <f t="shared" ref="H9:H36" si="1">D9*E9</f>
        <v>43.5</v>
      </c>
      <c r="I9" s="486">
        <f t="shared" ref="I9:I36" si="2">H9*G9</f>
        <v>58</v>
      </c>
      <c r="J9" s="486">
        <f t="shared" ref="J9:J36" si="3">H9/F9</f>
        <v>72.5</v>
      </c>
      <c r="K9" s="486">
        <f t="shared" ref="K9:K36" si="4">J9/0.6582</f>
        <v>110.148890914616</v>
      </c>
    </row>
    <row r="10" spans="1:11">
      <c r="A10" s="480">
        <v>2</v>
      </c>
      <c r="B10" s="481" t="s">
        <v>2311</v>
      </c>
      <c r="C10" s="482" t="s">
        <v>2312</v>
      </c>
      <c r="D10" s="483">
        <v>176</v>
      </c>
      <c r="E10" s="484">
        <v>0.7</v>
      </c>
      <c r="F10" s="484">
        <v>0.85</v>
      </c>
      <c r="G10" s="485">
        <f t="shared" si="0"/>
        <v>0.619744338403102</v>
      </c>
      <c r="H10" s="486">
        <f t="shared" si="1"/>
        <v>123.2</v>
      </c>
      <c r="I10" s="486">
        <f t="shared" si="2"/>
        <v>76.3525024912622</v>
      </c>
      <c r="J10" s="486">
        <f t="shared" si="3"/>
        <v>144.941176470588</v>
      </c>
      <c r="K10" s="486">
        <f t="shared" si="4"/>
        <v>220.208411532343</v>
      </c>
    </row>
    <row r="11" spans="1:11">
      <c r="A11" s="480">
        <v>3</v>
      </c>
      <c r="B11" s="481" t="s">
        <v>2311</v>
      </c>
      <c r="C11" s="482" t="s">
        <v>2313</v>
      </c>
      <c r="D11" s="483">
        <v>198</v>
      </c>
      <c r="E11" s="484">
        <v>0.7</v>
      </c>
      <c r="F11" s="484">
        <v>0.85</v>
      </c>
      <c r="G11" s="485">
        <f t="shared" si="0"/>
        <v>0.619744338403102</v>
      </c>
      <c r="H11" s="486">
        <f t="shared" si="1"/>
        <v>138.6</v>
      </c>
      <c r="I11" s="486">
        <f t="shared" si="2"/>
        <v>85.89656530267</v>
      </c>
      <c r="J11" s="486">
        <f t="shared" si="3"/>
        <v>163.058823529412</v>
      </c>
      <c r="K11" s="486">
        <f t="shared" si="4"/>
        <v>247.734462973886</v>
      </c>
    </row>
    <row r="12" spans="1:11">
      <c r="A12" s="480">
        <v>4</v>
      </c>
      <c r="B12" s="481" t="s">
        <v>2311</v>
      </c>
      <c r="C12" s="482" t="s">
        <v>2314</v>
      </c>
      <c r="D12" s="483">
        <v>210</v>
      </c>
      <c r="E12" s="484">
        <v>0.7</v>
      </c>
      <c r="F12" s="484">
        <v>0.85</v>
      </c>
      <c r="G12" s="485">
        <f t="shared" si="0"/>
        <v>0.619744338403102</v>
      </c>
      <c r="H12" s="486">
        <f t="shared" si="1"/>
        <v>147</v>
      </c>
      <c r="I12" s="486">
        <f t="shared" si="2"/>
        <v>91.102417745256</v>
      </c>
      <c r="J12" s="486">
        <f t="shared" si="3"/>
        <v>172.941176470588</v>
      </c>
      <c r="K12" s="486">
        <f t="shared" si="4"/>
        <v>262.748672851091</v>
      </c>
    </row>
    <row r="13" spans="1:11">
      <c r="A13" s="480">
        <v>5</v>
      </c>
      <c r="B13" s="481" t="s">
        <v>2311</v>
      </c>
      <c r="C13" s="482" t="s">
        <v>2315</v>
      </c>
      <c r="D13" s="483">
        <v>214</v>
      </c>
      <c r="E13" s="484">
        <v>0.7</v>
      </c>
      <c r="F13" s="484">
        <v>0.85</v>
      </c>
      <c r="G13" s="485">
        <f t="shared" si="0"/>
        <v>0.619744338403102</v>
      </c>
      <c r="H13" s="486">
        <f t="shared" si="1"/>
        <v>149.8</v>
      </c>
      <c r="I13" s="486">
        <f t="shared" si="2"/>
        <v>92.8377018927847</v>
      </c>
      <c r="J13" s="486">
        <f t="shared" si="3"/>
        <v>176.235294117647</v>
      </c>
      <c r="K13" s="486">
        <f t="shared" si="4"/>
        <v>267.753409476826</v>
      </c>
    </row>
    <row r="14" spans="1:11">
      <c r="A14" s="480">
        <v>6</v>
      </c>
      <c r="B14" s="481" t="s">
        <v>2311</v>
      </c>
      <c r="C14" s="482" t="s">
        <v>2316</v>
      </c>
      <c r="D14" s="483">
        <v>170</v>
      </c>
      <c r="E14" s="484">
        <v>0.7</v>
      </c>
      <c r="F14" s="484">
        <v>0.85</v>
      </c>
      <c r="G14" s="485">
        <f t="shared" si="0"/>
        <v>0.619744338403102</v>
      </c>
      <c r="H14" s="486">
        <f t="shared" si="1"/>
        <v>119</v>
      </c>
      <c r="I14" s="486">
        <f t="shared" si="2"/>
        <v>73.7495762699692</v>
      </c>
      <c r="J14" s="486">
        <f t="shared" si="3"/>
        <v>140</v>
      </c>
      <c r="K14" s="486">
        <f t="shared" si="4"/>
        <v>212.70130659374</v>
      </c>
    </row>
    <row r="15" spans="1:11">
      <c r="A15" s="480">
        <v>7</v>
      </c>
      <c r="B15" s="481" t="s">
        <v>2317</v>
      </c>
      <c r="C15" s="482" t="s">
        <v>2318</v>
      </c>
      <c r="D15" s="483">
        <v>100</v>
      </c>
      <c r="E15" s="484">
        <v>0.7</v>
      </c>
      <c r="F15" s="484">
        <v>0.8</v>
      </c>
      <c r="G15" s="485">
        <f t="shared" si="0"/>
        <v>0.75</v>
      </c>
      <c r="H15" s="486">
        <f t="shared" si="1"/>
        <v>70</v>
      </c>
      <c r="I15" s="486">
        <f t="shared" si="2"/>
        <v>52.5</v>
      </c>
      <c r="J15" s="486">
        <f t="shared" si="3"/>
        <v>87.5</v>
      </c>
      <c r="K15" s="486">
        <f t="shared" si="4"/>
        <v>132.938316621088</v>
      </c>
    </row>
    <row r="16" spans="1:11">
      <c r="A16" s="480">
        <v>8</v>
      </c>
      <c r="B16" s="481" t="s">
        <v>2319</v>
      </c>
      <c r="C16" s="482" t="s">
        <v>2320</v>
      </c>
      <c r="D16" s="483">
        <v>53</v>
      </c>
      <c r="E16" s="484">
        <v>1</v>
      </c>
      <c r="F16" s="484">
        <v>0.9</v>
      </c>
      <c r="G16" s="485">
        <f t="shared" si="0"/>
        <v>0.484322104837853</v>
      </c>
      <c r="H16" s="486">
        <f t="shared" si="1"/>
        <v>53</v>
      </c>
      <c r="I16" s="486">
        <f t="shared" si="2"/>
        <v>25.6690715564062</v>
      </c>
      <c r="J16" s="486">
        <f t="shared" si="3"/>
        <v>58.8888888888889</v>
      </c>
      <c r="K16" s="486">
        <f t="shared" si="4"/>
        <v>89.469597218002</v>
      </c>
    </row>
    <row r="17" spans="1:11">
      <c r="A17" s="480">
        <v>9</v>
      </c>
      <c r="B17" s="481" t="s">
        <v>2321</v>
      </c>
      <c r="C17" s="482" t="s">
        <v>2322</v>
      </c>
      <c r="D17" s="483">
        <v>210</v>
      </c>
      <c r="E17" s="484">
        <v>1</v>
      </c>
      <c r="F17" s="484">
        <v>0.9</v>
      </c>
      <c r="G17" s="485">
        <f t="shared" si="0"/>
        <v>0.484322104837853</v>
      </c>
      <c r="H17" s="486">
        <f t="shared" si="1"/>
        <v>210</v>
      </c>
      <c r="I17" s="486">
        <f t="shared" si="2"/>
        <v>101.707642015949</v>
      </c>
      <c r="J17" s="486">
        <f t="shared" si="3"/>
        <v>233.333333333333</v>
      </c>
      <c r="K17" s="486">
        <f t="shared" si="4"/>
        <v>354.502177656234</v>
      </c>
    </row>
    <row r="18" spans="1:11">
      <c r="A18" s="480">
        <v>10</v>
      </c>
      <c r="B18" s="481" t="s">
        <v>2321</v>
      </c>
      <c r="C18" s="482" t="s">
        <v>2323</v>
      </c>
      <c r="D18" s="483">
        <v>100</v>
      </c>
      <c r="E18" s="484">
        <v>1</v>
      </c>
      <c r="F18" s="484">
        <v>0.9</v>
      </c>
      <c r="G18" s="485">
        <f t="shared" si="0"/>
        <v>0.484322104837853</v>
      </c>
      <c r="H18" s="486">
        <f t="shared" si="1"/>
        <v>100</v>
      </c>
      <c r="I18" s="486">
        <f t="shared" si="2"/>
        <v>48.4322104837853</v>
      </c>
      <c r="J18" s="486">
        <f t="shared" si="3"/>
        <v>111.111111111111</v>
      </c>
      <c r="K18" s="486">
        <f t="shared" si="4"/>
        <v>168.810560788683</v>
      </c>
    </row>
    <row r="19" spans="1:11">
      <c r="A19" s="480">
        <v>11</v>
      </c>
      <c r="B19" s="481" t="s">
        <v>106</v>
      </c>
      <c r="C19" s="482"/>
      <c r="D19" s="483"/>
      <c r="E19" s="484"/>
      <c r="F19" s="484">
        <v>1</v>
      </c>
      <c r="G19" s="485">
        <f t="shared" si="0"/>
        <v>0</v>
      </c>
      <c r="H19" s="486">
        <f t="shared" si="1"/>
        <v>0</v>
      </c>
      <c r="I19" s="486">
        <f t="shared" si="2"/>
        <v>0</v>
      </c>
      <c r="J19" s="486">
        <f t="shared" si="3"/>
        <v>0</v>
      </c>
      <c r="K19" s="486">
        <f t="shared" si="4"/>
        <v>0</v>
      </c>
    </row>
    <row r="20" spans="1:11">
      <c r="A20" s="480">
        <v>12</v>
      </c>
      <c r="B20" s="481"/>
      <c r="C20" s="482"/>
      <c r="D20" s="483"/>
      <c r="E20" s="484"/>
      <c r="F20" s="484">
        <v>1</v>
      </c>
      <c r="G20" s="485">
        <f t="shared" si="0"/>
        <v>0</v>
      </c>
      <c r="H20" s="486">
        <f t="shared" si="1"/>
        <v>0</v>
      </c>
      <c r="I20" s="486">
        <f t="shared" si="2"/>
        <v>0</v>
      </c>
      <c r="J20" s="486">
        <f t="shared" si="3"/>
        <v>0</v>
      </c>
      <c r="K20" s="486">
        <f t="shared" si="4"/>
        <v>0</v>
      </c>
    </row>
    <row r="21" spans="1:11">
      <c r="A21" s="480">
        <v>14</v>
      </c>
      <c r="B21" s="481"/>
      <c r="C21" s="482"/>
      <c r="D21" s="483">
        <v>0</v>
      </c>
      <c r="E21" s="484"/>
      <c r="F21" s="484">
        <v>1</v>
      </c>
      <c r="G21" s="485">
        <f t="shared" si="0"/>
        <v>0</v>
      </c>
      <c r="H21" s="486">
        <f t="shared" si="1"/>
        <v>0</v>
      </c>
      <c r="I21" s="486">
        <f t="shared" si="2"/>
        <v>0</v>
      </c>
      <c r="J21" s="486">
        <f t="shared" si="3"/>
        <v>0</v>
      </c>
      <c r="K21" s="486">
        <f t="shared" si="4"/>
        <v>0</v>
      </c>
    </row>
    <row r="22" spans="1:11">
      <c r="A22" s="480">
        <v>14</v>
      </c>
      <c r="B22" s="481"/>
      <c r="C22" s="482"/>
      <c r="D22" s="483">
        <v>0</v>
      </c>
      <c r="E22" s="484"/>
      <c r="F22" s="484">
        <v>1</v>
      </c>
      <c r="G22" s="485">
        <f t="shared" si="0"/>
        <v>0</v>
      </c>
      <c r="H22" s="486">
        <f t="shared" si="1"/>
        <v>0</v>
      </c>
      <c r="I22" s="486">
        <f t="shared" si="2"/>
        <v>0</v>
      </c>
      <c r="J22" s="486">
        <f t="shared" si="3"/>
        <v>0</v>
      </c>
      <c r="K22" s="486">
        <f t="shared" si="4"/>
        <v>0</v>
      </c>
    </row>
    <row r="23" spans="1:11">
      <c r="A23" s="480">
        <v>15</v>
      </c>
      <c r="B23" s="481"/>
      <c r="C23" s="482"/>
      <c r="D23" s="483">
        <v>0</v>
      </c>
      <c r="E23" s="484"/>
      <c r="F23" s="484">
        <v>1</v>
      </c>
      <c r="G23" s="485">
        <f t="shared" si="0"/>
        <v>0</v>
      </c>
      <c r="H23" s="486">
        <f t="shared" si="1"/>
        <v>0</v>
      </c>
      <c r="I23" s="486">
        <f t="shared" si="2"/>
        <v>0</v>
      </c>
      <c r="J23" s="486">
        <f t="shared" si="3"/>
        <v>0</v>
      </c>
      <c r="K23" s="486">
        <f t="shared" si="4"/>
        <v>0</v>
      </c>
    </row>
    <row r="24" spans="1:11">
      <c r="A24" s="480">
        <v>16</v>
      </c>
      <c r="B24" s="481"/>
      <c r="C24" s="482"/>
      <c r="D24" s="483">
        <v>0</v>
      </c>
      <c r="E24" s="484"/>
      <c r="F24" s="484">
        <v>1</v>
      </c>
      <c r="G24" s="485">
        <f t="shared" si="0"/>
        <v>0</v>
      </c>
      <c r="H24" s="486">
        <f t="shared" si="1"/>
        <v>0</v>
      </c>
      <c r="I24" s="486">
        <f t="shared" si="2"/>
        <v>0</v>
      </c>
      <c r="J24" s="486">
        <f t="shared" si="3"/>
        <v>0</v>
      </c>
      <c r="K24" s="486">
        <f t="shared" si="4"/>
        <v>0</v>
      </c>
    </row>
    <row r="25" spans="1:11">
      <c r="A25" s="480">
        <v>17</v>
      </c>
      <c r="B25" s="481"/>
      <c r="C25" s="482"/>
      <c r="D25" s="483">
        <v>0</v>
      </c>
      <c r="E25" s="484"/>
      <c r="F25" s="484">
        <v>1</v>
      </c>
      <c r="G25" s="485">
        <f t="shared" si="0"/>
        <v>0</v>
      </c>
      <c r="H25" s="486">
        <f t="shared" si="1"/>
        <v>0</v>
      </c>
      <c r="I25" s="486">
        <f t="shared" si="2"/>
        <v>0</v>
      </c>
      <c r="J25" s="486">
        <f t="shared" si="3"/>
        <v>0</v>
      </c>
      <c r="K25" s="486">
        <f t="shared" si="4"/>
        <v>0</v>
      </c>
    </row>
    <row r="26" spans="1:11">
      <c r="A26" s="480">
        <v>18</v>
      </c>
      <c r="B26" s="481"/>
      <c r="C26" s="482"/>
      <c r="D26" s="483">
        <v>0</v>
      </c>
      <c r="E26" s="484"/>
      <c r="F26" s="484">
        <v>1</v>
      </c>
      <c r="G26" s="485">
        <f t="shared" si="0"/>
        <v>0</v>
      </c>
      <c r="H26" s="486">
        <f t="shared" si="1"/>
        <v>0</v>
      </c>
      <c r="I26" s="486">
        <f t="shared" si="2"/>
        <v>0</v>
      </c>
      <c r="J26" s="486">
        <f t="shared" si="3"/>
        <v>0</v>
      </c>
      <c r="K26" s="486">
        <f t="shared" si="4"/>
        <v>0</v>
      </c>
    </row>
    <row r="27" spans="1:11">
      <c r="A27" s="480">
        <v>19</v>
      </c>
      <c r="B27" s="481"/>
      <c r="C27" s="482"/>
      <c r="D27" s="483">
        <v>0</v>
      </c>
      <c r="E27" s="484"/>
      <c r="F27" s="484">
        <v>1</v>
      </c>
      <c r="G27" s="485">
        <f t="shared" si="0"/>
        <v>0</v>
      </c>
      <c r="H27" s="486">
        <f t="shared" si="1"/>
        <v>0</v>
      </c>
      <c r="I27" s="486">
        <f t="shared" si="2"/>
        <v>0</v>
      </c>
      <c r="J27" s="486">
        <f t="shared" si="3"/>
        <v>0</v>
      </c>
      <c r="K27" s="486">
        <f t="shared" si="4"/>
        <v>0</v>
      </c>
    </row>
    <row r="28" spans="1:11">
      <c r="A28" s="480">
        <v>20</v>
      </c>
      <c r="B28" s="481"/>
      <c r="C28" s="482"/>
      <c r="D28" s="483">
        <v>0</v>
      </c>
      <c r="E28" s="484"/>
      <c r="F28" s="484">
        <v>1</v>
      </c>
      <c r="G28" s="485">
        <f t="shared" si="0"/>
        <v>0</v>
      </c>
      <c r="H28" s="486">
        <f t="shared" si="1"/>
        <v>0</v>
      </c>
      <c r="I28" s="486">
        <f t="shared" si="2"/>
        <v>0</v>
      </c>
      <c r="J28" s="486">
        <f t="shared" si="3"/>
        <v>0</v>
      </c>
      <c r="K28" s="486">
        <f t="shared" si="4"/>
        <v>0</v>
      </c>
    </row>
    <row r="29" spans="1:11">
      <c r="A29" s="480">
        <v>21</v>
      </c>
      <c r="B29" s="481"/>
      <c r="C29" s="482"/>
      <c r="D29" s="483">
        <v>0</v>
      </c>
      <c r="E29" s="484"/>
      <c r="F29" s="484">
        <v>1</v>
      </c>
      <c r="G29" s="485">
        <f t="shared" si="0"/>
        <v>0</v>
      </c>
      <c r="H29" s="486">
        <f t="shared" si="1"/>
        <v>0</v>
      </c>
      <c r="I29" s="486">
        <f t="shared" si="2"/>
        <v>0</v>
      </c>
      <c r="J29" s="486">
        <f t="shared" si="3"/>
        <v>0</v>
      </c>
      <c r="K29" s="486">
        <f t="shared" si="4"/>
        <v>0</v>
      </c>
    </row>
    <row r="30" spans="1:11">
      <c r="A30" s="480">
        <v>22</v>
      </c>
      <c r="B30" s="481"/>
      <c r="C30" s="482"/>
      <c r="D30" s="483">
        <v>0</v>
      </c>
      <c r="E30" s="484"/>
      <c r="F30" s="484">
        <v>1</v>
      </c>
      <c r="G30" s="485">
        <f t="shared" si="0"/>
        <v>0</v>
      </c>
      <c r="H30" s="486">
        <f t="shared" si="1"/>
        <v>0</v>
      </c>
      <c r="I30" s="486">
        <f t="shared" si="2"/>
        <v>0</v>
      </c>
      <c r="J30" s="486">
        <f t="shared" si="3"/>
        <v>0</v>
      </c>
      <c r="K30" s="486">
        <f t="shared" si="4"/>
        <v>0</v>
      </c>
    </row>
    <row r="31" spans="1:11">
      <c r="A31" s="480">
        <v>23</v>
      </c>
      <c r="B31" s="481"/>
      <c r="C31" s="482"/>
      <c r="D31" s="483">
        <v>0</v>
      </c>
      <c r="E31" s="484"/>
      <c r="F31" s="484">
        <v>1</v>
      </c>
      <c r="G31" s="485">
        <f t="shared" si="0"/>
        <v>0</v>
      </c>
      <c r="H31" s="486">
        <f t="shared" si="1"/>
        <v>0</v>
      </c>
      <c r="I31" s="486">
        <f t="shared" si="2"/>
        <v>0</v>
      </c>
      <c r="J31" s="486">
        <f t="shared" si="3"/>
        <v>0</v>
      </c>
      <c r="K31" s="486">
        <f t="shared" si="4"/>
        <v>0</v>
      </c>
    </row>
    <row r="32" spans="1:11">
      <c r="A32" s="480">
        <v>24</v>
      </c>
      <c r="B32" s="481"/>
      <c r="C32" s="482"/>
      <c r="D32" s="483">
        <v>0</v>
      </c>
      <c r="E32" s="484"/>
      <c r="F32" s="484">
        <v>1</v>
      </c>
      <c r="G32" s="485">
        <f t="shared" si="0"/>
        <v>0</v>
      </c>
      <c r="H32" s="486">
        <f t="shared" si="1"/>
        <v>0</v>
      </c>
      <c r="I32" s="486">
        <f t="shared" si="2"/>
        <v>0</v>
      </c>
      <c r="J32" s="486">
        <f t="shared" si="3"/>
        <v>0</v>
      </c>
      <c r="K32" s="486">
        <f t="shared" si="4"/>
        <v>0</v>
      </c>
    </row>
    <row r="33" spans="1:11">
      <c r="A33" s="480">
        <v>25</v>
      </c>
      <c r="B33" s="487"/>
      <c r="C33" s="482"/>
      <c r="D33" s="483">
        <v>0</v>
      </c>
      <c r="E33" s="484"/>
      <c r="F33" s="484">
        <v>1</v>
      </c>
      <c r="G33" s="485">
        <f t="shared" si="0"/>
        <v>0</v>
      </c>
      <c r="H33" s="486">
        <f t="shared" si="1"/>
        <v>0</v>
      </c>
      <c r="I33" s="486">
        <f t="shared" si="2"/>
        <v>0</v>
      </c>
      <c r="J33" s="486">
        <f t="shared" si="3"/>
        <v>0</v>
      </c>
      <c r="K33" s="486">
        <f t="shared" si="4"/>
        <v>0</v>
      </c>
    </row>
    <row r="34" spans="1:11">
      <c r="A34" s="480">
        <v>26</v>
      </c>
      <c r="B34" s="481"/>
      <c r="C34" s="482"/>
      <c r="D34" s="483">
        <v>0</v>
      </c>
      <c r="E34" s="484"/>
      <c r="F34" s="484">
        <v>1</v>
      </c>
      <c r="G34" s="485">
        <f t="shared" si="0"/>
        <v>0</v>
      </c>
      <c r="H34" s="486">
        <f t="shared" si="1"/>
        <v>0</v>
      </c>
      <c r="I34" s="486">
        <f t="shared" si="2"/>
        <v>0</v>
      </c>
      <c r="J34" s="486">
        <f t="shared" si="3"/>
        <v>0</v>
      </c>
      <c r="K34" s="486">
        <f t="shared" si="4"/>
        <v>0</v>
      </c>
    </row>
    <row r="35" spans="1:11">
      <c r="A35" s="480">
        <v>27</v>
      </c>
      <c r="B35" s="481"/>
      <c r="C35" s="482"/>
      <c r="D35" s="483">
        <v>0</v>
      </c>
      <c r="E35" s="484"/>
      <c r="F35" s="484">
        <v>1</v>
      </c>
      <c r="G35" s="485">
        <f t="shared" si="0"/>
        <v>0</v>
      </c>
      <c r="H35" s="486">
        <f t="shared" si="1"/>
        <v>0</v>
      </c>
      <c r="I35" s="486">
        <f t="shared" si="2"/>
        <v>0</v>
      </c>
      <c r="J35" s="486">
        <f t="shared" si="3"/>
        <v>0</v>
      </c>
      <c r="K35" s="486">
        <f t="shared" si="4"/>
        <v>0</v>
      </c>
    </row>
    <row r="36" spans="1:11">
      <c r="A36" s="480">
        <v>28</v>
      </c>
      <c r="B36" s="481"/>
      <c r="C36" s="482"/>
      <c r="D36" s="488">
        <v>0</v>
      </c>
      <c r="E36" s="489"/>
      <c r="F36" s="489">
        <v>1</v>
      </c>
      <c r="G36" s="490">
        <f t="shared" si="0"/>
        <v>0</v>
      </c>
      <c r="H36" s="491">
        <f t="shared" si="1"/>
        <v>0</v>
      </c>
      <c r="I36" s="491">
        <f t="shared" si="2"/>
        <v>0</v>
      </c>
      <c r="J36" s="491">
        <f t="shared" si="3"/>
        <v>0</v>
      </c>
      <c r="K36" s="491">
        <f t="shared" si="4"/>
        <v>0</v>
      </c>
    </row>
    <row r="37" spans="1:11">
      <c r="A37" s="480"/>
      <c r="B37" s="492" t="s">
        <v>2324</v>
      </c>
      <c r="C37" s="493">
        <v>0.85</v>
      </c>
      <c r="D37" s="494" t="s">
        <v>2325</v>
      </c>
      <c r="E37" s="495"/>
      <c r="F37" s="495"/>
      <c r="G37" s="495"/>
      <c r="H37" s="495"/>
      <c r="I37" s="495"/>
      <c r="J37" s="495"/>
      <c r="K37" s="518"/>
    </row>
    <row r="38" s="19" customFormat="1" spans="1:11">
      <c r="A38" s="480"/>
      <c r="B38" s="492" t="s">
        <v>2326</v>
      </c>
      <c r="C38" s="496">
        <v>0.75</v>
      </c>
      <c r="D38" s="494" t="s">
        <v>2327</v>
      </c>
      <c r="E38" s="495"/>
      <c r="F38" s="495"/>
      <c r="G38" s="495"/>
      <c r="H38" s="495"/>
      <c r="I38" s="495"/>
      <c r="J38" s="495"/>
      <c r="K38" s="518"/>
    </row>
    <row r="39" spans="1:11">
      <c r="A39" s="480"/>
      <c r="B39" s="492" t="s">
        <v>2328</v>
      </c>
      <c r="C39" s="496">
        <v>0.8</v>
      </c>
      <c r="D39" s="494" t="s">
        <v>2329</v>
      </c>
      <c r="E39" s="495"/>
      <c r="F39" s="495"/>
      <c r="G39" s="495"/>
      <c r="H39" s="495"/>
      <c r="I39" s="495"/>
      <c r="J39" s="495"/>
      <c r="K39" s="518"/>
    </row>
    <row r="40" spans="1:11">
      <c r="A40" s="497" t="s">
        <v>2330</v>
      </c>
      <c r="B40" s="498"/>
      <c r="C40" s="499"/>
      <c r="D40" s="500">
        <f>SUM(D9:D36)</f>
        <v>1576</v>
      </c>
      <c r="E40" s="501"/>
      <c r="F40" s="502">
        <f>1/SQRT(1+(C39*I40/C38/H40)*(C39*I40/C38/H40))</f>
        <v>0.837392423765666</v>
      </c>
      <c r="G40" s="503">
        <f>TAN(ACOS(F40))</f>
        <v>0.652743147857165</v>
      </c>
      <c r="H40" s="504">
        <f>C37*SUM(H9:H36)</f>
        <v>980.985</v>
      </c>
      <c r="I40" s="504">
        <f>C37*SUM(I9:I36)</f>
        <v>600.31053459437</v>
      </c>
      <c r="J40" s="504">
        <f>SQRT(H40*H40+I40*I40)</f>
        <v>1150.08882620864</v>
      </c>
      <c r="K40" s="519">
        <f>J40/0.6582</f>
        <v>1747.32425738171</v>
      </c>
    </row>
    <row r="41" spans="1:11">
      <c r="A41" s="475" t="s">
        <v>2331</v>
      </c>
      <c r="B41" s="318"/>
      <c r="C41" s="319"/>
      <c r="D41" s="500">
        <f>SUM(D9:D36)</f>
        <v>1576</v>
      </c>
      <c r="E41" s="505"/>
      <c r="F41" s="506">
        <v>0.92</v>
      </c>
      <c r="G41" s="507">
        <f>TAN(ACOS(F41))</f>
        <v>0.425998216136205</v>
      </c>
      <c r="H41" s="504">
        <f>C37*SUM(H9:H36)</f>
        <v>980.985</v>
      </c>
      <c r="I41" s="520">
        <f>H41*G41</f>
        <v>417.897860056375</v>
      </c>
      <c r="J41" s="521">
        <f>SQRT(H41*H41+I41*I41)</f>
        <v>1066.28804347826</v>
      </c>
      <c r="K41" s="520">
        <f>J41/0.6582</f>
        <v>1620.00614323649</v>
      </c>
    </row>
    <row r="42" s="21" customFormat="1" spans="1:11">
      <c r="A42" s="475" t="s">
        <v>2332</v>
      </c>
      <c r="B42" s="318"/>
      <c r="C42" s="319"/>
      <c r="D42" s="508"/>
      <c r="E42" s="505"/>
      <c r="F42" s="509"/>
      <c r="G42" s="362"/>
      <c r="H42" s="510"/>
      <c r="I42" s="520">
        <f>0.75*H40*(G40-G41)</f>
        <v>166.825032633215</v>
      </c>
      <c r="J42" s="510"/>
      <c r="K42" s="522"/>
    </row>
    <row r="43" s="21" customFormat="1" spans="1:11">
      <c r="A43" s="475" t="s">
        <v>2333</v>
      </c>
      <c r="B43" s="318"/>
      <c r="C43" s="319"/>
      <c r="D43" s="508"/>
      <c r="E43" s="505"/>
      <c r="F43" s="509"/>
      <c r="G43" s="362"/>
      <c r="H43" s="510"/>
      <c r="I43" s="522"/>
      <c r="J43" s="488">
        <v>500</v>
      </c>
      <c r="K43" s="313"/>
    </row>
    <row r="44" s="21" customFormat="1" spans="1:11">
      <c r="A44" s="475" t="s">
        <v>2334</v>
      </c>
      <c r="B44" s="318"/>
      <c r="C44" s="319"/>
      <c r="D44" s="508"/>
      <c r="E44" s="505"/>
      <c r="F44" s="509"/>
      <c r="G44" s="362"/>
      <c r="H44" s="510"/>
      <c r="I44" s="522"/>
      <c r="J44" s="523">
        <f>J41/J43</f>
        <v>2.13257608695652</v>
      </c>
      <c r="K44" s="522"/>
    </row>
  </sheetData>
  <customSheetViews>
    <customSheetView guid="{B9330FFD-B5EF-4680-A375-DB92D4738404}" topLeftCell="A7">
      <selection activeCell="M19" sqref="M19"/>
      <pageMargins left="0.7" right="0.7" top="0.75" bottom="0.75" header="0.3" footer="0.3"/>
      <headerFooter/>
    </customSheetView>
  </customSheetViews>
  <mergeCells count="25">
    <mergeCell ref="B4:I4"/>
    <mergeCell ref="J4:K4"/>
    <mergeCell ref="B5:D5"/>
    <mergeCell ref="F5:G5"/>
    <mergeCell ref="A6:K6"/>
    <mergeCell ref="H7:K7"/>
    <mergeCell ref="D37:K37"/>
    <mergeCell ref="D38:K38"/>
    <mergeCell ref="D39:K39"/>
    <mergeCell ref="A40:C40"/>
    <mergeCell ref="A41:C41"/>
    <mergeCell ref="A42:C42"/>
    <mergeCell ref="A43:C43"/>
    <mergeCell ref="A44:C44"/>
    <mergeCell ref="A4:A5"/>
    <mergeCell ref="A7:A8"/>
    <mergeCell ref="B7:B8"/>
    <mergeCell ref="C7:C8"/>
    <mergeCell ref="D7:D8"/>
    <mergeCell ref="E7:E8"/>
    <mergeCell ref="F7:F8"/>
    <mergeCell ref="G7:G8"/>
    <mergeCell ref="A1:B3"/>
    <mergeCell ref="C1:I3"/>
    <mergeCell ref="J1:K3"/>
  </mergeCells>
  <dataValidations count="4">
    <dataValidation type="decimal" operator="between" allowBlank="1" showInputMessage="1" showErrorMessage="1" errorTitle="提醒" error="您确定吗？" sqref="J43 D9:D39" errorStyle="information">
      <formula1>0</formula1>
      <formula2>1000</formula2>
    </dataValidation>
    <dataValidation type="decimal" operator="between" allowBlank="1" showInputMessage="1" showErrorMessage="1" errorTitle="警告" error="数值无效，请重新输入！&#10;" sqref="E9:E36" errorStyle="warning">
      <formula1>0</formula1>
      <formula2>1</formula2>
    </dataValidation>
    <dataValidation type="decimal" operator="between" allowBlank="1" showInputMessage="1" showErrorMessage="1" errorTitle="警告" error="数值无效，请重新输入！" sqref="F9:F36" errorStyle="warning">
      <formula1>0</formula1>
      <formula2>1</formula2>
    </dataValidation>
    <dataValidation type="decimal" operator="between" allowBlank="1" showInputMessage="1" showErrorMessage="1" errorTitle="提醒" error="这个数值真的正确吗？" sqref="F41:F44" errorStyle="warning">
      <formula1>0.9</formula1>
      <formula2>1</formula2>
    </dataValidation>
  </dataValidations>
  <hyperlinks>
    <hyperlink ref="J1:K3" location="目录!A1" display="目录!A1"/>
  </hyperlinks>
  <pageMargins left="0.7" right="0.7" top="0.75" bottom="0.75" header="0.3" footer="0.3"/>
  <headerFooter/>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148"/>
  <sheetViews>
    <sheetView workbookViewId="0">
      <selection activeCell="P24" sqref="P24"/>
    </sheetView>
  </sheetViews>
  <sheetFormatPr defaultColWidth="9" defaultRowHeight="15.6"/>
  <sheetData>
    <row r="2" ht="25.8" spans="1:13">
      <c r="A2" s="19"/>
      <c r="B2" s="19"/>
      <c r="C2" s="19"/>
      <c r="D2" s="949" t="s">
        <v>2335</v>
      </c>
      <c r="M2" s="155" t="s">
        <v>88</v>
      </c>
    </row>
    <row r="31" ht="25.8" spans="4:4">
      <c r="D31" s="949" t="s">
        <v>2336</v>
      </c>
    </row>
    <row r="60" ht="25.8" spans="3:3">
      <c r="C60" s="949" t="s">
        <v>2337</v>
      </c>
    </row>
    <row r="89" ht="25.8" spans="4:4">
      <c r="D89" s="949" t="s">
        <v>2338</v>
      </c>
    </row>
    <row r="148" ht="25.8" spans="4:6">
      <c r="D148" s="949" t="s">
        <v>2339</v>
      </c>
      <c r="E148" s="949"/>
      <c r="F148" s="949"/>
    </row>
  </sheetData>
  <customSheetViews>
    <customSheetView guid="{B9330FFD-B5EF-4680-A375-DB92D4738404}">
      <selection activeCell="L2" sqref="L2"/>
      <pageMargins left="0.7" right="0.7" top="0.75" bottom="0.75" header="0.3" footer="0.3"/>
      <headerFooter/>
    </customSheetView>
  </customSheetViews>
  <mergeCells count="1">
    <mergeCell ref="A2:C2"/>
  </mergeCells>
  <hyperlinks>
    <hyperlink ref="M2" location="目录!A1" display="目录!A1"/>
  </hyperlinks>
  <pageMargins left="0.7" right="0.7" top="0.75" bottom="0.75" header="0.3" footer="0.3"/>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4"/>
  <sheetViews>
    <sheetView topLeftCell="A20" workbookViewId="0">
      <selection activeCell="J17" sqref="J17"/>
    </sheetView>
  </sheetViews>
  <sheetFormatPr defaultColWidth="9" defaultRowHeight="15.6" outlineLevelCol="6"/>
  <cols>
    <col min="1" max="1" width="9" style="168"/>
    <col min="2" max="2" width="10.375" style="168" customWidth="1"/>
    <col min="3" max="3" width="9" style="168"/>
    <col min="4" max="4" width="13.5" style="168" customWidth="1"/>
    <col min="5" max="5" width="11.25" style="168" customWidth="1"/>
    <col min="6" max="6" width="9" style="168"/>
    <col min="7" max="7" width="16" style="168" customWidth="1"/>
    <col min="8" max="16384" width="9" style="168"/>
  </cols>
  <sheetData>
    <row r="1" ht="36" customHeight="1" spans="1:7">
      <c r="A1" s="942" t="s">
        <v>2340</v>
      </c>
      <c r="B1" s="942"/>
      <c r="C1" s="942"/>
      <c r="D1" s="942"/>
      <c r="E1" s="942"/>
      <c r="F1" s="942"/>
      <c r="G1" s="525" t="s">
        <v>88</v>
      </c>
    </row>
    <row r="2" ht="19.5" customHeight="1" spans="1:7">
      <c r="A2" s="943" t="s">
        <v>2341</v>
      </c>
      <c r="B2" s="943" t="s">
        <v>2342</v>
      </c>
      <c r="C2" s="943"/>
      <c r="D2" s="943" t="s">
        <v>2343</v>
      </c>
      <c r="E2" s="943" t="s">
        <v>2344</v>
      </c>
      <c r="F2" s="944" t="s">
        <v>2345</v>
      </c>
      <c r="G2" s="943" t="s">
        <v>2346</v>
      </c>
    </row>
    <row r="3" spans="1:7">
      <c r="A3" s="945">
        <f>SUM(B3*C3*D3/E3/F3/G3)</f>
        <v>454.676674364896</v>
      </c>
      <c r="B3" s="946">
        <v>315</v>
      </c>
      <c r="C3" s="945">
        <v>1000</v>
      </c>
      <c r="D3" s="947">
        <v>0.8</v>
      </c>
      <c r="E3" s="945">
        <v>400</v>
      </c>
      <c r="F3" s="945">
        <v>0.8</v>
      </c>
      <c r="G3" s="945">
        <v>1.732</v>
      </c>
    </row>
    <row r="4" spans="1:7">
      <c r="A4" s="945">
        <f t="shared" ref="A4:A15" si="0">SUM(B4*C4*D4/E4/F4/G4)</f>
        <v>577.367205542725</v>
      </c>
      <c r="B4" s="946">
        <v>400</v>
      </c>
      <c r="C4" s="945">
        <v>1000</v>
      </c>
      <c r="D4" s="947">
        <v>0.8</v>
      </c>
      <c r="E4" s="945">
        <v>400</v>
      </c>
      <c r="F4" s="945">
        <v>0.8</v>
      </c>
      <c r="G4" s="945">
        <v>1.732</v>
      </c>
    </row>
    <row r="5" spans="1:7">
      <c r="A5" s="945">
        <f t="shared" si="0"/>
        <v>115.473441108545</v>
      </c>
      <c r="B5" s="946">
        <v>80</v>
      </c>
      <c r="C5" s="945">
        <v>1000</v>
      </c>
      <c r="D5" s="947">
        <v>0.8</v>
      </c>
      <c r="E5" s="945">
        <v>400</v>
      </c>
      <c r="F5" s="945">
        <v>0.8</v>
      </c>
      <c r="G5" s="945">
        <v>1.732</v>
      </c>
    </row>
    <row r="6" spans="1:7">
      <c r="A6" s="945">
        <f t="shared" si="0"/>
        <v>0</v>
      </c>
      <c r="B6" s="946"/>
      <c r="C6" s="945">
        <v>1000</v>
      </c>
      <c r="D6" s="947">
        <v>0.8</v>
      </c>
      <c r="E6" s="945">
        <v>400</v>
      </c>
      <c r="F6" s="945">
        <v>0.8</v>
      </c>
      <c r="G6" s="945">
        <v>1.732</v>
      </c>
    </row>
    <row r="7" spans="1:7">
      <c r="A7" s="945">
        <f t="shared" si="0"/>
        <v>0</v>
      </c>
      <c r="B7" s="946"/>
      <c r="C7" s="945">
        <v>1000</v>
      </c>
      <c r="D7" s="947">
        <v>0.8</v>
      </c>
      <c r="E7" s="945">
        <v>400</v>
      </c>
      <c r="F7" s="945">
        <v>0.8</v>
      </c>
      <c r="G7" s="945">
        <v>1.732</v>
      </c>
    </row>
    <row r="8" spans="1:7">
      <c r="A8" s="945">
        <f t="shared" si="0"/>
        <v>0</v>
      </c>
      <c r="B8" s="946"/>
      <c r="C8" s="945">
        <v>1000</v>
      </c>
      <c r="D8" s="947">
        <v>0.8</v>
      </c>
      <c r="E8" s="945">
        <v>400</v>
      </c>
      <c r="F8" s="945">
        <v>0.8</v>
      </c>
      <c r="G8" s="945">
        <v>1.732</v>
      </c>
    </row>
    <row r="9" spans="1:7">
      <c r="A9" s="945">
        <f t="shared" si="0"/>
        <v>0</v>
      </c>
      <c r="B9" s="946"/>
      <c r="C9" s="945">
        <v>1000</v>
      </c>
      <c r="D9" s="947">
        <v>0.8</v>
      </c>
      <c r="E9" s="945">
        <v>400</v>
      </c>
      <c r="F9" s="945">
        <v>0.8</v>
      </c>
      <c r="G9" s="945">
        <v>1.732</v>
      </c>
    </row>
    <row r="10" spans="1:7">
      <c r="A10" s="945">
        <f t="shared" si="0"/>
        <v>0</v>
      </c>
      <c r="B10" s="946"/>
      <c r="C10" s="945">
        <v>1000</v>
      </c>
      <c r="D10" s="947">
        <v>0.8</v>
      </c>
      <c r="E10" s="945">
        <v>400</v>
      </c>
      <c r="F10" s="945">
        <v>0.8</v>
      </c>
      <c r="G10" s="945">
        <v>1.732</v>
      </c>
    </row>
    <row r="11" spans="1:7">
      <c r="A11" s="945">
        <f t="shared" si="0"/>
        <v>0</v>
      </c>
      <c r="B11" s="946"/>
      <c r="C11" s="945">
        <v>1000</v>
      </c>
      <c r="D11" s="947">
        <v>0.8</v>
      </c>
      <c r="E11" s="945">
        <v>400</v>
      </c>
      <c r="F11" s="945">
        <v>0.8</v>
      </c>
      <c r="G11" s="945">
        <v>1.732</v>
      </c>
    </row>
    <row r="12" spans="1:7">
      <c r="A12" s="945">
        <f t="shared" si="0"/>
        <v>0</v>
      </c>
      <c r="B12" s="946"/>
      <c r="C12" s="945">
        <v>1000</v>
      </c>
      <c r="D12" s="947">
        <v>0.8</v>
      </c>
      <c r="E12" s="945">
        <v>400</v>
      </c>
      <c r="F12" s="945">
        <v>0.8</v>
      </c>
      <c r="G12" s="945">
        <v>1.732</v>
      </c>
    </row>
    <row r="13" spans="1:7">
      <c r="A13" s="945">
        <f t="shared" si="0"/>
        <v>0</v>
      </c>
      <c r="B13" s="946"/>
      <c r="C13" s="945">
        <v>1000</v>
      </c>
      <c r="D13" s="947">
        <v>0.8</v>
      </c>
      <c r="E13" s="945">
        <v>400</v>
      </c>
      <c r="F13" s="945">
        <v>0.8</v>
      </c>
      <c r="G13" s="945">
        <v>1.732</v>
      </c>
    </row>
    <row r="14" spans="1:7">
      <c r="A14" s="945">
        <f t="shared" si="0"/>
        <v>0</v>
      </c>
      <c r="B14" s="946"/>
      <c r="C14" s="945">
        <v>1000</v>
      </c>
      <c r="D14" s="947">
        <v>0.8</v>
      </c>
      <c r="E14" s="945">
        <v>400</v>
      </c>
      <c r="F14" s="945">
        <v>0.8</v>
      </c>
      <c r="G14" s="945">
        <v>1.732</v>
      </c>
    </row>
    <row r="15" spans="1:7">
      <c r="A15" s="945">
        <f t="shared" si="0"/>
        <v>0</v>
      </c>
      <c r="B15" s="946"/>
      <c r="C15" s="945">
        <v>1000</v>
      </c>
      <c r="D15" s="947">
        <v>0.8</v>
      </c>
      <c r="E15" s="945">
        <v>400</v>
      </c>
      <c r="F15" s="945">
        <v>0.8</v>
      </c>
      <c r="G15" s="945">
        <v>1.732</v>
      </c>
    </row>
    <row r="16" ht="19.5" customHeight="1" spans="1:7">
      <c r="A16" s="948" t="s">
        <v>2347</v>
      </c>
      <c r="B16" s="948"/>
      <c r="C16" s="948"/>
      <c r="D16" s="948"/>
      <c r="E16" s="948"/>
      <c r="F16" s="948"/>
      <c r="G16" s="948"/>
    </row>
    <row r="17" ht="19.5" customHeight="1" spans="1:7">
      <c r="A17" s="948"/>
      <c r="B17" s="948"/>
      <c r="C17" s="948"/>
      <c r="D17" s="948"/>
      <c r="E17" s="948"/>
      <c r="F17" s="948"/>
      <c r="G17" s="948"/>
    </row>
    <row r="18" ht="19.5" customHeight="1" spans="1:7">
      <c r="A18" s="948"/>
      <c r="B18" s="948"/>
      <c r="C18" s="948"/>
      <c r="D18" s="948"/>
      <c r="E18" s="948"/>
      <c r="F18" s="948"/>
      <c r="G18" s="948"/>
    </row>
    <row r="19" ht="19.5" customHeight="1" spans="1:7">
      <c r="A19" s="948"/>
      <c r="B19" s="948"/>
      <c r="C19" s="948"/>
      <c r="D19" s="948"/>
      <c r="E19" s="948"/>
      <c r="F19" s="948"/>
      <c r="G19" s="948"/>
    </row>
    <row r="20" ht="19.5" customHeight="1" spans="1:7">
      <c r="A20" s="948"/>
      <c r="B20" s="948"/>
      <c r="C20" s="948"/>
      <c r="D20" s="948"/>
      <c r="E20" s="948"/>
      <c r="F20" s="948"/>
      <c r="G20" s="948"/>
    </row>
    <row r="21" ht="19.5" customHeight="1" spans="1:7">
      <c r="A21" s="948"/>
      <c r="B21" s="948"/>
      <c r="C21" s="948"/>
      <c r="D21" s="948"/>
      <c r="E21" s="948"/>
      <c r="F21" s="948"/>
      <c r="G21" s="948"/>
    </row>
    <row r="22" ht="19.5" customHeight="1" spans="1:7">
      <c r="A22" s="948"/>
      <c r="B22" s="948"/>
      <c r="C22" s="948"/>
      <c r="D22" s="948"/>
      <c r="E22" s="948"/>
      <c r="F22" s="948"/>
      <c r="G22" s="948"/>
    </row>
    <row r="23" spans="1:7">
      <c r="A23" s="289" t="s">
        <v>2348</v>
      </c>
      <c r="B23" s="289"/>
      <c r="C23" s="289"/>
      <c r="D23" s="289"/>
      <c r="E23" s="289"/>
      <c r="F23" s="289"/>
      <c r="G23" s="289"/>
    </row>
    <row r="24" spans="1:7">
      <c r="A24" s="289"/>
      <c r="B24" s="289"/>
      <c r="C24" s="289"/>
      <c r="D24" s="289"/>
      <c r="E24" s="289"/>
      <c r="F24" s="289"/>
      <c r="G24" s="289"/>
    </row>
    <row r="25" spans="1:7">
      <c r="A25" s="289"/>
      <c r="B25" s="289"/>
      <c r="C25" s="289"/>
      <c r="D25" s="289"/>
      <c r="E25" s="289"/>
      <c r="F25" s="289"/>
      <c r="G25" s="289"/>
    </row>
    <row r="26" spans="1:7">
      <c r="A26" s="289" t="s">
        <v>2349</v>
      </c>
      <c r="B26" s="289"/>
      <c r="C26" s="289"/>
      <c r="D26" s="289"/>
      <c r="E26" s="289"/>
      <c r="F26" s="289"/>
      <c r="G26" s="289"/>
    </row>
    <row r="27" spans="1:7">
      <c r="A27" s="289"/>
      <c r="B27" s="289"/>
      <c r="C27" s="289"/>
      <c r="D27" s="289"/>
      <c r="E27" s="289"/>
      <c r="F27" s="289"/>
      <c r="G27" s="289"/>
    </row>
    <row r="28" spans="1:7">
      <c r="A28" s="948" t="s">
        <v>2350</v>
      </c>
      <c r="B28" s="289"/>
      <c r="C28" s="289"/>
      <c r="D28" s="289"/>
      <c r="E28" s="289"/>
      <c r="F28" s="289"/>
      <c r="G28" s="289"/>
    </row>
    <row r="29" spans="1:7">
      <c r="A29" s="289"/>
      <c r="B29" s="289"/>
      <c r="C29" s="289"/>
      <c r="D29" s="289"/>
      <c r="E29" s="289"/>
      <c r="F29" s="289"/>
      <c r="G29" s="289"/>
    </row>
    <row r="30" spans="1:7">
      <c r="A30" s="289"/>
      <c r="B30" s="289"/>
      <c r="C30" s="289"/>
      <c r="D30" s="289"/>
      <c r="E30" s="289"/>
      <c r="F30" s="289"/>
      <c r="G30" s="289"/>
    </row>
    <row r="31" spans="1:7">
      <c r="A31" s="289"/>
      <c r="B31" s="289"/>
      <c r="C31" s="289"/>
      <c r="D31" s="289"/>
      <c r="E31" s="289"/>
      <c r="F31" s="289"/>
      <c r="G31" s="289"/>
    </row>
    <row r="32" spans="1:7">
      <c r="A32" s="289"/>
      <c r="B32" s="289"/>
      <c r="C32" s="289"/>
      <c r="D32" s="289"/>
      <c r="E32" s="289"/>
      <c r="F32" s="289"/>
      <c r="G32" s="289"/>
    </row>
    <row r="33" spans="1:7">
      <c r="A33" s="289" t="s">
        <v>2351</v>
      </c>
      <c r="B33" s="289"/>
      <c r="C33" s="289"/>
      <c r="D33" s="289"/>
      <c r="E33" s="289"/>
      <c r="F33" s="289"/>
      <c r="G33" s="289"/>
    </row>
    <row r="34" spans="1:7">
      <c r="A34" s="289"/>
      <c r="B34" s="289"/>
      <c r="C34" s="289"/>
      <c r="D34" s="289"/>
      <c r="E34" s="289"/>
      <c r="F34" s="289"/>
      <c r="G34" s="289"/>
    </row>
    <row r="35" spans="1:7">
      <c r="A35" s="289"/>
      <c r="B35" s="289"/>
      <c r="C35" s="289"/>
      <c r="D35" s="289"/>
      <c r="E35" s="289"/>
      <c r="F35" s="289"/>
      <c r="G35" s="289"/>
    </row>
    <row r="36" spans="1:7">
      <c r="A36" s="948" t="s">
        <v>2352</v>
      </c>
      <c r="B36" s="289"/>
      <c r="C36" s="289"/>
      <c r="D36" s="289"/>
      <c r="E36" s="289"/>
      <c r="F36" s="289"/>
      <c r="G36" s="289"/>
    </row>
    <row r="37" spans="1:7">
      <c r="A37" s="289"/>
      <c r="B37" s="289"/>
      <c r="C37" s="289"/>
      <c r="D37" s="289"/>
      <c r="E37" s="289"/>
      <c r="F37" s="289"/>
      <c r="G37" s="289"/>
    </row>
    <row r="38" spans="1:7">
      <c r="A38" s="289"/>
      <c r="B38" s="289"/>
      <c r="C38" s="289"/>
      <c r="D38" s="289"/>
      <c r="E38" s="289"/>
      <c r="F38" s="289"/>
      <c r="G38" s="289"/>
    </row>
    <row r="39" spans="1:7">
      <c r="A39" s="289"/>
      <c r="B39" s="289"/>
      <c r="C39" s="289"/>
      <c r="D39" s="289"/>
      <c r="E39" s="289"/>
      <c r="F39" s="289"/>
      <c r="G39" s="289"/>
    </row>
    <row r="40" spans="1:7">
      <c r="A40" s="289"/>
      <c r="B40" s="289"/>
      <c r="C40" s="289"/>
      <c r="D40" s="289"/>
      <c r="E40" s="289"/>
      <c r="F40" s="289"/>
      <c r="G40" s="289"/>
    </row>
    <row r="41" spans="1:7">
      <c r="A41" s="289"/>
      <c r="B41" s="289"/>
      <c r="C41" s="289"/>
      <c r="D41" s="289"/>
      <c r="E41" s="289"/>
      <c r="F41" s="289"/>
      <c r="G41" s="289"/>
    </row>
    <row r="42" spans="1:7">
      <c r="A42" s="289"/>
      <c r="B42" s="289"/>
      <c r="C42" s="289"/>
      <c r="D42" s="289"/>
      <c r="E42" s="289"/>
      <c r="F42" s="289"/>
      <c r="G42" s="289"/>
    </row>
    <row r="43" spans="1:7">
      <c r="A43" s="289"/>
      <c r="B43" s="289"/>
      <c r="C43" s="289"/>
      <c r="D43" s="289"/>
      <c r="E43" s="289"/>
      <c r="F43" s="289"/>
      <c r="G43" s="289"/>
    </row>
    <row r="44" spans="1:7">
      <c r="A44" s="289"/>
      <c r="B44" s="289"/>
      <c r="C44" s="289"/>
      <c r="D44" s="289"/>
      <c r="E44" s="289"/>
      <c r="F44" s="289"/>
      <c r="G44" s="289"/>
    </row>
  </sheetData>
  <customSheetViews>
    <customSheetView guid="{B9330FFD-B5EF-4680-A375-DB92D4738404}">
      <selection activeCell="A16" sqref="A16:G22"/>
      <pageMargins left="0.7" right="0.7" top="0.75" bottom="0.75" header="0.3" footer="0.3"/>
      <headerFooter/>
    </customSheetView>
  </customSheetViews>
  <mergeCells count="7">
    <mergeCell ref="A1:F1"/>
    <mergeCell ref="A36:G44"/>
    <mergeCell ref="A16:G22"/>
    <mergeCell ref="A23:G25"/>
    <mergeCell ref="A26:G27"/>
    <mergeCell ref="A28:G32"/>
    <mergeCell ref="A33:G35"/>
  </mergeCells>
  <hyperlinks>
    <hyperlink ref="G1" location="目录!A1" display="目录!A1"/>
  </hyperlinks>
  <pageMargins left="0.7" right="0.7" top="0.75" bottom="0.75" header="0.3" footer="0.3"/>
  <headerFooter/>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topLeftCell="J21" workbookViewId="0">
      <selection activeCell="M1" sqref="M1:N1"/>
    </sheetView>
  </sheetViews>
  <sheetFormatPr defaultColWidth="9" defaultRowHeight="15.6"/>
  <cols>
    <col min="1" max="1" width="13.625" customWidth="1"/>
    <col min="2" max="2" width="10.25" customWidth="1"/>
    <col min="3" max="3" width="7.375" customWidth="1"/>
    <col min="4" max="4" width="6.625" customWidth="1"/>
    <col min="5" max="5" width="6.375" customWidth="1"/>
    <col min="6" max="6" width="7.375" customWidth="1"/>
    <col min="7" max="7" width="9.625" customWidth="1"/>
    <col min="8" max="8" width="9.875" style="889" customWidth="1"/>
    <col min="9" max="10" width="9.75" customWidth="1"/>
    <col min="11" max="11" width="8.625" customWidth="1"/>
    <col min="12" max="12" width="8.125" customWidth="1"/>
    <col min="13" max="13" width="8.625" customWidth="1"/>
    <col min="14" max="14" width="5.875" customWidth="1"/>
  </cols>
  <sheetData>
    <row r="1" ht="25.2" spans="1:14">
      <c r="A1" s="890" t="s">
        <v>2353</v>
      </c>
      <c r="B1" s="890"/>
      <c r="C1" s="890"/>
      <c r="D1" s="890"/>
      <c r="E1" s="890"/>
      <c r="F1" s="890"/>
      <c r="G1" s="890"/>
      <c r="H1" s="890"/>
      <c r="I1" s="890"/>
      <c r="J1" s="890"/>
      <c r="K1" s="890"/>
      <c r="L1" s="933" t="s">
        <v>88</v>
      </c>
      <c r="M1" s="934"/>
      <c r="N1" s="934"/>
    </row>
    <row r="2" ht="50.4" spans="1:14">
      <c r="A2" s="891" t="s">
        <v>2354</v>
      </c>
      <c r="B2" s="892" t="s">
        <v>2355</v>
      </c>
      <c r="C2" s="892" t="s">
        <v>2356</v>
      </c>
      <c r="D2" s="892" t="s">
        <v>2357</v>
      </c>
      <c r="E2" s="892" t="s">
        <v>2358</v>
      </c>
      <c r="F2" s="892" t="s">
        <v>2359</v>
      </c>
      <c r="G2" s="892" t="s">
        <v>2360</v>
      </c>
      <c r="H2" s="892" t="s">
        <v>2361</v>
      </c>
      <c r="I2" s="892" t="s">
        <v>2362</v>
      </c>
      <c r="J2" s="892" t="s">
        <v>2363</v>
      </c>
      <c r="K2" s="935" t="s">
        <v>2364</v>
      </c>
      <c r="L2" s="892" t="s">
        <v>2365</v>
      </c>
      <c r="M2" s="892" t="s">
        <v>2366</v>
      </c>
      <c r="N2" s="892" t="s">
        <v>2367</v>
      </c>
    </row>
    <row r="3" ht="17.4" spans="1:14">
      <c r="A3" s="893" t="s">
        <v>2368</v>
      </c>
      <c r="B3" s="894" t="s">
        <v>2369</v>
      </c>
      <c r="C3" s="894" t="s">
        <v>2370</v>
      </c>
      <c r="D3" s="894" t="s">
        <v>2301</v>
      </c>
      <c r="E3" s="894" t="s">
        <v>2371</v>
      </c>
      <c r="F3" s="895" t="s">
        <v>2372</v>
      </c>
      <c r="G3" s="896" t="s">
        <v>2373</v>
      </c>
      <c r="H3" s="897" t="s">
        <v>2374</v>
      </c>
      <c r="I3" s="936" t="s">
        <v>2375</v>
      </c>
      <c r="J3" s="894" t="s">
        <v>2376</v>
      </c>
      <c r="K3" s="937" t="s">
        <v>2377</v>
      </c>
      <c r="L3" s="894" t="s">
        <v>2378</v>
      </c>
      <c r="M3" s="894" t="s">
        <v>2379</v>
      </c>
      <c r="N3" s="894" t="s">
        <v>2380</v>
      </c>
    </row>
    <row r="4" ht="17.4" spans="1:14">
      <c r="A4" s="893" t="s">
        <v>2381</v>
      </c>
      <c r="B4" s="898">
        <v>344</v>
      </c>
      <c r="C4" s="899"/>
      <c r="D4" s="898">
        <v>0.75</v>
      </c>
      <c r="E4" s="898">
        <v>0.8</v>
      </c>
      <c r="F4" s="900">
        <f t="shared" ref="F4:F19" si="0">TAN(ACOS(E4))</f>
        <v>0.75</v>
      </c>
      <c r="G4" s="901">
        <f t="shared" ref="G4:G19" si="1">B4*D4</f>
        <v>258</v>
      </c>
      <c r="H4" s="902">
        <f t="shared" ref="H4:H19" si="2">F4*G4</f>
        <v>193.5</v>
      </c>
      <c r="I4" s="938">
        <f t="shared" ref="I4:I21" si="3">SQRT(G4^2+H4^2)</f>
        <v>322.5</v>
      </c>
      <c r="J4" s="898"/>
      <c r="K4" s="898"/>
      <c r="L4" s="898"/>
      <c r="M4" s="898"/>
      <c r="N4" s="898"/>
    </row>
    <row r="5" ht="17.4" spans="1:14">
      <c r="A5" s="893" t="s">
        <v>2382</v>
      </c>
      <c r="B5" s="898">
        <v>302</v>
      </c>
      <c r="C5" s="899"/>
      <c r="D5" s="898">
        <v>0.75</v>
      </c>
      <c r="E5" s="898">
        <v>0.8</v>
      </c>
      <c r="F5" s="900">
        <f t="shared" si="0"/>
        <v>0.75</v>
      </c>
      <c r="G5" s="901">
        <f t="shared" si="1"/>
        <v>226.5</v>
      </c>
      <c r="H5" s="902">
        <f t="shared" si="2"/>
        <v>169.875</v>
      </c>
      <c r="I5" s="938">
        <f t="shared" si="3"/>
        <v>283.125</v>
      </c>
      <c r="J5" s="898"/>
      <c r="K5" s="898"/>
      <c r="L5" s="898"/>
      <c r="M5" s="898"/>
      <c r="N5" s="898"/>
    </row>
    <row r="6" ht="17.4" spans="1:14">
      <c r="A6" s="893" t="s">
        <v>2383</v>
      </c>
      <c r="B6" s="898">
        <v>240</v>
      </c>
      <c r="C6" s="899"/>
      <c r="D6" s="898">
        <v>0.7</v>
      </c>
      <c r="E6" s="898">
        <v>0.8</v>
      </c>
      <c r="F6" s="900">
        <f t="shared" si="0"/>
        <v>0.75</v>
      </c>
      <c r="G6" s="901">
        <f t="shared" si="1"/>
        <v>168</v>
      </c>
      <c r="H6" s="902">
        <f t="shared" si="2"/>
        <v>126</v>
      </c>
      <c r="I6" s="938">
        <f t="shared" si="3"/>
        <v>210</v>
      </c>
      <c r="J6" s="898"/>
      <c r="K6" s="898"/>
      <c r="L6" s="898"/>
      <c r="M6" s="898"/>
      <c r="N6" s="898"/>
    </row>
    <row r="7" ht="17.4" spans="1:14">
      <c r="A7" s="893" t="s">
        <v>2384</v>
      </c>
      <c r="B7" s="898">
        <v>30</v>
      </c>
      <c r="C7" s="899"/>
      <c r="D7" s="898">
        <v>0.6</v>
      </c>
      <c r="E7" s="898">
        <v>0.5</v>
      </c>
      <c r="F7" s="900">
        <f t="shared" si="0"/>
        <v>1.73205080756888</v>
      </c>
      <c r="G7" s="901">
        <f t="shared" si="1"/>
        <v>18</v>
      </c>
      <c r="H7" s="902">
        <f t="shared" si="2"/>
        <v>31.1769145362398</v>
      </c>
      <c r="I7" s="938">
        <f t="shared" si="3"/>
        <v>36</v>
      </c>
      <c r="J7" s="898"/>
      <c r="K7" s="898"/>
      <c r="L7" s="898"/>
      <c r="M7" s="898"/>
      <c r="N7" s="898"/>
    </row>
    <row r="8" ht="17.4" spans="1:14">
      <c r="A8" s="893" t="s">
        <v>2385</v>
      </c>
      <c r="B8" s="898">
        <v>120</v>
      </c>
      <c r="C8" s="899"/>
      <c r="D8" s="898">
        <v>0.7</v>
      </c>
      <c r="E8" s="898">
        <v>0.7</v>
      </c>
      <c r="F8" s="900">
        <f t="shared" si="0"/>
        <v>1.02020406122041</v>
      </c>
      <c r="G8" s="901">
        <f t="shared" si="1"/>
        <v>84</v>
      </c>
      <c r="H8" s="902">
        <f t="shared" si="2"/>
        <v>85.6971411425142</v>
      </c>
      <c r="I8" s="938">
        <f t="shared" si="3"/>
        <v>120</v>
      </c>
      <c r="J8" s="898"/>
      <c r="K8" s="898"/>
      <c r="L8" s="898"/>
      <c r="M8" s="898"/>
      <c r="N8" s="898"/>
    </row>
    <row r="9" ht="17.4" spans="1:14">
      <c r="A9" s="893" t="s">
        <v>2386</v>
      </c>
      <c r="B9" s="898">
        <v>112</v>
      </c>
      <c r="C9" s="899"/>
      <c r="D9" s="898">
        <v>0.4</v>
      </c>
      <c r="E9" s="898">
        <v>0.5</v>
      </c>
      <c r="F9" s="900">
        <f t="shared" si="0"/>
        <v>1.73205080756888</v>
      </c>
      <c r="G9" s="901">
        <f t="shared" si="1"/>
        <v>44.8</v>
      </c>
      <c r="H9" s="902">
        <f t="shared" si="2"/>
        <v>77.5958761790857</v>
      </c>
      <c r="I9" s="938">
        <f t="shared" si="3"/>
        <v>89.6</v>
      </c>
      <c r="J9" s="898"/>
      <c r="K9" s="898"/>
      <c r="L9" s="898"/>
      <c r="M9" s="898"/>
      <c r="N9" s="898"/>
    </row>
    <row r="10" ht="17.4" spans="1:14">
      <c r="A10" s="893" t="s">
        <v>2387</v>
      </c>
      <c r="B10" s="898">
        <v>42</v>
      </c>
      <c r="C10" s="899"/>
      <c r="D10" s="898">
        <v>0.9</v>
      </c>
      <c r="E10" s="898">
        <v>0.8</v>
      </c>
      <c r="F10" s="900">
        <f t="shared" si="0"/>
        <v>0.75</v>
      </c>
      <c r="G10" s="901">
        <f t="shared" si="1"/>
        <v>37.8</v>
      </c>
      <c r="H10" s="902">
        <f t="shared" si="2"/>
        <v>28.35</v>
      </c>
      <c r="I10" s="938">
        <f t="shared" si="3"/>
        <v>47.25</v>
      </c>
      <c r="J10" s="898"/>
      <c r="K10" s="898"/>
      <c r="L10" s="898"/>
      <c r="M10" s="898"/>
      <c r="N10" s="898"/>
    </row>
    <row r="11" ht="17.4" spans="1:14">
      <c r="A11" s="893" t="s">
        <v>2388</v>
      </c>
      <c r="B11" s="898">
        <v>48</v>
      </c>
      <c r="C11" s="899"/>
      <c r="D11" s="898">
        <v>0.6</v>
      </c>
      <c r="E11" s="898">
        <v>0.7</v>
      </c>
      <c r="F11" s="900">
        <f t="shared" si="0"/>
        <v>1.02020406122041</v>
      </c>
      <c r="G11" s="901">
        <f t="shared" si="1"/>
        <v>28.8</v>
      </c>
      <c r="H11" s="902">
        <f t="shared" si="2"/>
        <v>29.3818769631477</v>
      </c>
      <c r="I11" s="938">
        <f t="shared" si="3"/>
        <v>41.1428571428571</v>
      </c>
      <c r="J11" s="898"/>
      <c r="K11" s="898"/>
      <c r="L11" s="898"/>
      <c r="M11" s="898"/>
      <c r="N11" s="898"/>
    </row>
    <row r="12" ht="17.4" spans="1:14">
      <c r="A12" s="893"/>
      <c r="B12" s="898">
        <v>0</v>
      </c>
      <c r="C12" s="899"/>
      <c r="D12" s="898"/>
      <c r="E12" s="898">
        <v>0.7</v>
      </c>
      <c r="F12" s="900">
        <f t="shared" si="0"/>
        <v>1.02020406122041</v>
      </c>
      <c r="G12" s="901">
        <f t="shared" si="1"/>
        <v>0</v>
      </c>
      <c r="H12" s="902">
        <f t="shared" si="2"/>
        <v>0</v>
      </c>
      <c r="I12" s="938">
        <f t="shared" si="3"/>
        <v>0</v>
      </c>
      <c r="J12" s="898"/>
      <c r="K12" s="898"/>
      <c r="L12" s="898"/>
      <c r="M12" s="898"/>
      <c r="N12" s="898"/>
    </row>
    <row r="13" ht="17.4" spans="1:14">
      <c r="A13" s="893"/>
      <c r="B13" s="898">
        <v>0</v>
      </c>
      <c r="C13" s="899"/>
      <c r="D13" s="898"/>
      <c r="E13" s="898">
        <v>0.7</v>
      </c>
      <c r="F13" s="900">
        <f t="shared" si="0"/>
        <v>1.02020406122041</v>
      </c>
      <c r="G13" s="901">
        <f t="shared" si="1"/>
        <v>0</v>
      </c>
      <c r="H13" s="902">
        <f t="shared" si="2"/>
        <v>0</v>
      </c>
      <c r="I13" s="938">
        <f t="shared" si="3"/>
        <v>0</v>
      </c>
      <c r="J13" s="898"/>
      <c r="K13" s="898"/>
      <c r="L13" s="898"/>
      <c r="M13" s="898"/>
      <c r="N13" s="898"/>
    </row>
    <row r="14" ht="17.4" spans="1:14">
      <c r="A14" s="893" t="s">
        <v>2389</v>
      </c>
      <c r="B14" s="898">
        <v>0</v>
      </c>
      <c r="C14" s="899"/>
      <c r="D14" s="898"/>
      <c r="E14" s="898">
        <v>0.7</v>
      </c>
      <c r="F14" s="900">
        <f t="shared" si="0"/>
        <v>1.02020406122041</v>
      </c>
      <c r="G14" s="901">
        <f t="shared" si="1"/>
        <v>0</v>
      </c>
      <c r="H14" s="902">
        <f t="shared" si="2"/>
        <v>0</v>
      </c>
      <c r="I14" s="938">
        <f t="shared" si="3"/>
        <v>0</v>
      </c>
      <c r="J14" s="898"/>
      <c r="K14" s="898"/>
      <c r="L14" s="898"/>
      <c r="M14" s="898"/>
      <c r="N14" s="898"/>
    </row>
    <row r="15" ht="17.4" spans="1:14">
      <c r="A15" s="893" t="s">
        <v>2390</v>
      </c>
      <c r="B15" s="898">
        <v>0</v>
      </c>
      <c r="C15" s="899"/>
      <c r="D15" s="898"/>
      <c r="E15" s="898">
        <v>0.7</v>
      </c>
      <c r="F15" s="900">
        <f t="shared" si="0"/>
        <v>1.02020406122041</v>
      </c>
      <c r="G15" s="901">
        <f t="shared" si="1"/>
        <v>0</v>
      </c>
      <c r="H15" s="902">
        <f t="shared" si="2"/>
        <v>0</v>
      </c>
      <c r="I15" s="938">
        <f t="shared" si="3"/>
        <v>0</v>
      </c>
      <c r="J15" s="898"/>
      <c r="K15" s="898"/>
      <c r="L15" s="898"/>
      <c r="M15" s="898"/>
      <c r="N15" s="898"/>
    </row>
    <row r="16" ht="17.4" spans="1:14">
      <c r="A16" s="893"/>
      <c r="B16" s="898">
        <v>0</v>
      </c>
      <c r="C16" s="899"/>
      <c r="D16" s="898"/>
      <c r="E16" s="898">
        <v>0.7</v>
      </c>
      <c r="F16" s="900">
        <f t="shared" si="0"/>
        <v>1.02020406122041</v>
      </c>
      <c r="G16" s="901">
        <f t="shared" si="1"/>
        <v>0</v>
      </c>
      <c r="H16" s="902">
        <f t="shared" si="2"/>
        <v>0</v>
      </c>
      <c r="I16" s="938">
        <f t="shared" si="3"/>
        <v>0</v>
      </c>
      <c r="J16" s="898"/>
      <c r="K16" s="898"/>
      <c r="L16" s="898"/>
      <c r="M16" s="898"/>
      <c r="N16" s="898"/>
    </row>
    <row r="17" ht="17.4" spans="1:14">
      <c r="A17" s="893"/>
      <c r="B17" s="898">
        <v>0</v>
      </c>
      <c r="C17" s="899"/>
      <c r="D17" s="898"/>
      <c r="E17" s="898">
        <v>0.7</v>
      </c>
      <c r="F17" s="900">
        <f t="shared" si="0"/>
        <v>1.02020406122041</v>
      </c>
      <c r="G17" s="901">
        <f t="shared" si="1"/>
        <v>0</v>
      </c>
      <c r="H17" s="902">
        <f t="shared" si="2"/>
        <v>0</v>
      </c>
      <c r="I17" s="938">
        <f t="shared" si="3"/>
        <v>0</v>
      </c>
      <c r="J17" s="898"/>
      <c r="K17" s="898"/>
      <c r="L17" s="898"/>
      <c r="M17" s="898"/>
      <c r="N17" s="898"/>
    </row>
    <row r="18" ht="17.4" spans="1:14">
      <c r="A18" s="893"/>
      <c r="B18" s="898">
        <v>0</v>
      </c>
      <c r="C18" s="899"/>
      <c r="D18" s="898"/>
      <c r="E18" s="898">
        <v>0.7</v>
      </c>
      <c r="F18" s="900">
        <f t="shared" si="0"/>
        <v>1.02020406122041</v>
      </c>
      <c r="G18" s="901">
        <f t="shared" si="1"/>
        <v>0</v>
      </c>
      <c r="H18" s="902">
        <f t="shared" si="2"/>
        <v>0</v>
      </c>
      <c r="I18" s="938">
        <f t="shared" si="3"/>
        <v>0</v>
      </c>
      <c r="J18" s="898"/>
      <c r="K18" s="898"/>
      <c r="L18" s="898"/>
      <c r="M18" s="898"/>
      <c r="N18" s="898"/>
    </row>
    <row r="19" ht="17.4" spans="1:14">
      <c r="A19" s="893"/>
      <c r="B19" s="898">
        <v>0</v>
      </c>
      <c r="C19" s="899"/>
      <c r="D19" s="898"/>
      <c r="E19" s="898">
        <v>0.7</v>
      </c>
      <c r="F19" s="900">
        <f t="shared" si="0"/>
        <v>1.02020406122041</v>
      </c>
      <c r="G19" s="901">
        <f t="shared" si="1"/>
        <v>0</v>
      </c>
      <c r="H19" s="902">
        <f t="shared" si="2"/>
        <v>0</v>
      </c>
      <c r="I19" s="938">
        <f t="shared" si="3"/>
        <v>0</v>
      </c>
      <c r="J19" s="898"/>
      <c r="K19" s="898"/>
      <c r="L19" s="898"/>
      <c r="M19" s="898"/>
      <c r="N19" s="898"/>
    </row>
    <row r="20" ht="17.4" spans="1:14">
      <c r="A20" s="903" t="s">
        <v>2391</v>
      </c>
      <c r="B20" s="904">
        <f>SUM(B4:B19)</f>
        <v>1238</v>
      </c>
      <c r="C20" s="905"/>
      <c r="D20" s="904"/>
      <c r="E20" s="904"/>
      <c r="F20" s="904"/>
      <c r="G20" s="904">
        <f>SUM(G4:G19)</f>
        <v>865.9</v>
      </c>
      <c r="H20" s="904">
        <f>SUM(H4:H19)</f>
        <v>741.576808820987</v>
      </c>
      <c r="I20" s="904">
        <f t="shared" si="3"/>
        <v>1140.05218011331</v>
      </c>
      <c r="J20" s="904"/>
      <c r="K20" s="904"/>
      <c r="L20" s="898"/>
      <c r="M20" s="898"/>
      <c r="N20" s="898"/>
    </row>
    <row r="21" ht="17.4" spans="1:14">
      <c r="A21" s="903" t="s">
        <v>2392</v>
      </c>
      <c r="B21" s="906"/>
      <c r="C21" s="907"/>
      <c r="D21" s="906"/>
      <c r="E21" s="906">
        <f>G21/I21</f>
        <v>0.741816083009659</v>
      </c>
      <c r="F21" s="906">
        <f>TAN(ACOS(E21))</f>
        <v>0.904002217833645</v>
      </c>
      <c r="G21" s="906">
        <f>G20*L21</f>
        <v>779.31</v>
      </c>
      <c r="H21" s="906">
        <f>H20*M21</f>
        <v>704.497968379938</v>
      </c>
      <c r="I21" s="906">
        <f t="shared" si="3"/>
        <v>1050.54341345394</v>
      </c>
      <c r="J21" s="906">
        <f>I21/SQRT(3)/0.38</f>
        <v>1596.13558566585</v>
      </c>
      <c r="K21" s="906"/>
      <c r="L21" s="898">
        <v>0.9</v>
      </c>
      <c r="M21" s="898">
        <v>0.95</v>
      </c>
      <c r="N21" s="898"/>
    </row>
    <row r="22" ht="17.4" spans="1:14">
      <c r="A22" s="903" t="s">
        <v>2393</v>
      </c>
      <c r="B22" s="908"/>
      <c r="C22" s="909"/>
      <c r="D22" s="908"/>
      <c r="E22" s="908"/>
      <c r="F22" s="908"/>
      <c r="G22" s="908"/>
      <c r="H22" s="910">
        <f>G21*N22</f>
        <v>448.351158372998</v>
      </c>
      <c r="I22" s="908"/>
      <c r="J22" s="908"/>
      <c r="K22" s="908"/>
      <c r="L22" s="898"/>
      <c r="M22" s="898"/>
      <c r="N22" s="898">
        <f>F21-F23</f>
        <v>0.575318112654782</v>
      </c>
    </row>
    <row r="23" ht="17.4" spans="1:14">
      <c r="A23" s="903" t="s">
        <v>2394</v>
      </c>
      <c r="B23" s="911"/>
      <c r="C23" s="912"/>
      <c r="D23" s="911"/>
      <c r="E23" s="911">
        <v>0.95</v>
      </c>
      <c r="F23" s="911">
        <f>TAN(ACOS(E23))</f>
        <v>0.328684105178863</v>
      </c>
      <c r="G23" s="911">
        <f>G21</f>
        <v>779.31</v>
      </c>
      <c r="H23" s="911">
        <f>F23*G23</f>
        <v>256.14681000694</v>
      </c>
      <c r="I23" s="911">
        <f>SQRT(G23^2+H23^2)</f>
        <v>820.326315789474</v>
      </c>
      <c r="J23" s="911">
        <f>I23/SQRT(3)/0.38</f>
        <v>1246.35689274839</v>
      </c>
      <c r="K23" s="911"/>
      <c r="L23" s="898"/>
      <c r="M23" s="898"/>
      <c r="N23" s="898"/>
    </row>
    <row r="24" ht="17.4" spans="1:14">
      <c r="A24" s="903" t="s">
        <v>2395</v>
      </c>
      <c r="B24" s="913"/>
      <c r="C24" s="914"/>
      <c r="D24" s="913"/>
      <c r="E24" s="913"/>
      <c r="F24" s="913"/>
      <c r="G24" s="913">
        <f>I23/100</f>
        <v>8.20326315789474</v>
      </c>
      <c r="H24" s="913">
        <f>I23*(1-E23)</f>
        <v>41.0163157894737</v>
      </c>
      <c r="I24" s="913"/>
      <c r="J24" s="913"/>
      <c r="K24" s="913"/>
      <c r="L24" s="898"/>
      <c r="M24" s="898"/>
      <c r="N24" s="898"/>
    </row>
    <row r="25" ht="17.4" spans="1:14">
      <c r="A25" s="903" t="s">
        <v>2396</v>
      </c>
      <c r="B25" s="915"/>
      <c r="C25" s="916"/>
      <c r="D25" s="915">
        <f>I25/C27</f>
        <v>0.841714359496552</v>
      </c>
      <c r="E25" s="915">
        <f>G25/I25</f>
        <v>0.935606306667887</v>
      </c>
      <c r="F25" s="915"/>
      <c r="G25" s="915">
        <f>SUM(G23:G24)</f>
        <v>787.513263157895</v>
      </c>
      <c r="H25" s="915">
        <f>SUM(H23:H24)</f>
        <v>297.163125796414</v>
      </c>
      <c r="I25" s="915">
        <f>SQRT(G25^2+H25^2)</f>
        <v>841.714359496552</v>
      </c>
      <c r="J25" s="915">
        <f>I25/SQRT(3)/0.38</f>
        <v>1278.85266325291</v>
      </c>
      <c r="K25" s="915"/>
      <c r="L25" s="898"/>
      <c r="M25" s="898"/>
      <c r="N25" s="898"/>
    </row>
    <row r="26" spans="1:14">
      <c r="A26" s="917"/>
      <c r="B26" s="918"/>
      <c r="C26" s="919"/>
      <c r="D26" s="918"/>
      <c r="E26" s="918"/>
      <c r="F26" s="918"/>
      <c r="G26" s="918"/>
      <c r="H26" s="918"/>
      <c r="I26" s="918"/>
      <c r="J26" s="918"/>
      <c r="K26" s="918"/>
      <c r="L26" s="898"/>
      <c r="M26" s="898"/>
      <c r="N26" s="898"/>
    </row>
    <row r="27" ht="17.4" spans="1:14">
      <c r="A27" s="920" t="s">
        <v>2397</v>
      </c>
      <c r="B27" s="921"/>
      <c r="C27" s="922">
        <f>IF(I25&lt;=25.5,"30",IF(I25&lt;=42.5,"50",IF(I25&lt;=53.55,"63",IF(I25&lt;=68,"80",IF(I25&lt;=85,"100",IF(I25&lt;=106.25,"125",IF(I25&lt;=136,"160",)))))))+IF(I25&lt;=136,"0",IF(I25&lt;=170,"200",IF(I25&lt;=212.5,"250",IF(I25&lt;=267.75,"315",IF(I25&lt;=340,"400",IF(I25&lt;=425,"500",IF(I25&lt;=535.5,"630",IF(I25&lt;=680,"0",))))))))+IF(I25&lt;=535.5,"0",IF(I25&lt;=680,"800",IF(I25&lt;=850,"1000",IF(I25&lt;=1062.5,"1250",IF(I25&lt;=1360,"1600",IF(I25&lt;=1700,"2000",IF(I25&lt;=2125,"2500",IF(I25&lt;=2677.5,"0"))))))))+IF(I25&lt;=2125,"0",IF(I25&lt;=2667.5,"3150",IF(I25&lt;=3400,"4000",IF(I25&lt;=4250,"5000",IF(I25&lt;=5355,"6300",IF(I25&lt;=6800,"8000",IF(I25&lt;=8500,"10000",IF(I25&lt;=10625,"12500"))))))))</f>
        <v>1000</v>
      </c>
      <c r="D27" s="923"/>
      <c r="E27" s="923"/>
      <c r="F27" s="923"/>
      <c r="G27" s="923"/>
      <c r="H27" s="923"/>
      <c r="I27" s="923"/>
      <c r="J27" s="908">
        <f>C27/SQRT(3)/0.4</f>
        <v>1443.37567297406</v>
      </c>
      <c r="K27" s="908">
        <f>C27/SQRT(3)/10</f>
        <v>57.7350269189626</v>
      </c>
      <c r="L27" s="898"/>
      <c r="M27" s="898"/>
      <c r="N27" s="898"/>
    </row>
    <row r="28" ht="36" customHeight="1" spans="1:14">
      <c r="A28" s="924" t="s">
        <v>2398</v>
      </c>
      <c r="B28" s="924"/>
      <c r="C28" s="925">
        <f>I25/C27</f>
        <v>0.841714359496552</v>
      </c>
      <c r="D28" s="926"/>
      <c r="E28" s="926"/>
      <c r="F28" s="926"/>
      <c r="G28" s="926"/>
      <c r="H28" s="926"/>
      <c r="I28" s="926"/>
      <c r="J28" s="926"/>
      <c r="K28" s="926"/>
      <c r="L28" s="939"/>
      <c r="M28" s="939"/>
      <c r="N28" s="939"/>
    </row>
    <row r="29" ht="20.4" spans="1:11">
      <c r="A29" s="927" t="s">
        <v>2399</v>
      </c>
      <c r="B29" s="927"/>
      <c r="C29" s="928">
        <f>C27</f>
        <v>1000</v>
      </c>
      <c r="D29" s="929"/>
      <c r="E29" s="930" t="s">
        <v>2400</v>
      </c>
      <c r="F29" s="931"/>
      <c r="G29" s="927" t="s">
        <v>2401</v>
      </c>
      <c r="H29" s="927"/>
      <c r="I29" s="940">
        <f>H22</f>
        <v>448.351158372998</v>
      </c>
      <c r="J29" s="941" t="s">
        <v>2402</v>
      </c>
      <c r="K29" s="931"/>
    </row>
    <row r="31" spans="1:1">
      <c r="A31" s="826"/>
    </row>
    <row r="32" spans="1:1">
      <c r="A32" s="932"/>
    </row>
  </sheetData>
  <customSheetViews>
    <customSheetView guid="{B9330FFD-B5EF-4680-A375-DB92D4738404}">
      <selection activeCell="D33" sqref="D33"/>
      <pageMargins left="0.7" right="0.7" top="0.75" bottom="0.75" header="0.3" footer="0.3"/>
      <pageSetup paperSize="9" orientation="portrait"/>
      <headerFooter/>
    </customSheetView>
  </customSheetViews>
  <mergeCells count="7">
    <mergeCell ref="A1:K1"/>
    <mergeCell ref="M1:N1"/>
    <mergeCell ref="A27:B27"/>
    <mergeCell ref="A28:B28"/>
    <mergeCell ref="A29:B29"/>
    <mergeCell ref="C29:D29"/>
    <mergeCell ref="G29:H29"/>
  </mergeCells>
  <hyperlinks>
    <hyperlink ref="L1" location="目录!A1" display="目录!A1"/>
  </hyperlinks>
  <pageMargins left="0.7" right="0.7" top="0.75" bottom="0.75" header="0.3" footer="0.3"/>
  <pageSetup paperSize="9" orientation="portrait"/>
  <headerFooter/>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workbookViewId="0">
      <selection activeCell="A1" sqref="A1"/>
    </sheetView>
  </sheetViews>
  <sheetFormatPr defaultColWidth="9" defaultRowHeight="15.6" outlineLevelCol="3"/>
  <cols>
    <col min="1" max="1" width="43.25" customWidth="1"/>
    <col min="2" max="2" width="12.875" style="19" customWidth="1"/>
    <col min="3" max="3" width="12.75" style="19" customWidth="1"/>
    <col min="4" max="4" width="12" style="19" customWidth="1"/>
  </cols>
  <sheetData>
    <row r="1" spans="1:4">
      <c r="A1" s="879" t="s">
        <v>2298</v>
      </c>
      <c r="B1" s="880" t="s">
        <v>2301</v>
      </c>
      <c r="C1" s="880" t="s">
        <v>2403</v>
      </c>
      <c r="D1" s="880" t="s">
        <v>2404</v>
      </c>
    </row>
    <row r="2" spans="1:4">
      <c r="A2" s="881" t="s">
        <v>2405</v>
      </c>
      <c r="B2" s="882" t="s">
        <v>88</v>
      </c>
      <c r="C2" s="883"/>
      <c r="D2" s="884"/>
    </row>
    <row r="3" spans="1:4">
      <c r="A3" s="885" t="s">
        <v>2406</v>
      </c>
      <c r="B3" s="880" t="s">
        <v>2407</v>
      </c>
      <c r="C3" s="879">
        <v>0.5</v>
      </c>
      <c r="D3" s="879">
        <v>1.73</v>
      </c>
    </row>
    <row r="4" spans="1:4">
      <c r="A4" s="885" t="s">
        <v>2408</v>
      </c>
      <c r="B4" s="880" t="s">
        <v>2409</v>
      </c>
      <c r="C4" s="879">
        <v>0.5</v>
      </c>
      <c r="D4" s="879">
        <v>1.73</v>
      </c>
    </row>
    <row r="5" spans="1:4">
      <c r="A5" s="885" t="s">
        <v>2410</v>
      </c>
      <c r="B5" s="880" t="s">
        <v>2411</v>
      </c>
      <c r="C5" s="880" t="s">
        <v>2412</v>
      </c>
      <c r="D5" s="880" t="s">
        <v>2413</v>
      </c>
    </row>
    <row r="6" spans="1:4">
      <c r="A6" s="885" t="s">
        <v>2414</v>
      </c>
      <c r="B6" s="880" t="s">
        <v>2415</v>
      </c>
      <c r="C6" s="879">
        <v>0.65</v>
      </c>
      <c r="D6" s="879">
        <v>1.17</v>
      </c>
    </row>
    <row r="7" spans="1:4">
      <c r="A7" s="885" t="s">
        <v>2416</v>
      </c>
      <c r="B7" s="879">
        <v>0.25</v>
      </c>
      <c r="C7" s="879">
        <v>0.6</v>
      </c>
      <c r="D7" s="879">
        <v>1.33</v>
      </c>
    </row>
    <row r="8" spans="1:4">
      <c r="A8" s="885" t="s">
        <v>2417</v>
      </c>
      <c r="B8" s="880" t="s">
        <v>2418</v>
      </c>
      <c r="C8" s="880" t="s">
        <v>2419</v>
      </c>
      <c r="D8" s="880" t="s">
        <v>2420</v>
      </c>
    </row>
    <row r="9" spans="1:4">
      <c r="A9" s="885" t="s">
        <v>2421</v>
      </c>
      <c r="B9" s="879">
        <v>0.3</v>
      </c>
      <c r="C9" s="879">
        <v>0.6</v>
      </c>
      <c r="D9" s="879">
        <v>1.33</v>
      </c>
    </row>
    <row r="10" spans="1:4">
      <c r="A10" s="885" t="s">
        <v>2422</v>
      </c>
      <c r="B10" s="880" t="s">
        <v>2423</v>
      </c>
      <c r="C10" s="880" t="s">
        <v>2424</v>
      </c>
      <c r="D10" s="880" t="s">
        <v>2425</v>
      </c>
    </row>
    <row r="11" spans="1:4">
      <c r="A11" s="885" t="s">
        <v>2426</v>
      </c>
      <c r="B11" s="880" t="s">
        <v>2427</v>
      </c>
      <c r="C11" s="879">
        <v>0.8</v>
      </c>
      <c r="D11" s="879">
        <v>0.75</v>
      </c>
    </row>
    <row r="12" spans="1:4">
      <c r="A12" s="885" t="s">
        <v>2428</v>
      </c>
      <c r="B12" s="880" t="s">
        <v>2423</v>
      </c>
      <c r="C12" s="880">
        <v>0.8</v>
      </c>
      <c r="D12" s="880">
        <v>0.75</v>
      </c>
    </row>
    <row r="13" spans="1:4">
      <c r="A13" s="885" t="s">
        <v>2429</v>
      </c>
      <c r="B13" s="880" t="s">
        <v>2430</v>
      </c>
      <c r="C13" s="880" t="s">
        <v>2424</v>
      </c>
      <c r="D13" s="880" t="s">
        <v>2425</v>
      </c>
    </row>
    <row r="14" spans="1:4">
      <c r="A14" s="881" t="s">
        <v>2431</v>
      </c>
      <c r="B14" s="879"/>
      <c r="C14" s="879"/>
      <c r="D14" s="879"/>
    </row>
    <row r="15" spans="1:4">
      <c r="A15" s="885" t="s">
        <v>2432</v>
      </c>
      <c r="B15" s="880" t="s">
        <v>2433</v>
      </c>
      <c r="C15" s="880" t="s">
        <v>2434</v>
      </c>
      <c r="D15" s="880" t="s">
        <v>2435</v>
      </c>
    </row>
    <row r="16" spans="1:4">
      <c r="A16" s="885" t="s">
        <v>2436</v>
      </c>
      <c r="B16" s="880" t="s">
        <v>2437</v>
      </c>
      <c r="C16" s="880" t="s">
        <v>2434</v>
      </c>
      <c r="D16" s="880" t="s">
        <v>2435</v>
      </c>
    </row>
    <row r="17" spans="1:4">
      <c r="A17" s="885" t="s">
        <v>2438</v>
      </c>
      <c r="B17" s="880" t="s">
        <v>2439</v>
      </c>
      <c r="C17" s="879">
        <v>1</v>
      </c>
      <c r="D17" s="879">
        <v>0</v>
      </c>
    </row>
    <row r="18" spans="1:4">
      <c r="A18" s="885" t="s">
        <v>2440</v>
      </c>
      <c r="B18" s="879">
        <v>0.8</v>
      </c>
      <c r="C18" s="879">
        <v>0.35</v>
      </c>
      <c r="D18" s="879">
        <v>2.67</v>
      </c>
    </row>
    <row r="19" spans="1:4">
      <c r="A19" s="885" t="s">
        <v>2441</v>
      </c>
      <c r="B19" s="879">
        <v>0.8</v>
      </c>
      <c r="C19" s="879">
        <v>0.6</v>
      </c>
      <c r="D19" s="879">
        <v>1.33</v>
      </c>
    </row>
    <row r="20" spans="1:4">
      <c r="A20" s="885" t="s">
        <v>2442</v>
      </c>
      <c r="B20" s="880" t="s">
        <v>2443</v>
      </c>
      <c r="C20" s="879">
        <v>0.7</v>
      </c>
      <c r="D20" s="879">
        <v>1.02</v>
      </c>
    </row>
    <row r="21" spans="1:4">
      <c r="A21" s="885" t="s">
        <v>2444</v>
      </c>
      <c r="B21" s="880" t="s">
        <v>2424</v>
      </c>
      <c r="C21" s="880" t="s">
        <v>2424</v>
      </c>
      <c r="D21" s="880" t="s">
        <v>2425</v>
      </c>
    </row>
    <row r="22" spans="1:4">
      <c r="A22" s="881" t="s">
        <v>2445</v>
      </c>
      <c r="B22" s="879"/>
      <c r="C22" s="879"/>
      <c r="D22" s="879"/>
    </row>
    <row r="23" spans="1:4">
      <c r="A23" s="885" t="s">
        <v>2446</v>
      </c>
      <c r="B23" s="879">
        <v>0.65</v>
      </c>
      <c r="C23" s="879">
        <v>0.7</v>
      </c>
      <c r="D23" s="879">
        <v>1.02</v>
      </c>
    </row>
    <row r="24" spans="1:4">
      <c r="A24" s="885" t="s">
        <v>2447</v>
      </c>
      <c r="B24" s="879">
        <v>0.8</v>
      </c>
      <c r="C24" s="879">
        <v>0.85</v>
      </c>
      <c r="D24" s="879">
        <v>0.62</v>
      </c>
    </row>
    <row r="25" spans="1:4">
      <c r="A25" s="885" t="s">
        <v>2448</v>
      </c>
      <c r="B25" s="880" t="s">
        <v>2449</v>
      </c>
      <c r="C25" s="879">
        <v>0.8</v>
      </c>
      <c r="D25" s="879">
        <v>0.75</v>
      </c>
    </row>
    <row r="26" spans="1:4">
      <c r="A26" s="885" t="s">
        <v>2450</v>
      </c>
      <c r="B26" s="880" t="s">
        <v>2451</v>
      </c>
      <c r="C26" s="880" t="s">
        <v>2452</v>
      </c>
      <c r="D26" s="880" t="s">
        <v>2453</v>
      </c>
    </row>
    <row r="27" spans="1:4">
      <c r="A27" s="885" t="s">
        <v>2454</v>
      </c>
      <c r="B27" s="880" t="s">
        <v>2455</v>
      </c>
      <c r="C27" s="880" t="s">
        <v>2452</v>
      </c>
      <c r="D27" s="880" t="s">
        <v>2453</v>
      </c>
    </row>
    <row r="28" spans="1:4">
      <c r="A28" s="885" t="s">
        <v>2456</v>
      </c>
      <c r="B28" s="879">
        <v>0.9</v>
      </c>
      <c r="C28" s="880">
        <v>0.85</v>
      </c>
      <c r="D28" s="880">
        <v>0.62</v>
      </c>
    </row>
    <row r="29" spans="1:4">
      <c r="A29" s="885" t="s">
        <v>2457</v>
      </c>
      <c r="B29" s="879">
        <v>0.15</v>
      </c>
      <c r="C29" s="880">
        <v>0.5</v>
      </c>
      <c r="D29" s="880">
        <v>1.73</v>
      </c>
    </row>
    <row r="30" spans="1:4">
      <c r="A30" s="885" t="s">
        <v>2458</v>
      </c>
      <c r="B30" s="880">
        <v>0.35</v>
      </c>
      <c r="C30" s="880">
        <v>0.6</v>
      </c>
      <c r="D30" s="880">
        <v>1.33</v>
      </c>
    </row>
    <row r="31" spans="1:4">
      <c r="A31" s="885" t="s">
        <v>2459</v>
      </c>
      <c r="B31" s="880">
        <v>0.2</v>
      </c>
      <c r="C31" s="880">
        <v>0.6</v>
      </c>
      <c r="D31" s="880">
        <v>1.33</v>
      </c>
    </row>
    <row r="32" spans="1:4">
      <c r="A32" s="885" t="s">
        <v>2460</v>
      </c>
      <c r="B32" s="879">
        <v>0.35</v>
      </c>
      <c r="C32" s="880">
        <v>0.7</v>
      </c>
      <c r="D32" s="880">
        <v>1.02</v>
      </c>
    </row>
    <row r="33" spans="1:4">
      <c r="A33" s="885" t="s">
        <v>2461</v>
      </c>
      <c r="B33" s="879">
        <v>0.5</v>
      </c>
      <c r="C33" s="880">
        <v>0.5</v>
      </c>
      <c r="D33" s="880">
        <v>1.73</v>
      </c>
    </row>
    <row r="34" spans="1:4">
      <c r="A34" s="885" t="s">
        <v>2462</v>
      </c>
      <c r="B34" s="879">
        <v>0.35</v>
      </c>
      <c r="C34" s="880">
        <v>0.35</v>
      </c>
      <c r="D34" s="880">
        <v>2.68</v>
      </c>
    </row>
    <row r="35" spans="1:4">
      <c r="A35" s="885" t="s">
        <v>2463</v>
      </c>
      <c r="B35" s="879">
        <v>0.4</v>
      </c>
      <c r="C35" s="880">
        <v>0.35</v>
      </c>
      <c r="D35" s="880">
        <v>2.68</v>
      </c>
    </row>
    <row r="36" spans="1:4">
      <c r="A36" s="885" t="s">
        <v>2464</v>
      </c>
      <c r="B36" s="879">
        <v>0.35</v>
      </c>
      <c r="C36" s="880">
        <v>0.6</v>
      </c>
      <c r="D36" s="880">
        <v>1.33</v>
      </c>
    </row>
    <row r="37" spans="1:4">
      <c r="A37" s="885" t="s">
        <v>2465</v>
      </c>
      <c r="B37" s="879">
        <v>0.7</v>
      </c>
      <c r="C37" s="880">
        <v>0.7</v>
      </c>
      <c r="D37" s="880">
        <v>1.02</v>
      </c>
    </row>
    <row r="38" spans="1:4">
      <c r="A38" s="885" t="s">
        <v>2466</v>
      </c>
      <c r="B38" s="880" t="s">
        <v>2467</v>
      </c>
      <c r="C38" s="880">
        <v>0.5</v>
      </c>
      <c r="D38" s="880">
        <v>1.73</v>
      </c>
    </row>
    <row r="39" spans="1:4">
      <c r="A39" s="885" t="s">
        <v>2468</v>
      </c>
      <c r="B39" s="880" t="s">
        <v>2469</v>
      </c>
      <c r="C39" s="880">
        <v>0.5</v>
      </c>
      <c r="D39" s="880">
        <v>1.73</v>
      </c>
    </row>
    <row r="40" spans="1:4">
      <c r="A40" s="885" t="s">
        <v>2470</v>
      </c>
      <c r="B40" s="880">
        <v>0.65</v>
      </c>
      <c r="C40" s="880">
        <v>0.75</v>
      </c>
      <c r="D40" s="880">
        <v>0.88</v>
      </c>
    </row>
    <row r="41" spans="1:4">
      <c r="A41" s="885" t="s">
        <v>2471</v>
      </c>
      <c r="B41" s="880" t="s">
        <v>2419</v>
      </c>
      <c r="C41" s="880">
        <v>0.75</v>
      </c>
      <c r="D41" s="880">
        <v>0.88</v>
      </c>
    </row>
    <row r="42" spans="1:4">
      <c r="A42" s="885" t="s">
        <v>2472</v>
      </c>
      <c r="B42" s="879">
        <v>0.5</v>
      </c>
      <c r="C42" s="880">
        <v>0.7</v>
      </c>
      <c r="D42" s="880">
        <v>1.02</v>
      </c>
    </row>
    <row r="43" spans="1:4">
      <c r="A43" s="885" t="s">
        <v>2473</v>
      </c>
      <c r="B43" s="879">
        <v>0.7</v>
      </c>
      <c r="C43" s="880">
        <v>0.8</v>
      </c>
      <c r="D43" s="880">
        <v>0.75</v>
      </c>
    </row>
    <row r="44" spans="1:4">
      <c r="A44" s="885" t="s">
        <v>2474</v>
      </c>
      <c r="B44" s="879">
        <v>0.7</v>
      </c>
      <c r="C44" s="880">
        <v>0.8</v>
      </c>
      <c r="D44" s="880">
        <v>0.75</v>
      </c>
    </row>
    <row r="45" spans="1:4">
      <c r="A45" s="885" t="s">
        <v>2475</v>
      </c>
      <c r="B45" s="880" t="s">
        <v>2452</v>
      </c>
      <c r="C45" s="880">
        <v>1</v>
      </c>
      <c r="D45" s="880">
        <v>0</v>
      </c>
    </row>
    <row r="46" spans="1:4">
      <c r="A46" s="885" t="s">
        <v>2476</v>
      </c>
      <c r="B46" s="880">
        <v>0.5</v>
      </c>
      <c r="C46" s="880">
        <v>0.6</v>
      </c>
      <c r="D46" s="880">
        <v>1.33</v>
      </c>
    </row>
    <row r="47" spans="1:4">
      <c r="A47" s="885" t="s">
        <v>2477</v>
      </c>
      <c r="B47" s="880">
        <v>0.7</v>
      </c>
      <c r="C47" s="880">
        <v>0.7</v>
      </c>
      <c r="D47" s="880">
        <v>1.02</v>
      </c>
    </row>
    <row r="48" spans="1:4">
      <c r="A48" s="886" t="s">
        <v>2478</v>
      </c>
      <c r="B48" s="880">
        <v>0.3</v>
      </c>
      <c r="C48" s="880">
        <v>0.55</v>
      </c>
      <c r="D48" s="880">
        <v>1.52</v>
      </c>
    </row>
    <row r="49" spans="1:4">
      <c r="A49" s="887" t="s">
        <v>2479</v>
      </c>
      <c r="B49" s="880" t="s">
        <v>2433</v>
      </c>
      <c r="C49" s="880">
        <v>0.8</v>
      </c>
      <c r="D49" s="880">
        <v>0.75</v>
      </c>
    </row>
    <row r="50" spans="1:4">
      <c r="A50" s="887" t="s">
        <v>2480</v>
      </c>
      <c r="B50" s="880" t="s">
        <v>2451</v>
      </c>
      <c r="C50" s="880">
        <v>0.5</v>
      </c>
      <c r="D50" s="880">
        <v>1.73</v>
      </c>
    </row>
    <row r="51" spans="1:4">
      <c r="A51" s="885" t="s">
        <v>2481</v>
      </c>
      <c r="B51" s="879" t="s">
        <v>2482</v>
      </c>
      <c r="C51" s="880">
        <v>0.7</v>
      </c>
      <c r="D51" s="880">
        <v>1.02</v>
      </c>
    </row>
    <row r="52" spans="1:4">
      <c r="A52" s="887" t="s">
        <v>2483</v>
      </c>
      <c r="B52" s="880" t="s">
        <v>2484</v>
      </c>
      <c r="C52" s="879">
        <v>0.8</v>
      </c>
      <c r="D52" s="879">
        <v>0.75</v>
      </c>
    </row>
    <row r="53" spans="1:4">
      <c r="A53" s="887" t="s">
        <v>2485</v>
      </c>
      <c r="B53" s="879">
        <v>0.2</v>
      </c>
      <c r="C53" s="879">
        <v>0.4</v>
      </c>
      <c r="D53" s="879">
        <v>2.29</v>
      </c>
    </row>
    <row r="54" spans="1:4">
      <c r="A54" s="887" t="s">
        <v>2486</v>
      </c>
      <c r="B54" s="879">
        <v>0.4</v>
      </c>
      <c r="C54" s="879">
        <v>0.75</v>
      </c>
      <c r="D54" s="879">
        <v>0.88</v>
      </c>
    </row>
    <row r="55" spans="1:4">
      <c r="A55" s="885" t="s">
        <v>2487</v>
      </c>
      <c r="B55" s="879">
        <v>0.2</v>
      </c>
      <c r="C55" s="879">
        <v>0.65</v>
      </c>
      <c r="D55" s="879">
        <v>1.17</v>
      </c>
    </row>
    <row r="56" spans="1:4">
      <c r="A56" s="885" t="s">
        <v>2488</v>
      </c>
      <c r="B56" s="879">
        <v>0.6</v>
      </c>
      <c r="C56" s="879">
        <v>0.7</v>
      </c>
      <c r="D56" s="879">
        <v>1.02</v>
      </c>
    </row>
    <row r="57" spans="1:4">
      <c r="A57" s="885" t="s">
        <v>2489</v>
      </c>
      <c r="B57" s="879">
        <v>0.15</v>
      </c>
      <c r="C57" s="879">
        <v>0.5</v>
      </c>
      <c r="D57" s="879">
        <v>1.73</v>
      </c>
    </row>
    <row r="58" spans="1:4">
      <c r="A58" s="885" t="s">
        <v>2490</v>
      </c>
      <c r="B58" s="879">
        <v>0.18</v>
      </c>
      <c r="C58" s="879">
        <v>0.5</v>
      </c>
      <c r="D58" s="879">
        <v>1.73</v>
      </c>
    </row>
    <row r="59" spans="1:4">
      <c r="A59" s="885" t="s">
        <v>2491</v>
      </c>
      <c r="B59" s="879">
        <v>0.8</v>
      </c>
      <c r="C59" s="879">
        <v>0.8</v>
      </c>
      <c r="D59" s="879">
        <v>0.75</v>
      </c>
    </row>
    <row r="60" spans="1:4">
      <c r="A60" s="885" t="s">
        <v>2492</v>
      </c>
      <c r="B60" s="879">
        <v>0.7</v>
      </c>
      <c r="C60" s="879">
        <v>0.7</v>
      </c>
      <c r="D60" s="879">
        <v>1.02</v>
      </c>
    </row>
    <row r="61" spans="1:4">
      <c r="A61" s="885" t="s">
        <v>2493</v>
      </c>
      <c r="B61" s="880">
        <v>0.6</v>
      </c>
      <c r="C61" s="879">
        <v>0.7</v>
      </c>
      <c r="D61" s="879">
        <v>1.02</v>
      </c>
    </row>
    <row r="62" spans="1:4">
      <c r="A62" s="885" t="s">
        <v>2494</v>
      </c>
      <c r="B62" s="880" t="s">
        <v>2495</v>
      </c>
      <c r="C62" s="879">
        <v>0.7</v>
      </c>
      <c r="D62" s="879">
        <v>1.02</v>
      </c>
    </row>
    <row r="63" spans="1:4">
      <c r="A63" s="887" t="s">
        <v>2496</v>
      </c>
      <c r="B63" s="880" t="s">
        <v>2497</v>
      </c>
      <c r="C63" s="879">
        <v>0.9</v>
      </c>
      <c r="D63" s="879">
        <v>0.48</v>
      </c>
    </row>
    <row r="64" spans="1:4">
      <c r="A64" s="887" t="s">
        <v>2498</v>
      </c>
      <c r="B64" s="880" t="s">
        <v>2433</v>
      </c>
      <c r="C64" s="879">
        <v>0.7</v>
      </c>
      <c r="D64" s="879">
        <v>1.02</v>
      </c>
    </row>
    <row r="65" spans="1:4">
      <c r="A65" s="887" t="s">
        <v>2499</v>
      </c>
      <c r="B65" s="880" t="s">
        <v>2500</v>
      </c>
      <c r="C65" s="879">
        <v>0.95</v>
      </c>
      <c r="D65" s="879">
        <v>0.33</v>
      </c>
    </row>
    <row r="66" spans="1:4">
      <c r="A66" s="887" t="s">
        <v>2501</v>
      </c>
      <c r="B66" s="880" t="s">
        <v>2502</v>
      </c>
      <c r="C66" s="879">
        <v>0.9</v>
      </c>
      <c r="D66" s="879">
        <v>0.48</v>
      </c>
    </row>
    <row r="67" spans="1:4">
      <c r="A67" s="887" t="s">
        <v>2503</v>
      </c>
      <c r="B67" s="879">
        <v>0.6</v>
      </c>
      <c r="C67" s="879">
        <v>0.93</v>
      </c>
      <c r="D67" s="879">
        <v>0.4</v>
      </c>
    </row>
    <row r="68" spans="1:4">
      <c r="A68" s="887" t="s">
        <v>2504</v>
      </c>
      <c r="B68" s="879">
        <v>0.7</v>
      </c>
      <c r="C68" s="879">
        <v>0.95</v>
      </c>
      <c r="D68" s="879">
        <v>0.33</v>
      </c>
    </row>
    <row r="69" spans="1:4">
      <c r="A69" s="888" t="s">
        <v>2505</v>
      </c>
      <c r="B69" s="880" t="s">
        <v>2506</v>
      </c>
      <c r="C69" s="880" t="s">
        <v>2507</v>
      </c>
      <c r="D69" s="880" t="s">
        <v>2508</v>
      </c>
    </row>
    <row r="70" spans="1:4">
      <c r="A70" s="888" t="s">
        <v>2509</v>
      </c>
      <c r="B70" s="880" t="s">
        <v>2506</v>
      </c>
      <c r="C70" s="880" t="s">
        <v>2507</v>
      </c>
      <c r="D70" s="880" t="s">
        <v>2508</v>
      </c>
    </row>
    <row r="71" spans="1:4">
      <c r="A71" s="888" t="s">
        <v>2510</v>
      </c>
      <c r="B71" s="879">
        <v>0.2</v>
      </c>
      <c r="C71" s="879">
        <v>0.8</v>
      </c>
      <c r="D71" s="879">
        <v>0.75</v>
      </c>
    </row>
    <row r="72" spans="1:4">
      <c r="A72" s="888" t="s">
        <v>2511</v>
      </c>
      <c r="B72" s="879">
        <v>0.8</v>
      </c>
      <c r="C72" s="879">
        <v>0.85</v>
      </c>
      <c r="D72" s="879">
        <v>0.62</v>
      </c>
    </row>
    <row r="73" spans="1:4">
      <c r="A73" s="888" t="s">
        <v>2512</v>
      </c>
      <c r="B73" s="879">
        <v>0.8</v>
      </c>
      <c r="C73" s="879">
        <v>0.8</v>
      </c>
      <c r="D73" s="879">
        <v>0.75</v>
      </c>
    </row>
    <row r="74" spans="1:4">
      <c r="A74" s="888" t="s">
        <v>2513</v>
      </c>
      <c r="B74" s="880" t="s">
        <v>2484</v>
      </c>
      <c r="C74" s="879">
        <v>0.5</v>
      </c>
      <c r="D74" s="879">
        <v>1.73</v>
      </c>
    </row>
    <row r="75" spans="1:4">
      <c r="A75" s="888" t="s">
        <v>2514</v>
      </c>
      <c r="B75" s="880" t="s">
        <v>2433</v>
      </c>
      <c r="C75" s="880" t="s">
        <v>2449</v>
      </c>
      <c r="D75" s="880" t="s">
        <v>2515</v>
      </c>
    </row>
    <row r="76" spans="1:4">
      <c r="A76" s="888" t="s">
        <v>2516</v>
      </c>
      <c r="B76" s="880" t="s">
        <v>2412</v>
      </c>
      <c r="C76" s="879">
        <v>0.8</v>
      </c>
      <c r="D76" s="879">
        <v>0.75</v>
      </c>
    </row>
    <row r="77" spans="1:4">
      <c r="A77" s="888" t="s">
        <v>2517</v>
      </c>
      <c r="B77" s="880" t="s">
        <v>2449</v>
      </c>
      <c r="C77" s="879">
        <v>0.8</v>
      </c>
      <c r="D77" s="879">
        <v>0.75</v>
      </c>
    </row>
    <row r="78" spans="1:4">
      <c r="A78" s="888" t="s">
        <v>2518</v>
      </c>
      <c r="B78" s="880" t="s">
        <v>2507</v>
      </c>
      <c r="C78" s="879">
        <v>0.8</v>
      </c>
      <c r="D78" s="879">
        <v>0.75</v>
      </c>
    </row>
    <row r="79" spans="1:4">
      <c r="A79" s="888" t="s">
        <v>2519</v>
      </c>
      <c r="B79" s="880" t="s">
        <v>2449</v>
      </c>
      <c r="C79" s="879">
        <v>0.5</v>
      </c>
      <c r="D79" s="879">
        <v>1.73</v>
      </c>
    </row>
    <row r="80" spans="1:4">
      <c r="A80" s="888" t="s">
        <v>2385</v>
      </c>
      <c r="B80" s="880" t="s">
        <v>2497</v>
      </c>
      <c r="C80" s="879">
        <v>0.8</v>
      </c>
      <c r="D80" s="879">
        <v>0.75</v>
      </c>
    </row>
    <row r="81" spans="1:4">
      <c r="A81" s="888" t="s">
        <v>2520</v>
      </c>
      <c r="B81" s="880" t="s">
        <v>2484</v>
      </c>
      <c r="C81" s="880" t="s">
        <v>2507</v>
      </c>
      <c r="D81" s="880" t="s">
        <v>2508</v>
      </c>
    </row>
    <row r="82" spans="1:4">
      <c r="A82" s="888" t="s">
        <v>2521</v>
      </c>
      <c r="B82" s="880" t="s">
        <v>2451</v>
      </c>
      <c r="C82" s="879">
        <v>0.8</v>
      </c>
      <c r="D82" s="879">
        <v>0.75</v>
      </c>
    </row>
    <row r="83" spans="1:4">
      <c r="A83" s="888" t="s">
        <v>2522</v>
      </c>
      <c r="B83" s="879">
        <v>0.4</v>
      </c>
      <c r="C83" s="879">
        <v>0.5</v>
      </c>
      <c r="D83" s="879">
        <v>1.73</v>
      </c>
    </row>
    <row r="84" spans="1:4">
      <c r="A84" s="888" t="s">
        <v>2523</v>
      </c>
      <c r="B84" s="880">
        <v>0.7</v>
      </c>
      <c r="C84" s="880">
        <v>0.8</v>
      </c>
      <c r="D84" s="880">
        <v>0.75</v>
      </c>
    </row>
    <row r="85" spans="1:4">
      <c r="A85" s="888"/>
      <c r="B85" s="879"/>
      <c r="C85" s="879"/>
      <c r="D85" s="879"/>
    </row>
    <row r="86" spans="1:4">
      <c r="A86" s="888"/>
      <c r="B86" s="879"/>
      <c r="C86" s="879"/>
      <c r="D86" s="879"/>
    </row>
    <row r="87" spans="1:4">
      <c r="A87" s="888"/>
      <c r="B87" s="879"/>
      <c r="C87" s="879"/>
      <c r="D87" s="879"/>
    </row>
    <row r="88" spans="1:4">
      <c r="A88" s="888"/>
      <c r="B88" s="879"/>
      <c r="C88" s="879"/>
      <c r="D88" s="879"/>
    </row>
    <row r="89" spans="1:4">
      <c r="A89" s="888"/>
      <c r="B89" s="879"/>
      <c r="C89" s="879"/>
      <c r="D89" s="879"/>
    </row>
    <row r="90" spans="1:4">
      <c r="A90" s="888"/>
      <c r="B90" s="879"/>
      <c r="C90" s="879"/>
      <c r="D90" s="879"/>
    </row>
    <row r="91" spans="1:4">
      <c r="A91" s="888"/>
      <c r="B91" s="879"/>
      <c r="C91" s="879"/>
      <c r="D91" s="879"/>
    </row>
    <row r="92" spans="1:4">
      <c r="A92" s="888"/>
      <c r="B92" s="879"/>
      <c r="C92" s="879"/>
      <c r="D92" s="879"/>
    </row>
    <row r="93" spans="1:4">
      <c r="A93" s="888"/>
      <c r="B93" s="879"/>
      <c r="C93" s="879"/>
      <c r="D93" s="879"/>
    </row>
    <row r="94" spans="1:4">
      <c r="A94" s="888"/>
      <c r="B94" s="879"/>
      <c r="C94" s="879"/>
      <c r="D94" s="879"/>
    </row>
    <row r="95" spans="1:4">
      <c r="A95" s="888"/>
      <c r="B95" s="879"/>
      <c r="C95" s="879"/>
      <c r="D95" s="879"/>
    </row>
    <row r="96" spans="1:4">
      <c r="A96" s="888"/>
      <c r="B96" s="879"/>
      <c r="C96" s="879"/>
      <c r="D96" s="879"/>
    </row>
    <row r="97" spans="1:4">
      <c r="A97" s="888"/>
      <c r="B97" s="879"/>
      <c r="C97" s="879"/>
      <c r="D97" s="879"/>
    </row>
    <row r="98" spans="1:4">
      <c r="A98" s="888"/>
      <c r="B98" s="879"/>
      <c r="C98" s="879"/>
      <c r="D98" s="879"/>
    </row>
  </sheetData>
  <sheetProtection password="8BC5" sheet="1" objects="1" scenarios="1"/>
  <customSheetViews>
    <customSheetView guid="{B9330FFD-B5EF-4680-A375-DB92D4738404}">
      <selection activeCell="A61" sqref="A61"/>
      <pageMargins left="0.7" right="0.7" top="0.75" bottom="0.75" header="0.3" footer="0.3"/>
      <headerFooter/>
    </customSheetView>
  </customSheetViews>
  <mergeCells count="1">
    <mergeCell ref="B2:D2"/>
  </mergeCells>
  <hyperlinks>
    <hyperlink ref="B2:D2" location="目录!A1" display="目录!A1"/>
  </hyperlinks>
  <pageMargins left="0.7" right="0.7" top="0.75" bottom="0.75" header="0.3" footer="0.3"/>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
  <sheetViews>
    <sheetView workbookViewId="0">
      <selection activeCell="G10" sqref="G10"/>
    </sheetView>
  </sheetViews>
  <sheetFormatPr defaultColWidth="9" defaultRowHeight="15.6" outlineLevelCol="5"/>
  <cols>
    <col min="1" max="1" width="22" customWidth="1"/>
    <col min="2" max="2" width="9.75" customWidth="1"/>
    <col min="3" max="3" width="10.75" customWidth="1"/>
    <col min="4" max="4" width="14" customWidth="1"/>
    <col min="5" max="5" width="9.5" customWidth="1"/>
    <col min="6" max="6" width="12.5" customWidth="1"/>
  </cols>
  <sheetData>
    <row r="1" ht="20.4" spans="1:6">
      <c r="A1" s="876" t="s">
        <v>13</v>
      </c>
      <c r="B1" s="876"/>
      <c r="C1" s="876"/>
      <c r="D1" s="876"/>
      <c r="E1" s="876"/>
      <c r="F1" s="158" t="s">
        <v>88</v>
      </c>
    </row>
    <row r="2" spans="1:6">
      <c r="A2" s="58" t="s">
        <v>2524</v>
      </c>
      <c r="B2" s="37" t="s">
        <v>2301</v>
      </c>
      <c r="C2" s="37"/>
      <c r="D2" s="58" t="s">
        <v>2524</v>
      </c>
      <c r="E2" s="37" t="s">
        <v>2301</v>
      </c>
      <c r="F2" s="37"/>
    </row>
    <row r="3" spans="1:6">
      <c r="A3" s="877" t="s">
        <v>2525</v>
      </c>
      <c r="B3" s="37" t="s">
        <v>2500</v>
      </c>
      <c r="C3" s="37"/>
      <c r="D3" s="877" t="s">
        <v>2526</v>
      </c>
      <c r="E3" s="37" t="s">
        <v>2527</v>
      </c>
      <c r="F3" s="37"/>
    </row>
    <row r="4" spans="1:6">
      <c r="A4" s="877" t="s">
        <v>2528</v>
      </c>
      <c r="B4" s="37" t="s">
        <v>2529</v>
      </c>
      <c r="C4" s="37"/>
      <c r="D4" s="877" t="s">
        <v>2530</v>
      </c>
      <c r="E4" s="37">
        <v>0.5</v>
      </c>
      <c r="F4" s="37"/>
    </row>
    <row r="5" spans="1:6">
      <c r="A5" s="877" t="s">
        <v>2531</v>
      </c>
      <c r="B5" s="37" t="s">
        <v>2507</v>
      </c>
      <c r="C5" s="37"/>
      <c r="D5" s="877" t="s">
        <v>2532</v>
      </c>
      <c r="E5" s="37" t="s">
        <v>2533</v>
      </c>
      <c r="F5" s="37"/>
    </row>
    <row r="6" spans="1:6">
      <c r="A6" s="877" t="s">
        <v>2534</v>
      </c>
      <c r="B6" s="37" t="s">
        <v>2533</v>
      </c>
      <c r="C6" s="37"/>
      <c r="D6" s="877" t="s">
        <v>2535</v>
      </c>
      <c r="E6" s="37">
        <v>0.9</v>
      </c>
      <c r="F6" s="37"/>
    </row>
    <row r="7" spans="1:6">
      <c r="A7" s="877" t="s">
        <v>2536</v>
      </c>
      <c r="B7" s="37" t="s">
        <v>2500</v>
      </c>
      <c r="C7" s="37"/>
      <c r="D7" s="877" t="s">
        <v>2537</v>
      </c>
      <c r="E7" s="37" t="s">
        <v>2433</v>
      </c>
      <c r="F7" s="37"/>
    </row>
    <row r="8" spans="1:6">
      <c r="A8" s="877" t="s">
        <v>2538</v>
      </c>
      <c r="B8" s="37" t="s">
        <v>2497</v>
      </c>
      <c r="C8" s="37"/>
      <c r="D8" s="877" t="s">
        <v>2539</v>
      </c>
      <c r="E8" s="37" t="s">
        <v>2507</v>
      </c>
      <c r="F8" s="37"/>
    </row>
    <row r="9" spans="1:6">
      <c r="A9" s="877" t="s">
        <v>2540</v>
      </c>
      <c r="B9" s="58">
        <v>0.9</v>
      </c>
      <c r="C9" s="58"/>
      <c r="D9" s="877" t="s">
        <v>2541</v>
      </c>
      <c r="E9" s="37" t="s">
        <v>2433</v>
      </c>
      <c r="F9" s="37"/>
    </row>
    <row r="11" ht="20.4" spans="1:6">
      <c r="A11" s="876" t="s">
        <v>2542</v>
      </c>
      <c r="B11" s="876"/>
      <c r="C11" s="876"/>
      <c r="D11" s="876"/>
      <c r="E11" s="876"/>
      <c r="F11" s="876"/>
    </row>
    <row r="12" spans="1:6">
      <c r="A12" s="58" t="s">
        <v>2543</v>
      </c>
      <c r="B12" s="37" t="s">
        <v>2403</v>
      </c>
      <c r="C12" s="37" t="s">
        <v>2404</v>
      </c>
      <c r="D12" s="58" t="s">
        <v>2543</v>
      </c>
      <c r="E12" s="37" t="s">
        <v>2403</v>
      </c>
      <c r="F12" s="37" t="s">
        <v>2404</v>
      </c>
    </row>
    <row r="13" spans="1:6">
      <c r="A13" s="877" t="s">
        <v>2544</v>
      </c>
      <c r="B13" s="37">
        <v>1</v>
      </c>
      <c r="C13" s="37">
        <v>0</v>
      </c>
      <c r="D13" s="877" t="s">
        <v>2545</v>
      </c>
      <c r="E13" s="37">
        <v>0.45</v>
      </c>
      <c r="F13" s="878">
        <v>1.98</v>
      </c>
    </row>
    <row r="14" spans="1:6">
      <c r="A14" s="877" t="s">
        <v>2546</v>
      </c>
      <c r="B14" s="37">
        <v>0.55</v>
      </c>
      <c r="C14" s="37">
        <v>1.52</v>
      </c>
      <c r="D14" s="877" t="s">
        <v>2547</v>
      </c>
      <c r="E14" s="37" t="s">
        <v>2548</v>
      </c>
      <c r="F14" s="878" t="s">
        <v>2549</v>
      </c>
    </row>
    <row r="15" spans="1:6">
      <c r="A15" s="877" t="s">
        <v>2550</v>
      </c>
      <c r="B15" s="37">
        <v>0.9</v>
      </c>
      <c r="C15" s="37">
        <v>0.48</v>
      </c>
      <c r="D15" s="877" t="s">
        <v>2551</v>
      </c>
      <c r="E15" s="37">
        <v>0.52</v>
      </c>
      <c r="F15" s="878">
        <v>1.6</v>
      </c>
    </row>
    <row r="16" spans="1:6">
      <c r="A16" s="877" t="s">
        <v>2552</v>
      </c>
      <c r="B16" s="37" t="s">
        <v>2553</v>
      </c>
      <c r="C16" s="37" t="s">
        <v>2554</v>
      </c>
      <c r="D16" s="877" t="s">
        <v>2555</v>
      </c>
      <c r="E16" s="37">
        <v>0.9</v>
      </c>
      <c r="F16" s="58">
        <v>0.48</v>
      </c>
    </row>
  </sheetData>
  <customSheetViews>
    <customSheetView guid="{B9330FFD-B5EF-4680-A375-DB92D4738404}">
      <selection activeCell="E26" sqref="E26"/>
      <pageMargins left="0.7" right="0.7" top="0.75" bottom="0.75" header="0.3" footer="0.3"/>
      <headerFooter/>
    </customSheetView>
  </customSheetViews>
  <mergeCells count="18">
    <mergeCell ref="A1:E1"/>
    <mergeCell ref="B2:C2"/>
    <mergeCell ref="E2:F2"/>
    <mergeCell ref="B3:C3"/>
    <mergeCell ref="E3:F3"/>
    <mergeCell ref="B4:C4"/>
    <mergeCell ref="E4:F4"/>
    <mergeCell ref="B5:C5"/>
    <mergeCell ref="E5:F5"/>
    <mergeCell ref="B6:C6"/>
    <mergeCell ref="E6:F6"/>
    <mergeCell ref="B7:C7"/>
    <mergeCell ref="E7:F7"/>
    <mergeCell ref="B8:C8"/>
    <mergeCell ref="E8:F8"/>
    <mergeCell ref="B9:C9"/>
    <mergeCell ref="E9:F9"/>
    <mergeCell ref="A11:F11"/>
  </mergeCells>
  <hyperlinks>
    <hyperlink ref="F1" location="目录!A1" display="目录!A1"/>
  </hyperlinks>
  <pageMargins left="0.7" right="0.7" top="0.75" bottom="0.75" header="0.3" footer="0.3"/>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0"/>
  <sheetViews>
    <sheetView topLeftCell="A43" workbookViewId="0">
      <selection activeCell="O26" sqref="O26"/>
    </sheetView>
  </sheetViews>
  <sheetFormatPr defaultColWidth="9" defaultRowHeight="15.6"/>
  <cols>
    <col min="1" max="1" width="11" customWidth="1"/>
    <col min="2" max="2" width="9.25" customWidth="1"/>
    <col min="3" max="3" width="8.25" customWidth="1"/>
    <col min="4" max="4" width="10.25" customWidth="1"/>
    <col min="5" max="6" width="6.75" customWidth="1"/>
    <col min="7" max="7" width="6.25" customWidth="1"/>
    <col min="8" max="9" width="6" customWidth="1"/>
  </cols>
  <sheetData>
    <row r="1" ht="22.5" customHeight="1" spans="1:10">
      <c r="A1" s="865" t="s">
        <v>2556</v>
      </c>
      <c r="B1" s="866"/>
      <c r="C1" s="866"/>
      <c r="D1" s="866"/>
      <c r="E1" s="866"/>
      <c r="F1" s="866"/>
      <c r="G1" s="866"/>
      <c r="H1" s="866"/>
      <c r="I1" s="866"/>
      <c r="J1" s="314" t="s">
        <v>88</v>
      </c>
    </row>
    <row r="2" ht="62.4" spans="1:10">
      <c r="A2" s="867" t="s">
        <v>2557</v>
      </c>
      <c r="B2" s="868" t="s">
        <v>2558</v>
      </c>
      <c r="C2" s="868" t="s">
        <v>2559</v>
      </c>
      <c r="D2" s="867" t="s">
        <v>2560</v>
      </c>
      <c r="E2" s="867" t="s">
        <v>2561</v>
      </c>
      <c r="F2" s="867" t="s">
        <v>2562</v>
      </c>
      <c r="G2" s="867" t="s">
        <v>2563</v>
      </c>
      <c r="H2" s="867" t="s">
        <v>2564</v>
      </c>
      <c r="I2" s="203" t="s">
        <v>2565</v>
      </c>
      <c r="J2" s="203" t="s">
        <v>2566</v>
      </c>
    </row>
    <row r="3" spans="1:10">
      <c r="A3" s="54">
        <v>30</v>
      </c>
      <c r="B3" s="869">
        <v>0.13</v>
      </c>
      <c r="C3" s="869">
        <v>0.6</v>
      </c>
      <c r="D3" s="870">
        <v>0</v>
      </c>
      <c r="E3" s="50">
        <f>G3*A3/100</f>
        <v>0.84</v>
      </c>
      <c r="F3" s="50">
        <f>H3*A3/100</f>
        <v>1.2</v>
      </c>
      <c r="G3" s="54">
        <v>2.8</v>
      </c>
      <c r="H3" s="54">
        <v>4</v>
      </c>
      <c r="I3" s="875">
        <f>B3+C3*(D3/A3)*(D3/A3)</f>
        <v>0.13</v>
      </c>
      <c r="J3" s="875">
        <f>E3+F3*(D3/A3)*(D3/A3)</f>
        <v>0.84</v>
      </c>
    </row>
    <row r="4" spans="1:10">
      <c r="A4" s="54">
        <v>50</v>
      </c>
      <c r="B4" s="869">
        <v>0.17</v>
      </c>
      <c r="C4" s="869">
        <v>0.87</v>
      </c>
      <c r="D4" s="870">
        <v>0</v>
      </c>
      <c r="E4" s="50">
        <f t="shared" ref="E4:E19" si="0">G4*A4/100</f>
        <v>1.25</v>
      </c>
      <c r="F4" s="50">
        <f t="shared" ref="F4:F19" si="1">H4*A4/100</f>
        <v>2</v>
      </c>
      <c r="G4" s="54">
        <v>2.5</v>
      </c>
      <c r="H4" s="54">
        <v>4</v>
      </c>
      <c r="I4" s="875">
        <f t="shared" ref="I4:I19" si="2">B4+C4*(D4/A4)*(D4/A4)</f>
        <v>0.17</v>
      </c>
      <c r="J4" s="875">
        <f t="shared" ref="J4:J19" si="3">E4+F4*(D4/A4)*(D4/A4)</f>
        <v>1.25</v>
      </c>
    </row>
    <row r="5" spans="1:10">
      <c r="A5" s="54">
        <v>63</v>
      </c>
      <c r="B5" s="869">
        <v>0.2</v>
      </c>
      <c r="C5" s="869">
        <v>1.04</v>
      </c>
      <c r="D5" s="870">
        <v>0</v>
      </c>
      <c r="E5" s="50">
        <f t="shared" si="0"/>
        <v>1.512</v>
      </c>
      <c r="F5" s="50">
        <f t="shared" si="1"/>
        <v>2.52</v>
      </c>
      <c r="G5" s="54">
        <v>2.4</v>
      </c>
      <c r="H5" s="54">
        <v>4</v>
      </c>
      <c r="I5" s="875">
        <v>2.4</v>
      </c>
      <c r="J5" s="875">
        <f t="shared" si="3"/>
        <v>1.512</v>
      </c>
    </row>
    <row r="6" spans="1:10">
      <c r="A6" s="54">
        <v>80</v>
      </c>
      <c r="B6" s="869">
        <v>0.25</v>
      </c>
      <c r="C6" s="869">
        <v>1.25</v>
      </c>
      <c r="D6" s="870">
        <v>0</v>
      </c>
      <c r="E6" s="50">
        <f t="shared" si="0"/>
        <v>1.76</v>
      </c>
      <c r="F6" s="50">
        <f t="shared" si="1"/>
        <v>3.2</v>
      </c>
      <c r="G6" s="54">
        <v>2.2</v>
      </c>
      <c r="H6" s="54">
        <v>4</v>
      </c>
      <c r="I6" s="875">
        <f t="shared" si="2"/>
        <v>0.25</v>
      </c>
      <c r="J6" s="875">
        <f t="shared" si="3"/>
        <v>1.76</v>
      </c>
    </row>
    <row r="7" spans="1:10">
      <c r="A7" s="54">
        <v>100</v>
      </c>
      <c r="B7" s="869">
        <v>0.29</v>
      </c>
      <c r="C7" s="869">
        <v>1.5</v>
      </c>
      <c r="D7" s="870">
        <v>0</v>
      </c>
      <c r="E7" s="50">
        <f t="shared" si="0"/>
        <v>2.1</v>
      </c>
      <c r="F7" s="50">
        <f t="shared" si="1"/>
        <v>4</v>
      </c>
      <c r="G7" s="54">
        <v>2.1</v>
      </c>
      <c r="H7" s="54">
        <v>4</v>
      </c>
      <c r="I7" s="875">
        <f t="shared" si="2"/>
        <v>0.29</v>
      </c>
      <c r="J7" s="875">
        <f t="shared" si="3"/>
        <v>2.1</v>
      </c>
    </row>
    <row r="8" spans="1:10">
      <c r="A8" s="54">
        <v>125</v>
      </c>
      <c r="B8" s="869">
        <v>0.34</v>
      </c>
      <c r="C8" s="869">
        <v>1.8</v>
      </c>
      <c r="D8" s="870">
        <v>0</v>
      </c>
      <c r="E8" s="50">
        <f t="shared" si="0"/>
        <v>2.5</v>
      </c>
      <c r="F8" s="50">
        <f t="shared" si="1"/>
        <v>5</v>
      </c>
      <c r="G8" s="54">
        <v>2</v>
      </c>
      <c r="H8" s="54">
        <v>4</v>
      </c>
      <c r="I8" s="875">
        <f t="shared" si="2"/>
        <v>0.34</v>
      </c>
      <c r="J8" s="875">
        <f t="shared" si="3"/>
        <v>2.5</v>
      </c>
    </row>
    <row r="9" spans="1:10">
      <c r="A9" s="54">
        <v>160</v>
      </c>
      <c r="B9" s="869">
        <v>0.4</v>
      </c>
      <c r="C9" s="869">
        <v>2.2</v>
      </c>
      <c r="D9" s="870">
        <v>0</v>
      </c>
      <c r="E9" s="50">
        <f t="shared" si="0"/>
        <v>3.04</v>
      </c>
      <c r="F9" s="50">
        <f t="shared" si="1"/>
        <v>6.4</v>
      </c>
      <c r="G9" s="54">
        <v>1.9</v>
      </c>
      <c r="H9" s="54">
        <v>4</v>
      </c>
      <c r="I9" s="875">
        <f t="shared" si="2"/>
        <v>0.4</v>
      </c>
      <c r="J9" s="875">
        <f t="shared" si="3"/>
        <v>3.04</v>
      </c>
    </row>
    <row r="10" spans="1:10">
      <c r="A10" s="54">
        <v>200</v>
      </c>
      <c r="B10" s="869">
        <v>0.48</v>
      </c>
      <c r="C10" s="869">
        <v>2.6</v>
      </c>
      <c r="D10" s="870">
        <v>0</v>
      </c>
      <c r="E10" s="50">
        <f t="shared" si="0"/>
        <v>3.6</v>
      </c>
      <c r="F10" s="50">
        <f t="shared" si="1"/>
        <v>8</v>
      </c>
      <c r="G10" s="54">
        <v>1.8</v>
      </c>
      <c r="H10" s="54">
        <v>4</v>
      </c>
      <c r="I10" s="875">
        <f t="shared" si="2"/>
        <v>0.48</v>
      </c>
      <c r="J10" s="875">
        <f t="shared" si="3"/>
        <v>3.6</v>
      </c>
    </row>
    <row r="11" spans="1:10">
      <c r="A11" s="54">
        <v>250</v>
      </c>
      <c r="B11" s="869">
        <v>0.56</v>
      </c>
      <c r="C11" s="869">
        <v>3.05</v>
      </c>
      <c r="D11" s="870">
        <v>0</v>
      </c>
      <c r="E11" s="50">
        <f t="shared" si="0"/>
        <v>4.25</v>
      </c>
      <c r="F11" s="50">
        <f t="shared" si="1"/>
        <v>10</v>
      </c>
      <c r="G11" s="54">
        <v>1.7</v>
      </c>
      <c r="H11" s="54">
        <v>4</v>
      </c>
      <c r="I11" s="875">
        <f t="shared" si="2"/>
        <v>0.56</v>
      </c>
      <c r="J11" s="875">
        <f t="shared" si="3"/>
        <v>4.25</v>
      </c>
    </row>
    <row r="12" spans="1:10">
      <c r="A12" s="54">
        <v>315</v>
      </c>
      <c r="B12" s="869">
        <v>0.67</v>
      </c>
      <c r="C12" s="869">
        <v>3.65</v>
      </c>
      <c r="D12" s="870">
        <v>0</v>
      </c>
      <c r="E12" s="50">
        <f t="shared" si="0"/>
        <v>5.04</v>
      </c>
      <c r="F12" s="50">
        <f t="shared" si="1"/>
        <v>12.6</v>
      </c>
      <c r="G12" s="54">
        <v>1.6</v>
      </c>
      <c r="H12" s="54">
        <v>4</v>
      </c>
      <c r="I12" s="875">
        <f t="shared" si="2"/>
        <v>0.67</v>
      </c>
      <c r="J12" s="875">
        <f t="shared" si="3"/>
        <v>5.04</v>
      </c>
    </row>
    <row r="13" spans="1:10">
      <c r="A13" s="54">
        <v>400</v>
      </c>
      <c r="B13" s="869">
        <v>0.8</v>
      </c>
      <c r="C13" s="869">
        <v>4.3</v>
      </c>
      <c r="D13" s="870">
        <v>0</v>
      </c>
      <c r="E13" s="50">
        <f t="shared" si="0"/>
        <v>6</v>
      </c>
      <c r="F13" s="50">
        <f t="shared" si="1"/>
        <v>16</v>
      </c>
      <c r="G13" s="54">
        <v>1.5</v>
      </c>
      <c r="H13" s="54">
        <v>4</v>
      </c>
      <c r="I13" s="875">
        <f t="shared" si="2"/>
        <v>0.8</v>
      </c>
      <c r="J13" s="875">
        <f t="shared" si="3"/>
        <v>6</v>
      </c>
    </row>
    <row r="14" spans="1:10">
      <c r="A14" s="54">
        <v>500</v>
      </c>
      <c r="B14" s="869">
        <v>0.96</v>
      </c>
      <c r="C14" s="869">
        <v>5.1</v>
      </c>
      <c r="D14" s="870">
        <v>0</v>
      </c>
      <c r="E14" s="50">
        <f t="shared" si="0"/>
        <v>7</v>
      </c>
      <c r="F14" s="50">
        <f t="shared" si="1"/>
        <v>20</v>
      </c>
      <c r="G14" s="54">
        <v>1.4</v>
      </c>
      <c r="H14" s="54">
        <v>4</v>
      </c>
      <c r="I14" s="875">
        <f t="shared" si="2"/>
        <v>0.96</v>
      </c>
      <c r="J14" s="875">
        <f t="shared" si="3"/>
        <v>7</v>
      </c>
    </row>
    <row r="15" spans="1:10">
      <c r="A15" s="54">
        <v>630</v>
      </c>
      <c r="B15" s="869">
        <v>1.2</v>
      </c>
      <c r="C15" s="869">
        <v>6.2</v>
      </c>
      <c r="D15" s="870">
        <v>0</v>
      </c>
      <c r="E15" s="50">
        <f t="shared" si="0"/>
        <v>8.19</v>
      </c>
      <c r="F15" s="50">
        <f t="shared" si="1"/>
        <v>28.35</v>
      </c>
      <c r="G15" s="54">
        <v>1.3</v>
      </c>
      <c r="H15" s="54">
        <v>4.5</v>
      </c>
      <c r="I15" s="875">
        <f t="shared" si="2"/>
        <v>1.2</v>
      </c>
      <c r="J15" s="875">
        <f t="shared" si="3"/>
        <v>8.19</v>
      </c>
    </row>
    <row r="16" spans="1:10">
      <c r="A16" s="54">
        <v>800</v>
      </c>
      <c r="B16" s="869">
        <v>1.4</v>
      </c>
      <c r="C16" s="869">
        <v>7.5</v>
      </c>
      <c r="D16" s="870">
        <v>0</v>
      </c>
      <c r="E16" s="50">
        <f t="shared" si="0"/>
        <v>9.6</v>
      </c>
      <c r="F16" s="50">
        <f t="shared" si="1"/>
        <v>36</v>
      </c>
      <c r="G16" s="54">
        <v>1.2</v>
      </c>
      <c r="H16" s="54">
        <v>4.5</v>
      </c>
      <c r="I16" s="875">
        <f t="shared" si="2"/>
        <v>1.4</v>
      </c>
      <c r="J16" s="875">
        <f t="shared" si="3"/>
        <v>9.6</v>
      </c>
    </row>
    <row r="17" spans="1:10">
      <c r="A17" s="54">
        <v>1000</v>
      </c>
      <c r="B17" s="869">
        <v>1.7</v>
      </c>
      <c r="C17" s="869">
        <v>10.3</v>
      </c>
      <c r="D17" s="870">
        <v>0</v>
      </c>
      <c r="E17" s="50">
        <f t="shared" si="0"/>
        <v>11</v>
      </c>
      <c r="F17" s="50">
        <f t="shared" si="1"/>
        <v>45</v>
      </c>
      <c r="G17" s="54">
        <v>1.1</v>
      </c>
      <c r="H17" s="54">
        <v>4.5</v>
      </c>
      <c r="I17" s="875">
        <f t="shared" si="2"/>
        <v>1.7</v>
      </c>
      <c r="J17" s="875">
        <f t="shared" si="3"/>
        <v>11</v>
      </c>
    </row>
    <row r="18" spans="1:10">
      <c r="A18" s="54">
        <v>1250</v>
      </c>
      <c r="B18" s="869">
        <v>1.95</v>
      </c>
      <c r="C18" s="869">
        <v>12.8</v>
      </c>
      <c r="D18" s="870">
        <v>0</v>
      </c>
      <c r="E18" s="50">
        <f t="shared" si="0"/>
        <v>12.5</v>
      </c>
      <c r="F18" s="50">
        <f t="shared" si="1"/>
        <v>56.25</v>
      </c>
      <c r="G18" s="54">
        <v>1</v>
      </c>
      <c r="H18" s="54">
        <v>4.5</v>
      </c>
      <c r="I18" s="875">
        <f t="shared" si="2"/>
        <v>1.95</v>
      </c>
      <c r="J18" s="875">
        <f t="shared" si="3"/>
        <v>12.5</v>
      </c>
    </row>
    <row r="19" spans="1:10">
      <c r="A19" s="54">
        <v>1600</v>
      </c>
      <c r="B19" s="869">
        <v>2.4</v>
      </c>
      <c r="C19" s="869">
        <v>14.5</v>
      </c>
      <c r="D19" s="870">
        <v>0</v>
      </c>
      <c r="E19" s="50">
        <f t="shared" si="0"/>
        <v>14.4</v>
      </c>
      <c r="F19" s="50">
        <f t="shared" si="1"/>
        <v>72</v>
      </c>
      <c r="G19" s="54">
        <v>0.9</v>
      </c>
      <c r="H19" s="54">
        <v>4.5</v>
      </c>
      <c r="I19" s="875">
        <f t="shared" si="2"/>
        <v>2.4</v>
      </c>
      <c r="J19" s="875">
        <f t="shared" si="3"/>
        <v>14.4</v>
      </c>
    </row>
    <row r="20" spans="1:10">
      <c r="A20" s="838" t="s">
        <v>2567</v>
      </c>
      <c r="B20" s="871"/>
      <c r="C20" s="313"/>
      <c r="D20" s="313"/>
      <c r="E20" s="313"/>
      <c r="F20" s="313"/>
      <c r="G20" s="313"/>
      <c r="H20" s="313"/>
      <c r="I20" s="313"/>
      <c r="J20" s="313"/>
    </row>
    <row r="21" spans="1:10">
      <c r="A21" s="838" t="s">
        <v>2568</v>
      </c>
      <c r="B21" s="872"/>
      <c r="C21" s="313"/>
      <c r="D21" s="313"/>
      <c r="E21" s="313"/>
      <c r="F21" s="313"/>
      <c r="G21" s="313"/>
      <c r="H21" s="313"/>
      <c r="I21" s="313"/>
      <c r="J21" s="313"/>
    </row>
    <row r="22" spans="1:10">
      <c r="A22" s="838" t="s">
        <v>576</v>
      </c>
      <c r="B22" s="873"/>
      <c r="C22" s="313"/>
      <c r="D22" s="313"/>
      <c r="E22" s="313"/>
      <c r="F22" s="313"/>
      <c r="G22" s="313"/>
      <c r="H22" s="313"/>
      <c r="I22" s="313"/>
      <c r="J22" s="313"/>
    </row>
    <row r="23" spans="1:10">
      <c r="A23" s="874"/>
      <c r="B23" s="874"/>
      <c r="C23" s="874"/>
      <c r="D23" s="874"/>
      <c r="E23" s="874"/>
      <c r="F23" s="874"/>
      <c r="G23" s="874"/>
      <c r="H23" s="874"/>
      <c r="I23" s="874"/>
      <c r="J23" s="874"/>
    </row>
    <row r="24" ht="21" spans="1:10">
      <c r="A24" s="865" t="s">
        <v>2569</v>
      </c>
      <c r="B24" s="866"/>
      <c r="C24" s="866"/>
      <c r="D24" s="866"/>
      <c r="E24" s="866"/>
      <c r="F24" s="866"/>
      <c r="G24" s="866"/>
      <c r="H24" s="866"/>
      <c r="I24" s="866"/>
      <c r="J24" s="313"/>
    </row>
    <row r="25" ht="62.4" spans="1:10">
      <c r="A25" s="867" t="s">
        <v>2557</v>
      </c>
      <c r="B25" s="868" t="s">
        <v>2558</v>
      </c>
      <c r="C25" s="868" t="s">
        <v>2559</v>
      </c>
      <c r="D25" s="867" t="s">
        <v>2560</v>
      </c>
      <c r="E25" s="867" t="s">
        <v>2561</v>
      </c>
      <c r="F25" s="867" t="s">
        <v>2562</v>
      </c>
      <c r="G25" s="867" t="s">
        <v>2563</v>
      </c>
      <c r="H25" s="867" t="s">
        <v>2564</v>
      </c>
      <c r="I25" s="203" t="s">
        <v>2565</v>
      </c>
      <c r="J25" s="203" t="s">
        <v>2566</v>
      </c>
    </row>
    <row r="26" spans="1:10">
      <c r="A26" s="54">
        <v>200</v>
      </c>
      <c r="B26" s="869">
        <v>0.33</v>
      </c>
      <c r="C26" s="869">
        <v>2.6</v>
      </c>
      <c r="D26" s="870">
        <v>0</v>
      </c>
      <c r="E26" s="50">
        <f t="shared" ref="E26:E37" si="4">G26*A26/100</f>
        <v>1.8</v>
      </c>
      <c r="F26" s="50">
        <f t="shared" ref="F26:F37" si="5">H26*A26/100</f>
        <v>8</v>
      </c>
      <c r="G26" s="54">
        <v>0.9</v>
      </c>
      <c r="H26" s="54">
        <v>4</v>
      </c>
      <c r="I26" s="875">
        <f t="shared" ref="I26:I37" si="6">B26+C26*(D26/A26)*(D26/A26)</f>
        <v>0.33</v>
      </c>
      <c r="J26" s="875">
        <f t="shared" ref="J26:J37" si="7">E26+F26*(D26/A26)*(D26/A26)</f>
        <v>1.8</v>
      </c>
    </row>
    <row r="27" spans="1:10">
      <c r="A27" s="54">
        <v>250</v>
      </c>
      <c r="B27" s="869">
        <v>0.4</v>
      </c>
      <c r="C27" s="869">
        <v>3.05</v>
      </c>
      <c r="D27" s="870">
        <v>0</v>
      </c>
      <c r="E27" s="50">
        <f t="shared" si="4"/>
        <v>2.25</v>
      </c>
      <c r="F27" s="50">
        <f t="shared" si="5"/>
        <v>10</v>
      </c>
      <c r="G27" s="54">
        <v>0.9</v>
      </c>
      <c r="H27" s="54">
        <v>4</v>
      </c>
      <c r="I27" s="875">
        <f t="shared" si="6"/>
        <v>0.4</v>
      </c>
      <c r="J27" s="875">
        <f t="shared" si="7"/>
        <v>2.25</v>
      </c>
    </row>
    <row r="28" spans="1:10">
      <c r="A28" s="54">
        <v>315</v>
      </c>
      <c r="B28" s="869">
        <v>0.48</v>
      </c>
      <c r="C28" s="869">
        <v>3.65</v>
      </c>
      <c r="D28" s="870">
        <v>0</v>
      </c>
      <c r="E28" s="50">
        <f t="shared" si="4"/>
        <v>2.52</v>
      </c>
      <c r="F28" s="50">
        <f t="shared" si="5"/>
        <v>12.6</v>
      </c>
      <c r="G28" s="54">
        <v>0.8</v>
      </c>
      <c r="H28" s="54">
        <v>4</v>
      </c>
      <c r="I28" s="875">
        <f t="shared" si="6"/>
        <v>0.48</v>
      </c>
      <c r="J28" s="875">
        <f t="shared" si="7"/>
        <v>2.52</v>
      </c>
    </row>
    <row r="29" spans="1:10">
      <c r="A29" s="54">
        <v>400</v>
      </c>
      <c r="B29" s="869">
        <v>0.57</v>
      </c>
      <c r="C29" s="869">
        <v>4.3</v>
      </c>
      <c r="D29" s="870">
        <v>0</v>
      </c>
      <c r="E29" s="50">
        <f t="shared" si="4"/>
        <v>2.8</v>
      </c>
      <c r="F29" s="50">
        <f t="shared" si="5"/>
        <v>16</v>
      </c>
      <c r="G29" s="54">
        <v>0.7</v>
      </c>
      <c r="H29" s="54">
        <v>4</v>
      </c>
      <c r="I29" s="875">
        <f t="shared" si="6"/>
        <v>0.57</v>
      </c>
      <c r="J29" s="875">
        <f t="shared" si="7"/>
        <v>2.8</v>
      </c>
    </row>
    <row r="30" spans="1:10">
      <c r="A30" s="54">
        <v>500</v>
      </c>
      <c r="B30" s="869">
        <v>0.68</v>
      </c>
      <c r="C30" s="869">
        <v>5.1</v>
      </c>
      <c r="D30" s="870">
        <v>0</v>
      </c>
      <c r="E30" s="50">
        <f t="shared" si="4"/>
        <v>3.5</v>
      </c>
      <c r="F30" s="50">
        <f t="shared" si="5"/>
        <v>20</v>
      </c>
      <c r="G30" s="54">
        <v>0.7</v>
      </c>
      <c r="H30" s="54">
        <v>4</v>
      </c>
      <c r="I30" s="875">
        <f t="shared" si="6"/>
        <v>0.68</v>
      </c>
      <c r="J30" s="875">
        <f t="shared" si="7"/>
        <v>3.5</v>
      </c>
    </row>
    <row r="31" spans="1:10">
      <c r="A31" s="54">
        <v>630</v>
      </c>
      <c r="B31" s="869">
        <v>0.81</v>
      </c>
      <c r="C31" s="869">
        <v>6.2</v>
      </c>
      <c r="D31" s="870">
        <v>0</v>
      </c>
      <c r="E31" s="50">
        <f t="shared" si="4"/>
        <v>4.095</v>
      </c>
      <c r="F31" s="50">
        <f t="shared" si="5"/>
        <v>28.35</v>
      </c>
      <c r="G31" s="54">
        <v>0.65</v>
      </c>
      <c r="H31" s="54">
        <v>4.5</v>
      </c>
      <c r="I31" s="875">
        <f t="shared" si="6"/>
        <v>0.81</v>
      </c>
      <c r="J31" s="875">
        <f t="shared" si="7"/>
        <v>4.095</v>
      </c>
    </row>
    <row r="32" spans="1:10">
      <c r="A32" s="54">
        <v>800</v>
      </c>
      <c r="B32" s="869">
        <v>0.98</v>
      </c>
      <c r="C32" s="869">
        <v>7.5</v>
      </c>
      <c r="D32" s="870">
        <v>0</v>
      </c>
      <c r="E32" s="50">
        <f t="shared" si="4"/>
        <v>4.8</v>
      </c>
      <c r="F32" s="50">
        <f t="shared" si="5"/>
        <v>36</v>
      </c>
      <c r="G32" s="54">
        <v>0.6</v>
      </c>
      <c r="H32" s="54">
        <v>4.5</v>
      </c>
      <c r="I32" s="875">
        <f t="shared" si="6"/>
        <v>0.98</v>
      </c>
      <c r="J32" s="875">
        <f t="shared" si="7"/>
        <v>4.8</v>
      </c>
    </row>
    <row r="33" spans="1:10">
      <c r="A33" s="54">
        <v>1000</v>
      </c>
      <c r="B33" s="869">
        <v>1.15</v>
      </c>
      <c r="C33" s="869">
        <v>10.3</v>
      </c>
      <c r="D33" s="870">
        <v>0</v>
      </c>
      <c r="E33" s="50">
        <f t="shared" si="4"/>
        <v>5.5</v>
      </c>
      <c r="F33" s="50">
        <f t="shared" si="5"/>
        <v>45</v>
      </c>
      <c r="G33" s="54">
        <v>0.55</v>
      </c>
      <c r="H33" s="54">
        <v>4.5</v>
      </c>
      <c r="I33" s="875">
        <f t="shared" si="6"/>
        <v>1.15</v>
      </c>
      <c r="J33" s="875">
        <f t="shared" si="7"/>
        <v>5.5</v>
      </c>
    </row>
    <row r="34" spans="1:10">
      <c r="A34" s="54">
        <v>1250</v>
      </c>
      <c r="B34" s="869">
        <v>1.35</v>
      </c>
      <c r="C34" s="869">
        <v>12</v>
      </c>
      <c r="D34" s="870">
        <v>0</v>
      </c>
      <c r="E34" s="50">
        <f t="shared" si="4"/>
        <v>6.25</v>
      </c>
      <c r="F34" s="50">
        <f t="shared" si="5"/>
        <v>56.25</v>
      </c>
      <c r="G34" s="54">
        <v>0.5</v>
      </c>
      <c r="H34" s="54">
        <v>4.5</v>
      </c>
      <c r="I34" s="875">
        <f t="shared" si="6"/>
        <v>1.35</v>
      </c>
      <c r="J34" s="875">
        <f t="shared" si="7"/>
        <v>6.25</v>
      </c>
    </row>
    <row r="35" spans="1:10">
      <c r="A35" s="54">
        <v>1600</v>
      </c>
      <c r="B35" s="869">
        <v>1.68</v>
      </c>
      <c r="C35" s="869">
        <v>14.5</v>
      </c>
      <c r="D35" s="870">
        <v>0</v>
      </c>
      <c r="E35" s="50">
        <f t="shared" si="4"/>
        <v>8</v>
      </c>
      <c r="F35" s="50">
        <f t="shared" si="5"/>
        <v>72</v>
      </c>
      <c r="G35" s="54">
        <v>0.5</v>
      </c>
      <c r="H35" s="54">
        <v>4.5</v>
      </c>
      <c r="I35" s="875">
        <f t="shared" si="6"/>
        <v>1.68</v>
      </c>
      <c r="J35" s="875">
        <f t="shared" si="7"/>
        <v>8</v>
      </c>
    </row>
    <row r="36" spans="1:10">
      <c r="A36" s="54">
        <v>2000</v>
      </c>
      <c r="B36" s="869">
        <v>1.95</v>
      </c>
      <c r="C36" s="869">
        <v>17.15</v>
      </c>
      <c r="D36" s="870">
        <v>0</v>
      </c>
      <c r="E36" s="50">
        <f t="shared" si="4"/>
        <v>10</v>
      </c>
      <c r="F36" s="50">
        <f t="shared" si="5"/>
        <v>90</v>
      </c>
      <c r="G36" s="54">
        <v>0.5</v>
      </c>
      <c r="H36" s="54">
        <v>4.5</v>
      </c>
      <c r="I36" s="875">
        <f t="shared" si="6"/>
        <v>1.95</v>
      </c>
      <c r="J36" s="875">
        <f t="shared" si="7"/>
        <v>10</v>
      </c>
    </row>
    <row r="37" spans="1:10">
      <c r="A37" s="54">
        <v>2500</v>
      </c>
      <c r="B37" s="869">
        <v>2.28</v>
      </c>
      <c r="C37" s="869">
        <v>20.3</v>
      </c>
      <c r="D37" s="870">
        <v>0</v>
      </c>
      <c r="E37" s="50">
        <f t="shared" si="4"/>
        <v>12.5</v>
      </c>
      <c r="F37" s="50">
        <f t="shared" si="5"/>
        <v>112.5</v>
      </c>
      <c r="G37" s="54">
        <v>0.5</v>
      </c>
      <c r="H37" s="54">
        <v>4.5</v>
      </c>
      <c r="I37" s="875">
        <f t="shared" si="6"/>
        <v>2.28</v>
      </c>
      <c r="J37" s="875">
        <f t="shared" si="7"/>
        <v>12.5</v>
      </c>
    </row>
    <row r="38" spans="1:10">
      <c r="A38" s="838" t="s">
        <v>2567</v>
      </c>
      <c r="B38" s="871"/>
      <c r="C38" s="313"/>
      <c r="D38" s="313"/>
      <c r="E38" s="313"/>
      <c r="F38" s="313"/>
      <c r="G38" s="313"/>
      <c r="H38" s="313"/>
      <c r="I38" s="313"/>
      <c r="J38" s="313"/>
    </row>
    <row r="39" spans="1:10">
      <c r="A39" s="838" t="s">
        <v>2568</v>
      </c>
      <c r="B39" s="872"/>
      <c r="C39" s="313"/>
      <c r="D39" s="313"/>
      <c r="E39" s="313"/>
      <c r="F39" s="313"/>
      <c r="G39" s="313"/>
      <c r="H39" s="313"/>
      <c r="I39" s="313"/>
      <c r="J39" s="313"/>
    </row>
    <row r="40" spans="1:10">
      <c r="A40" s="838" t="s">
        <v>576</v>
      </c>
      <c r="B40" s="873"/>
      <c r="C40" s="313"/>
      <c r="D40" s="313"/>
      <c r="E40" s="313"/>
      <c r="F40" s="313"/>
      <c r="G40" s="313"/>
      <c r="H40" s="313"/>
      <c r="I40" s="313"/>
      <c r="J40" s="313"/>
    </row>
    <row r="41" spans="1:1">
      <c r="A41"/>
    </row>
    <row r="42" ht="21" spans="1:10">
      <c r="A42" s="865" t="s">
        <v>2570</v>
      </c>
      <c r="B42" s="866"/>
      <c r="C42" s="866"/>
      <c r="D42" s="866"/>
      <c r="E42" s="866"/>
      <c r="F42" s="866"/>
      <c r="G42" s="866"/>
      <c r="H42" s="866"/>
      <c r="I42" s="866"/>
      <c r="J42" s="313"/>
    </row>
    <row r="43" ht="62.4" spans="1:10">
      <c r="A43" s="867" t="s">
        <v>2557</v>
      </c>
      <c r="B43" s="868" t="s">
        <v>2558</v>
      </c>
      <c r="C43" s="868" t="s">
        <v>2559</v>
      </c>
      <c r="D43" s="867" t="s">
        <v>2560</v>
      </c>
      <c r="E43" s="867" t="s">
        <v>2561</v>
      </c>
      <c r="F43" s="867" t="s">
        <v>2562</v>
      </c>
      <c r="G43" s="867" t="s">
        <v>2563</v>
      </c>
      <c r="H43" s="867" t="s">
        <v>2564</v>
      </c>
      <c r="I43" s="203" t="s">
        <v>2565</v>
      </c>
      <c r="J43" s="203" t="s">
        <v>2566</v>
      </c>
    </row>
    <row r="44" spans="1:10">
      <c r="A44" s="54">
        <v>100</v>
      </c>
      <c r="B44" s="869">
        <v>0.4</v>
      </c>
      <c r="C44" s="869">
        <v>1.88</v>
      </c>
      <c r="D44" s="870">
        <v>0</v>
      </c>
      <c r="E44" s="50">
        <f>G44*A44/100</f>
        <v>0.8</v>
      </c>
      <c r="F44" s="50">
        <f>H44*A44/100</f>
        <v>4</v>
      </c>
      <c r="G44" s="54">
        <v>0.8</v>
      </c>
      <c r="H44" s="54">
        <v>4</v>
      </c>
      <c r="I44" s="875">
        <f>B44+C44*(D44/A44)*(D44/A44)</f>
        <v>0.4</v>
      </c>
      <c r="J44" s="875">
        <f>E44+F44*(D44/A44)*(D44/A44)</f>
        <v>0.8</v>
      </c>
    </row>
    <row r="45" spans="1:10">
      <c r="A45" s="54">
        <v>160</v>
      </c>
      <c r="B45" s="869">
        <v>0.54</v>
      </c>
      <c r="C45" s="869">
        <v>2.55</v>
      </c>
      <c r="D45" s="870">
        <v>0</v>
      </c>
      <c r="E45" s="50">
        <f>G45*A45/100</f>
        <v>1.28</v>
      </c>
      <c r="F45" s="50">
        <f>H45*A45/100</f>
        <v>6.4</v>
      </c>
      <c r="G45" s="54">
        <v>0.8</v>
      </c>
      <c r="H45" s="54">
        <v>4</v>
      </c>
      <c r="I45" s="875">
        <f>B45+C45*(D45/A45)*(D45/A45)</f>
        <v>0.54</v>
      </c>
      <c r="J45" s="875">
        <f>E45+F45*(D45/A45)*(D45/A45)</f>
        <v>1.28</v>
      </c>
    </row>
    <row r="46" spans="1:10">
      <c r="A46" s="54">
        <v>200</v>
      </c>
      <c r="B46" s="869">
        <v>0.62</v>
      </c>
      <c r="C46" s="869">
        <v>3.1</v>
      </c>
      <c r="D46" s="870">
        <v>0</v>
      </c>
      <c r="E46" s="50">
        <f t="shared" ref="E46:E57" si="8">G46*A46/100</f>
        <v>1.6</v>
      </c>
      <c r="F46" s="50">
        <f t="shared" ref="F46:F57" si="9">H46*A46/100</f>
        <v>8</v>
      </c>
      <c r="G46" s="54">
        <v>0.8</v>
      </c>
      <c r="H46" s="54">
        <v>4</v>
      </c>
      <c r="I46" s="875">
        <f t="shared" ref="I46:I57" si="10">B46+C46*(D46/A46)*(D46/A46)</f>
        <v>0.62</v>
      </c>
      <c r="J46" s="875">
        <f t="shared" ref="J46:J57" si="11">E46+F46*(D46/A46)*(D46/A46)</f>
        <v>1.6</v>
      </c>
    </row>
    <row r="47" spans="1:10">
      <c r="A47" s="54">
        <v>250</v>
      </c>
      <c r="B47" s="869">
        <v>0.72</v>
      </c>
      <c r="C47" s="869">
        <v>3.6</v>
      </c>
      <c r="D47" s="870">
        <v>0</v>
      </c>
      <c r="E47" s="50">
        <f t="shared" si="8"/>
        <v>1.75</v>
      </c>
      <c r="F47" s="50">
        <f t="shared" si="9"/>
        <v>10</v>
      </c>
      <c r="G47" s="54">
        <v>0.7</v>
      </c>
      <c r="H47" s="54">
        <v>4</v>
      </c>
      <c r="I47" s="875">
        <f t="shared" si="10"/>
        <v>0.72</v>
      </c>
      <c r="J47" s="875">
        <f t="shared" si="11"/>
        <v>1.75</v>
      </c>
    </row>
    <row r="48" spans="1:10">
      <c r="A48" s="54">
        <v>315</v>
      </c>
      <c r="B48" s="869">
        <v>0.88</v>
      </c>
      <c r="C48" s="869">
        <v>4.6</v>
      </c>
      <c r="D48" s="870">
        <v>0</v>
      </c>
      <c r="E48" s="50">
        <f t="shared" si="8"/>
        <v>2.205</v>
      </c>
      <c r="F48" s="50">
        <f t="shared" si="9"/>
        <v>12.6</v>
      </c>
      <c r="G48" s="54">
        <v>0.7</v>
      </c>
      <c r="H48" s="54">
        <v>4</v>
      </c>
      <c r="I48" s="875">
        <f t="shared" si="10"/>
        <v>0.88</v>
      </c>
      <c r="J48" s="875">
        <f t="shared" si="11"/>
        <v>2.205</v>
      </c>
    </row>
    <row r="49" spans="1:10">
      <c r="A49" s="54">
        <v>400</v>
      </c>
      <c r="B49" s="869">
        <v>0.97</v>
      </c>
      <c r="C49" s="869">
        <v>5.4</v>
      </c>
      <c r="D49" s="870">
        <v>0</v>
      </c>
      <c r="E49" s="50">
        <f t="shared" si="8"/>
        <v>2.4</v>
      </c>
      <c r="F49" s="50">
        <f t="shared" si="9"/>
        <v>16</v>
      </c>
      <c r="G49" s="54">
        <v>0.6</v>
      </c>
      <c r="H49" s="54">
        <v>4</v>
      </c>
      <c r="I49" s="875">
        <f t="shared" si="10"/>
        <v>0.97</v>
      </c>
      <c r="J49" s="875">
        <f t="shared" si="11"/>
        <v>2.4</v>
      </c>
    </row>
    <row r="50" spans="1:10">
      <c r="A50" s="54">
        <v>500</v>
      </c>
      <c r="B50" s="869">
        <v>1.16</v>
      </c>
      <c r="C50" s="869">
        <v>6.6</v>
      </c>
      <c r="D50" s="870">
        <v>0</v>
      </c>
      <c r="E50" s="50">
        <f t="shared" si="8"/>
        <v>3</v>
      </c>
      <c r="F50" s="50">
        <f t="shared" si="9"/>
        <v>20</v>
      </c>
      <c r="G50" s="54">
        <v>0.6</v>
      </c>
      <c r="H50" s="54">
        <v>4</v>
      </c>
      <c r="I50" s="875">
        <f t="shared" si="10"/>
        <v>1.16</v>
      </c>
      <c r="J50" s="875">
        <f t="shared" si="11"/>
        <v>3</v>
      </c>
    </row>
    <row r="51" spans="1:10">
      <c r="A51" s="54">
        <v>630</v>
      </c>
      <c r="B51" s="869">
        <v>1.29</v>
      </c>
      <c r="C51" s="869">
        <v>7.9</v>
      </c>
      <c r="D51" s="870">
        <v>0</v>
      </c>
      <c r="E51" s="50">
        <f t="shared" si="8"/>
        <v>3.78</v>
      </c>
      <c r="F51" s="50">
        <f t="shared" si="9"/>
        <v>37.8</v>
      </c>
      <c r="G51" s="54">
        <v>0.6</v>
      </c>
      <c r="H51" s="54">
        <v>6</v>
      </c>
      <c r="I51" s="875">
        <f t="shared" si="10"/>
        <v>1.29</v>
      </c>
      <c r="J51" s="875">
        <f t="shared" si="11"/>
        <v>3.78</v>
      </c>
    </row>
    <row r="52" spans="1:10">
      <c r="A52" s="54">
        <v>800</v>
      </c>
      <c r="B52" s="869">
        <v>1.52</v>
      </c>
      <c r="C52" s="869">
        <v>9.5</v>
      </c>
      <c r="D52" s="870">
        <v>0</v>
      </c>
      <c r="E52" s="50">
        <f t="shared" si="8"/>
        <v>4</v>
      </c>
      <c r="F52" s="50">
        <f t="shared" si="9"/>
        <v>48</v>
      </c>
      <c r="G52" s="54">
        <v>0.5</v>
      </c>
      <c r="H52" s="54">
        <v>6</v>
      </c>
      <c r="I52" s="875">
        <f t="shared" si="10"/>
        <v>1.52</v>
      </c>
      <c r="J52" s="875">
        <f t="shared" si="11"/>
        <v>4</v>
      </c>
    </row>
    <row r="53" spans="1:10">
      <c r="A53" s="54">
        <v>1000</v>
      </c>
      <c r="B53" s="869">
        <v>1.76</v>
      </c>
      <c r="C53" s="869">
        <v>11.4</v>
      </c>
      <c r="D53" s="870">
        <v>0</v>
      </c>
      <c r="E53" s="50">
        <f t="shared" si="8"/>
        <v>5</v>
      </c>
      <c r="F53" s="50">
        <f t="shared" si="9"/>
        <v>60</v>
      </c>
      <c r="G53" s="54">
        <v>0.5</v>
      </c>
      <c r="H53" s="54">
        <v>6</v>
      </c>
      <c r="I53" s="875">
        <f t="shared" si="10"/>
        <v>1.76</v>
      </c>
      <c r="J53" s="875">
        <f t="shared" si="11"/>
        <v>5</v>
      </c>
    </row>
    <row r="54" spans="1:10">
      <c r="A54" s="54">
        <v>1250</v>
      </c>
      <c r="B54" s="869">
        <v>2.08</v>
      </c>
      <c r="C54" s="869">
        <v>12.5</v>
      </c>
      <c r="D54" s="870">
        <v>0</v>
      </c>
      <c r="E54" s="50">
        <f t="shared" si="8"/>
        <v>6.25</v>
      </c>
      <c r="F54" s="50">
        <f t="shared" si="9"/>
        <v>75</v>
      </c>
      <c r="G54" s="54">
        <v>0.5</v>
      </c>
      <c r="H54" s="54">
        <v>6</v>
      </c>
      <c r="I54" s="875">
        <f t="shared" si="10"/>
        <v>2.08</v>
      </c>
      <c r="J54" s="875">
        <f t="shared" si="11"/>
        <v>6.25</v>
      </c>
    </row>
    <row r="55" spans="1:10">
      <c r="A55" s="54">
        <v>1600</v>
      </c>
      <c r="B55" s="869">
        <v>2.44</v>
      </c>
      <c r="C55" s="869">
        <v>13.9</v>
      </c>
      <c r="D55" s="870">
        <v>0</v>
      </c>
      <c r="E55" s="50">
        <f t="shared" si="8"/>
        <v>8</v>
      </c>
      <c r="F55" s="50">
        <f t="shared" si="9"/>
        <v>96</v>
      </c>
      <c r="G55" s="54">
        <v>0.5</v>
      </c>
      <c r="H55" s="54">
        <v>6</v>
      </c>
      <c r="I55" s="875">
        <f t="shared" si="10"/>
        <v>2.44</v>
      </c>
      <c r="J55" s="875">
        <f t="shared" si="11"/>
        <v>8</v>
      </c>
    </row>
    <row r="56" spans="1:10">
      <c r="A56" s="54">
        <v>2000</v>
      </c>
      <c r="B56" s="869">
        <v>3.32</v>
      </c>
      <c r="C56" s="869">
        <v>17.5</v>
      </c>
      <c r="D56" s="870">
        <v>0</v>
      </c>
      <c r="E56" s="50">
        <f t="shared" si="8"/>
        <v>8</v>
      </c>
      <c r="F56" s="50">
        <f t="shared" si="9"/>
        <v>120</v>
      </c>
      <c r="G56" s="54">
        <v>0.4</v>
      </c>
      <c r="H56" s="54">
        <v>6</v>
      </c>
      <c r="I56" s="875">
        <f t="shared" si="10"/>
        <v>3.32</v>
      </c>
      <c r="J56" s="875">
        <f t="shared" si="11"/>
        <v>8</v>
      </c>
    </row>
    <row r="57" spans="1:10">
      <c r="A57" s="54">
        <v>2500</v>
      </c>
      <c r="B57" s="869">
        <v>4</v>
      </c>
      <c r="C57" s="869">
        <v>20.3</v>
      </c>
      <c r="D57" s="870">
        <v>0</v>
      </c>
      <c r="E57" s="50">
        <f t="shared" si="8"/>
        <v>10</v>
      </c>
      <c r="F57" s="50">
        <f t="shared" si="9"/>
        <v>150</v>
      </c>
      <c r="G57" s="54">
        <v>0.4</v>
      </c>
      <c r="H57" s="54">
        <v>6</v>
      </c>
      <c r="I57" s="875">
        <f t="shared" si="10"/>
        <v>4</v>
      </c>
      <c r="J57" s="875">
        <f t="shared" si="11"/>
        <v>10</v>
      </c>
    </row>
    <row r="58" spans="1:10">
      <c r="A58" s="838" t="s">
        <v>2567</v>
      </c>
      <c r="B58" s="871"/>
      <c r="C58" s="313"/>
      <c r="D58" s="313"/>
      <c r="E58" s="313"/>
      <c r="F58" s="313"/>
      <c r="G58" s="313"/>
      <c r="H58" s="313"/>
      <c r="I58" s="313"/>
      <c r="J58" s="313"/>
    </row>
    <row r="59" spans="1:10">
      <c r="A59" s="838" t="s">
        <v>2568</v>
      </c>
      <c r="B59" s="872"/>
      <c r="C59" s="313"/>
      <c r="D59" s="313"/>
      <c r="E59" s="313"/>
      <c r="F59" s="313"/>
      <c r="G59" s="313"/>
      <c r="H59" s="313"/>
      <c r="I59" s="313"/>
      <c r="J59" s="313"/>
    </row>
    <row r="60" spans="1:10">
      <c r="A60" s="838" t="s">
        <v>576</v>
      </c>
      <c r="B60" s="873"/>
      <c r="C60" s="313"/>
      <c r="D60" s="313"/>
      <c r="E60" s="313"/>
      <c r="F60" s="313"/>
      <c r="G60" s="313"/>
      <c r="H60" s="313"/>
      <c r="I60" s="313"/>
      <c r="J60" s="313"/>
    </row>
  </sheetData>
  <customSheetViews>
    <customSheetView guid="{B9330FFD-B5EF-4680-A375-DB92D4738404}" topLeftCell="A16">
      <selection activeCell="L47" sqref="L47"/>
      <pageMargins left="0.7" right="0.7" top="0.75" bottom="0.75" header="0.3" footer="0.3"/>
      <headerFooter/>
    </customSheetView>
  </customSheetViews>
  <mergeCells count="4">
    <mergeCell ref="A1:I1"/>
    <mergeCell ref="A23:J23"/>
    <mergeCell ref="A24:I24"/>
    <mergeCell ref="A42:I42"/>
  </mergeCells>
  <hyperlinks>
    <hyperlink ref="J1" location="目录!A1" display="目录!A1"/>
    <hyperlink ref="A23:J23" r:id="rId3"/>
  </hyperlinks>
  <pageMargins left="0.7" right="0.7" top="0.75" bottom="0.75" header="0.3" footer="0.3"/>
  <headerFooter/>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A1" sqref="$A1:$XFD1048576"/>
    </sheetView>
  </sheetViews>
  <sheetFormatPr defaultColWidth="9" defaultRowHeight="15.6" outlineLevelCol="4"/>
  <cols>
    <col min="1" max="1" width="13.25" customWidth="1"/>
    <col min="2" max="2" width="14.5" customWidth="1"/>
    <col min="3" max="4" width="11.25" customWidth="1"/>
    <col min="5" max="5" width="13" customWidth="1"/>
  </cols>
  <sheetData>
    <row r="1" ht="21.15" spans="1:5">
      <c r="A1" s="849" t="s">
        <v>2571</v>
      </c>
      <c r="B1" s="849"/>
      <c r="C1" s="849"/>
      <c r="D1" s="849"/>
      <c r="E1" s="849"/>
    </row>
    <row r="2" ht="63.15" spans="1:5">
      <c r="A2" s="850" t="s">
        <v>2572</v>
      </c>
      <c r="B2" s="851" t="s">
        <v>2573</v>
      </c>
      <c r="C2" s="851" t="s">
        <v>2574</v>
      </c>
      <c r="D2" s="851" t="s">
        <v>2575</v>
      </c>
      <c r="E2" s="852" t="s">
        <v>2576</v>
      </c>
    </row>
    <row r="3" spans="1:5">
      <c r="A3" s="853">
        <v>630</v>
      </c>
      <c r="B3" s="854">
        <v>0.4</v>
      </c>
      <c r="C3" s="854">
        <v>4.5</v>
      </c>
      <c r="D3" s="855">
        <f>A3/(B3*SQRT(3))</f>
        <v>909.326673973661</v>
      </c>
      <c r="E3" s="856">
        <f>D3/(C3*0.01*1000)</f>
        <v>20.2072594216369</v>
      </c>
    </row>
    <row r="4" ht="16.35" spans="1:5">
      <c r="A4" s="857"/>
      <c r="B4" s="858"/>
      <c r="C4" s="858"/>
      <c r="D4" s="858"/>
      <c r="E4" s="859"/>
    </row>
    <row r="5" spans="1:5">
      <c r="A5" s="860"/>
      <c r="B5" s="860"/>
      <c r="C5" s="860"/>
      <c r="D5" s="860"/>
      <c r="E5" s="861" t="s">
        <v>88</v>
      </c>
    </row>
    <row r="6" spans="1:5">
      <c r="A6" s="862" t="s">
        <v>2577</v>
      </c>
      <c r="B6" s="862"/>
      <c r="C6" s="862"/>
      <c r="D6" s="860"/>
      <c r="E6" s="138"/>
    </row>
    <row r="7" spans="1:5">
      <c r="A7" s="862" t="s">
        <v>2578</v>
      </c>
      <c r="B7" s="862"/>
      <c r="C7" s="862"/>
      <c r="D7" s="860"/>
      <c r="E7" s="860"/>
    </row>
    <row r="8" spans="1:5">
      <c r="A8" s="862" t="s">
        <v>2579</v>
      </c>
      <c r="B8" s="862"/>
      <c r="C8" s="862"/>
      <c r="D8" s="860"/>
      <c r="E8" s="860"/>
    </row>
    <row r="9" spans="1:5">
      <c r="A9" s="860" t="s">
        <v>2580</v>
      </c>
      <c r="B9" s="860"/>
      <c r="C9" s="860"/>
      <c r="D9" s="860"/>
      <c r="E9" s="860"/>
    </row>
    <row r="10" spans="1:5">
      <c r="A10" s="862" t="s">
        <v>2581</v>
      </c>
      <c r="B10" s="862"/>
      <c r="C10" s="862"/>
      <c r="D10" s="862"/>
      <c r="E10" s="862"/>
    </row>
    <row r="11" spans="1:5">
      <c r="A11" s="862" t="s">
        <v>2582</v>
      </c>
      <c r="B11" s="862"/>
      <c r="C11" s="862"/>
      <c r="D11" s="862"/>
      <c r="E11" s="862"/>
    </row>
    <row r="12" spans="1:5">
      <c r="A12" s="862" t="s">
        <v>2583</v>
      </c>
      <c r="B12" s="862"/>
      <c r="C12" s="862"/>
      <c r="D12" s="862"/>
      <c r="E12" s="862"/>
    </row>
    <row r="13" spans="1:5">
      <c r="A13" s="862" t="s">
        <v>2584</v>
      </c>
      <c r="B13" s="862"/>
      <c r="C13" s="862"/>
      <c r="D13" s="862"/>
      <c r="E13" s="862"/>
    </row>
    <row r="14" spans="1:5">
      <c r="A14" s="862" t="s">
        <v>2585</v>
      </c>
      <c r="B14" s="862"/>
      <c r="C14" s="862"/>
      <c r="D14" s="862"/>
      <c r="E14" s="862"/>
    </row>
    <row r="15" spans="1:5">
      <c r="A15" s="862" t="s">
        <v>2586</v>
      </c>
      <c r="B15" s="862"/>
      <c r="C15" s="862"/>
      <c r="D15" s="862"/>
      <c r="E15" s="862"/>
    </row>
    <row r="16" spans="1:5">
      <c r="A16" s="862" t="s">
        <v>2587</v>
      </c>
      <c r="B16" s="862"/>
      <c r="C16" s="862"/>
      <c r="D16" s="862"/>
      <c r="E16" s="862"/>
    </row>
    <row r="17" ht="33.75" customHeight="1" spans="1:5">
      <c r="A17" s="863" t="s">
        <v>2588</v>
      </c>
      <c r="B17" s="864"/>
      <c r="C17" s="864"/>
      <c r="D17" s="864"/>
      <c r="E17" s="864"/>
    </row>
    <row r="18" ht="32.25" customHeight="1" spans="1:5">
      <c r="A18" s="863" t="s">
        <v>2589</v>
      </c>
      <c r="B18" s="863"/>
      <c r="C18" s="863"/>
      <c r="D18" s="863"/>
      <c r="E18" s="863"/>
    </row>
    <row r="19" ht="30.75" customHeight="1" spans="1:5">
      <c r="A19" s="863" t="s">
        <v>2590</v>
      </c>
      <c r="B19" s="863"/>
      <c r="C19" s="863"/>
      <c r="D19" s="863"/>
      <c r="E19" s="863"/>
    </row>
    <row r="20" spans="1:5">
      <c r="A20" s="862" t="s">
        <v>2591</v>
      </c>
      <c r="B20" s="862"/>
      <c r="C20" s="862"/>
      <c r="D20" s="862"/>
      <c r="E20" s="862"/>
    </row>
    <row r="21" spans="1:5">
      <c r="A21" s="862" t="s">
        <v>2592</v>
      </c>
      <c r="B21" s="862"/>
      <c r="C21" s="862"/>
      <c r="D21" s="862"/>
      <c r="E21" s="862"/>
    </row>
    <row r="22" ht="33.75" customHeight="1" spans="1:5">
      <c r="A22" s="863" t="s">
        <v>2593</v>
      </c>
      <c r="B22" s="864"/>
      <c r="C22" s="864"/>
      <c r="D22" s="864"/>
      <c r="E22" s="864"/>
    </row>
    <row r="23" ht="47.25" customHeight="1" spans="1:5">
      <c r="A23" s="863" t="s">
        <v>2594</v>
      </c>
      <c r="B23" s="864"/>
      <c r="C23" s="864"/>
      <c r="D23" s="864"/>
      <c r="E23" s="864"/>
    </row>
    <row r="24" ht="35.25" customHeight="1" spans="1:5">
      <c r="A24" s="863" t="s">
        <v>2595</v>
      </c>
      <c r="B24" s="864"/>
      <c r="C24" s="864"/>
      <c r="D24" s="864"/>
      <c r="E24" s="864"/>
    </row>
  </sheetData>
  <customSheetViews>
    <customSheetView guid="{B9330FFD-B5EF-4680-A375-DB92D4738404}">
      <selection activeCell="G17" sqref="G17"/>
      <pageMargins left="0.7" right="0.7" top="0.75" bottom="0.75" header="0.3" footer="0.3"/>
      <headerFooter/>
    </customSheetView>
  </customSheetViews>
  <mergeCells count="8">
    <mergeCell ref="A1:E1"/>
    <mergeCell ref="A17:E17"/>
    <mergeCell ref="A18:E18"/>
    <mergeCell ref="A19:E19"/>
    <mergeCell ref="A22:E22"/>
    <mergeCell ref="A23:E23"/>
    <mergeCell ref="A24:E24"/>
    <mergeCell ref="E5:E6"/>
  </mergeCells>
  <hyperlinks>
    <hyperlink ref="E5:E6" location="目录!A1" display="目录!A1"/>
  </hyperlinks>
  <pageMargins left="0.7" right="0.7" top="0.75" bottom="0.75" header="0.3" footer="0.3"/>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
  <sheetViews>
    <sheetView workbookViewId="0">
      <selection activeCell="G3" sqref="G3"/>
    </sheetView>
  </sheetViews>
  <sheetFormatPr defaultColWidth="9" defaultRowHeight="15.6" outlineLevelCol="6"/>
  <sheetData>
    <row r="1" ht="21" spans="1:7">
      <c r="A1" s="825" t="s">
        <v>2596</v>
      </c>
      <c r="B1" s="825"/>
      <c r="C1" s="825"/>
      <c r="D1" s="825"/>
      <c r="E1" s="825"/>
      <c r="F1" s="825"/>
      <c r="G1" s="825"/>
    </row>
    <row r="2" spans="1:6">
      <c r="A2" s="826" t="s">
        <v>561</v>
      </c>
      <c r="C2" t="s">
        <v>2597</v>
      </c>
      <c r="F2" s="826" t="s">
        <v>563</v>
      </c>
    </row>
    <row r="3" ht="16.35" spans="1:7">
      <c r="A3" s="827" t="s">
        <v>106</v>
      </c>
      <c r="B3" s="827"/>
      <c r="C3" s="827"/>
      <c r="D3" s="827"/>
      <c r="E3" s="827"/>
      <c r="F3" s="827"/>
      <c r="G3" s="158" t="s">
        <v>88</v>
      </c>
    </row>
    <row r="4" ht="93.6" spans="1:7">
      <c r="A4" s="828" t="s">
        <v>564</v>
      </c>
      <c r="B4" s="829" t="s">
        <v>565</v>
      </c>
      <c r="C4" s="830" t="s">
        <v>566</v>
      </c>
      <c r="D4" s="830" t="s">
        <v>567</v>
      </c>
      <c r="E4" s="830" t="s">
        <v>568</v>
      </c>
      <c r="F4" s="830" t="s">
        <v>569</v>
      </c>
      <c r="G4" s="831" t="s">
        <v>570</v>
      </c>
    </row>
    <row r="5" spans="1:7">
      <c r="A5" s="832">
        <v>3</v>
      </c>
      <c r="B5" s="54">
        <v>132</v>
      </c>
      <c r="C5" s="54">
        <v>150</v>
      </c>
      <c r="D5" s="54">
        <v>315</v>
      </c>
      <c r="E5" s="54">
        <v>4</v>
      </c>
      <c r="F5" s="833">
        <f>100*D5/E5</f>
        <v>7875</v>
      </c>
      <c r="G5" s="834">
        <f>(A5*B5+C5)*100/(D5*100/E5)</f>
        <v>6.93333333333333</v>
      </c>
    </row>
    <row r="6" spans="1:7">
      <c r="A6" s="835"/>
      <c r="B6" s="313"/>
      <c r="C6" s="313"/>
      <c r="D6" s="313"/>
      <c r="E6" s="313"/>
      <c r="F6" s="313"/>
      <c r="G6" s="836"/>
    </row>
    <row r="7" spans="1:7">
      <c r="A7" s="837"/>
      <c r="B7" s="838" t="s">
        <v>574</v>
      </c>
      <c r="C7" s="313"/>
      <c r="D7" s="313"/>
      <c r="E7" s="313"/>
      <c r="F7" s="313"/>
      <c r="G7" s="836"/>
    </row>
    <row r="8" spans="1:7">
      <c r="A8" s="839"/>
      <c r="B8" s="838" t="s">
        <v>575</v>
      </c>
      <c r="C8" s="313"/>
      <c r="D8" s="313"/>
      <c r="E8" s="313"/>
      <c r="F8" s="313"/>
      <c r="G8" s="836"/>
    </row>
    <row r="9" ht="16.35" spans="1:7">
      <c r="A9" s="840"/>
      <c r="B9" s="841" t="s">
        <v>576</v>
      </c>
      <c r="C9" s="842"/>
      <c r="D9" s="842"/>
      <c r="E9" s="842"/>
      <c r="F9" s="842"/>
      <c r="G9" s="843"/>
    </row>
    <row r="12" ht="21" spans="1:7">
      <c r="A12" s="825" t="s">
        <v>560</v>
      </c>
      <c r="B12" s="825"/>
      <c r="C12" s="825"/>
      <c r="D12" s="825"/>
      <c r="E12" s="825"/>
      <c r="F12" s="825"/>
      <c r="G12" s="825"/>
    </row>
    <row r="13" spans="1:3">
      <c r="A13" s="826" t="s">
        <v>561</v>
      </c>
      <c r="C13" t="s">
        <v>562</v>
      </c>
    </row>
    <row r="14" spans="1:3">
      <c r="A14" s="826"/>
      <c r="C14" s="826" t="s">
        <v>563</v>
      </c>
    </row>
    <row r="15" ht="16.35" spans="1:7">
      <c r="A15" s="827" t="s">
        <v>106</v>
      </c>
      <c r="B15" s="827"/>
      <c r="C15" s="827"/>
      <c r="D15" s="827"/>
      <c r="E15" s="827"/>
      <c r="F15" s="827"/>
      <c r="G15" s="827"/>
    </row>
    <row r="16" ht="93.6" spans="1:7">
      <c r="A16" s="828" t="s">
        <v>564</v>
      </c>
      <c r="B16" s="829" t="s">
        <v>565</v>
      </c>
      <c r="C16" s="830" t="s">
        <v>566</v>
      </c>
      <c r="D16" s="830" t="s">
        <v>567</v>
      </c>
      <c r="E16" s="830" t="s">
        <v>568</v>
      </c>
      <c r="F16" s="830" t="s">
        <v>569</v>
      </c>
      <c r="G16" s="831" t="s">
        <v>570</v>
      </c>
    </row>
    <row r="17" spans="1:7">
      <c r="A17" s="832">
        <v>3</v>
      </c>
      <c r="B17" s="54">
        <v>132</v>
      </c>
      <c r="C17" s="54">
        <v>150</v>
      </c>
      <c r="D17" s="54">
        <v>315</v>
      </c>
      <c r="E17" s="54">
        <v>4</v>
      </c>
      <c r="F17" s="833">
        <f>100*D17/E17</f>
        <v>7875</v>
      </c>
      <c r="G17" s="834">
        <f>(A17*B17+C17)*100/(D17*100/E17)+A17*A20*B20*C20</f>
        <v>18.9333333333333</v>
      </c>
    </row>
    <row r="18" spans="1:7">
      <c r="A18" s="844"/>
      <c r="B18" s="845"/>
      <c r="C18" s="845"/>
      <c r="D18" s="845"/>
      <c r="E18" s="845"/>
      <c r="F18" s="845"/>
      <c r="G18" s="846"/>
    </row>
    <row r="19" ht="78" spans="1:7">
      <c r="A19" s="847" t="s">
        <v>571</v>
      </c>
      <c r="B19" s="848" t="s">
        <v>572</v>
      </c>
      <c r="C19" s="848" t="s">
        <v>573</v>
      </c>
      <c r="D19" s="848"/>
      <c r="E19" s="845"/>
      <c r="F19" s="845"/>
      <c r="G19" s="846"/>
    </row>
    <row r="20" spans="1:7">
      <c r="A20" s="832">
        <v>100</v>
      </c>
      <c r="B20" s="50">
        <v>0.2</v>
      </c>
      <c r="C20" s="50">
        <v>0.2</v>
      </c>
      <c r="D20" s="845"/>
      <c r="E20" s="845"/>
      <c r="F20" s="845"/>
      <c r="G20" s="846"/>
    </row>
    <row r="21" spans="1:7">
      <c r="A21" s="835"/>
      <c r="B21" s="313"/>
      <c r="C21" s="313"/>
      <c r="D21" s="313"/>
      <c r="E21" s="313"/>
      <c r="F21" s="313"/>
      <c r="G21" s="836"/>
    </row>
    <row r="22" spans="1:7">
      <c r="A22" s="837"/>
      <c r="B22" s="838" t="s">
        <v>574</v>
      </c>
      <c r="C22" s="313"/>
      <c r="D22" s="313"/>
      <c r="E22" s="313"/>
      <c r="F22" s="313"/>
      <c r="G22" s="836"/>
    </row>
    <row r="23" spans="1:7">
      <c r="A23" s="839"/>
      <c r="B23" s="838" t="s">
        <v>575</v>
      </c>
      <c r="C23" s="313"/>
      <c r="D23" s="313"/>
      <c r="E23" s="313"/>
      <c r="F23" s="313"/>
      <c r="G23" s="836"/>
    </row>
    <row r="24" ht="16.35" spans="1:7">
      <c r="A24" s="840"/>
      <c r="B24" s="841" t="s">
        <v>576</v>
      </c>
      <c r="C24" s="842"/>
      <c r="D24" s="842"/>
      <c r="E24" s="842"/>
      <c r="F24" s="842"/>
      <c r="G24" s="843"/>
    </row>
  </sheetData>
  <customSheetViews>
    <customSheetView guid="{B9330FFD-B5EF-4680-A375-DB92D4738404}">
      <selection activeCell="J15" sqref="J15"/>
      <pageMargins left="0.7" right="0.7" top="0.75" bottom="0.75" header="0.3" footer="0.3"/>
      <headerFooter/>
    </customSheetView>
  </customSheetViews>
  <mergeCells count="4">
    <mergeCell ref="A1:G1"/>
    <mergeCell ref="A3:F3"/>
    <mergeCell ref="A12:G12"/>
    <mergeCell ref="A15:G15"/>
  </mergeCells>
  <hyperlinks>
    <hyperlink ref="G3" location="目录!A1" display="目录!A1"/>
  </hyperlinks>
  <pageMargins left="0.7" right="0.7" top="0.75" bottom="0.75" header="0.3" footer="0.3"/>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0"/>
  <sheetViews>
    <sheetView workbookViewId="0">
      <selection activeCell="Q9" sqref="Q9"/>
    </sheetView>
  </sheetViews>
  <sheetFormatPr defaultColWidth="9" defaultRowHeight="15.6"/>
  <cols>
    <col min="1" max="1" width="12.5" customWidth="1"/>
    <col min="2" max="10" width="6.5" customWidth="1"/>
    <col min="11" max="11" width="7.5" customWidth="1"/>
    <col min="12" max="14" width="6.5" customWidth="1"/>
  </cols>
  <sheetData>
    <row r="1" spans="1:14">
      <c r="A1" s="821" t="s">
        <v>2598</v>
      </c>
      <c r="B1" s="821"/>
      <c r="C1" s="821"/>
      <c r="D1" s="821"/>
      <c r="E1" s="821"/>
      <c r="F1" s="821"/>
      <c r="G1" s="821"/>
      <c r="H1" s="821"/>
      <c r="I1" s="821"/>
      <c r="J1" s="821"/>
      <c r="K1" s="821"/>
      <c r="L1" s="821"/>
      <c r="M1" s="821"/>
      <c r="N1" s="824" t="s">
        <v>88</v>
      </c>
    </row>
    <row r="2" spans="1:14">
      <c r="A2" s="324" t="s">
        <v>2599</v>
      </c>
      <c r="B2" s="58" t="s">
        <v>2600</v>
      </c>
      <c r="C2" s="58"/>
      <c r="D2" s="58"/>
      <c r="E2" s="58"/>
      <c r="F2" s="58"/>
      <c r="G2" s="58"/>
      <c r="H2" s="58"/>
      <c r="I2" s="58"/>
      <c r="J2" s="58"/>
      <c r="K2" s="58"/>
      <c r="L2" s="58"/>
      <c r="M2" s="58"/>
      <c r="N2" s="58"/>
    </row>
    <row r="3" spans="1:14">
      <c r="A3" s="324"/>
      <c r="B3" s="822">
        <v>0.7</v>
      </c>
      <c r="C3" s="822">
        <v>0.75</v>
      </c>
      <c r="D3" s="822">
        <v>0.8</v>
      </c>
      <c r="E3" s="822">
        <v>0.82</v>
      </c>
      <c r="F3" s="822">
        <v>0.84</v>
      </c>
      <c r="G3" s="822">
        <v>0.86</v>
      </c>
      <c r="H3" s="822">
        <v>0.88</v>
      </c>
      <c r="I3" s="822">
        <v>0.9</v>
      </c>
      <c r="J3" s="822">
        <v>0.92</v>
      </c>
      <c r="K3" s="822">
        <v>0.94</v>
      </c>
      <c r="L3" s="822">
        <v>0.96</v>
      </c>
      <c r="M3" s="822">
        <v>0.98</v>
      </c>
      <c r="N3" s="822">
        <v>1</v>
      </c>
    </row>
    <row r="4" spans="1:14">
      <c r="A4" s="326">
        <v>0.3</v>
      </c>
      <c r="B4" s="823">
        <f>SQRT(1-A4*A4)/A4-SQRT(1-B3*B3)/B3</f>
        <v>2.15959327683608</v>
      </c>
      <c r="C4" s="823">
        <f>SQRT(1-A4*A4)/A4-SQRT(1-C3*C3)/C3</f>
        <v>2.29788023436829</v>
      </c>
      <c r="D4" s="823">
        <f>SQRT(1-A4*A4)/A4-SQRT(1-D3*D3)/D3</f>
        <v>2.42979733805649</v>
      </c>
      <c r="E4" s="823">
        <f>SQRT(1-A4*A4)/A4-SQRT(1-E3*E3)/E3</f>
        <v>2.48179304433677</v>
      </c>
      <c r="F4" s="823">
        <f>SQRT(1-A4*A4)/A4-SQRT(1-F3*F3)/F3</f>
        <v>2.53386114918741</v>
      </c>
      <c r="G4" s="823">
        <f>SQRT(1-A4*A4)/A4-SQRT(1-G3*G3)/G3</f>
        <v>2.58643218353681</v>
      </c>
      <c r="H4" s="823">
        <f>SQRT(1-A4*A4)/A4-SQRT(1-H3*H3)/H3</f>
        <v>2.6400545159184</v>
      </c>
      <c r="I4" s="823">
        <f>SQRT(1-A4*A4)/A4-SQRT(1-I3*I3)/I3</f>
        <v>2.69547523321863</v>
      </c>
      <c r="J4" s="823">
        <f>SQRT(1-A4*A4)/A4-SQRT(1-J3*J3)/J3</f>
        <v>2.75379912192028</v>
      </c>
      <c r="K4" s="823">
        <f>SQRT(1-A4*A4)/A4-SQRT(1-K3*K3)/K3</f>
        <v>2.81684580381751</v>
      </c>
      <c r="L4" s="823">
        <f>SQRT(1-A4*A4)/A4-SQRT(1-L3*L3)/L3</f>
        <v>2.88813067138982</v>
      </c>
      <c r="M4" s="823">
        <f>SQRT(1-A4*A4)/A4-SQRT(1-M3*M3)/M3</f>
        <v>2.97673867742248</v>
      </c>
      <c r="N4" s="823">
        <f>SQRT(1-A4*A4)/A4-SQRT(1-N3*N3)/N3</f>
        <v>3.17979733805649</v>
      </c>
    </row>
    <row r="5" spans="1:14">
      <c r="A5" s="326">
        <v>0.35</v>
      </c>
      <c r="B5" s="823">
        <f>SQRT(1-A5*A5)/A5-SQRT(1-B3*B3)/B3</f>
        <v>1.65622365237891</v>
      </c>
      <c r="C5" s="823">
        <f>SQRT(1-A5*A5)/A5-SQRT(1-C3*C3)/C3</f>
        <v>1.79451060991112</v>
      </c>
      <c r="D5" s="823">
        <f>SQRT(1-A5*A5)/A5-SQRT(1-D3*D3)/D3</f>
        <v>1.92642771359931</v>
      </c>
      <c r="E5" s="823">
        <f>SQRT(1-A5*A5)/A5-SQRT(1-E3*E3)/E3</f>
        <v>1.9784234198796</v>
      </c>
      <c r="F5" s="823">
        <f>SQRT(1-A5*A5)/A5-SQRT(1-F3*F3)/F3</f>
        <v>2.03049152473024</v>
      </c>
      <c r="G5" s="823">
        <f>SQRT(1-A5*A5)/A5-SQRT(1-G3*G3)/G3</f>
        <v>2.08306255907964</v>
      </c>
      <c r="H5" s="823">
        <f>SQRT(1-A5*A5)/A5-SQRT(1-H3*H3)/H3</f>
        <v>2.13668489146123</v>
      </c>
      <c r="I5" s="823">
        <f>SQRT(1-A5*A5)/A5-SQRT(1-I3*I3)/I3</f>
        <v>2.19210560876146</v>
      </c>
      <c r="J5" s="823">
        <f>SQRT(1-A5*A5)/A5-SQRT(1-J3*J3)/J3</f>
        <v>2.25042949746311</v>
      </c>
      <c r="K5" s="823">
        <f>SQRT(1-A5*A5)/A5-SQRT(1-K3*K3)/K3</f>
        <v>2.31347617936033</v>
      </c>
      <c r="L5" s="823">
        <f>SQRT(1-A5*A5)/A5-SQRT(1-L3*L3)/L3</f>
        <v>2.38476104693265</v>
      </c>
      <c r="M5" s="823">
        <f>SQRT(1-A5*A5)/A5-SQRT(1-M3*M3)/M3</f>
        <v>2.47336905296531</v>
      </c>
      <c r="N5" s="823">
        <f>SQRT(1-A5*A5)/A5-SQRT(1-N3*N3)/N3</f>
        <v>2.67642771359931</v>
      </c>
    </row>
    <row r="6" spans="1:14">
      <c r="A6" s="326">
        <v>0.4</v>
      </c>
      <c r="B6" s="823">
        <f>SQRT(1-A6*A6)/A6-SQRT(1-B3*B3)/B3</f>
        <v>1.27108378625751</v>
      </c>
      <c r="C6" s="823">
        <f>SQRT(1-A6*A6)/A6-SQRT(1-C3*C3)/C3</f>
        <v>1.40937074378972</v>
      </c>
      <c r="D6" s="823">
        <f>SQRT(1-A6*A6)/A6-SQRT(1-D3*D3)/D3</f>
        <v>1.54128784747792</v>
      </c>
      <c r="E6" s="823">
        <f>SQRT(1-A6*A6)/A6-SQRT(1-E3*E3)/E3</f>
        <v>1.5932835537582</v>
      </c>
      <c r="F6" s="823">
        <f>SQRT(1-A6*A6)/A6-SQRT(1-F3*F3)/F3</f>
        <v>1.64535165860885</v>
      </c>
      <c r="G6" s="823">
        <f>SQRT(1-A6*A6)/A6-SQRT(1-G3*G3)/G3</f>
        <v>1.69792269295824</v>
      </c>
      <c r="H6" s="823">
        <f>SQRT(1-A6*A6)/A6-SQRT(1-H3*H3)/H3</f>
        <v>1.75154502533983</v>
      </c>
      <c r="I6" s="823">
        <f>SQRT(1-A6*A6)/A6-SQRT(1-I3*I3)/I3</f>
        <v>1.80696574264007</v>
      </c>
      <c r="J6" s="823">
        <f>SQRT(1-A6*A6)/A6-SQRT(1-J3*J3)/J3</f>
        <v>1.86528963134172</v>
      </c>
      <c r="K6" s="823">
        <f>SQRT(1-A6*A6)/A6-SQRT(1-K3*K3)/K3</f>
        <v>1.92833631323894</v>
      </c>
      <c r="L6" s="823">
        <f>SQRT(1-A6*A6)/A6-SQRT(1-L3*L3)/L3</f>
        <v>1.99962118081125</v>
      </c>
      <c r="M6" s="823">
        <f>SQRT(1-A6*A6)/A6-SQRT(1-M3*M3)/M3</f>
        <v>2.08822918684392</v>
      </c>
      <c r="N6" s="823">
        <f>SQRT(1-A6*A6)/A6-SQRT(1-N3*N3)/N3</f>
        <v>2.29128784747792</v>
      </c>
    </row>
    <row r="7" spans="1:14">
      <c r="A7" s="326">
        <v>0.45</v>
      </c>
      <c r="B7" s="823">
        <f>SQRT(1-A7*A7)/A7-SQRT(1-B3*B3)/B3</f>
        <v>0.964303838723121</v>
      </c>
      <c r="C7" s="823">
        <f>SQRT(1-A7*A7)/A7-SQRT(1-C3*C3)/C3</f>
        <v>1.10259079625533</v>
      </c>
      <c r="D7" s="823">
        <f>SQRT(1-A7*A7)/A7-SQRT(1-D3*D3)/D3</f>
        <v>1.23450789994353</v>
      </c>
      <c r="E7" s="823">
        <f>SQRT(1-A7*A7)/A7-SQRT(1-E3*E3)/E3</f>
        <v>1.28650360622381</v>
      </c>
      <c r="F7" s="823">
        <f>SQRT(1-A7*A7)/A7-SQRT(1-F3*F3)/F3</f>
        <v>1.33857171107445</v>
      </c>
      <c r="G7" s="823">
        <f>SQRT(1-A7*A7)/A7-SQRT(1-G3*G3)/G3</f>
        <v>1.39114274542385</v>
      </c>
      <c r="H7" s="823">
        <f>SQRT(1-A7*A7)/A7-SQRT(1-H3*H3)/H3</f>
        <v>1.44476507780544</v>
      </c>
      <c r="I7" s="823">
        <f>SQRT(1-A7*A7)/A7-SQRT(1-I3*I3)/I3</f>
        <v>1.50018579510568</v>
      </c>
      <c r="J7" s="823">
        <f>SQRT(1-A7*A7)/A7-SQRT(1-J3*J3)/J3</f>
        <v>1.55850968380732</v>
      </c>
      <c r="K7" s="823">
        <f>SQRT(1-A7*A7)/A7-SQRT(1-K3*K3)/K3</f>
        <v>1.62155636570455</v>
      </c>
      <c r="L7" s="823">
        <f>SQRT(1-A7*A7)/A7-SQRT(1-L3*L3)/L3</f>
        <v>1.69284123327686</v>
      </c>
      <c r="M7" s="823">
        <f>SQRT(1-A7*A7)/A7-SQRT(1-M3*M3)/M3</f>
        <v>1.78144923930952</v>
      </c>
      <c r="N7" s="823">
        <f>SQRT(1-A7*A7)/A7-SQRT(1-N3*N3)/N3</f>
        <v>1.98450789994353</v>
      </c>
    </row>
    <row r="8" spans="1:14">
      <c r="A8" s="326">
        <v>0.5</v>
      </c>
      <c r="B8" s="823">
        <f>SQRT(1-A8*A8)/A8-SQRT(1-B3*B3)/B3</f>
        <v>0.71184674634847</v>
      </c>
      <c r="C8" s="823">
        <f>SQRT(1-A8*A8)/A8-SQRT(1-C3*C3)/C3</f>
        <v>0.85013370388068</v>
      </c>
      <c r="D8" s="823">
        <f>SQRT(1-A8*A8)/A8-SQRT(1-D3*D3)/D3</f>
        <v>0.982050807568877</v>
      </c>
      <c r="E8" s="823">
        <f>SQRT(1-A8*A8)/A8-SQRT(1-E3*E3)/E3</f>
        <v>1.03404651384916</v>
      </c>
      <c r="F8" s="823">
        <f>SQRT(1-A8*A8)/A8-SQRT(1-F3*F3)/F3</f>
        <v>1.0861146186998</v>
      </c>
      <c r="G8" s="823">
        <f>SQRT(1-A8*A8)/A8-SQRT(1-G3*G3)/G3</f>
        <v>1.1386856530492</v>
      </c>
      <c r="H8" s="823">
        <f>SQRT(1-A8*A8)/A8-SQRT(1-H3*H3)/H3</f>
        <v>1.19230798543079</v>
      </c>
      <c r="I8" s="823">
        <f>SQRT(1-A8*A8)/A8-SQRT(1-I3*I3)/I3</f>
        <v>1.24772870273102</v>
      </c>
      <c r="J8" s="823">
        <f>SQRT(1-A8*A8)/A8-SQRT(1-J3*J3)/J3</f>
        <v>1.30605259143267</v>
      </c>
      <c r="K8" s="823">
        <f>SQRT(1-A8*A8)/A8-SQRT(1-K3*K3)/K3</f>
        <v>1.3690992733299</v>
      </c>
      <c r="L8" s="823">
        <f>SQRT(1-A8*A8)/A8-SQRT(1-L3*L3)/L3</f>
        <v>1.44038414090221</v>
      </c>
      <c r="M8" s="823">
        <f>SQRT(1-A8*A8)/A8-SQRT(1-M3*M3)/M3</f>
        <v>1.52899214693487</v>
      </c>
      <c r="N8" s="823">
        <f>SQRT(1-A8*A8)/A8-SQRT(1-N3*N3)/N3</f>
        <v>1.73205080756888</v>
      </c>
    </row>
    <row r="9" spans="1:14">
      <c r="A9" s="326">
        <v>0.52</v>
      </c>
      <c r="B9" s="823">
        <f>SQRT(1-A9*A9)/A9-SQRT(1-B3*B3)/B3</f>
        <v>0.622423362169025</v>
      </c>
      <c r="C9" s="823">
        <f>SQRT(1-A9*A9)/A9-SQRT(1-C3*C3)/C3</f>
        <v>0.760710319701236</v>
      </c>
      <c r="D9" s="823">
        <f>SQRT(1-A9*A9)/A9-SQRT(1-D3*D3)/D3</f>
        <v>0.892627423389433</v>
      </c>
      <c r="E9" s="823">
        <f>SQRT(1-A9*A9)/A9-SQRT(1-E3*E3)/E3</f>
        <v>0.944623129669716</v>
      </c>
      <c r="F9" s="823">
        <f>SQRT(1-A9*A9)/A9-SQRT(1-F3*F3)/F3</f>
        <v>0.996691234520359</v>
      </c>
      <c r="G9" s="823">
        <f>SQRT(1-A9*A9)/A9-SQRT(1-G3*G3)/G3</f>
        <v>1.04926226886975</v>
      </c>
      <c r="H9" s="823">
        <f>SQRT(1-A9*A9)/A9-SQRT(1-H3*H3)/H3</f>
        <v>1.10288460125135</v>
      </c>
      <c r="I9" s="823">
        <f>SQRT(1-A9*A9)/A9-SQRT(1-I3*I3)/I3</f>
        <v>1.15830531855158</v>
      </c>
      <c r="J9" s="823">
        <f>SQRT(1-A9*A9)/A9-SQRT(1-J3*J3)/J3</f>
        <v>1.21662920725323</v>
      </c>
      <c r="K9" s="823">
        <f>SQRT(1-A9*A9)/A9-SQRT(1-K3*K3)/K3</f>
        <v>1.27967588915045</v>
      </c>
      <c r="L9" s="823">
        <f>SQRT(1-A9*A9)/A9-SQRT(1-L3*L3)/L3</f>
        <v>1.35096075672277</v>
      </c>
      <c r="M9" s="823">
        <f>SQRT(1-A9*A9)/A9-SQRT(1-M3*M3)/M3</f>
        <v>1.43956876275543</v>
      </c>
      <c r="N9" s="823">
        <f>SQRT(1-A9*A9)/A9-SQRT(1-N3*N3)/N3</f>
        <v>1.64262742338943</v>
      </c>
    </row>
    <row r="10" spans="1:14">
      <c r="A10" s="326">
        <v>0.54</v>
      </c>
      <c r="B10" s="823">
        <f>SQRT(1-A10*A10)/A10-SQRT(1-B3*B3)/B3</f>
        <v>0.538434858224097</v>
      </c>
      <c r="C10" s="823">
        <f>SQRT(1-A10*A10)/A10-SQRT(1-C3*C3)/C3</f>
        <v>0.676721815756308</v>
      </c>
      <c r="D10" s="823">
        <f>SQRT(1-A10*A10)/A10-SQRT(1-D3*D3)/D3</f>
        <v>0.808638919444505</v>
      </c>
      <c r="E10" s="823">
        <f>SQRT(1-A10*A10)/A10-SQRT(1-E3*E3)/E3</f>
        <v>0.860634625724788</v>
      </c>
      <c r="F10" s="823">
        <f>SQRT(1-A10*A10)/A10-SQRT(1-F3*F3)/F3</f>
        <v>0.912702730575431</v>
      </c>
      <c r="G10" s="823">
        <f>SQRT(1-A10*A10)/A10-SQRT(1-G3*G3)/G3</f>
        <v>0.965273764924827</v>
      </c>
      <c r="H10" s="823">
        <f>SQRT(1-A10*A10)/A10-SQRT(1-H3*H3)/H3</f>
        <v>1.01889609730642</v>
      </c>
      <c r="I10" s="823">
        <f>SQRT(1-A10*A10)/A10-SQRT(1-I3*I3)/I3</f>
        <v>1.07431681460665</v>
      </c>
      <c r="J10" s="823">
        <f>SQRT(1-A10*A10)/A10-SQRT(1-J3*J3)/J3</f>
        <v>1.1326407033083</v>
      </c>
      <c r="K10" s="823">
        <f>SQRT(1-A10*A10)/A10-SQRT(1-K3*K3)/K3</f>
        <v>1.19568738520553</v>
      </c>
      <c r="L10" s="823">
        <f>SQRT(1-A10*A10)/A10-SQRT(1-L3*L3)/L3</f>
        <v>1.26697225277784</v>
      </c>
      <c r="M10" s="823">
        <f>SQRT(1-A10*A10)/A10-SQRT(1-M3*M3)/M3</f>
        <v>1.3555802588105</v>
      </c>
      <c r="N10" s="823">
        <f>SQRT(1-A10*A10)/A10-SQRT(1-N3*N3)/N3</f>
        <v>1.5586389194445</v>
      </c>
    </row>
    <row r="11" spans="1:14">
      <c r="A11" s="326">
        <v>0.56</v>
      </c>
      <c r="B11" s="823">
        <f>SQRT(1-A11*A11)/A11-SQRT(1-B3*B3)/B3</f>
        <v>0.459247022865877</v>
      </c>
      <c r="C11" s="823">
        <f>SQRT(1-A11*A11)/A11-SQRT(1-C3*C3)/C3</f>
        <v>0.597533980398087</v>
      </c>
      <c r="D11" s="823">
        <f>SQRT(1-A11*A11)/A11-SQRT(1-D3*D3)/D3</f>
        <v>0.729451084086284</v>
      </c>
      <c r="E11" s="823">
        <f>SQRT(1-A11*A11)/A11-SQRT(1-E3*E3)/E3</f>
        <v>0.781446790366568</v>
      </c>
      <c r="F11" s="823">
        <f>SQRT(1-A11*A11)/A11-SQRT(1-F3*F3)/F3</f>
        <v>0.833514895217211</v>
      </c>
      <c r="G11" s="823">
        <f>SQRT(1-A11*A11)/A11-SQRT(1-G3*G3)/G3</f>
        <v>0.886085929566606</v>
      </c>
      <c r="H11" s="823">
        <f>SQRT(1-A11*A11)/A11-SQRT(1-H3*H3)/H3</f>
        <v>0.939708261948197</v>
      </c>
      <c r="I11" s="823">
        <f>SQRT(1-A11*A11)/A11-SQRT(1-I3*I3)/I3</f>
        <v>0.995128979248431</v>
      </c>
      <c r="J11" s="823">
        <f>SQRT(1-A11*A11)/A11-SQRT(1-J3*J3)/J3</f>
        <v>1.05345286795008</v>
      </c>
      <c r="K11" s="823">
        <f>SQRT(1-A11*A11)/A11-SQRT(1-K3*K3)/K3</f>
        <v>1.11649954984731</v>
      </c>
      <c r="L11" s="823">
        <f>SQRT(1-A11*A11)/A11-SQRT(1-L3*L3)/L3</f>
        <v>1.18778441741962</v>
      </c>
      <c r="M11" s="823">
        <f>SQRT(1-A11*A11)/A11-SQRT(1-M3*M3)/M3</f>
        <v>1.27639242345228</v>
      </c>
      <c r="N11" s="823">
        <f>SQRT(1-A11*A11)/A11-SQRT(1-N3*N3)/N3</f>
        <v>1.47945108408628</v>
      </c>
    </row>
    <row r="12" spans="1:14">
      <c r="A12" s="326">
        <v>0.58</v>
      </c>
      <c r="B12" s="823">
        <f>SQRT(1-A12*A12)/A12-SQRT(1-B3*B3)/B3</f>
        <v>0.384307101153131</v>
      </c>
      <c r="C12" s="823">
        <f>SQRT(1-A12*A12)/A12-SQRT(1-C3*C3)/C3</f>
        <v>0.522594058685341</v>
      </c>
      <c r="D12" s="823">
        <f>SQRT(1-A12*A12)/A12-SQRT(1-D3*D3)/D3</f>
        <v>0.654511162373538</v>
      </c>
      <c r="E12" s="823">
        <f>SQRT(1-A12*A12)/A12-SQRT(1-E3*E3)/E3</f>
        <v>0.706506868653822</v>
      </c>
      <c r="F12" s="823">
        <f>SQRT(1-A12*A12)/A12-SQRT(1-F3*F3)/F3</f>
        <v>0.758574973504465</v>
      </c>
      <c r="G12" s="823">
        <f>SQRT(1-A12*A12)/A12-SQRT(1-G3*G3)/G3</f>
        <v>0.81114600785386</v>
      </c>
      <c r="H12" s="823">
        <f>SQRT(1-A12*A12)/A12-SQRT(1-H3*H3)/H3</f>
        <v>0.864768340235451</v>
      </c>
      <c r="I12" s="823">
        <f>SQRT(1-A12*A12)/A12-SQRT(1-I3*I3)/I3</f>
        <v>0.920189057535686</v>
      </c>
      <c r="J12" s="823">
        <f>SQRT(1-A12*A12)/A12-SQRT(1-J3*J3)/J3</f>
        <v>0.978512946237333</v>
      </c>
      <c r="K12" s="823">
        <f>SQRT(1-A12*A12)/A12-SQRT(1-K3*K3)/K3</f>
        <v>1.04155962813456</v>
      </c>
      <c r="L12" s="823">
        <f>SQRT(1-A12*A12)/A12-SQRT(1-L3*L3)/L3</f>
        <v>1.11284449570687</v>
      </c>
      <c r="M12" s="823">
        <f>SQRT(1-A12*A12)/A12-SQRT(1-M3*M3)/M3</f>
        <v>1.20145250173953</v>
      </c>
      <c r="N12" s="823">
        <f>SQRT(1-A12*A12)/A12-SQRT(1-N3*N3)/N3</f>
        <v>1.40451116237354</v>
      </c>
    </row>
    <row r="13" spans="1:14">
      <c r="A13" s="326">
        <v>0.6</v>
      </c>
      <c r="B13" s="823">
        <f>SQRT(1-A13*A13)/A13-SQRT(1-B3*B3)/B3</f>
        <v>0.313129272112926</v>
      </c>
      <c r="C13" s="823">
        <f>SQRT(1-A13*A13)/A13-SQRT(1-C3*C3)/C3</f>
        <v>0.451416229645137</v>
      </c>
      <c r="D13" s="823">
        <f>SQRT(1-A13*A13)/A13-SQRT(1-D3*D3)/D3</f>
        <v>0.583333333333334</v>
      </c>
      <c r="E13" s="823">
        <f>SQRT(1-A13*A13)/A13-SQRT(1-E3*E3)/E3</f>
        <v>0.635329039613617</v>
      </c>
      <c r="F13" s="823">
        <f>SQRT(1-A13*A13)/A13-SQRT(1-F3*F3)/F3</f>
        <v>0.68739714446426</v>
      </c>
      <c r="G13" s="823">
        <f>SQRT(1-A13*A13)/A13-SQRT(1-G3*G3)/G3</f>
        <v>0.739968178813656</v>
      </c>
      <c r="H13" s="823">
        <f>SQRT(1-A13*A13)/A13-SQRT(1-H3*H3)/H3</f>
        <v>0.793590511195246</v>
      </c>
      <c r="I13" s="823">
        <f>SQRT(1-A13*A13)/A13-SQRT(1-I3*I3)/I3</f>
        <v>0.849011228495481</v>
      </c>
      <c r="J13" s="823">
        <f>SQRT(1-A13*A13)/A13-SQRT(1-J3*J3)/J3</f>
        <v>0.907335117197129</v>
      </c>
      <c r="K13" s="823">
        <f>SQRT(1-A13*A13)/A13-SQRT(1-K3*K3)/K3</f>
        <v>0.970381799094355</v>
      </c>
      <c r="L13" s="823">
        <f>SQRT(1-A13*A13)/A13-SQRT(1-L3*L3)/L3</f>
        <v>1.04166666666667</v>
      </c>
      <c r="M13" s="823">
        <f>SQRT(1-A13*A13)/A13-SQRT(1-M3*M3)/M3</f>
        <v>1.13027467269933</v>
      </c>
      <c r="N13" s="823">
        <f>SQRT(1-A13*A13)/A13-SQRT(1-N3*N3)/N3</f>
        <v>1.33333333333333</v>
      </c>
    </row>
    <row r="14" spans="1:14">
      <c r="A14" s="326">
        <v>0.62</v>
      </c>
      <c r="B14" s="823">
        <f>SQRT(1-A14*A14)/A14-SQRT(1-B3*B3)/B3</f>
        <v>0.245282728839788</v>
      </c>
      <c r="C14" s="823">
        <f>SQRT(1-A14*A14)/A14-SQRT(1-C3*C3)/C3</f>
        <v>0.383569686371999</v>
      </c>
      <c r="D14" s="823">
        <f>SQRT(1-A14*A14)/A14-SQRT(1-D3*D3)/D3</f>
        <v>0.515486790060196</v>
      </c>
      <c r="E14" s="823">
        <f>SQRT(1-A14*A14)/A14-SQRT(1-E3*E3)/E3</f>
        <v>0.567482496340479</v>
      </c>
      <c r="F14" s="823">
        <f>SQRT(1-A14*A14)/A14-SQRT(1-F3*F3)/F3</f>
        <v>0.619550601191122</v>
      </c>
      <c r="G14" s="823">
        <f>SQRT(1-A14*A14)/A14-SQRT(1-G3*G3)/G3</f>
        <v>0.672121635540518</v>
      </c>
      <c r="H14" s="823">
        <f>SQRT(1-A14*A14)/A14-SQRT(1-H3*H3)/H3</f>
        <v>0.725743967922108</v>
      </c>
      <c r="I14" s="823">
        <f>SQRT(1-A14*A14)/A14-SQRT(1-I3*I3)/I3</f>
        <v>0.781164685222343</v>
      </c>
      <c r="J14" s="823">
        <f>SQRT(1-A14*A14)/A14-SQRT(1-J3*J3)/J3</f>
        <v>0.839488573923991</v>
      </c>
      <c r="K14" s="823">
        <f>SQRT(1-A14*A14)/A14-SQRT(1-K3*K3)/K3</f>
        <v>0.902535255821217</v>
      </c>
      <c r="L14" s="823">
        <f>SQRT(1-A14*A14)/A14-SQRT(1-L3*L3)/L3</f>
        <v>0.973820123393529</v>
      </c>
      <c r="M14" s="823">
        <f>SQRT(1-A14*A14)/A14-SQRT(1-M3*M3)/M3</f>
        <v>1.06242812942619</v>
      </c>
      <c r="N14" s="823">
        <f>SQRT(1-A14*A14)/A14-SQRT(1-N3*N3)/N3</f>
        <v>1.2654867900602</v>
      </c>
    </row>
    <row r="15" spans="1:14">
      <c r="A15" s="326">
        <v>0.64</v>
      </c>
      <c r="B15" s="823">
        <f>SQRT(1-A15*A15)/A15-SQRT(1-B3*B3)/B3</f>
        <v>0.180381733298252</v>
      </c>
      <c r="C15" s="823">
        <f>SQRT(1-A15*A15)/A15-SQRT(1-C3*C3)/C3</f>
        <v>0.318668690830462</v>
      </c>
      <c r="D15" s="823">
        <f>SQRT(1-A15*A15)/A15-SQRT(1-D3*D3)/D3</f>
        <v>0.450585794518659</v>
      </c>
      <c r="E15" s="823">
        <f>SQRT(1-A15*A15)/A15-SQRT(1-E3*E3)/E3</f>
        <v>0.502581500798943</v>
      </c>
      <c r="F15" s="823">
        <f>SQRT(1-A15*A15)/A15-SQRT(1-F3*F3)/F3</f>
        <v>0.554649605649586</v>
      </c>
      <c r="G15" s="823">
        <f>SQRT(1-A15*A15)/A15-SQRT(1-G3*G3)/G3</f>
        <v>0.607220639998981</v>
      </c>
      <c r="H15" s="823">
        <f>SQRT(1-A15*A15)/A15-SQRT(1-H3*H3)/H3</f>
        <v>0.660842972380572</v>
      </c>
      <c r="I15" s="823">
        <f>SQRT(1-A15*A15)/A15-SQRT(1-I3*I3)/I3</f>
        <v>0.716263689680807</v>
      </c>
      <c r="J15" s="823">
        <f>SQRT(1-A15*A15)/A15-SQRT(1-J3*J3)/J3</f>
        <v>0.774587578382454</v>
      </c>
      <c r="K15" s="823">
        <f>SQRT(1-A15*A15)/A15-SQRT(1-K3*K3)/K3</f>
        <v>0.837634260279681</v>
      </c>
      <c r="L15" s="823">
        <f>SQRT(1-A15*A15)/A15-SQRT(1-L3*L3)/L3</f>
        <v>0.908919127851992</v>
      </c>
      <c r="M15" s="823">
        <f>SQRT(1-A15*A15)/A15-SQRT(1-M3*M3)/M3</f>
        <v>0.997527133884655</v>
      </c>
      <c r="N15" s="823">
        <f>SQRT(1-A15*A15)/A15-SQRT(1-N3*N3)/N3</f>
        <v>1.20058579451866</v>
      </c>
    </row>
    <row r="16" spans="1:14">
      <c r="A16" s="326">
        <v>0.66</v>
      </c>
      <c r="B16" s="823">
        <f>SQRT(1-A16*A16)/A16-SQRT(1-B3*B3)/B3</f>
        <v>0.118077149142802</v>
      </c>
      <c r="C16" s="823">
        <f>SQRT(1-A16*A16)/A16-SQRT(1-C3*C3)/C3</f>
        <v>0.256364106675012</v>
      </c>
      <c r="D16" s="823">
        <f>SQRT(1-A16*A16)/A16-SQRT(1-D3*D3)/D3</f>
        <v>0.388281210363209</v>
      </c>
      <c r="E16" s="823">
        <f>SQRT(1-A16*A16)/A16-SQRT(1-E3*E3)/E3</f>
        <v>0.440276916643492</v>
      </c>
      <c r="F16" s="823">
        <f>SQRT(1-A16*A16)/A16-SQRT(1-F3*F3)/F3</f>
        <v>0.492345021494136</v>
      </c>
      <c r="G16" s="823">
        <f>SQRT(1-A16*A16)/A16-SQRT(1-G3*G3)/G3</f>
        <v>0.544916055843531</v>
      </c>
      <c r="H16" s="823">
        <f>SQRT(1-A16*A16)/A16-SQRT(1-H3*H3)/H3</f>
        <v>0.598538388225122</v>
      </c>
      <c r="I16" s="823">
        <f>SQRT(1-A16*A16)/A16-SQRT(1-I3*I3)/I3</f>
        <v>0.653959105525356</v>
      </c>
      <c r="J16" s="823">
        <f>SQRT(1-A16*A16)/A16-SQRT(1-J3*J3)/J3</f>
        <v>0.712282994227004</v>
      </c>
      <c r="K16" s="823">
        <f>SQRT(1-A16*A16)/A16-SQRT(1-K3*K3)/K3</f>
        <v>0.775329676124231</v>
      </c>
      <c r="L16" s="823">
        <f>SQRT(1-A16*A16)/A16-SQRT(1-L3*L3)/L3</f>
        <v>0.846614543696542</v>
      </c>
      <c r="M16" s="823">
        <f>SQRT(1-A16*A16)/A16-SQRT(1-M3*M3)/M3</f>
        <v>0.935222549729205</v>
      </c>
      <c r="N16" s="823">
        <f>SQRT(1-A16*A16)/A16-SQRT(1-N3*N3)/N3</f>
        <v>1.13828121036321</v>
      </c>
    </row>
    <row r="17" spans="1:14">
      <c r="A17" s="326">
        <v>0.68</v>
      </c>
      <c r="B17" s="823">
        <f>SQRT(1-A17*A17)/A17-SQRT(1-B3*B3)/B3</f>
        <v>0.0580490434750844</v>
      </c>
      <c r="C17" s="823">
        <f>SQRT(1-A17*A17)/A17-SQRT(1-C3*C3)/C3</f>
        <v>0.196336001007295</v>
      </c>
      <c r="D17" s="823">
        <f>SQRT(1-A17*A17)/A17-SQRT(1-D3*D3)/D3</f>
        <v>0.328253104695492</v>
      </c>
      <c r="E17" s="823">
        <f>SQRT(1-A17*A17)/A17-SQRT(1-E3*E3)/E3</f>
        <v>0.380248810975775</v>
      </c>
      <c r="F17" s="823">
        <f>SQRT(1-A17*A17)/A17-SQRT(1-F3*F3)/F3</f>
        <v>0.432316915826418</v>
      </c>
      <c r="G17" s="823">
        <f>SQRT(1-A17*A17)/A17-SQRT(1-G3*G3)/G3</f>
        <v>0.484887950175814</v>
      </c>
      <c r="H17" s="823">
        <f>SQRT(1-A17*A17)/A17-SQRT(1-H3*H3)/H3</f>
        <v>0.538510282557404</v>
      </c>
      <c r="I17" s="823">
        <f>SQRT(1-A17*A17)/A17-SQRT(1-I3*I3)/I3</f>
        <v>0.593930999857639</v>
      </c>
      <c r="J17" s="823">
        <f>SQRT(1-A17*A17)/A17-SQRT(1-J3*J3)/J3</f>
        <v>0.652254888559287</v>
      </c>
      <c r="K17" s="823">
        <f>SQRT(1-A17*A17)/A17-SQRT(1-K3*K3)/K3</f>
        <v>0.715301570456513</v>
      </c>
      <c r="L17" s="823">
        <f>SQRT(1-A17*A17)/A17-SQRT(1-L3*L3)/L3</f>
        <v>0.786586438028825</v>
      </c>
      <c r="M17" s="823">
        <f>SQRT(1-A17*A17)/A17-SQRT(1-M3*M3)/M3</f>
        <v>0.875194444061487</v>
      </c>
      <c r="N17" s="823">
        <f>SQRT(1-A17*A17)/A17-SQRT(1-N3*N3)/N3</f>
        <v>1.07825310469549</v>
      </c>
    </row>
    <row r="18" spans="1:14">
      <c r="A18" s="326">
        <v>0.7</v>
      </c>
      <c r="B18" s="823"/>
      <c r="C18" s="823">
        <f>SQRT(1-A18*A18)/A18-SQRT(1-C3*C3)/C3</f>
        <v>0.13828695753221</v>
      </c>
      <c r="D18" s="823">
        <f>SQRT(1-A18*A18)/A18-SQRT(1-D3*D3)/D3</f>
        <v>0.270204061220407</v>
      </c>
      <c r="E18" s="823">
        <f>SQRT(1-A18*A18)/A18-SQRT(1-E3*E3)/E3</f>
        <v>0.322199767500691</v>
      </c>
      <c r="F18" s="823">
        <f>SQRT(1-A18*A18)/A18-SQRT(1-F3*F3)/F3</f>
        <v>0.374267872351334</v>
      </c>
      <c r="G18" s="823">
        <f>SQRT(1-A18*A18)/A18-SQRT(1-G3*G3)/G3</f>
        <v>0.426838906700729</v>
      </c>
      <c r="H18" s="823">
        <f>SQRT(1-A18*A18)/A18-SQRT(1-H3*H3)/H3</f>
        <v>0.48046123908232</v>
      </c>
      <c r="I18" s="823">
        <f>SQRT(1-A18*A18)/A18-SQRT(1-I3*I3)/I3</f>
        <v>0.535881956382555</v>
      </c>
      <c r="J18" s="823">
        <f>SQRT(1-A18*A18)/A18-SQRT(1-J3*J3)/J3</f>
        <v>0.594205845084202</v>
      </c>
      <c r="K18" s="823">
        <f>SQRT(1-A18*A18)/A18-SQRT(1-K3*K3)/K3</f>
        <v>0.657252526981429</v>
      </c>
      <c r="L18" s="823">
        <f>SQRT(1-A18*A18)/A18-SQRT(1-L3*L3)/L3</f>
        <v>0.72853739455374</v>
      </c>
      <c r="M18" s="823">
        <f>SQRT(1-A18*A18)/A18-SQRT(1-M3*M3)/M3</f>
        <v>0.817145400586403</v>
      </c>
      <c r="N18" s="823">
        <f>SQRT(1-A18*A18)/A18-SQRT(1-N3*N3)/N3</f>
        <v>1.02020406122041</v>
      </c>
    </row>
    <row r="19" spans="1:14">
      <c r="A19" s="326">
        <v>0.72</v>
      </c>
      <c r="B19" s="823"/>
      <c r="C19" s="823">
        <f>SQRT(1-A19*A19)/A19-SQRT(1-C3*C3)/C3</f>
        <v>0.0819357614727739</v>
      </c>
      <c r="D19" s="823">
        <f>SQRT(1-A19*A19)/A19-SQRT(1-D3*D3)/D3</f>
        <v>0.213852865160971</v>
      </c>
      <c r="E19" s="823">
        <f>SQRT(1-A19*A19)/A19-SQRT(1-E3*E3)/E3</f>
        <v>0.265848571441254</v>
      </c>
      <c r="F19" s="823">
        <f>SQRT(1-A19*A19)/A19-SQRT(1-F3*F3)/F3</f>
        <v>0.317916676291897</v>
      </c>
      <c r="G19" s="823">
        <f>SQRT(1-A19*A19)/A19-SQRT(1-G3*G3)/G3</f>
        <v>0.370487710641293</v>
      </c>
      <c r="H19" s="823">
        <f>SQRT(1-A19*A19)/A19-SQRT(1-H3*H3)/H3</f>
        <v>0.424110043022884</v>
      </c>
      <c r="I19" s="823">
        <f>SQRT(1-A19*A19)/A19-SQRT(1-I3*I3)/I3</f>
        <v>0.479530760323118</v>
      </c>
      <c r="J19" s="823">
        <f>SQRT(1-A19*A19)/A19-SQRT(1-J3*J3)/J3</f>
        <v>0.537854649024766</v>
      </c>
      <c r="K19" s="823">
        <f>SQRT(1-A19*A19)/A19-SQRT(1-K3*K3)/K3</f>
        <v>0.600901330921992</v>
      </c>
      <c r="L19" s="823">
        <f>SQRT(1-A19*A19)/A19-SQRT(1-L3*L3)/L3</f>
        <v>0.672186198494304</v>
      </c>
      <c r="M19" s="823">
        <f>SQRT(1-A19*A19)/A19-SQRT(1-M3*M3)/M3</f>
        <v>0.760794204526966</v>
      </c>
      <c r="N19" s="823">
        <f>SQRT(1-A19*A19)/A19-SQRT(1-N3*N3)/N3</f>
        <v>0.963852865160971</v>
      </c>
    </row>
    <row r="20" spans="1:14">
      <c r="A20" s="326">
        <v>0.74</v>
      </c>
      <c r="B20" s="823"/>
      <c r="C20" s="823">
        <f>SQRT(1-A20*A20)/A20-SQRT(1-C3*C3)/C3</f>
        <v>0.0270110974361403</v>
      </c>
      <c r="D20" s="823">
        <f>SQRT(1-A20*A20)/A20-SQRT(1-D3*D3)/D3</f>
        <v>0.158928201124337</v>
      </c>
      <c r="E20" s="823">
        <f>SQRT(1-A20*A20)/A20-SQRT(1-E3*E3)/E3</f>
        <v>0.210923907404621</v>
      </c>
      <c r="F20" s="823">
        <f>SQRT(1-A20*A20)/A20-SQRT(1-F3*F3)/F3</f>
        <v>0.262992012255264</v>
      </c>
      <c r="G20" s="823">
        <f>SQRT(1-A20*A20)/A20-SQRT(1-G3*G3)/G3</f>
        <v>0.315563046604659</v>
      </c>
      <c r="H20" s="823">
        <f>SQRT(1-A20*A20)/A20-SQRT(1-H3*H3)/H3</f>
        <v>0.36918537898625</v>
      </c>
      <c r="I20" s="823">
        <f>SQRT(1-A20*A20)/A20-SQRT(1-I3*I3)/I3</f>
        <v>0.424606096286485</v>
      </c>
      <c r="J20" s="823">
        <f>SQRT(1-A20*A20)/A20-SQRT(1-J3*J3)/J3</f>
        <v>0.482929984988132</v>
      </c>
      <c r="K20" s="823">
        <f>SQRT(1-A20*A20)/A20-SQRT(1-K3*K3)/K3</f>
        <v>0.545976666885359</v>
      </c>
      <c r="L20" s="823">
        <f>SQRT(1-A20*A20)/A20-SQRT(1-L3*L3)/L3</f>
        <v>0.61726153445767</v>
      </c>
      <c r="M20" s="823">
        <f>SQRT(1-A20*A20)/A20-SQRT(1-M3*M3)/M3</f>
        <v>0.705869540490333</v>
      </c>
      <c r="N20" s="823">
        <f>SQRT(1-A20*A20)/A20-SQRT(1-N3*N3)/N3</f>
        <v>0.908928201124337</v>
      </c>
    </row>
    <row r="21" spans="1:14">
      <c r="A21" s="326">
        <v>0.76</v>
      </c>
      <c r="B21" s="823"/>
      <c r="C21" s="823"/>
      <c r="D21" s="823">
        <f>SQRT(1-A21*A21)/A21-SQRT(1-D3*D3)/D3</f>
        <v>0.105161937330101</v>
      </c>
      <c r="E21" s="823">
        <f>SQRT(1-A21*A21)/A21-SQRT(1-E3*E3)/E3</f>
        <v>0.157157643610385</v>
      </c>
      <c r="F21" s="823">
        <f>SQRT(1-A21*A21)/A21-SQRT(1-F3*F3)/F3</f>
        <v>0.209225748461028</v>
      </c>
      <c r="G21" s="823">
        <f>SQRT(1-A21*A21)/A21-SQRT(1-G3*G3)/G3</f>
        <v>0.261796782810423</v>
      </c>
      <c r="H21" s="823">
        <f>SQRT(1-A21*A21)/A21-SQRT(1-H3*H3)/H3</f>
        <v>0.315419115192014</v>
      </c>
      <c r="I21" s="823">
        <f>SQRT(1-A21*A21)/A21-SQRT(1-I3*I3)/I3</f>
        <v>0.370839832492249</v>
      </c>
      <c r="J21" s="823">
        <f>SQRT(1-A21*A21)/A21-SQRT(1-J3*J3)/J3</f>
        <v>0.429163721193896</v>
      </c>
      <c r="K21" s="823">
        <f>SQRT(1-A21*A21)/A21-SQRT(1-K3*K3)/K3</f>
        <v>0.492210403091123</v>
      </c>
      <c r="L21" s="823">
        <f>SQRT(1-A21*A21)/A21-SQRT(1-L3*L3)/L3</f>
        <v>0.563495270663434</v>
      </c>
      <c r="M21" s="823">
        <f>SQRT(1-A21*A21)/A21-SQRT(1-M3*M3)/M3</f>
        <v>0.652103276696097</v>
      </c>
      <c r="N21" s="823">
        <f>SQRT(1-A21*A21)/A21-SQRT(1-N3*N3)/N3</f>
        <v>0.855161937330101</v>
      </c>
    </row>
    <row r="22" spans="1:14">
      <c r="A22" s="326">
        <v>0.78</v>
      </c>
      <c r="B22" s="823"/>
      <c r="C22" s="823"/>
      <c r="D22" s="823">
        <f>SQRT(1-A22*A22)/A22-SQRT(1-D3*D3)/D3</f>
        <v>0.0522814280595907</v>
      </c>
      <c r="E22" s="823">
        <f>SQRT(1-A22*A22)/A22-SQRT(1-E3*E3)/E3</f>
        <v>0.104277134339874</v>
      </c>
      <c r="F22" s="823">
        <f>SQRT(1-A22*A22)/A22-SQRT(1-F3*F3)/F3</f>
        <v>0.156345239190517</v>
      </c>
      <c r="G22" s="823">
        <f>SQRT(1-A22*A22)/A22-SQRT(1-G3*G3)/G3</f>
        <v>0.208916273539913</v>
      </c>
      <c r="H22" s="823">
        <f>SQRT(1-A22*A22)/A22-SQRT(1-H3*H3)/H3</f>
        <v>0.262538605921503</v>
      </c>
      <c r="I22" s="823">
        <f>SQRT(1-A22*A22)/A22-SQRT(1-I3*I3)/I3</f>
        <v>0.317959323221738</v>
      </c>
      <c r="J22" s="823">
        <f>SQRT(1-A22*A22)/A22-SQRT(1-J3*J3)/J3</f>
        <v>0.376283211923386</v>
      </c>
      <c r="K22" s="823">
        <f>SQRT(1-A22*A22)/A22-SQRT(1-K3*K3)/K3</f>
        <v>0.439329893820612</v>
      </c>
      <c r="L22" s="823">
        <f>SQRT(1-A22*A22)/A22-SQRT(1-L3*L3)/L3</f>
        <v>0.510614761392924</v>
      </c>
      <c r="M22" s="823">
        <f>SQRT(1-A22*A22)/A22-SQRT(1-M3*M3)/M3</f>
        <v>0.599222767425586</v>
      </c>
      <c r="N22" s="823">
        <f>SQRT(1-A22*A22)/A22-SQRT(1-N3*N3)/N3</f>
        <v>0.80228142805959</v>
      </c>
    </row>
    <row r="23" spans="1:14">
      <c r="A23" s="326">
        <v>0.8</v>
      </c>
      <c r="B23" s="823"/>
      <c r="C23" s="823"/>
      <c r="D23" s="823"/>
      <c r="E23" s="823">
        <f>SQRT(1-A23*A23)/A23-SQRT(1-E3*E3)/E3</f>
        <v>0.0519957062802833</v>
      </c>
      <c r="F23" s="823">
        <f>SQRT(1-A23*A23)/A23-SQRT(1-F3*F3)/F3</f>
        <v>0.104063811130926</v>
      </c>
      <c r="G23" s="823">
        <f>SQRT(1-A23*A23)/A23-SQRT(1-G3*G3)/G3</f>
        <v>0.156634845480322</v>
      </c>
      <c r="H23" s="823">
        <f>SQRT(1-A23*A23)/A23-SQRT(1-H3*H3)/H3</f>
        <v>0.210257177861913</v>
      </c>
      <c r="I23" s="823">
        <f>SQRT(1-A23*A23)/A23-SQRT(1-I3*I3)/I3</f>
        <v>0.265677895162147</v>
      </c>
      <c r="J23" s="823">
        <f>SQRT(1-A23*A23)/A23-SQRT(1-J3*J3)/J3</f>
        <v>0.324001783863795</v>
      </c>
      <c r="K23" s="823">
        <f>SQRT(1-A23*A23)/A23-SQRT(1-K3*K3)/K3</f>
        <v>0.387048465761021</v>
      </c>
      <c r="L23" s="823">
        <f>SQRT(1-A23*A23)/A23-SQRT(1-L3*L3)/L3</f>
        <v>0.458333333333333</v>
      </c>
      <c r="M23" s="823">
        <f>SQRT(1-A23*A23)/A23-SQRT(1-M3*M3)/M3</f>
        <v>0.546941339365995</v>
      </c>
      <c r="N23" s="823">
        <f>SQRT(1-A23*A23)/A23-SQRT(1-N3*N3)/N3</f>
        <v>0.75</v>
      </c>
    </row>
    <row r="24" spans="1:14">
      <c r="A24" s="326">
        <v>0.82</v>
      </c>
      <c r="B24" s="823"/>
      <c r="C24" s="823"/>
      <c r="D24" s="823"/>
      <c r="E24" s="823"/>
      <c r="F24" s="823">
        <f>SQRT(1-A24*A24)/A24-SQRT(1-F3*F3)/F3</f>
        <v>0.0520681048506432</v>
      </c>
      <c r="G24" s="823">
        <f>SQRT(1-A24*A24)/A24-SQRT(1-G3*G3)/G3</f>
        <v>0.104639139200039</v>
      </c>
      <c r="H24" s="823">
        <f>SQRT(1-A24*A24)/A24-SQRT(1-H3*H3)/H3</f>
        <v>0.158261471581629</v>
      </c>
      <c r="I24" s="823">
        <f>SQRT(1-A24*A24)/A24-SQRT(1-I3*I3)/I3</f>
        <v>0.213682188881864</v>
      </c>
      <c r="J24" s="823">
        <f>SQRT(1-A24*A24)/A24-SQRT(1-J3*J3)/J3</f>
        <v>0.272006077583512</v>
      </c>
      <c r="K24" s="823">
        <f>SQRT(1-F24*F24)/F24-SQRT(1-K3*K3)/K3</f>
        <v>18.816612213976</v>
      </c>
      <c r="L24" s="823">
        <f>SQRT(1-A24*A24)/A24-SQRT(1-L3*L3)/L3</f>
        <v>0.40633762705305</v>
      </c>
      <c r="M24" s="823">
        <f>SQRT(1-A24*A24)/A24-SQRT(1-M3*M3)/M3</f>
        <v>0.494945633085712</v>
      </c>
      <c r="N24" s="823">
        <f>SQRT(1-A24*A24)/A24-SQRT(1-N3*N3)/N3</f>
        <v>0.698004293719717</v>
      </c>
    </row>
    <row r="25" spans="1:14">
      <c r="A25" s="326">
        <v>0.84</v>
      </c>
      <c r="B25" s="823"/>
      <c r="C25" s="823"/>
      <c r="D25" s="823"/>
      <c r="E25" s="823"/>
      <c r="F25" s="823"/>
      <c r="G25" s="823">
        <f>SQRT(1-A25*A25)/A25-SQRT(1-G3*G3)/G3</f>
        <v>0.0525710343493955</v>
      </c>
      <c r="H25" s="823">
        <f>SQRT(1-A25*A25)/A25-SQRT(1-H3*H3)/H3</f>
        <v>0.106193366730986</v>
      </c>
      <c r="I25" s="823">
        <f>SQRT(1-A25*A25)/A25-SQRT(1-I3*I3)/I3</f>
        <v>0.161614084031221</v>
      </c>
      <c r="J25" s="823">
        <f>SQRT(1-A25*A25)/A25-SQRT(1-J3*J3)/J3</f>
        <v>0.219937972732869</v>
      </c>
      <c r="K25" s="823">
        <f>SQRT(1-A25*A25)/A25-SQRT(1-K3*K3)/K3</f>
        <v>0.282984654630095</v>
      </c>
      <c r="L25" s="823">
        <f>SQRT(1-A25*A25)/A25-SQRT(1-L3*L3)/L3</f>
        <v>0.354269522202407</v>
      </c>
      <c r="M25" s="823">
        <f>SQRT(1-A25*A25)/A25-SQRT(1-M3*M3)/M3</f>
        <v>0.442877528235069</v>
      </c>
      <c r="N25" s="823">
        <f>SQRT(1-A25*A25)/A25-SQRT(1-N3*N3)/N3</f>
        <v>0.645936188869073</v>
      </c>
    </row>
    <row r="26" spans="1:14">
      <c r="A26" s="326">
        <v>0.86</v>
      </c>
      <c r="B26" s="823"/>
      <c r="C26" s="823"/>
      <c r="D26" s="823"/>
      <c r="E26" s="823"/>
      <c r="F26" s="823"/>
      <c r="G26" s="823"/>
      <c r="H26" s="823">
        <f>SQRT(1-A26*A26)/A26-SQRT(1-H3*H3)/H3</f>
        <v>0.0536223323815908</v>
      </c>
      <c r="I26" s="823">
        <f>SQRT(1-A26*A26)/A26-SQRT(1-I3*I3)/I3</f>
        <v>0.109043049681825</v>
      </c>
      <c r="J26" s="823">
        <f>SQRT(1-A26*A26)/A26-SQRT(1-J3*J3)/J3</f>
        <v>0.167366938383473</v>
      </c>
      <c r="K26" s="823">
        <f>SQRT(1-A26*A26)/A26-SQRT(1-K3*K3)/K3</f>
        <v>0.230413620280699</v>
      </c>
      <c r="L26" s="823">
        <f>SQRT(1-A26*A26)/A26-SQRT(1-L3*L3)/L3</f>
        <v>0.301698487853011</v>
      </c>
      <c r="M26" s="823">
        <f>SQRT(1-A26*A26)/A26-SQRT(1-M3*M3)/M3</f>
        <v>0.390306493885674</v>
      </c>
      <c r="N26" s="823">
        <f>SQRT(1-A26*A26)/A26-SQRT(1-N3*N3)/N3</f>
        <v>0.593365154519678</v>
      </c>
    </row>
    <row r="27" spans="1:14">
      <c r="A27" s="326">
        <v>0.88</v>
      </c>
      <c r="B27" s="823"/>
      <c r="C27" s="823"/>
      <c r="D27" s="823"/>
      <c r="E27" s="823"/>
      <c r="F27" s="823"/>
      <c r="G27" s="823"/>
      <c r="H27" s="823"/>
      <c r="I27" s="823">
        <f>SQRT(1-A27*A27)/A27-SQRT(1-I3*I3)/I3</f>
        <v>0.0554207173002346</v>
      </c>
      <c r="J27" s="823">
        <f>SQRT(1-A27*A27)/A27-SQRT(1-J3*J3)/J3</f>
        <v>0.113744606001882</v>
      </c>
      <c r="K27" s="823">
        <f>SQRT(1-A27*A27)/A27-SQRT(1-K3*K3)/K3</f>
        <v>0.176791287899109</v>
      </c>
      <c r="L27" s="823">
        <f>SQRT(1-A27*A27)/A27-SQRT(1-L3*L3)/L3</f>
        <v>0.24807615547142</v>
      </c>
      <c r="M27" s="823">
        <f>SQRT(1-A27*A27)/A27-SQRT(1-M3*M3)/M3</f>
        <v>0.336684161504083</v>
      </c>
      <c r="N27" s="823">
        <f>SQRT(1-A27*A27)/A27-SQRT(1-N3*N3)/N3</f>
        <v>0.539742822138087</v>
      </c>
    </row>
    <row r="28" spans="1:14">
      <c r="A28" s="326">
        <v>0.9</v>
      </c>
      <c r="B28" s="823"/>
      <c r="C28" s="823"/>
      <c r="D28" s="823"/>
      <c r="E28" s="823"/>
      <c r="F28" s="823"/>
      <c r="G28" s="823"/>
      <c r="H28" s="823"/>
      <c r="I28" s="823"/>
      <c r="J28" s="823">
        <f>SQRT(1-A28*A28)/A28-SQRT(1-J3*J3)/J3</f>
        <v>0.0583238887016477</v>
      </c>
      <c r="K28" s="823">
        <f>SQRT(1-A28*A28)/A28-SQRT(1-K3*K3)/K3</f>
        <v>0.121370570598874</v>
      </c>
      <c r="L28" s="823">
        <f>SQRT(1-A28*A28)/A28-SQRT(1-L3*L3)/L3</f>
        <v>0.192655438171186</v>
      </c>
      <c r="M28" s="823">
        <f>SQRT(1-A28*A28)/A28-SQRT(1-M3*M3)/M3</f>
        <v>0.281263444203848</v>
      </c>
      <c r="N28" s="823">
        <f>SQRT(1-A28*A28)/A28-SQRT(1-N3*N3)/N3</f>
        <v>0.484322104837853</v>
      </c>
    </row>
    <row r="29" spans="1:14">
      <c r="A29" s="326">
        <v>0.92</v>
      </c>
      <c r="B29" s="823"/>
      <c r="C29" s="823"/>
      <c r="D29" s="823"/>
      <c r="E29" s="823"/>
      <c r="F29" s="823"/>
      <c r="G29" s="823"/>
      <c r="H29" s="823"/>
      <c r="I29" s="823"/>
      <c r="J29" s="823"/>
      <c r="K29" s="823">
        <f>SQRT(1-A29*A29)/A29-SQRT(1-K3*K3)/K3</f>
        <v>0.0630466818972264</v>
      </c>
      <c r="L29" s="823">
        <f>SQRT(1-A29*A29)/A29-SQRT(1-L3*L3)/L3</f>
        <v>0.134331549469538</v>
      </c>
      <c r="M29" s="823">
        <f>SQRT(1-A29*A29)/A29-SQRT(1-M3*M3)/M3</f>
        <v>0.222939555502201</v>
      </c>
      <c r="N29" s="823">
        <f>SQRT(1-A29*A29)/A29-SQRT(1-N3*N3)/N3</f>
        <v>0.425998216136205</v>
      </c>
    </row>
    <row r="30" spans="1:14">
      <c r="A30" s="326">
        <v>0.94</v>
      </c>
      <c r="B30" s="823"/>
      <c r="C30" s="823"/>
      <c r="D30" s="823"/>
      <c r="E30" s="823"/>
      <c r="F30" s="823"/>
      <c r="G30" s="823"/>
      <c r="H30" s="823"/>
      <c r="I30" s="823"/>
      <c r="J30" s="823"/>
      <c r="K30" s="823"/>
      <c r="L30" s="823">
        <f>SQRT(1-A30*A30)/A30-SQRT(1-L3*L3)/L3</f>
        <v>0.0712848675723117</v>
      </c>
      <c r="M30" s="823">
        <f>SQRT(1-A30*A30)/A30-SQRT(1-M3*M3)/M3</f>
        <v>0.159892873604974</v>
      </c>
      <c r="N30" s="823">
        <f>SQRT(1-A30*A30)/A30-SQRT(1-N3*N3)/N3</f>
        <v>0.362951534238978</v>
      </c>
    </row>
  </sheetData>
  <customSheetViews>
    <customSheetView guid="{B9330FFD-B5EF-4680-A375-DB92D4738404}">
      <selection activeCell="I38" sqref="I38"/>
      <pageMargins left="0.7" right="0.7" top="0.75" bottom="0.75" header="0.3" footer="0.3"/>
      <headerFooter/>
    </customSheetView>
  </customSheetViews>
  <mergeCells count="3">
    <mergeCell ref="A1:M1"/>
    <mergeCell ref="B2:N2"/>
    <mergeCell ref="A2:A3"/>
  </mergeCells>
  <hyperlinks>
    <hyperlink ref="N1" location="目录!A1" display="目录!A1"/>
  </hyperlinks>
  <pageMargins left="0.7" right="0.7" top="0.75" bottom="0.75" header="0.3" footer="0.3"/>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3"/>
  <sheetViews>
    <sheetView workbookViewId="0">
      <selection activeCell="M10" sqref="M10"/>
    </sheetView>
  </sheetViews>
  <sheetFormatPr defaultColWidth="9" defaultRowHeight="15.6"/>
  <cols>
    <col min="1" max="1" width="6" customWidth="1"/>
    <col min="2" max="3" width="10.25" customWidth="1"/>
    <col min="4" max="4" width="15" customWidth="1"/>
    <col min="5" max="5" width="9.625" customWidth="1"/>
    <col min="6" max="7" width="8.125" customWidth="1"/>
    <col min="8" max="8" width="10.25" customWidth="1"/>
    <col min="9" max="9" width="7" customWidth="1"/>
    <col min="10" max="10" width="10.25" customWidth="1"/>
    <col min="11" max="11" width="14.5" customWidth="1"/>
  </cols>
  <sheetData>
    <row r="1" ht="27" customHeight="1" spans="1:11">
      <c r="A1" s="797" t="s">
        <v>2601</v>
      </c>
      <c r="B1" s="798"/>
      <c r="C1" s="798"/>
      <c r="D1" s="798"/>
      <c r="E1" s="798"/>
      <c r="F1" s="798"/>
      <c r="G1" s="798"/>
      <c r="H1" s="798"/>
      <c r="I1" s="798"/>
      <c r="J1" s="798"/>
      <c r="K1" s="813" t="s">
        <v>88</v>
      </c>
    </row>
    <row r="2" spans="1:11">
      <c r="A2" s="799" t="s">
        <v>2602</v>
      </c>
      <c r="B2" s="800" t="s">
        <v>2603</v>
      </c>
      <c r="C2" s="800" t="s">
        <v>2604</v>
      </c>
      <c r="D2" s="800" t="s">
        <v>2605</v>
      </c>
      <c r="E2" s="800" t="s">
        <v>2606</v>
      </c>
      <c r="F2" s="800" t="s">
        <v>2607</v>
      </c>
      <c r="G2" s="203"/>
      <c r="H2" s="800" t="s">
        <v>2608</v>
      </c>
      <c r="I2" s="800" t="s">
        <v>2609</v>
      </c>
      <c r="J2" s="800" t="s">
        <v>2610</v>
      </c>
      <c r="K2" s="814" t="s">
        <v>2611</v>
      </c>
    </row>
    <row r="3" ht="31.2" spans="1:11">
      <c r="A3" s="799"/>
      <c r="B3" s="800"/>
      <c r="C3" s="800"/>
      <c r="D3" s="800"/>
      <c r="E3" s="800"/>
      <c r="F3" s="800" t="s">
        <v>2612</v>
      </c>
      <c r="G3" s="800" t="s">
        <v>2613</v>
      </c>
      <c r="H3" s="203"/>
      <c r="I3" s="203"/>
      <c r="J3" s="203"/>
      <c r="K3" s="815"/>
    </row>
    <row r="4" ht="31.2" spans="1:11">
      <c r="A4" s="801">
        <v>1</v>
      </c>
      <c r="B4" s="802"/>
      <c r="C4" s="802"/>
      <c r="D4" s="803" t="s">
        <v>2614</v>
      </c>
      <c r="E4" s="802">
        <v>2200</v>
      </c>
      <c r="F4" s="802">
        <v>6</v>
      </c>
      <c r="G4" s="802">
        <v>3</v>
      </c>
      <c r="H4" s="804">
        <v>0.7</v>
      </c>
      <c r="I4" s="804">
        <v>2</v>
      </c>
      <c r="J4" s="816">
        <v>0.7</v>
      </c>
      <c r="K4" s="817">
        <f t="shared" ref="K4:K32" si="0">(E4*H4*I4*J4)/(F4*G4)</f>
        <v>119.777777777778</v>
      </c>
    </row>
    <row r="5" ht="31.2" spans="1:11">
      <c r="A5" s="801">
        <v>2</v>
      </c>
      <c r="B5" s="802"/>
      <c r="C5" s="802"/>
      <c r="D5" s="803" t="s">
        <v>2615</v>
      </c>
      <c r="E5" s="802">
        <v>590</v>
      </c>
      <c r="F5" s="802">
        <v>36</v>
      </c>
      <c r="G5" s="802">
        <v>15</v>
      </c>
      <c r="H5" s="804">
        <v>0.7</v>
      </c>
      <c r="I5" s="804">
        <v>54</v>
      </c>
      <c r="J5" s="816">
        <v>0.6</v>
      </c>
      <c r="K5" s="818">
        <f t="shared" si="0"/>
        <v>24.78</v>
      </c>
    </row>
    <row r="6" ht="31.2" spans="1:11">
      <c r="A6" s="801">
        <v>3</v>
      </c>
      <c r="B6" s="802"/>
      <c r="C6" s="802"/>
      <c r="D6" s="803" t="s">
        <v>2616</v>
      </c>
      <c r="E6" s="802">
        <v>280</v>
      </c>
      <c r="F6" s="802">
        <v>36</v>
      </c>
      <c r="G6" s="802">
        <v>15</v>
      </c>
      <c r="H6" s="804">
        <v>0.7</v>
      </c>
      <c r="I6" s="804">
        <v>54</v>
      </c>
      <c r="J6" s="816">
        <v>0.6</v>
      </c>
      <c r="K6" s="818">
        <f t="shared" si="0"/>
        <v>11.76</v>
      </c>
    </row>
    <row r="7" ht="31.2" spans="1:11">
      <c r="A7" s="801">
        <v>3</v>
      </c>
      <c r="B7" s="802"/>
      <c r="C7" s="802"/>
      <c r="D7" s="803" t="s">
        <v>2617</v>
      </c>
      <c r="E7" s="802">
        <v>4600</v>
      </c>
      <c r="F7" s="802">
        <v>36</v>
      </c>
      <c r="G7" s="802">
        <v>15</v>
      </c>
      <c r="H7" s="804">
        <v>0.7</v>
      </c>
      <c r="I7" s="804">
        <v>54</v>
      </c>
      <c r="J7" s="816">
        <v>0.6</v>
      </c>
      <c r="K7" s="818">
        <f t="shared" si="0"/>
        <v>193.2</v>
      </c>
    </row>
    <row r="8" ht="31.2" spans="1:11">
      <c r="A8" s="801">
        <v>4</v>
      </c>
      <c r="B8" s="802"/>
      <c r="C8" s="802"/>
      <c r="D8" s="803" t="s">
        <v>2618</v>
      </c>
      <c r="E8" s="802">
        <v>1760</v>
      </c>
      <c r="F8" s="802">
        <v>36</v>
      </c>
      <c r="G8" s="802">
        <v>15</v>
      </c>
      <c r="H8" s="804">
        <v>0.7</v>
      </c>
      <c r="I8" s="804">
        <v>54</v>
      </c>
      <c r="J8" s="816">
        <v>0.6</v>
      </c>
      <c r="K8" s="818">
        <f t="shared" si="0"/>
        <v>73.92</v>
      </c>
    </row>
    <row r="9" ht="31.2" spans="1:11">
      <c r="A9" s="801">
        <v>5</v>
      </c>
      <c r="B9" s="802"/>
      <c r="C9" s="802"/>
      <c r="D9" s="803" t="s">
        <v>2619</v>
      </c>
      <c r="E9" s="802">
        <v>6000</v>
      </c>
      <c r="F9" s="802">
        <v>45</v>
      </c>
      <c r="G9" s="802">
        <v>15</v>
      </c>
      <c r="H9" s="804">
        <v>0.7</v>
      </c>
      <c r="I9" s="804">
        <v>48</v>
      </c>
      <c r="J9" s="816">
        <v>0.6</v>
      </c>
      <c r="K9" s="818">
        <f t="shared" si="0"/>
        <v>179.2</v>
      </c>
    </row>
    <row r="10" ht="31.2" spans="1:11">
      <c r="A10" s="801">
        <v>6</v>
      </c>
      <c r="B10" s="802"/>
      <c r="C10" s="802"/>
      <c r="D10" s="803" t="s">
        <v>2620</v>
      </c>
      <c r="E10" s="802">
        <v>11500</v>
      </c>
      <c r="F10" s="802">
        <v>10</v>
      </c>
      <c r="G10" s="802">
        <v>20</v>
      </c>
      <c r="H10" s="804">
        <v>0.7</v>
      </c>
      <c r="I10" s="804">
        <v>10</v>
      </c>
      <c r="J10" s="816">
        <v>0.6</v>
      </c>
      <c r="K10" s="818">
        <f t="shared" si="0"/>
        <v>241.5</v>
      </c>
    </row>
    <row r="11" ht="31.2" spans="1:11">
      <c r="A11" s="801">
        <v>7</v>
      </c>
      <c r="B11" s="802"/>
      <c r="C11" s="802"/>
      <c r="D11" s="803" t="s">
        <v>2621</v>
      </c>
      <c r="E11" s="802">
        <v>14000</v>
      </c>
      <c r="F11" s="802">
        <v>15</v>
      </c>
      <c r="G11" s="802">
        <v>6</v>
      </c>
      <c r="H11" s="804">
        <v>0.66</v>
      </c>
      <c r="I11" s="804">
        <v>3</v>
      </c>
      <c r="J11" s="816">
        <v>0.55</v>
      </c>
      <c r="K11" s="818">
        <f t="shared" si="0"/>
        <v>169.4</v>
      </c>
    </row>
    <row r="12" ht="31.2" spans="1:11">
      <c r="A12" s="801">
        <v>8</v>
      </c>
      <c r="B12" s="626"/>
      <c r="C12" s="626"/>
      <c r="D12" s="803" t="s">
        <v>2622</v>
      </c>
      <c r="E12" s="802">
        <v>20500</v>
      </c>
      <c r="F12" s="802">
        <v>63</v>
      </c>
      <c r="G12" s="802">
        <v>44</v>
      </c>
      <c r="H12" s="804">
        <v>0.7</v>
      </c>
      <c r="I12" s="804">
        <v>42</v>
      </c>
      <c r="J12" s="816">
        <v>0.7</v>
      </c>
      <c r="K12" s="817">
        <f t="shared" si="0"/>
        <v>152.19696969697</v>
      </c>
    </row>
    <row r="13" ht="31.2" spans="1:11">
      <c r="A13" s="801">
        <v>9</v>
      </c>
      <c r="B13" s="626"/>
      <c r="C13" s="805"/>
      <c r="D13" s="803" t="s">
        <v>2623</v>
      </c>
      <c r="E13" s="802">
        <v>36000</v>
      </c>
      <c r="F13" s="802">
        <v>10</v>
      </c>
      <c r="G13" s="802">
        <v>20</v>
      </c>
      <c r="H13" s="804">
        <v>0.7</v>
      </c>
      <c r="I13" s="804">
        <v>10</v>
      </c>
      <c r="J13" s="816">
        <v>0.6</v>
      </c>
      <c r="K13" s="818">
        <f t="shared" si="0"/>
        <v>756</v>
      </c>
    </row>
    <row r="14" ht="31.2" spans="1:11">
      <c r="A14" s="806">
        <v>10</v>
      </c>
      <c r="B14" s="626"/>
      <c r="C14" s="626"/>
      <c r="D14" s="803" t="s">
        <v>2624</v>
      </c>
      <c r="E14" s="802">
        <v>110000</v>
      </c>
      <c r="F14" s="802">
        <v>10</v>
      </c>
      <c r="G14" s="802">
        <v>20</v>
      </c>
      <c r="H14" s="804">
        <v>0.7</v>
      </c>
      <c r="I14" s="804">
        <v>10</v>
      </c>
      <c r="J14" s="816">
        <v>0.6</v>
      </c>
      <c r="K14" s="818">
        <f t="shared" si="0"/>
        <v>2310</v>
      </c>
    </row>
    <row r="15" spans="1:11">
      <c r="A15" s="806">
        <v>11</v>
      </c>
      <c r="B15" s="626"/>
      <c r="C15" s="626"/>
      <c r="D15" s="803" t="s">
        <v>2625</v>
      </c>
      <c r="E15" s="802">
        <v>540</v>
      </c>
      <c r="F15" s="802">
        <v>10</v>
      </c>
      <c r="G15" s="802">
        <v>20</v>
      </c>
      <c r="H15" s="804">
        <v>0.7</v>
      </c>
      <c r="I15" s="804">
        <v>10</v>
      </c>
      <c r="J15" s="816">
        <v>0.6</v>
      </c>
      <c r="K15" s="818">
        <f t="shared" si="0"/>
        <v>11.34</v>
      </c>
    </row>
    <row r="16" spans="1:11">
      <c r="A16" s="806">
        <v>12</v>
      </c>
      <c r="B16" s="626"/>
      <c r="C16" s="626"/>
      <c r="D16" s="803" t="s">
        <v>2626</v>
      </c>
      <c r="E16" s="802">
        <v>297</v>
      </c>
      <c r="F16" s="802">
        <v>10</v>
      </c>
      <c r="G16" s="802">
        <v>20</v>
      </c>
      <c r="H16" s="804">
        <v>0.7</v>
      </c>
      <c r="I16" s="804">
        <v>10</v>
      </c>
      <c r="J16" s="816">
        <v>0.6</v>
      </c>
      <c r="K16" s="818">
        <f t="shared" si="0"/>
        <v>6.237</v>
      </c>
    </row>
    <row r="17" spans="1:11">
      <c r="A17" s="806">
        <v>13</v>
      </c>
      <c r="B17" s="626"/>
      <c r="C17" s="626"/>
      <c r="D17" s="803" t="s">
        <v>2627</v>
      </c>
      <c r="E17" s="802">
        <v>1100</v>
      </c>
      <c r="F17" s="802">
        <v>10</v>
      </c>
      <c r="G17" s="802">
        <v>20</v>
      </c>
      <c r="H17" s="804">
        <v>0.7</v>
      </c>
      <c r="I17" s="804">
        <v>10</v>
      </c>
      <c r="J17" s="816">
        <v>0.6</v>
      </c>
      <c r="K17" s="818">
        <f t="shared" si="0"/>
        <v>23.1</v>
      </c>
    </row>
    <row r="18" ht="31.2" spans="1:11">
      <c r="A18" s="806">
        <v>14</v>
      </c>
      <c r="B18" s="626"/>
      <c r="C18" s="805"/>
      <c r="D18" s="803" t="s">
        <v>2628</v>
      </c>
      <c r="E18" s="802">
        <v>3400</v>
      </c>
      <c r="F18" s="802">
        <v>10</v>
      </c>
      <c r="G18" s="802">
        <v>20</v>
      </c>
      <c r="H18" s="804">
        <v>0.7</v>
      </c>
      <c r="I18" s="804">
        <v>10</v>
      </c>
      <c r="J18" s="816">
        <v>0.6</v>
      </c>
      <c r="K18" s="818">
        <f t="shared" si="0"/>
        <v>71.4</v>
      </c>
    </row>
    <row r="19" ht="31.2" spans="1:11">
      <c r="A19" s="806">
        <v>15</v>
      </c>
      <c r="B19" s="626"/>
      <c r="C19" s="805"/>
      <c r="D19" s="803" t="s">
        <v>2629</v>
      </c>
      <c r="E19" s="802">
        <v>6000</v>
      </c>
      <c r="F19" s="802">
        <v>10</v>
      </c>
      <c r="G19" s="802">
        <v>20</v>
      </c>
      <c r="H19" s="804">
        <v>0.7</v>
      </c>
      <c r="I19" s="804">
        <v>10</v>
      </c>
      <c r="J19" s="816">
        <v>0.6</v>
      </c>
      <c r="K19" s="818">
        <f t="shared" si="0"/>
        <v>126</v>
      </c>
    </row>
    <row r="20" ht="31.2" spans="1:11">
      <c r="A20" s="806">
        <v>16</v>
      </c>
      <c r="B20" s="626"/>
      <c r="C20" s="805"/>
      <c r="D20" s="803" t="s">
        <v>2630</v>
      </c>
      <c r="E20" s="802">
        <v>8500</v>
      </c>
      <c r="F20" s="802">
        <v>10</v>
      </c>
      <c r="G20" s="802">
        <v>20</v>
      </c>
      <c r="H20" s="804">
        <v>0.7</v>
      </c>
      <c r="I20" s="804">
        <v>10</v>
      </c>
      <c r="J20" s="816">
        <v>0.6</v>
      </c>
      <c r="K20" s="818">
        <f t="shared" si="0"/>
        <v>178.5</v>
      </c>
    </row>
    <row r="21" ht="31.2" spans="1:11">
      <c r="A21" s="806">
        <v>17</v>
      </c>
      <c r="B21" s="626"/>
      <c r="C21" s="805"/>
      <c r="D21" s="803" t="s">
        <v>2631</v>
      </c>
      <c r="E21" s="802">
        <v>13000</v>
      </c>
      <c r="F21" s="802">
        <v>10</v>
      </c>
      <c r="G21" s="802">
        <v>20</v>
      </c>
      <c r="H21" s="804">
        <v>0.7</v>
      </c>
      <c r="I21" s="804">
        <v>10</v>
      </c>
      <c r="J21" s="816">
        <v>0.6</v>
      </c>
      <c r="K21" s="818">
        <f t="shared" si="0"/>
        <v>273</v>
      </c>
    </row>
    <row r="22" ht="31.2" spans="1:11">
      <c r="A22" s="806">
        <v>18</v>
      </c>
      <c r="B22" s="626"/>
      <c r="C22" s="805"/>
      <c r="D22" s="803" t="s">
        <v>2632</v>
      </c>
      <c r="E22" s="802">
        <v>23000</v>
      </c>
      <c r="F22" s="802">
        <v>10</v>
      </c>
      <c r="G22" s="802">
        <v>20</v>
      </c>
      <c r="H22" s="804">
        <v>0.7</v>
      </c>
      <c r="I22" s="804">
        <v>10</v>
      </c>
      <c r="J22" s="816">
        <v>0.6</v>
      </c>
      <c r="K22" s="818">
        <f t="shared" si="0"/>
        <v>483</v>
      </c>
    </row>
    <row r="23" ht="31.2" spans="1:11">
      <c r="A23" s="806">
        <v>19</v>
      </c>
      <c r="B23" s="626"/>
      <c r="C23" s="805"/>
      <c r="D23" s="803" t="s">
        <v>2633</v>
      </c>
      <c r="E23" s="802">
        <v>58500</v>
      </c>
      <c r="F23" s="802">
        <v>10</v>
      </c>
      <c r="G23" s="802">
        <v>20</v>
      </c>
      <c r="H23" s="804">
        <v>0.7</v>
      </c>
      <c r="I23" s="804">
        <v>10</v>
      </c>
      <c r="J23" s="816">
        <v>0.6</v>
      </c>
      <c r="K23" s="818">
        <f t="shared" si="0"/>
        <v>1228.5</v>
      </c>
    </row>
    <row r="24" ht="31.2" spans="1:11">
      <c r="A24" s="806">
        <v>20</v>
      </c>
      <c r="B24" s="626"/>
      <c r="C24" s="805"/>
      <c r="D24" s="803" t="s">
        <v>2634</v>
      </c>
      <c r="E24" s="802">
        <v>5160</v>
      </c>
      <c r="F24" s="802">
        <v>10</v>
      </c>
      <c r="G24" s="802">
        <v>20</v>
      </c>
      <c r="H24" s="804">
        <v>0.7</v>
      </c>
      <c r="I24" s="804">
        <v>10</v>
      </c>
      <c r="J24" s="816">
        <v>0.6</v>
      </c>
      <c r="K24" s="818">
        <f t="shared" si="0"/>
        <v>108.36</v>
      </c>
    </row>
    <row r="25" ht="31.2" spans="1:11">
      <c r="A25" s="806">
        <v>21</v>
      </c>
      <c r="B25" s="626"/>
      <c r="C25" s="805"/>
      <c r="D25" s="803" t="s">
        <v>2635</v>
      </c>
      <c r="E25" s="802">
        <v>8180</v>
      </c>
      <c r="F25" s="802">
        <v>10</v>
      </c>
      <c r="G25" s="802">
        <v>20</v>
      </c>
      <c r="H25" s="804">
        <v>0.7</v>
      </c>
      <c r="I25" s="804">
        <v>10</v>
      </c>
      <c r="J25" s="816">
        <v>0.6</v>
      </c>
      <c r="K25" s="818">
        <f t="shared" si="0"/>
        <v>171.78</v>
      </c>
    </row>
    <row r="26" ht="31.2" spans="1:11">
      <c r="A26" s="806">
        <v>22</v>
      </c>
      <c r="B26" s="626"/>
      <c r="C26" s="805"/>
      <c r="D26" s="803" t="s">
        <v>2636</v>
      </c>
      <c r="E26" s="802">
        <v>13350</v>
      </c>
      <c r="F26" s="802">
        <v>10</v>
      </c>
      <c r="G26" s="802">
        <v>20</v>
      </c>
      <c r="H26" s="804">
        <v>0.7</v>
      </c>
      <c r="I26" s="804">
        <v>10</v>
      </c>
      <c r="J26" s="816">
        <v>0.6</v>
      </c>
      <c r="K26" s="818">
        <f t="shared" si="0"/>
        <v>280.35</v>
      </c>
    </row>
    <row r="27" ht="31.2" spans="1:11">
      <c r="A27" s="806">
        <v>23</v>
      </c>
      <c r="B27" s="626"/>
      <c r="C27" s="805"/>
      <c r="D27" s="803" t="s">
        <v>2637</v>
      </c>
      <c r="E27" s="802">
        <v>23140</v>
      </c>
      <c r="F27" s="802">
        <v>10</v>
      </c>
      <c r="G27" s="802">
        <v>20</v>
      </c>
      <c r="H27" s="804">
        <v>0.7</v>
      </c>
      <c r="I27" s="804">
        <v>10</v>
      </c>
      <c r="J27" s="816">
        <v>0.6</v>
      </c>
      <c r="K27" s="818">
        <f t="shared" si="0"/>
        <v>485.94</v>
      </c>
    </row>
    <row r="28" ht="31.2" spans="1:11">
      <c r="A28" s="806">
        <v>24</v>
      </c>
      <c r="B28" s="626"/>
      <c r="C28" s="805"/>
      <c r="D28" s="803" t="s">
        <v>2638</v>
      </c>
      <c r="E28" s="802">
        <v>41800</v>
      </c>
      <c r="F28" s="802">
        <v>10</v>
      </c>
      <c r="G28" s="802">
        <v>20</v>
      </c>
      <c r="H28" s="804">
        <v>0.7</v>
      </c>
      <c r="I28" s="804">
        <v>10</v>
      </c>
      <c r="J28" s="816">
        <v>0.6</v>
      </c>
      <c r="K28" s="818">
        <f t="shared" si="0"/>
        <v>877.8</v>
      </c>
    </row>
    <row r="29" ht="31.2" spans="1:11">
      <c r="A29" s="806">
        <v>25</v>
      </c>
      <c r="B29" s="626"/>
      <c r="C29" s="805"/>
      <c r="D29" s="803" t="s">
        <v>2639</v>
      </c>
      <c r="E29" s="802">
        <v>106800</v>
      </c>
      <c r="F29" s="802">
        <v>10</v>
      </c>
      <c r="G29" s="802">
        <v>20</v>
      </c>
      <c r="H29" s="804">
        <v>0.7</v>
      </c>
      <c r="I29" s="804">
        <v>10</v>
      </c>
      <c r="J29" s="816">
        <v>0.6</v>
      </c>
      <c r="K29" s="818">
        <f t="shared" si="0"/>
        <v>2242.8</v>
      </c>
    </row>
    <row r="30" ht="31.2" spans="1:11">
      <c r="A30" s="806">
        <v>26</v>
      </c>
      <c r="B30" s="626"/>
      <c r="C30" s="805"/>
      <c r="D30" s="803" t="s">
        <v>2640</v>
      </c>
      <c r="E30" s="802">
        <v>18690</v>
      </c>
      <c r="F30" s="802">
        <v>10</v>
      </c>
      <c r="G30" s="802">
        <v>20</v>
      </c>
      <c r="H30" s="804">
        <v>0.7</v>
      </c>
      <c r="I30" s="804">
        <v>10</v>
      </c>
      <c r="J30" s="816">
        <v>0.6</v>
      </c>
      <c r="K30" s="818">
        <f t="shared" si="0"/>
        <v>392.49</v>
      </c>
    </row>
    <row r="31" ht="31.2" spans="1:11">
      <c r="A31" s="806">
        <v>27</v>
      </c>
      <c r="B31" s="626"/>
      <c r="C31" s="805"/>
      <c r="D31" s="803" t="s">
        <v>2641</v>
      </c>
      <c r="E31" s="802">
        <v>31150</v>
      </c>
      <c r="F31" s="802">
        <v>10</v>
      </c>
      <c r="G31" s="802">
        <v>20</v>
      </c>
      <c r="H31" s="804">
        <v>0.7</v>
      </c>
      <c r="I31" s="804">
        <v>10</v>
      </c>
      <c r="J31" s="816">
        <v>0.6</v>
      </c>
      <c r="K31" s="818">
        <f t="shared" si="0"/>
        <v>654.15</v>
      </c>
    </row>
    <row r="32" ht="16.35" spans="1:11">
      <c r="A32" s="807">
        <v>28</v>
      </c>
      <c r="B32" s="808"/>
      <c r="C32" s="809"/>
      <c r="D32" s="810" t="s">
        <v>2642</v>
      </c>
      <c r="E32" s="811">
        <v>36000</v>
      </c>
      <c r="F32" s="811">
        <v>10</v>
      </c>
      <c r="G32" s="811">
        <v>20</v>
      </c>
      <c r="H32" s="812">
        <v>0.7</v>
      </c>
      <c r="I32" s="812">
        <v>10</v>
      </c>
      <c r="J32" s="819">
        <v>0.6</v>
      </c>
      <c r="K32" s="820">
        <f t="shared" si="0"/>
        <v>756</v>
      </c>
    </row>
    <row r="33" ht="16.35"/>
  </sheetData>
  <sheetProtection pivotTables="0"/>
  <customSheetViews>
    <customSheetView guid="{B9330FFD-B5EF-4680-A375-DB92D4738404}">
      <selection activeCell="L5" sqref="L5"/>
      <pageMargins left="0.7" right="0.7" top="0.75" bottom="0.75" header="0.3" footer="0.3"/>
      <headerFooter/>
    </customSheetView>
  </customSheetViews>
  <mergeCells count="11">
    <mergeCell ref="A1:J1"/>
    <mergeCell ref="F2:G2"/>
    <mergeCell ref="A2:A3"/>
    <mergeCell ref="B2:B3"/>
    <mergeCell ref="C2:C3"/>
    <mergeCell ref="D2:D3"/>
    <mergeCell ref="E2:E3"/>
    <mergeCell ref="H2:H3"/>
    <mergeCell ref="I2:I3"/>
    <mergeCell ref="J2:J3"/>
    <mergeCell ref="K2:K3"/>
  </mergeCells>
  <hyperlinks>
    <hyperlink ref="K1" location="目录!A1" display="目录!A1"/>
  </hyperlinks>
  <pageMargins left="0.7" right="0.7" top="0.75" bottom="0.75" header="0.3" footer="0.3"/>
  <headerFooter/>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38"/>
  <sheetViews>
    <sheetView topLeftCell="A21" workbookViewId="0">
      <selection activeCell="B30" sqref="B30"/>
    </sheetView>
  </sheetViews>
  <sheetFormatPr defaultColWidth="9" defaultRowHeight="15.6"/>
  <cols>
    <col min="1" max="1" width="9" style="681"/>
    <col min="2" max="2" width="13.375" style="681" customWidth="1"/>
    <col min="3" max="4" width="24" style="681" customWidth="1"/>
    <col min="5" max="5" width="10.5" style="681" customWidth="1"/>
    <col min="6" max="6" width="13.375" style="681" customWidth="1"/>
    <col min="7" max="7" width="11" style="681" customWidth="1"/>
    <col min="8" max="8" width="13.5" style="681" customWidth="1"/>
    <col min="9" max="9" width="16.125" style="681" customWidth="1"/>
    <col min="10" max="10" width="37" style="681" customWidth="1"/>
    <col min="11" max="11" width="10.75" style="681" customWidth="1"/>
    <col min="12" max="12" width="9.625" style="717" customWidth="1"/>
    <col min="13" max="13" width="11" style="681" customWidth="1"/>
    <col min="14" max="16384" width="9" style="681"/>
  </cols>
  <sheetData>
    <row r="1" ht="22.5" customHeight="1" spans="1:4">
      <c r="A1" s="718" t="s">
        <v>2643</v>
      </c>
      <c r="B1" s="718"/>
      <c r="C1" s="718"/>
      <c r="D1" s="719"/>
    </row>
    <row r="2" ht="31.95" spans="1:5">
      <c r="A2" s="720" t="s">
        <v>2644</v>
      </c>
      <c r="B2" s="472" t="s">
        <v>2645</v>
      </c>
      <c r="C2" s="721" t="s">
        <v>2646</v>
      </c>
      <c r="D2" s="721" t="s">
        <v>2647</v>
      </c>
      <c r="E2" s="722" t="s">
        <v>88</v>
      </c>
    </row>
    <row r="3" ht="21.15" spans="1:8">
      <c r="A3" s="723">
        <v>2.2</v>
      </c>
      <c r="B3" s="724">
        <v>0.85</v>
      </c>
      <c r="C3" s="725">
        <f t="shared" ref="C3:C26" si="0">A3/(1.732*0.38*B3)</f>
        <v>3.93253205013621</v>
      </c>
      <c r="D3" s="726">
        <f t="shared" ref="D3:D26" si="1">A3/(1.732*0.4*B3)</f>
        <v>3.7359054476294</v>
      </c>
      <c r="F3" s="727" t="s">
        <v>2648</v>
      </c>
      <c r="G3" s="728"/>
      <c r="H3" s="729"/>
    </row>
    <row r="4" spans="1:8">
      <c r="A4" s="730">
        <v>3</v>
      </c>
      <c r="B4" s="203">
        <v>0.85</v>
      </c>
      <c r="C4" s="731">
        <f t="shared" si="0"/>
        <v>5.36254370473119</v>
      </c>
      <c r="D4" s="732">
        <f t="shared" si="1"/>
        <v>5.09441651949463</v>
      </c>
      <c r="F4" s="733"/>
      <c r="G4" s="734" t="s">
        <v>2649</v>
      </c>
      <c r="H4" s="735"/>
    </row>
    <row r="5" spans="1:8">
      <c r="A5" s="730">
        <v>4</v>
      </c>
      <c r="B5" s="203">
        <v>0.85</v>
      </c>
      <c r="C5" s="731">
        <f t="shared" si="0"/>
        <v>7.15005827297493</v>
      </c>
      <c r="D5" s="732">
        <f t="shared" si="1"/>
        <v>6.79255535932618</v>
      </c>
      <c r="F5" s="733"/>
      <c r="G5" s="734"/>
      <c r="H5" s="735"/>
    </row>
    <row r="6" ht="14.25" customHeight="1" spans="1:8">
      <c r="A6" s="730">
        <v>11</v>
      </c>
      <c r="B6" s="203">
        <v>0.85</v>
      </c>
      <c r="C6" s="731">
        <f t="shared" si="0"/>
        <v>19.662660250681</v>
      </c>
      <c r="D6" s="732">
        <f t="shared" si="1"/>
        <v>18.679527238147</v>
      </c>
      <c r="F6" s="736"/>
      <c r="G6" s="737" t="s">
        <v>2650</v>
      </c>
      <c r="H6" s="738"/>
    </row>
    <row r="7" ht="14.25" customHeight="1" spans="1:8">
      <c r="A7" s="730">
        <v>15</v>
      </c>
      <c r="B7" s="203">
        <v>0.85</v>
      </c>
      <c r="C7" s="731">
        <f t="shared" si="0"/>
        <v>26.812718523656</v>
      </c>
      <c r="D7" s="732">
        <f t="shared" si="1"/>
        <v>25.4720825974732</v>
      </c>
      <c r="F7" s="739"/>
      <c r="G7" s="740"/>
      <c r="H7" s="741"/>
    </row>
    <row r="8" ht="14.25" customHeight="1" spans="1:8">
      <c r="A8" s="730">
        <v>22</v>
      </c>
      <c r="B8" s="203">
        <v>0.85</v>
      </c>
      <c r="C8" s="731">
        <f t="shared" si="0"/>
        <v>39.3253205013621</v>
      </c>
      <c r="D8" s="732">
        <f t="shared" si="1"/>
        <v>37.359054476294</v>
      </c>
      <c r="F8" s="739"/>
      <c r="G8" s="740"/>
      <c r="H8" s="741"/>
    </row>
    <row r="9" ht="14.25" customHeight="1" spans="1:8">
      <c r="A9" s="730">
        <v>30</v>
      </c>
      <c r="B9" s="203">
        <v>0.85</v>
      </c>
      <c r="C9" s="731">
        <f t="shared" si="0"/>
        <v>53.6254370473119</v>
      </c>
      <c r="D9" s="732">
        <f t="shared" si="1"/>
        <v>50.9441651949463</v>
      </c>
      <c r="F9" s="739"/>
      <c r="G9" s="740"/>
      <c r="H9" s="741"/>
    </row>
    <row r="10" ht="14.25" customHeight="1" spans="1:8">
      <c r="A10" s="730">
        <v>45</v>
      </c>
      <c r="B10" s="203">
        <v>0.85</v>
      </c>
      <c r="C10" s="731">
        <f t="shared" si="0"/>
        <v>80.4381555709679</v>
      </c>
      <c r="D10" s="732">
        <f t="shared" si="1"/>
        <v>76.4162477924195</v>
      </c>
      <c r="F10" s="742"/>
      <c r="G10" s="743"/>
      <c r="H10" s="744"/>
    </row>
    <row r="11" spans="1:8">
      <c r="A11" s="730">
        <v>60</v>
      </c>
      <c r="B11" s="203">
        <v>0.85</v>
      </c>
      <c r="C11" s="731">
        <f t="shared" si="0"/>
        <v>107.250874094624</v>
      </c>
      <c r="D11" s="732">
        <f t="shared" si="1"/>
        <v>101.888330389893</v>
      </c>
      <c r="F11" s="745"/>
      <c r="G11" s="734" t="s">
        <v>2651</v>
      </c>
      <c r="H11" s="735"/>
    </row>
    <row r="12" spans="1:8">
      <c r="A12" s="730">
        <v>90</v>
      </c>
      <c r="B12" s="203">
        <v>0.85</v>
      </c>
      <c r="C12" s="731">
        <f t="shared" si="0"/>
        <v>160.876311141936</v>
      </c>
      <c r="D12" s="732">
        <f t="shared" si="1"/>
        <v>152.832495584839</v>
      </c>
      <c r="F12" s="746"/>
      <c r="G12" s="734"/>
      <c r="H12" s="735"/>
    </row>
    <row r="13" ht="16.35" spans="1:8">
      <c r="A13" s="730">
        <v>100</v>
      </c>
      <c r="B13" s="203">
        <v>0.85</v>
      </c>
      <c r="C13" s="731">
        <f t="shared" si="0"/>
        <v>178.751456824373</v>
      </c>
      <c r="D13" s="732">
        <f t="shared" si="1"/>
        <v>169.813883983154</v>
      </c>
      <c r="F13" s="747"/>
      <c r="G13" s="748"/>
      <c r="H13" s="749"/>
    </row>
    <row r="14" ht="17.1" spans="1:8">
      <c r="A14" s="750">
        <v>110</v>
      </c>
      <c r="B14" s="751">
        <v>0.85</v>
      </c>
      <c r="C14" s="752">
        <f t="shared" si="0"/>
        <v>196.62660250681</v>
      </c>
      <c r="D14" s="753">
        <f t="shared" si="1"/>
        <v>186.79527238147</v>
      </c>
      <c r="F14" s="754" t="s">
        <v>2652</v>
      </c>
      <c r="G14" s="754"/>
      <c r="H14" s="754"/>
    </row>
    <row r="15" ht="16.35" spans="1:4">
      <c r="A15" s="723">
        <v>2.2</v>
      </c>
      <c r="B15" s="724">
        <v>0.9</v>
      </c>
      <c r="C15" s="725">
        <f t="shared" si="0"/>
        <v>3.71405804735086</v>
      </c>
      <c r="D15" s="726">
        <f t="shared" si="1"/>
        <v>3.52835514498332</v>
      </c>
    </row>
    <row r="16" spans="1:4">
      <c r="A16" s="730">
        <v>3</v>
      </c>
      <c r="B16" s="203">
        <v>0.9</v>
      </c>
      <c r="C16" s="731">
        <f t="shared" si="0"/>
        <v>5.06462461002391</v>
      </c>
      <c r="D16" s="732">
        <f t="shared" si="1"/>
        <v>4.81139337952271</v>
      </c>
    </row>
    <row r="17" spans="1:4">
      <c r="A17" s="730">
        <v>4</v>
      </c>
      <c r="B17" s="203">
        <v>0.9</v>
      </c>
      <c r="C17" s="731">
        <f t="shared" si="0"/>
        <v>6.75283281336521</v>
      </c>
      <c r="D17" s="732">
        <f t="shared" si="1"/>
        <v>6.41519117269695</v>
      </c>
    </row>
    <row r="18" spans="1:4">
      <c r="A18" s="730">
        <v>11</v>
      </c>
      <c r="B18" s="203">
        <v>0.9</v>
      </c>
      <c r="C18" s="731">
        <f t="shared" si="0"/>
        <v>18.5702902367543</v>
      </c>
      <c r="D18" s="732">
        <f t="shared" si="1"/>
        <v>17.6417757249166</v>
      </c>
    </row>
    <row r="19" spans="1:4">
      <c r="A19" s="730">
        <v>15</v>
      </c>
      <c r="B19" s="203">
        <v>0.9</v>
      </c>
      <c r="C19" s="731">
        <f t="shared" si="0"/>
        <v>25.3231230501195</v>
      </c>
      <c r="D19" s="732">
        <f t="shared" si="1"/>
        <v>24.0569668976135</v>
      </c>
    </row>
    <row r="20" spans="1:4">
      <c r="A20" s="730">
        <v>22</v>
      </c>
      <c r="B20" s="203">
        <v>0.9</v>
      </c>
      <c r="C20" s="731">
        <f t="shared" si="0"/>
        <v>37.1405804735086</v>
      </c>
      <c r="D20" s="732">
        <f t="shared" si="1"/>
        <v>35.2835514498332</v>
      </c>
    </row>
    <row r="21" spans="1:4">
      <c r="A21" s="730">
        <v>30</v>
      </c>
      <c r="B21" s="203">
        <v>0.9</v>
      </c>
      <c r="C21" s="731">
        <f t="shared" si="0"/>
        <v>50.6462461002391</v>
      </c>
      <c r="D21" s="732">
        <f t="shared" si="1"/>
        <v>48.1139337952271</v>
      </c>
    </row>
    <row r="22" spans="1:4">
      <c r="A22" s="730">
        <v>45</v>
      </c>
      <c r="B22" s="203">
        <v>0.9</v>
      </c>
      <c r="C22" s="731">
        <f t="shared" si="0"/>
        <v>75.9693691503586</v>
      </c>
      <c r="D22" s="732">
        <f t="shared" si="1"/>
        <v>72.1709006928406</v>
      </c>
    </row>
    <row r="23" spans="1:4">
      <c r="A23" s="730">
        <v>60</v>
      </c>
      <c r="B23" s="203">
        <v>0.9</v>
      </c>
      <c r="C23" s="731">
        <f t="shared" si="0"/>
        <v>101.292492200478</v>
      </c>
      <c r="D23" s="732">
        <f t="shared" si="1"/>
        <v>96.2278675904542</v>
      </c>
    </row>
    <row r="24" spans="1:4">
      <c r="A24" s="730">
        <v>90</v>
      </c>
      <c r="B24" s="203">
        <v>0.9</v>
      </c>
      <c r="C24" s="731">
        <f t="shared" si="0"/>
        <v>151.938738300717</v>
      </c>
      <c r="D24" s="732">
        <f t="shared" si="1"/>
        <v>144.341801385681</v>
      </c>
    </row>
    <row r="25" spans="1:4">
      <c r="A25" s="730">
        <v>100</v>
      </c>
      <c r="B25" s="203">
        <v>0.9</v>
      </c>
      <c r="C25" s="731">
        <f t="shared" si="0"/>
        <v>168.82082033413</v>
      </c>
      <c r="D25" s="732">
        <f t="shared" si="1"/>
        <v>160.379779317424</v>
      </c>
    </row>
    <row r="26" ht="16.35" spans="1:4">
      <c r="A26" s="750">
        <v>110</v>
      </c>
      <c r="B26" s="751">
        <v>0.9</v>
      </c>
      <c r="C26" s="752">
        <f t="shared" si="0"/>
        <v>185.702902367543</v>
      </c>
      <c r="D26" s="753">
        <f t="shared" si="1"/>
        <v>176.417757249166</v>
      </c>
    </row>
    <row r="27" ht="16.35"/>
    <row r="28" customFormat="1" ht="22.2" spans="1:12">
      <c r="A28" s="755" t="s">
        <v>2653</v>
      </c>
      <c r="B28" s="755"/>
      <c r="C28" s="755"/>
      <c r="D28" s="755"/>
      <c r="E28" s="755"/>
      <c r="F28" s="755"/>
      <c r="G28" s="755"/>
      <c r="H28" s="755"/>
      <c r="I28" s="755"/>
      <c r="J28" s="755"/>
      <c r="L28" s="717"/>
    </row>
    <row r="29" s="681" customFormat="1" ht="25" customHeight="1" spans="1:12">
      <c r="A29" s="756" t="s">
        <v>8</v>
      </c>
      <c r="B29" s="756" t="s">
        <v>2654</v>
      </c>
      <c r="C29" s="756" t="s">
        <v>2655</v>
      </c>
      <c r="D29" s="757" t="s">
        <v>2301</v>
      </c>
      <c r="E29" s="757" t="s">
        <v>2656</v>
      </c>
      <c r="F29" s="757" t="s">
        <v>2657</v>
      </c>
      <c r="G29" s="756" t="s">
        <v>2658</v>
      </c>
      <c r="H29" s="756"/>
      <c r="I29" s="756" t="s">
        <v>2659</v>
      </c>
      <c r="J29" s="777" t="s">
        <v>918</v>
      </c>
      <c r="L29" s="717"/>
    </row>
    <row r="30" ht="144" spans="1:10">
      <c r="A30" s="756" t="s">
        <v>2660</v>
      </c>
      <c r="B30" s="758"/>
      <c r="C30" s="759" t="s">
        <v>2661</v>
      </c>
      <c r="D30" s="760" t="s">
        <v>2662</v>
      </c>
      <c r="E30" s="757" t="s">
        <v>625</v>
      </c>
      <c r="F30" s="757" t="s">
        <v>99</v>
      </c>
      <c r="G30" s="761" t="s">
        <v>2663</v>
      </c>
      <c r="H30" s="762"/>
      <c r="I30" s="758" t="s">
        <v>2664</v>
      </c>
      <c r="J30" s="778" t="s">
        <v>2665</v>
      </c>
    </row>
    <row r="31" ht="22.5" customHeight="1" spans="1:10">
      <c r="A31" s="763" t="s">
        <v>2666</v>
      </c>
      <c r="B31" s="763"/>
      <c r="C31" s="763"/>
      <c r="D31" s="763"/>
      <c r="E31" s="763"/>
      <c r="F31" s="763"/>
      <c r="G31" s="763"/>
      <c r="H31" s="763"/>
      <c r="I31" s="763"/>
      <c r="J31" s="763"/>
    </row>
    <row r="32" ht="18.75" customHeight="1" spans="1:10">
      <c r="A32" s="764" t="s">
        <v>8</v>
      </c>
      <c r="B32" s="764" t="s">
        <v>2654</v>
      </c>
      <c r="C32" s="765" t="s">
        <v>2655</v>
      </c>
      <c r="D32" s="765" t="s">
        <v>2301</v>
      </c>
      <c r="E32" s="766" t="s">
        <v>2656</v>
      </c>
      <c r="F32" s="765" t="s">
        <v>2657</v>
      </c>
      <c r="G32" s="767" t="s">
        <v>2658</v>
      </c>
      <c r="H32" s="768"/>
      <c r="I32" s="775" t="s">
        <v>2659</v>
      </c>
      <c r="J32" s="764" t="s">
        <v>918</v>
      </c>
    </row>
    <row r="33" ht="17.4" spans="1:10">
      <c r="A33" s="764">
        <v>1</v>
      </c>
      <c r="B33" s="764" t="s">
        <v>2667</v>
      </c>
      <c r="C33" s="764">
        <v>21</v>
      </c>
      <c r="D33" s="203">
        <v>0.84</v>
      </c>
      <c r="E33" s="203">
        <v>380</v>
      </c>
      <c r="F33" s="203">
        <v>0.8</v>
      </c>
      <c r="G33" s="764">
        <f>C33*D33</f>
        <v>17.64</v>
      </c>
      <c r="H33" s="764"/>
      <c r="I33" s="764">
        <f t="shared" ref="I33:I42" si="2">G33*1000/(1.732*E33*F33)</f>
        <v>33.5024917953081</v>
      </c>
      <c r="J33" s="764" t="s">
        <v>2668</v>
      </c>
    </row>
    <row r="34" ht="17.4" spans="1:10">
      <c r="A34" s="764">
        <v>2</v>
      </c>
      <c r="B34" s="764" t="s">
        <v>2667</v>
      </c>
      <c r="C34" s="764">
        <v>37</v>
      </c>
      <c r="D34" s="203">
        <v>0.85</v>
      </c>
      <c r="E34" s="203">
        <v>380</v>
      </c>
      <c r="F34" s="203">
        <v>0.8</v>
      </c>
      <c r="G34" s="764">
        <f t="shared" ref="G34:G42" si="3">C34*D34</f>
        <v>31.45</v>
      </c>
      <c r="H34" s="764"/>
      <c r="I34" s="764">
        <f t="shared" si="2"/>
        <v>59.7309164944694</v>
      </c>
      <c r="J34" s="764" t="s">
        <v>2668</v>
      </c>
    </row>
    <row r="35" ht="17.4" spans="1:10">
      <c r="A35" s="764">
        <v>3</v>
      </c>
      <c r="B35" s="764" t="s">
        <v>2667</v>
      </c>
      <c r="C35" s="764">
        <v>690</v>
      </c>
      <c r="D35" s="203">
        <v>0.85</v>
      </c>
      <c r="E35" s="203">
        <v>380</v>
      </c>
      <c r="F35" s="203">
        <v>0.8</v>
      </c>
      <c r="G35" s="764">
        <f t="shared" si="3"/>
        <v>586.5</v>
      </c>
      <c r="H35" s="764"/>
      <c r="I35" s="764">
        <f t="shared" si="2"/>
        <v>1113.90087516713</v>
      </c>
      <c r="J35" s="764" t="s">
        <v>2668</v>
      </c>
    </row>
    <row r="36" ht="17.4" spans="1:10">
      <c r="A36" s="764">
        <v>4</v>
      </c>
      <c r="B36" s="764" t="s">
        <v>2667</v>
      </c>
      <c r="C36" s="764">
        <v>23.4</v>
      </c>
      <c r="D36" s="203">
        <v>0.85</v>
      </c>
      <c r="E36" s="203">
        <v>380</v>
      </c>
      <c r="F36" s="203">
        <v>0.8</v>
      </c>
      <c r="G36" s="764">
        <f t="shared" si="3"/>
        <v>19.89</v>
      </c>
      <c r="H36" s="764"/>
      <c r="I36" s="764">
        <f t="shared" si="2"/>
        <v>37.7757688100158</v>
      </c>
      <c r="J36" s="764" t="s">
        <v>2668</v>
      </c>
    </row>
    <row r="37" ht="17.4" spans="1:10">
      <c r="A37" s="764">
        <v>5</v>
      </c>
      <c r="B37" s="764" t="s">
        <v>2667</v>
      </c>
      <c r="C37" s="764">
        <v>0</v>
      </c>
      <c r="D37" s="203">
        <v>0.75</v>
      </c>
      <c r="E37" s="203">
        <v>380</v>
      </c>
      <c r="F37" s="203">
        <v>0.8</v>
      </c>
      <c r="G37" s="764">
        <f t="shared" si="3"/>
        <v>0</v>
      </c>
      <c r="H37" s="764"/>
      <c r="I37" s="764">
        <f t="shared" si="2"/>
        <v>0</v>
      </c>
      <c r="J37" s="764" t="s">
        <v>2668</v>
      </c>
    </row>
    <row r="38" ht="17.4" spans="1:10">
      <c r="A38" s="764">
        <v>6</v>
      </c>
      <c r="B38" s="764" t="s">
        <v>2667</v>
      </c>
      <c r="C38" s="764">
        <v>0</v>
      </c>
      <c r="D38" s="203">
        <v>0.85</v>
      </c>
      <c r="E38" s="203">
        <v>380</v>
      </c>
      <c r="F38" s="203">
        <v>0.8</v>
      </c>
      <c r="G38" s="764">
        <f t="shared" si="3"/>
        <v>0</v>
      </c>
      <c r="H38" s="764"/>
      <c r="I38" s="764">
        <f t="shared" si="2"/>
        <v>0</v>
      </c>
      <c r="J38" s="764" t="s">
        <v>2668</v>
      </c>
    </row>
    <row r="39" ht="17.4" spans="1:10">
      <c r="A39" s="764">
        <v>7</v>
      </c>
      <c r="B39" s="764" t="s">
        <v>2667</v>
      </c>
      <c r="C39" s="764"/>
      <c r="D39" s="203">
        <v>0.8</v>
      </c>
      <c r="E39" s="203">
        <v>380</v>
      </c>
      <c r="F39" s="203">
        <v>0.85</v>
      </c>
      <c r="G39" s="764">
        <f t="shared" si="3"/>
        <v>0</v>
      </c>
      <c r="H39" s="764"/>
      <c r="I39" s="764">
        <f t="shared" si="2"/>
        <v>0</v>
      </c>
      <c r="J39" s="764" t="s">
        <v>2668</v>
      </c>
    </row>
    <row r="40" ht="17.4" spans="1:10">
      <c r="A40" s="764">
        <v>8</v>
      </c>
      <c r="B40" s="764" t="s">
        <v>2667</v>
      </c>
      <c r="C40" s="764"/>
      <c r="D40" s="203">
        <v>0.8</v>
      </c>
      <c r="E40" s="203">
        <v>380</v>
      </c>
      <c r="F40" s="203">
        <v>0.85</v>
      </c>
      <c r="G40" s="764">
        <f t="shared" si="3"/>
        <v>0</v>
      </c>
      <c r="H40" s="764"/>
      <c r="I40" s="764">
        <f t="shared" si="2"/>
        <v>0</v>
      </c>
      <c r="J40" s="764" t="s">
        <v>2668</v>
      </c>
    </row>
    <row r="41" ht="17.4" spans="1:10">
      <c r="A41" s="764">
        <v>9</v>
      </c>
      <c r="B41" s="764" t="s">
        <v>2667</v>
      </c>
      <c r="C41" s="764"/>
      <c r="D41" s="203">
        <v>0.8</v>
      </c>
      <c r="E41" s="203">
        <v>380</v>
      </c>
      <c r="F41" s="203">
        <v>0.85</v>
      </c>
      <c r="G41" s="764">
        <f t="shared" si="3"/>
        <v>0</v>
      </c>
      <c r="H41" s="764"/>
      <c r="I41" s="764">
        <f t="shared" si="2"/>
        <v>0</v>
      </c>
      <c r="J41" s="764" t="s">
        <v>2668</v>
      </c>
    </row>
    <row r="42" ht="17.4" spans="1:10">
      <c r="A42" s="764">
        <v>10</v>
      </c>
      <c r="B42" s="764" t="s">
        <v>2667</v>
      </c>
      <c r="C42" s="764"/>
      <c r="D42" s="203">
        <v>0.8</v>
      </c>
      <c r="E42" s="203">
        <v>380</v>
      </c>
      <c r="F42" s="203">
        <v>0.85</v>
      </c>
      <c r="G42" s="764">
        <f t="shared" si="3"/>
        <v>0</v>
      </c>
      <c r="H42" s="764"/>
      <c r="I42" s="764">
        <f t="shared" si="2"/>
        <v>0</v>
      </c>
      <c r="J42" s="764" t="s">
        <v>2668</v>
      </c>
    </row>
    <row r="43" ht="17.4" spans="1:10">
      <c r="A43" s="764" t="s">
        <v>2391</v>
      </c>
      <c r="B43" s="764"/>
      <c r="C43" s="764">
        <f>SUM(C33:C42)</f>
        <v>771.4</v>
      </c>
      <c r="D43" s="203"/>
      <c r="E43" s="203"/>
      <c r="F43" s="769" t="s">
        <v>2669</v>
      </c>
      <c r="G43" s="764">
        <f>SUM(G33:G42)</f>
        <v>655.48</v>
      </c>
      <c r="H43" s="764">
        <f>SUM(H33:H42)</f>
        <v>0</v>
      </c>
      <c r="I43" s="764">
        <f>SUM(I33:I42)</f>
        <v>1244.91005226693</v>
      </c>
      <c r="J43" s="764"/>
    </row>
    <row r="44" ht="17.4" spans="1:10">
      <c r="A44" s="764" t="s">
        <v>914</v>
      </c>
      <c r="B44" s="764"/>
      <c r="C44" s="764" t="s">
        <v>2670</v>
      </c>
      <c r="D44" s="203"/>
      <c r="E44" s="203"/>
      <c r="F44" s="203">
        <f>SUM(F33:F42)/10</f>
        <v>0.82</v>
      </c>
      <c r="G44" s="764" t="s">
        <v>2670</v>
      </c>
      <c r="H44" s="764"/>
      <c r="I44" s="764" t="s">
        <v>2671</v>
      </c>
      <c r="J44" s="764"/>
    </row>
    <row r="45" ht="17.4" spans="1:10">
      <c r="A45" s="770"/>
      <c r="B45" s="771"/>
      <c r="C45" s="771"/>
      <c r="D45" s="772"/>
      <c r="E45" s="772"/>
      <c r="F45" s="772"/>
      <c r="G45" s="771"/>
      <c r="H45" s="771"/>
      <c r="I45" s="779"/>
      <c r="J45" s="779"/>
    </row>
    <row r="46" ht="24.75" customHeight="1" spans="1:8">
      <c r="A46" s="773" t="s">
        <v>2672</v>
      </c>
      <c r="B46" s="774"/>
      <c r="C46" s="774"/>
      <c r="D46" s="774"/>
      <c r="E46" s="774"/>
      <c r="F46" s="774"/>
      <c r="G46" s="774"/>
      <c r="H46" s="774"/>
    </row>
    <row r="47" ht="31.2" spans="1:12">
      <c r="A47" s="765" t="s">
        <v>2673</v>
      </c>
      <c r="B47" s="766" t="s">
        <v>2674</v>
      </c>
      <c r="C47" s="775" t="s">
        <v>2675</v>
      </c>
      <c r="D47" s="775" t="s">
        <v>2676</v>
      </c>
      <c r="E47" s="775" t="s">
        <v>2677</v>
      </c>
      <c r="F47" s="766" t="s">
        <v>99</v>
      </c>
      <c r="G47" s="766" t="s">
        <v>2678</v>
      </c>
      <c r="H47" s="775" t="s">
        <v>2679</v>
      </c>
      <c r="K47" s="780" t="s">
        <v>2648</v>
      </c>
      <c r="L47" s="780"/>
    </row>
    <row r="48" spans="1:12">
      <c r="A48" s="203"/>
      <c r="B48" s="203"/>
      <c r="C48" s="203" t="s">
        <v>161</v>
      </c>
      <c r="D48" s="203" t="s">
        <v>159</v>
      </c>
      <c r="E48" s="203" t="s">
        <v>2680</v>
      </c>
      <c r="F48" s="203" t="s">
        <v>2681</v>
      </c>
      <c r="G48" s="203" t="s">
        <v>124</v>
      </c>
      <c r="H48" s="203" t="s">
        <v>2682</v>
      </c>
      <c r="K48" s="765"/>
      <c r="L48" s="781" t="s">
        <v>2649</v>
      </c>
    </row>
    <row r="49" spans="1:12">
      <c r="A49" s="203">
        <v>350</v>
      </c>
      <c r="B49" s="203">
        <v>0.85</v>
      </c>
      <c r="C49" s="731">
        <f t="shared" ref="C49:C59" si="4">A49*B49/F49</f>
        <v>330.555555555556</v>
      </c>
      <c r="D49" s="203">
        <f t="shared" ref="D49:D59" si="5">F49*C49</f>
        <v>297.5</v>
      </c>
      <c r="E49" s="731">
        <f t="shared" ref="E49:E59" si="6">C49*SQRT(1-POWER(F49,2))</f>
        <v>144.085826189261</v>
      </c>
      <c r="F49" s="203">
        <v>0.9</v>
      </c>
      <c r="G49" s="203">
        <v>400</v>
      </c>
      <c r="H49" s="776">
        <f t="shared" ref="H49:H59" si="7">C49/G49</f>
        <v>0.826388888888889</v>
      </c>
      <c r="K49" s="765"/>
      <c r="L49" s="781"/>
    </row>
    <row r="50" spans="1:12">
      <c r="A50" s="203">
        <v>360</v>
      </c>
      <c r="B50" s="203">
        <v>0.85</v>
      </c>
      <c r="C50" s="731">
        <f t="shared" si="4"/>
        <v>340</v>
      </c>
      <c r="D50" s="203">
        <f t="shared" si="5"/>
        <v>306</v>
      </c>
      <c r="E50" s="731">
        <f t="shared" si="6"/>
        <v>148.202564080383</v>
      </c>
      <c r="F50" s="203">
        <v>0.9</v>
      </c>
      <c r="G50" s="203">
        <v>400</v>
      </c>
      <c r="H50" s="776">
        <f t="shared" si="7"/>
        <v>0.85</v>
      </c>
      <c r="K50" s="782"/>
      <c r="L50" s="783" t="s">
        <v>2650</v>
      </c>
    </row>
    <row r="51" spans="1:12">
      <c r="A51" s="203">
        <v>370</v>
      </c>
      <c r="B51" s="203">
        <v>0.85</v>
      </c>
      <c r="C51" s="731">
        <f t="shared" si="4"/>
        <v>349.444444444444</v>
      </c>
      <c r="D51" s="203">
        <f t="shared" si="5"/>
        <v>314.5</v>
      </c>
      <c r="E51" s="731">
        <f t="shared" si="6"/>
        <v>152.319301971505</v>
      </c>
      <c r="F51" s="203">
        <v>0.9</v>
      </c>
      <c r="G51" s="203">
        <v>400</v>
      </c>
      <c r="H51" s="776">
        <f t="shared" si="7"/>
        <v>0.873611111111111</v>
      </c>
      <c r="K51" s="784"/>
      <c r="L51" s="785"/>
    </row>
    <row r="52" spans="1:12">
      <c r="A52" s="203">
        <v>380</v>
      </c>
      <c r="B52" s="203">
        <v>0.85</v>
      </c>
      <c r="C52" s="731">
        <f t="shared" si="4"/>
        <v>358.888888888889</v>
      </c>
      <c r="D52" s="203">
        <f t="shared" si="5"/>
        <v>323</v>
      </c>
      <c r="E52" s="731">
        <f t="shared" si="6"/>
        <v>156.436039862626</v>
      </c>
      <c r="F52" s="203">
        <v>0.9</v>
      </c>
      <c r="G52" s="203">
        <v>400</v>
      </c>
      <c r="H52" s="776">
        <f t="shared" si="7"/>
        <v>0.897222222222222</v>
      </c>
      <c r="K52" s="784"/>
      <c r="L52" s="786"/>
    </row>
    <row r="53" spans="1:12">
      <c r="A53" s="203">
        <v>388</v>
      </c>
      <c r="B53" s="203">
        <v>0.85</v>
      </c>
      <c r="C53" s="731">
        <f t="shared" si="4"/>
        <v>366.444444444444</v>
      </c>
      <c r="D53" s="203">
        <f t="shared" si="5"/>
        <v>329.8</v>
      </c>
      <c r="E53" s="731">
        <f t="shared" si="6"/>
        <v>159.729430175524</v>
      </c>
      <c r="F53" s="203">
        <v>0.9</v>
      </c>
      <c r="G53" s="203">
        <v>400</v>
      </c>
      <c r="H53" s="776">
        <f t="shared" si="7"/>
        <v>0.916111111111111</v>
      </c>
      <c r="K53" s="787"/>
      <c r="L53" s="781" t="s">
        <v>2651</v>
      </c>
    </row>
    <row r="54" spans="1:12">
      <c r="A54" s="203">
        <v>388</v>
      </c>
      <c r="B54" s="203">
        <v>0.85</v>
      </c>
      <c r="C54" s="731">
        <f t="shared" si="4"/>
        <v>366.444444444444</v>
      </c>
      <c r="D54" s="203">
        <f t="shared" si="5"/>
        <v>329.8</v>
      </c>
      <c r="E54" s="731">
        <f t="shared" si="6"/>
        <v>159.729430175524</v>
      </c>
      <c r="F54" s="203">
        <v>0.9</v>
      </c>
      <c r="G54" s="203">
        <v>400</v>
      </c>
      <c r="H54" s="776">
        <f t="shared" si="7"/>
        <v>0.916111111111111</v>
      </c>
      <c r="K54" s="788"/>
      <c r="L54" s="781"/>
    </row>
    <row r="55" spans="1:12">
      <c r="A55" s="203">
        <v>690</v>
      </c>
      <c r="B55" s="203">
        <v>0.85</v>
      </c>
      <c r="C55" s="731">
        <f t="shared" si="4"/>
        <v>617.368421052632</v>
      </c>
      <c r="D55" s="203">
        <f t="shared" si="5"/>
        <v>586.5</v>
      </c>
      <c r="E55" s="731">
        <f t="shared" si="6"/>
        <v>192.773227687403</v>
      </c>
      <c r="F55" s="203">
        <v>0.95</v>
      </c>
      <c r="G55" s="203">
        <v>630</v>
      </c>
      <c r="H55" s="776">
        <f t="shared" si="7"/>
        <v>0.979949874686717</v>
      </c>
      <c r="K55" s="789"/>
      <c r="L55" s="781"/>
    </row>
    <row r="56" spans="1:8">
      <c r="A56" s="203">
        <v>690</v>
      </c>
      <c r="B56" s="203">
        <v>0.7</v>
      </c>
      <c r="C56" s="731">
        <f t="shared" si="4"/>
        <v>536.666666666667</v>
      </c>
      <c r="D56" s="203">
        <f t="shared" si="5"/>
        <v>483</v>
      </c>
      <c r="E56" s="731">
        <f t="shared" si="6"/>
        <v>233.927576636683</v>
      </c>
      <c r="F56" s="203">
        <v>0.9</v>
      </c>
      <c r="G56" s="203">
        <v>630</v>
      </c>
      <c r="H56" s="776">
        <f t="shared" si="7"/>
        <v>0.851851851851852</v>
      </c>
    </row>
    <row r="57" spans="1:8">
      <c r="A57" s="203">
        <v>690</v>
      </c>
      <c r="B57" s="203">
        <v>0.6</v>
      </c>
      <c r="C57" s="731">
        <f t="shared" si="4"/>
        <v>460</v>
      </c>
      <c r="D57" s="203">
        <f t="shared" si="5"/>
        <v>414</v>
      </c>
      <c r="E57" s="731">
        <f t="shared" si="6"/>
        <v>200.509351402871</v>
      </c>
      <c r="F57" s="203">
        <v>0.9</v>
      </c>
      <c r="G57" s="203">
        <v>630</v>
      </c>
      <c r="H57" s="776">
        <f t="shared" si="7"/>
        <v>0.73015873015873</v>
      </c>
    </row>
    <row r="58" spans="1:8">
      <c r="A58" s="203">
        <v>690</v>
      </c>
      <c r="B58" s="203">
        <v>0.85</v>
      </c>
      <c r="C58" s="731">
        <f t="shared" si="4"/>
        <v>651.666666666667</v>
      </c>
      <c r="D58" s="203">
        <f t="shared" si="5"/>
        <v>586.5</v>
      </c>
      <c r="E58" s="731">
        <f t="shared" si="6"/>
        <v>284.0549144874</v>
      </c>
      <c r="F58" s="203">
        <v>0.9</v>
      </c>
      <c r="G58" s="203">
        <v>630</v>
      </c>
      <c r="H58" s="776">
        <f t="shared" si="7"/>
        <v>1.03439153439153</v>
      </c>
    </row>
    <row r="59" spans="1:8">
      <c r="A59" s="203">
        <v>690</v>
      </c>
      <c r="B59" s="203">
        <v>0.85</v>
      </c>
      <c r="C59" s="731">
        <f t="shared" si="4"/>
        <v>617.368421052632</v>
      </c>
      <c r="D59" s="203">
        <f t="shared" si="5"/>
        <v>586.5</v>
      </c>
      <c r="E59" s="731">
        <f t="shared" si="6"/>
        <v>192.773227687403</v>
      </c>
      <c r="F59" s="203">
        <v>0.95</v>
      </c>
      <c r="G59" s="203">
        <v>630</v>
      </c>
      <c r="H59" s="776">
        <f t="shared" si="7"/>
        <v>0.979949874686717</v>
      </c>
    </row>
    <row r="60" ht="20.25" customHeight="1"/>
    <row r="61" ht="22.5" customHeight="1" spans="1:13">
      <c r="A61" s="685" t="s">
        <v>2683</v>
      </c>
      <c r="B61" s="685"/>
      <c r="C61" s="685"/>
      <c r="D61" s="685"/>
      <c r="E61" s="685"/>
      <c r="F61" s="685"/>
      <c r="G61" s="685"/>
      <c r="H61" s="685"/>
      <c r="I61" s="685"/>
      <c r="J61" s="685"/>
      <c r="K61" s="685"/>
      <c r="L61" s="685"/>
      <c r="M61" s="685"/>
    </row>
    <row r="62" ht="46.8" spans="1:13">
      <c r="A62" s="686" t="s">
        <v>8</v>
      </c>
      <c r="B62" s="687" t="s">
        <v>2299</v>
      </c>
      <c r="C62" s="688" t="s">
        <v>2684</v>
      </c>
      <c r="D62" s="689" t="s">
        <v>2685</v>
      </c>
      <c r="E62" s="689" t="s">
        <v>2686</v>
      </c>
      <c r="F62" s="687" t="s">
        <v>2687</v>
      </c>
      <c r="G62" s="687" t="s">
        <v>2688</v>
      </c>
      <c r="H62" s="690" t="s">
        <v>2689</v>
      </c>
      <c r="I62" s="690" t="s">
        <v>2690</v>
      </c>
      <c r="J62" s="705" t="s">
        <v>2691</v>
      </c>
      <c r="K62" s="705" t="s">
        <v>2692</v>
      </c>
      <c r="L62" s="706" t="s">
        <v>2693</v>
      </c>
      <c r="M62" s="705" t="s">
        <v>2694</v>
      </c>
    </row>
    <row r="63" ht="30" customHeight="1" spans="1:13">
      <c r="A63" s="691">
        <v>1</v>
      </c>
      <c r="B63" s="691"/>
      <c r="C63" s="692">
        <v>37</v>
      </c>
      <c r="D63" s="353">
        <v>0.85</v>
      </c>
      <c r="E63" s="353">
        <v>0.8</v>
      </c>
      <c r="F63" s="353">
        <v>380</v>
      </c>
      <c r="G63" s="691" t="s">
        <v>2668</v>
      </c>
      <c r="H63" s="693">
        <f>I63/E63</f>
        <v>39.3125</v>
      </c>
      <c r="I63" s="708">
        <f t="shared" ref="I63:I72" si="8">C63*D63</f>
        <v>31.45</v>
      </c>
      <c r="J63" s="693">
        <f>SQRT(H63*H63-I63*I63)</f>
        <v>23.5875</v>
      </c>
      <c r="K63" s="693">
        <f t="shared" ref="K63:K72" si="9">I63*1000/(1.732*F63*E63)</f>
        <v>59.7309164944694</v>
      </c>
      <c r="L63" s="709">
        <v>400</v>
      </c>
      <c r="M63" s="710">
        <f>H63/L63</f>
        <v>0.09828125</v>
      </c>
    </row>
    <row r="64" ht="30" customHeight="1" spans="1:13">
      <c r="A64" s="691">
        <v>2</v>
      </c>
      <c r="B64" s="691"/>
      <c r="C64" s="692">
        <v>37</v>
      </c>
      <c r="D64" s="353">
        <v>0.85</v>
      </c>
      <c r="E64" s="353">
        <v>0.8</v>
      </c>
      <c r="F64" s="353">
        <v>380</v>
      </c>
      <c r="G64" s="691" t="s">
        <v>2668</v>
      </c>
      <c r="H64" s="693">
        <f t="shared" ref="H64:H72" si="10">I64/E64</f>
        <v>39.3125</v>
      </c>
      <c r="I64" s="708">
        <f t="shared" si="8"/>
        <v>31.45</v>
      </c>
      <c r="J64" s="693">
        <f t="shared" ref="J64:J72" si="11">SQRT(H64*H64-I64*I64)</f>
        <v>23.5875</v>
      </c>
      <c r="K64" s="693">
        <f t="shared" si="9"/>
        <v>59.7309164944694</v>
      </c>
      <c r="L64" s="709">
        <v>400</v>
      </c>
      <c r="M64" s="710">
        <f t="shared" ref="M64:M73" si="12">H64/L64</f>
        <v>0.09828125</v>
      </c>
    </row>
    <row r="65" ht="30" customHeight="1" spans="1:13">
      <c r="A65" s="691">
        <v>3</v>
      </c>
      <c r="B65" s="691"/>
      <c r="C65" s="692">
        <v>23.4</v>
      </c>
      <c r="D65" s="353">
        <v>0.85</v>
      </c>
      <c r="E65" s="353">
        <v>0.8</v>
      </c>
      <c r="F65" s="353">
        <v>380</v>
      </c>
      <c r="G65" s="691" t="s">
        <v>2668</v>
      </c>
      <c r="H65" s="693">
        <f t="shared" si="10"/>
        <v>24.8625</v>
      </c>
      <c r="I65" s="708">
        <f t="shared" si="8"/>
        <v>19.89</v>
      </c>
      <c r="J65" s="693">
        <f t="shared" si="11"/>
        <v>14.9175</v>
      </c>
      <c r="K65" s="693">
        <f t="shared" si="9"/>
        <v>37.7757688100158</v>
      </c>
      <c r="L65" s="709">
        <v>400</v>
      </c>
      <c r="M65" s="710">
        <f t="shared" si="12"/>
        <v>0.06215625</v>
      </c>
    </row>
    <row r="66" ht="30" customHeight="1" spans="1:13">
      <c r="A66" s="691">
        <v>4</v>
      </c>
      <c r="B66" s="691"/>
      <c r="C66" s="692">
        <v>23.4</v>
      </c>
      <c r="D66" s="353">
        <v>0.85</v>
      </c>
      <c r="E66" s="353">
        <v>0.8</v>
      </c>
      <c r="F66" s="353">
        <v>380</v>
      </c>
      <c r="G66" s="691" t="s">
        <v>2668</v>
      </c>
      <c r="H66" s="693">
        <f t="shared" si="10"/>
        <v>24.8625</v>
      </c>
      <c r="I66" s="708">
        <f t="shared" si="8"/>
        <v>19.89</v>
      </c>
      <c r="J66" s="693">
        <f t="shared" si="11"/>
        <v>14.9175</v>
      </c>
      <c r="K66" s="693">
        <f t="shared" si="9"/>
        <v>37.7757688100158</v>
      </c>
      <c r="L66" s="709">
        <v>400</v>
      </c>
      <c r="M66" s="710">
        <f t="shared" si="12"/>
        <v>0.06215625</v>
      </c>
    </row>
    <row r="67" ht="30" customHeight="1" spans="1:13">
      <c r="A67" s="691">
        <v>5</v>
      </c>
      <c r="B67" s="691"/>
      <c r="C67" s="692">
        <v>0</v>
      </c>
      <c r="D67" s="353">
        <v>0.75</v>
      </c>
      <c r="E67" s="353">
        <v>0.8</v>
      </c>
      <c r="F67" s="353">
        <v>380</v>
      </c>
      <c r="G67" s="691" t="s">
        <v>2668</v>
      </c>
      <c r="H67" s="693">
        <f t="shared" si="10"/>
        <v>0</v>
      </c>
      <c r="I67" s="708">
        <f t="shared" si="8"/>
        <v>0</v>
      </c>
      <c r="J67" s="693">
        <f t="shared" si="11"/>
        <v>0</v>
      </c>
      <c r="K67" s="693">
        <f t="shared" si="9"/>
        <v>0</v>
      </c>
      <c r="L67" s="709">
        <v>1000</v>
      </c>
      <c r="M67" s="710">
        <f t="shared" si="12"/>
        <v>0</v>
      </c>
    </row>
    <row r="68" ht="30" customHeight="1" spans="1:13">
      <c r="A68" s="691">
        <v>6</v>
      </c>
      <c r="B68" s="691"/>
      <c r="C68" s="692">
        <v>0</v>
      </c>
      <c r="D68" s="353">
        <v>0.85</v>
      </c>
      <c r="E68" s="353">
        <v>0.8</v>
      </c>
      <c r="F68" s="353">
        <v>380</v>
      </c>
      <c r="G68" s="691" t="s">
        <v>2668</v>
      </c>
      <c r="H68" s="693">
        <f t="shared" si="10"/>
        <v>0</v>
      </c>
      <c r="I68" s="708">
        <f t="shared" si="8"/>
        <v>0</v>
      </c>
      <c r="J68" s="693">
        <f t="shared" si="11"/>
        <v>0</v>
      </c>
      <c r="K68" s="693">
        <f t="shared" si="9"/>
        <v>0</v>
      </c>
      <c r="L68" s="709">
        <v>400</v>
      </c>
      <c r="M68" s="710">
        <f t="shared" si="12"/>
        <v>0</v>
      </c>
    </row>
    <row r="69" ht="30" customHeight="1" spans="1:13">
      <c r="A69" s="691">
        <v>7</v>
      </c>
      <c r="B69" s="691"/>
      <c r="C69" s="692">
        <v>0</v>
      </c>
      <c r="D69" s="353">
        <v>0.8</v>
      </c>
      <c r="E69" s="353">
        <v>0.85</v>
      </c>
      <c r="F69" s="353">
        <v>380</v>
      </c>
      <c r="G69" s="691" t="s">
        <v>2668</v>
      </c>
      <c r="H69" s="693">
        <f t="shared" si="10"/>
        <v>0</v>
      </c>
      <c r="I69" s="708">
        <f t="shared" si="8"/>
        <v>0</v>
      </c>
      <c r="J69" s="693">
        <f t="shared" si="11"/>
        <v>0</v>
      </c>
      <c r="K69" s="693">
        <f t="shared" si="9"/>
        <v>0</v>
      </c>
      <c r="L69" s="709">
        <v>400</v>
      </c>
      <c r="M69" s="710">
        <f t="shared" si="12"/>
        <v>0</v>
      </c>
    </row>
    <row r="70" ht="30" customHeight="1" spans="1:13">
      <c r="A70" s="691">
        <v>8</v>
      </c>
      <c r="B70" s="691"/>
      <c r="C70" s="692">
        <v>0</v>
      </c>
      <c r="D70" s="353">
        <v>0.8</v>
      </c>
      <c r="E70" s="353">
        <v>0.85</v>
      </c>
      <c r="F70" s="353">
        <v>380</v>
      </c>
      <c r="G70" s="691" t="s">
        <v>2668</v>
      </c>
      <c r="H70" s="693">
        <f t="shared" si="10"/>
        <v>0</v>
      </c>
      <c r="I70" s="708">
        <f t="shared" si="8"/>
        <v>0</v>
      </c>
      <c r="J70" s="693">
        <f t="shared" si="11"/>
        <v>0</v>
      </c>
      <c r="K70" s="693">
        <f t="shared" si="9"/>
        <v>0</v>
      </c>
      <c r="L70" s="709">
        <v>400</v>
      </c>
      <c r="M70" s="710">
        <f t="shared" si="12"/>
        <v>0</v>
      </c>
    </row>
    <row r="71" ht="30" customHeight="1" spans="1:13">
      <c r="A71" s="691">
        <v>9</v>
      </c>
      <c r="B71" s="691"/>
      <c r="C71" s="692">
        <v>0</v>
      </c>
      <c r="D71" s="353">
        <v>0.8</v>
      </c>
      <c r="E71" s="353">
        <v>0.85</v>
      </c>
      <c r="F71" s="353">
        <v>380</v>
      </c>
      <c r="G71" s="691" t="s">
        <v>2668</v>
      </c>
      <c r="H71" s="693">
        <f t="shared" si="10"/>
        <v>0</v>
      </c>
      <c r="I71" s="708">
        <f t="shared" si="8"/>
        <v>0</v>
      </c>
      <c r="J71" s="693">
        <f t="shared" si="11"/>
        <v>0</v>
      </c>
      <c r="K71" s="693">
        <f t="shared" si="9"/>
        <v>0</v>
      </c>
      <c r="L71" s="709">
        <v>400</v>
      </c>
      <c r="M71" s="710">
        <f t="shared" si="12"/>
        <v>0</v>
      </c>
    </row>
    <row r="72" ht="30" customHeight="1" spans="1:13">
      <c r="A72" s="691">
        <v>10</v>
      </c>
      <c r="B72" s="691"/>
      <c r="C72" s="692">
        <v>0</v>
      </c>
      <c r="D72" s="353">
        <v>0.8</v>
      </c>
      <c r="E72" s="353">
        <v>0.85</v>
      </c>
      <c r="F72" s="353">
        <v>380</v>
      </c>
      <c r="G72" s="691" t="s">
        <v>2668</v>
      </c>
      <c r="H72" s="693">
        <f t="shared" si="10"/>
        <v>0</v>
      </c>
      <c r="I72" s="708">
        <f t="shared" si="8"/>
        <v>0</v>
      </c>
      <c r="J72" s="693">
        <f t="shared" si="11"/>
        <v>0</v>
      </c>
      <c r="K72" s="693">
        <f t="shared" si="9"/>
        <v>0</v>
      </c>
      <c r="L72" s="709">
        <v>400</v>
      </c>
      <c r="M72" s="710">
        <f t="shared" si="12"/>
        <v>0</v>
      </c>
    </row>
    <row r="73" ht="83.25" customHeight="1" spans="1:13">
      <c r="A73" s="694" t="s">
        <v>2391</v>
      </c>
      <c r="B73" s="695" t="str">
        <f>"总负荷:Pe="&amp;SUM(C63:C72)&amp;"(KW)"</f>
        <v>总负荷:Pe=120.8(KW)</v>
      </c>
      <c r="C73" s="696"/>
      <c r="D73" s="697" t="str">
        <f>"平均功率因数="&amp;SUM(E63:E72)/10</f>
        <v>平均功率因数=0.82</v>
      </c>
      <c r="E73" s="698"/>
      <c r="F73" s="699"/>
      <c r="G73" s="790" t="s">
        <v>2695</v>
      </c>
      <c r="H73" s="701">
        <f>SUM(H63:H72)</f>
        <v>128.35</v>
      </c>
      <c r="I73" s="711" t="str">
        <f>"有功功率:Pj="&amp;""&amp;SUM(I63:I72)&amp;"(KW)"</f>
        <v>有功功率:Pj=102.68(KW)</v>
      </c>
      <c r="J73" s="712" t="str">
        <f>"无功功率:
Qjs="&amp;SUM(J63:J72)&amp;"(Kvar)"</f>
        <v>无功功率:
Qjs=77.01(Kvar)</v>
      </c>
      <c r="K73" s="713" t="str">
        <f>"有功电流:Ijs="&amp;SUM(K63:K72)&amp;" (A)"</f>
        <v>有功电流:Ijs=195.01337060897 (A)</v>
      </c>
      <c r="L73" s="714">
        <v>1600</v>
      </c>
      <c r="M73" s="710">
        <f t="shared" si="12"/>
        <v>0.08021875</v>
      </c>
    </row>
    <row r="74" customFormat="1" spans="8:13">
      <c r="H74" s="682"/>
      <c r="I74" s="682"/>
      <c r="J74" s="682"/>
      <c r="K74" s="682"/>
      <c r="L74" s="683"/>
      <c r="M74" s="684"/>
    </row>
    <row r="76" ht="21.75" customHeight="1" spans="1:10">
      <c r="A76" s="791" t="s">
        <v>2696</v>
      </c>
      <c r="B76" s="791"/>
      <c r="C76" s="791"/>
      <c r="D76" s="792"/>
      <c r="E76" s="792"/>
      <c r="I76" s="780" t="s">
        <v>2648</v>
      </c>
      <c r="J76" s="780"/>
    </row>
    <row r="77" spans="1:10">
      <c r="A77" s="765" t="s">
        <v>2697</v>
      </c>
      <c r="B77" s="793" t="s">
        <v>2698</v>
      </c>
      <c r="C77" s="775" t="s">
        <v>2699</v>
      </c>
      <c r="D77" s="766" t="s">
        <v>2700</v>
      </c>
      <c r="E77" s="775" t="s">
        <v>2701</v>
      </c>
      <c r="F77" s="794"/>
      <c r="G77" s="794"/>
      <c r="I77" s="765"/>
      <c r="J77" s="781" t="s">
        <v>2649</v>
      </c>
    </row>
    <row r="78" spans="1:10">
      <c r="A78" s="203">
        <v>80</v>
      </c>
      <c r="B78" s="203">
        <v>10</v>
      </c>
      <c r="C78" s="731">
        <f t="shared" ref="C78:C84" si="13">A78/1.732/B78</f>
        <v>4.6189376443418</v>
      </c>
      <c r="D78" s="203">
        <v>0.4</v>
      </c>
      <c r="E78" s="731">
        <f t="shared" ref="E78:E84" si="14">A78/1.732/D78</f>
        <v>115.473441108545</v>
      </c>
      <c r="I78" s="765"/>
      <c r="J78" s="781"/>
    </row>
    <row r="79" spans="1:10">
      <c r="A79" s="203">
        <v>100</v>
      </c>
      <c r="B79" s="203">
        <v>10</v>
      </c>
      <c r="C79" s="731">
        <f t="shared" si="13"/>
        <v>5.77367205542725</v>
      </c>
      <c r="D79" s="203">
        <v>0.4</v>
      </c>
      <c r="E79" s="731">
        <f t="shared" si="14"/>
        <v>144.341801385681</v>
      </c>
      <c r="I79" s="782"/>
      <c r="J79" s="783" t="s">
        <v>2650</v>
      </c>
    </row>
    <row r="80" spans="1:10">
      <c r="A80" s="203">
        <v>125</v>
      </c>
      <c r="B80" s="203">
        <v>10</v>
      </c>
      <c r="C80" s="731">
        <f t="shared" si="13"/>
        <v>7.21709006928406</v>
      </c>
      <c r="D80" s="203">
        <v>0.4</v>
      </c>
      <c r="E80" s="731">
        <f t="shared" si="14"/>
        <v>180.427251732102</v>
      </c>
      <c r="I80" s="784"/>
      <c r="J80" s="785"/>
    </row>
    <row r="81" spans="1:10">
      <c r="A81" s="203">
        <v>160</v>
      </c>
      <c r="B81" s="203">
        <v>10</v>
      </c>
      <c r="C81" s="731">
        <f t="shared" si="13"/>
        <v>9.2378752886836</v>
      </c>
      <c r="D81" s="203">
        <v>0.4</v>
      </c>
      <c r="E81" s="731">
        <f t="shared" si="14"/>
        <v>230.94688221709</v>
      </c>
      <c r="I81" s="784"/>
      <c r="J81" s="786"/>
    </row>
    <row r="82" spans="1:10">
      <c r="A82" s="203">
        <v>200</v>
      </c>
      <c r="B82" s="203">
        <v>10</v>
      </c>
      <c r="C82" s="731">
        <f t="shared" si="13"/>
        <v>11.5473441108545</v>
      </c>
      <c r="D82" s="203">
        <v>0.4</v>
      </c>
      <c r="E82" s="731">
        <f t="shared" si="14"/>
        <v>288.683602771363</v>
      </c>
      <c r="I82" s="787"/>
      <c r="J82" s="781" t="s">
        <v>2651</v>
      </c>
    </row>
    <row r="83" spans="1:10">
      <c r="A83" s="203">
        <v>250</v>
      </c>
      <c r="B83" s="203">
        <v>10</v>
      </c>
      <c r="C83" s="731">
        <f t="shared" si="13"/>
        <v>14.4341801385681</v>
      </c>
      <c r="D83" s="203">
        <v>0.4</v>
      </c>
      <c r="E83" s="731">
        <f t="shared" si="14"/>
        <v>360.854503464203</v>
      </c>
      <c r="I83" s="788"/>
      <c r="J83" s="781"/>
    </row>
    <row r="84" spans="1:10">
      <c r="A84" s="203">
        <v>315</v>
      </c>
      <c r="B84" s="203">
        <v>10</v>
      </c>
      <c r="C84" s="731">
        <f t="shared" si="13"/>
        <v>18.1870669745958</v>
      </c>
      <c r="D84" s="203">
        <v>0.4</v>
      </c>
      <c r="E84" s="731">
        <f t="shared" si="14"/>
        <v>454.676674364896</v>
      </c>
      <c r="I84" s="789"/>
      <c r="J84" s="781"/>
    </row>
    <row r="85" spans="1:5">
      <c r="A85" s="203">
        <v>400</v>
      </c>
      <c r="B85" s="203">
        <v>10</v>
      </c>
      <c r="C85" s="731">
        <f t="shared" ref="C85:C99" si="15">A85/1.732/B85</f>
        <v>23.094688221709</v>
      </c>
      <c r="D85" s="203">
        <v>0.4</v>
      </c>
      <c r="E85" s="731">
        <f t="shared" ref="E85:E99" si="16">A85/1.732/D85</f>
        <v>577.367205542725</v>
      </c>
    </row>
    <row r="86" spans="1:5">
      <c r="A86" s="203">
        <v>500</v>
      </c>
      <c r="B86" s="203">
        <v>10</v>
      </c>
      <c r="C86" s="731">
        <f t="shared" si="15"/>
        <v>28.8683602771363</v>
      </c>
      <c r="D86" s="203">
        <v>0.4</v>
      </c>
      <c r="E86" s="731">
        <f t="shared" si="16"/>
        <v>721.709006928406</v>
      </c>
    </row>
    <row r="87" spans="1:8">
      <c r="A87" s="203">
        <v>630</v>
      </c>
      <c r="B87" s="203">
        <v>10</v>
      </c>
      <c r="C87" s="731">
        <f t="shared" si="15"/>
        <v>36.3741339491917</v>
      </c>
      <c r="D87" s="203">
        <v>0.4</v>
      </c>
      <c r="E87" s="731">
        <f t="shared" si="16"/>
        <v>909.353348729792</v>
      </c>
      <c r="H87" s="795"/>
    </row>
    <row r="88" spans="1:5">
      <c r="A88" s="203">
        <v>800</v>
      </c>
      <c r="B88" s="203">
        <v>10</v>
      </c>
      <c r="C88" s="731">
        <f t="shared" si="15"/>
        <v>46.189376443418</v>
      </c>
      <c r="D88" s="203">
        <v>0.4</v>
      </c>
      <c r="E88" s="731">
        <f t="shared" si="16"/>
        <v>1154.73441108545</v>
      </c>
    </row>
    <row r="89" spans="1:5">
      <c r="A89" s="203">
        <v>1000</v>
      </c>
      <c r="B89" s="203">
        <v>10</v>
      </c>
      <c r="C89" s="731">
        <f t="shared" si="15"/>
        <v>57.7367205542725</v>
      </c>
      <c r="D89" s="203">
        <v>0.4</v>
      </c>
      <c r="E89" s="731">
        <f t="shared" si="16"/>
        <v>1443.41801385681</v>
      </c>
    </row>
    <row r="90" spans="1:5">
      <c r="A90" s="203">
        <v>1250</v>
      </c>
      <c r="B90" s="203">
        <v>10</v>
      </c>
      <c r="C90" s="731">
        <f t="shared" si="15"/>
        <v>72.1709006928406</v>
      </c>
      <c r="D90" s="203">
        <v>0.4</v>
      </c>
      <c r="E90" s="731">
        <f t="shared" si="16"/>
        <v>1804.27251732102</v>
      </c>
    </row>
    <row r="91" spans="1:5">
      <c r="A91" s="203">
        <v>1600</v>
      </c>
      <c r="B91" s="203">
        <v>10</v>
      </c>
      <c r="C91" s="731">
        <f t="shared" si="15"/>
        <v>92.378752886836</v>
      </c>
      <c r="D91" s="203">
        <v>0.4</v>
      </c>
      <c r="E91" s="731">
        <f t="shared" si="16"/>
        <v>2309.4688221709</v>
      </c>
    </row>
    <row r="92" spans="1:5">
      <c r="A92" s="203">
        <v>2000</v>
      </c>
      <c r="B92" s="203">
        <v>10</v>
      </c>
      <c r="C92" s="731">
        <f t="shared" si="15"/>
        <v>115.473441108545</v>
      </c>
      <c r="D92" s="203">
        <v>0.4</v>
      </c>
      <c r="E92" s="731">
        <f t="shared" si="16"/>
        <v>2886.83602771363</v>
      </c>
    </row>
    <row r="93" spans="1:5">
      <c r="A93" s="203">
        <v>2500</v>
      </c>
      <c r="B93" s="203">
        <v>10</v>
      </c>
      <c r="C93" s="731">
        <f t="shared" si="15"/>
        <v>144.341801385681</v>
      </c>
      <c r="D93" s="203">
        <v>0.4</v>
      </c>
      <c r="E93" s="731">
        <f t="shared" si="16"/>
        <v>3608.54503464203</v>
      </c>
    </row>
    <row r="94" spans="1:5">
      <c r="A94" s="203">
        <v>3150</v>
      </c>
      <c r="B94" s="203">
        <v>10</v>
      </c>
      <c r="C94" s="731">
        <f t="shared" si="15"/>
        <v>181.870669745958</v>
      </c>
      <c r="D94" s="203">
        <v>0.4</v>
      </c>
      <c r="E94" s="731">
        <f t="shared" si="16"/>
        <v>4546.76674364896</v>
      </c>
    </row>
    <row r="95" spans="1:5">
      <c r="A95" s="203">
        <v>4000</v>
      </c>
      <c r="B95" s="203">
        <v>10</v>
      </c>
      <c r="C95" s="731">
        <f t="shared" si="15"/>
        <v>230.94688221709</v>
      </c>
      <c r="D95" s="203">
        <v>0.4</v>
      </c>
      <c r="E95" s="731">
        <f t="shared" si="16"/>
        <v>5773.67205542725</v>
      </c>
    </row>
    <row r="96" spans="1:5">
      <c r="A96" s="203">
        <v>5000</v>
      </c>
      <c r="B96" s="203">
        <v>10</v>
      </c>
      <c r="C96" s="731">
        <f t="shared" si="15"/>
        <v>288.683602771363</v>
      </c>
      <c r="D96" s="203">
        <v>0.4</v>
      </c>
      <c r="E96" s="731">
        <f t="shared" si="16"/>
        <v>7217.09006928406</v>
      </c>
    </row>
    <row r="97" spans="1:5">
      <c r="A97" s="203">
        <v>6300</v>
      </c>
      <c r="B97" s="203">
        <v>10</v>
      </c>
      <c r="C97" s="731">
        <f t="shared" si="15"/>
        <v>363.741339491917</v>
      </c>
      <c r="D97" s="203">
        <v>0.4</v>
      </c>
      <c r="E97" s="731">
        <f t="shared" si="16"/>
        <v>9093.53348729792</v>
      </c>
    </row>
    <row r="98" spans="1:5">
      <c r="A98" s="203">
        <v>8000</v>
      </c>
      <c r="B98" s="203">
        <v>10</v>
      </c>
      <c r="C98" s="731">
        <f t="shared" si="15"/>
        <v>461.89376443418</v>
      </c>
      <c r="D98" s="203">
        <v>0.4</v>
      </c>
      <c r="E98" s="731">
        <f t="shared" si="16"/>
        <v>11547.3441108545</v>
      </c>
    </row>
    <row r="99" spans="1:5">
      <c r="A99" s="203">
        <v>10000</v>
      </c>
      <c r="B99" s="203">
        <v>10</v>
      </c>
      <c r="C99" s="731">
        <f t="shared" si="15"/>
        <v>577.367205542725</v>
      </c>
      <c r="D99" s="203">
        <v>0.4</v>
      </c>
      <c r="E99" s="731">
        <f t="shared" si="16"/>
        <v>14434.1801385681</v>
      </c>
    </row>
    <row r="101" ht="28.5" customHeight="1" spans="1:7">
      <c r="A101" s="773" t="s">
        <v>2702</v>
      </c>
      <c r="B101" s="774"/>
      <c r="C101" s="774"/>
      <c r="D101" s="774"/>
      <c r="E101" s="774"/>
      <c r="F101" s="774"/>
      <c r="G101" s="774"/>
    </row>
    <row r="102" ht="31.2" spans="1:7">
      <c r="A102" s="765" t="s">
        <v>2703</v>
      </c>
      <c r="B102" s="765"/>
      <c r="C102" s="765" t="s">
        <v>2704</v>
      </c>
      <c r="D102" s="766" t="s">
        <v>2705</v>
      </c>
      <c r="E102" s="775" t="s">
        <v>2706</v>
      </c>
      <c r="F102" s="766" t="s">
        <v>2707</v>
      </c>
      <c r="G102" s="775" t="s">
        <v>2708</v>
      </c>
    </row>
    <row r="103" spans="1:7">
      <c r="A103" s="203">
        <v>4</v>
      </c>
      <c r="B103" s="203">
        <v>40</v>
      </c>
      <c r="C103" s="203">
        <v>1</v>
      </c>
      <c r="D103" s="796">
        <v>2700</v>
      </c>
      <c r="E103" s="203">
        <f t="shared" ref="E103:E108" si="17">D103*A103/1000*B103/1000*C103</f>
        <v>0.432</v>
      </c>
      <c r="F103" s="796">
        <v>26</v>
      </c>
      <c r="G103" s="203">
        <f t="shared" ref="G103:G108" si="18">E103*F103</f>
        <v>11.232</v>
      </c>
    </row>
    <row r="104" spans="1:7">
      <c r="A104" s="203">
        <v>5</v>
      </c>
      <c r="B104" s="203">
        <v>50</v>
      </c>
      <c r="C104" s="203">
        <v>1</v>
      </c>
      <c r="D104" s="796">
        <v>2700</v>
      </c>
      <c r="E104" s="203">
        <f t="shared" si="17"/>
        <v>0.675</v>
      </c>
      <c r="F104" s="796">
        <v>26</v>
      </c>
      <c r="G104" s="203">
        <f t="shared" si="18"/>
        <v>17.55</v>
      </c>
    </row>
    <row r="105" spans="1:7">
      <c r="A105" s="203">
        <v>6</v>
      </c>
      <c r="B105" s="203">
        <v>60</v>
      </c>
      <c r="C105" s="203">
        <v>1</v>
      </c>
      <c r="D105" s="796">
        <v>2700</v>
      </c>
      <c r="E105" s="203">
        <f t="shared" si="17"/>
        <v>0.972</v>
      </c>
      <c r="F105" s="796">
        <v>26</v>
      </c>
      <c r="G105" s="203">
        <f t="shared" si="18"/>
        <v>25.272</v>
      </c>
    </row>
    <row r="106" spans="1:7">
      <c r="A106" s="203">
        <v>8</v>
      </c>
      <c r="B106" s="203">
        <v>80</v>
      </c>
      <c r="C106" s="203">
        <v>1</v>
      </c>
      <c r="D106" s="796">
        <v>2700</v>
      </c>
      <c r="E106" s="203">
        <f t="shared" si="17"/>
        <v>1.728</v>
      </c>
      <c r="F106" s="796">
        <v>26</v>
      </c>
      <c r="G106" s="203">
        <f t="shared" si="18"/>
        <v>44.928</v>
      </c>
    </row>
    <row r="107" spans="1:7">
      <c r="A107" s="203">
        <v>10</v>
      </c>
      <c r="B107" s="203">
        <v>100</v>
      </c>
      <c r="C107" s="203">
        <v>1</v>
      </c>
      <c r="D107" s="796">
        <v>2700</v>
      </c>
      <c r="E107" s="203">
        <f t="shared" si="17"/>
        <v>2.7</v>
      </c>
      <c r="F107" s="796">
        <v>26</v>
      </c>
      <c r="G107" s="203">
        <f t="shared" si="18"/>
        <v>70.2</v>
      </c>
    </row>
    <row r="108" spans="1:7">
      <c r="A108" s="203"/>
      <c r="B108" s="203">
        <v>80</v>
      </c>
      <c r="C108" s="203">
        <v>9</v>
      </c>
      <c r="D108" s="796">
        <v>2700</v>
      </c>
      <c r="E108" s="203">
        <f t="shared" si="17"/>
        <v>0</v>
      </c>
      <c r="F108" s="796">
        <v>26</v>
      </c>
      <c r="G108" s="203">
        <f t="shared" si="18"/>
        <v>0</v>
      </c>
    </row>
    <row r="109" ht="21.75" customHeight="1" spans="9:10">
      <c r="I109" s="780" t="s">
        <v>2648</v>
      </c>
      <c r="J109" s="780"/>
    </row>
    <row r="110" ht="24" customHeight="1" spans="1:10">
      <c r="A110" s="773" t="s">
        <v>2709</v>
      </c>
      <c r="B110" s="774"/>
      <c r="C110" s="774"/>
      <c r="D110" s="774"/>
      <c r="E110" s="774"/>
      <c r="F110" s="774"/>
      <c r="G110" s="774"/>
      <c r="I110" s="765"/>
      <c r="J110" s="781" t="s">
        <v>2649</v>
      </c>
    </row>
    <row r="111" ht="31.2" spans="1:10">
      <c r="A111" s="765" t="s">
        <v>2703</v>
      </c>
      <c r="B111" s="765"/>
      <c r="C111" s="765" t="s">
        <v>2704</v>
      </c>
      <c r="D111" s="766" t="s">
        <v>2705</v>
      </c>
      <c r="E111" s="775" t="s">
        <v>2706</v>
      </c>
      <c r="F111" s="766" t="s">
        <v>2707</v>
      </c>
      <c r="G111" s="775" t="s">
        <v>2708</v>
      </c>
      <c r="I111" s="765"/>
      <c r="J111" s="781"/>
    </row>
    <row r="112" spans="1:10">
      <c r="A112" s="203">
        <v>4</v>
      </c>
      <c r="B112" s="203">
        <v>40</v>
      </c>
      <c r="C112" s="203">
        <v>1</v>
      </c>
      <c r="D112" s="796">
        <v>8900</v>
      </c>
      <c r="E112" s="203">
        <f t="shared" ref="E112:E117" si="19">D112*A112/1000*B112/1000*C112</f>
        <v>1.424</v>
      </c>
      <c r="F112" s="796">
        <v>86</v>
      </c>
      <c r="G112" s="203">
        <f t="shared" ref="G112:G117" si="20">E112*F112</f>
        <v>122.464</v>
      </c>
      <c r="I112" s="782"/>
      <c r="J112" s="783" t="s">
        <v>2650</v>
      </c>
    </row>
    <row r="113" spans="1:10">
      <c r="A113" s="203">
        <v>5</v>
      </c>
      <c r="B113" s="203">
        <v>50</v>
      </c>
      <c r="C113" s="203">
        <v>1</v>
      </c>
      <c r="D113" s="796">
        <v>8900</v>
      </c>
      <c r="E113" s="203">
        <f t="shared" si="19"/>
        <v>2.225</v>
      </c>
      <c r="F113" s="796">
        <v>86</v>
      </c>
      <c r="G113" s="203">
        <f t="shared" si="20"/>
        <v>191.35</v>
      </c>
      <c r="I113" s="784"/>
      <c r="J113" s="785"/>
    </row>
    <row r="114" spans="1:10">
      <c r="A114" s="203">
        <v>6</v>
      </c>
      <c r="B114" s="203">
        <v>60</v>
      </c>
      <c r="C114" s="203">
        <v>1</v>
      </c>
      <c r="D114" s="796">
        <v>8900</v>
      </c>
      <c r="E114" s="203">
        <f t="shared" si="19"/>
        <v>3.204</v>
      </c>
      <c r="F114" s="796">
        <v>86</v>
      </c>
      <c r="G114" s="203">
        <f t="shared" si="20"/>
        <v>275.544</v>
      </c>
      <c r="I114" s="784"/>
      <c r="J114" s="786"/>
    </row>
    <row r="115" spans="1:10">
      <c r="A115" s="203">
        <v>8</v>
      </c>
      <c r="B115" s="203">
        <v>80</v>
      </c>
      <c r="C115" s="203">
        <v>1</v>
      </c>
      <c r="D115" s="796">
        <v>8900</v>
      </c>
      <c r="E115" s="203">
        <f t="shared" si="19"/>
        <v>5.696</v>
      </c>
      <c r="F115" s="796">
        <v>86</v>
      </c>
      <c r="G115" s="203">
        <f t="shared" si="20"/>
        <v>489.856</v>
      </c>
      <c r="I115" s="787"/>
      <c r="J115" s="781" t="s">
        <v>2651</v>
      </c>
    </row>
    <row r="116" spans="1:10">
      <c r="A116" s="203">
        <v>10</v>
      </c>
      <c r="B116" s="203">
        <v>100</v>
      </c>
      <c r="C116" s="203">
        <v>1</v>
      </c>
      <c r="D116" s="796">
        <v>8900</v>
      </c>
      <c r="E116" s="203">
        <f t="shared" si="19"/>
        <v>8.9</v>
      </c>
      <c r="F116" s="796">
        <v>86</v>
      </c>
      <c r="G116" s="203">
        <f t="shared" si="20"/>
        <v>765.4</v>
      </c>
      <c r="I116" s="788"/>
      <c r="J116" s="781"/>
    </row>
    <row r="117" spans="1:10">
      <c r="A117" s="203"/>
      <c r="B117" s="203"/>
      <c r="C117" s="203"/>
      <c r="D117" s="796">
        <v>8900</v>
      </c>
      <c r="E117" s="203">
        <f t="shared" si="19"/>
        <v>0</v>
      </c>
      <c r="F117" s="796">
        <v>86</v>
      </c>
      <c r="G117" s="203">
        <f t="shared" si="20"/>
        <v>0</v>
      </c>
      <c r="I117" s="789"/>
      <c r="J117" s="781"/>
    </row>
    <row r="121" spans="1:7">
      <c r="A121" s="773" t="s">
        <v>2710</v>
      </c>
      <c r="B121" s="774"/>
      <c r="C121" s="774"/>
      <c r="D121" s="774"/>
      <c r="E121" s="774"/>
      <c r="F121" s="774"/>
      <c r="G121" s="774"/>
    </row>
    <row r="122" ht="33" customHeight="1" spans="1:6">
      <c r="A122" s="765" t="s">
        <v>2711</v>
      </c>
      <c r="B122" s="765" t="s">
        <v>2703</v>
      </c>
      <c r="C122" s="765" t="s">
        <v>2712</v>
      </c>
      <c r="D122" s="775" t="s">
        <v>2713</v>
      </c>
      <c r="E122" s="775" t="s">
        <v>2714</v>
      </c>
      <c r="F122" s="775" t="s">
        <v>2715</v>
      </c>
    </row>
    <row r="123" spans="1:6">
      <c r="A123" s="203">
        <v>2</v>
      </c>
      <c r="B123" s="203">
        <f t="shared" ref="B123:B128" si="21">3.14159*A123*A123/4</f>
        <v>3.14159</v>
      </c>
      <c r="C123" s="203">
        <v>1</v>
      </c>
      <c r="D123" s="203">
        <f t="shared" ref="D123:D128" si="22">B123*C123</f>
        <v>3.14159</v>
      </c>
      <c r="E123" s="796">
        <v>4</v>
      </c>
      <c r="F123" s="203">
        <f t="shared" ref="F123:F128" si="23">D123*100/E123</f>
        <v>78.53975</v>
      </c>
    </row>
    <row r="124" spans="1:6">
      <c r="A124" s="203">
        <v>2.36</v>
      </c>
      <c r="B124" s="203">
        <f t="shared" si="21"/>
        <v>4.374349916</v>
      </c>
      <c r="C124" s="203">
        <v>1</v>
      </c>
      <c r="D124" s="203">
        <f t="shared" si="22"/>
        <v>4.374349916</v>
      </c>
      <c r="E124" s="796">
        <v>6</v>
      </c>
      <c r="F124" s="203">
        <f t="shared" si="23"/>
        <v>72.9058319333333</v>
      </c>
    </row>
    <row r="125" spans="1:6">
      <c r="A125" s="203">
        <v>2.58</v>
      </c>
      <c r="B125" s="203">
        <f t="shared" si="21"/>
        <v>5.227919919</v>
      </c>
      <c r="C125" s="203">
        <v>1</v>
      </c>
      <c r="D125" s="203">
        <f t="shared" si="22"/>
        <v>5.227919919</v>
      </c>
      <c r="E125" s="796">
        <v>6</v>
      </c>
      <c r="F125" s="203">
        <f t="shared" si="23"/>
        <v>87.13199865</v>
      </c>
    </row>
    <row r="126" spans="1:6">
      <c r="A126" s="203">
        <v>1.89</v>
      </c>
      <c r="B126" s="203">
        <f t="shared" si="21"/>
        <v>2.80551840975</v>
      </c>
      <c r="C126" s="203">
        <v>7</v>
      </c>
      <c r="D126" s="203">
        <f t="shared" si="22"/>
        <v>19.63862886825</v>
      </c>
      <c r="E126" s="796">
        <v>25</v>
      </c>
      <c r="F126" s="203">
        <f t="shared" si="23"/>
        <v>78.554515473</v>
      </c>
    </row>
    <row r="127" spans="1:6">
      <c r="A127" s="203">
        <v>2</v>
      </c>
      <c r="B127" s="203">
        <f t="shared" si="21"/>
        <v>3.14159</v>
      </c>
      <c r="C127" s="203">
        <v>1</v>
      </c>
      <c r="D127" s="203">
        <f t="shared" si="22"/>
        <v>3.14159</v>
      </c>
      <c r="E127" s="796">
        <v>4</v>
      </c>
      <c r="F127" s="203">
        <f t="shared" si="23"/>
        <v>78.53975</v>
      </c>
    </row>
    <row r="128" spans="1:6">
      <c r="A128" s="203">
        <v>2</v>
      </c>
      <c r="B128" s="203">
        <f t="shared" si="21"/>
        <v>3.14159</v>
      </c>
      <c r="C128" s="203">
        <v>1</v>
      </c>
      <c r="D128" s="203">
        <f t="shared" si="22"/>
        <v>3.14159</v>
      </c>
      <c r="E128" s="796">
        <v>4</v>
      </c>
      <c r="F128" s="203">
        <f t="shared" si="23"/>
        <v>78.53975</v>
      </c>
    </row>
    <row r="131" ht="14.25" customHeight="1" spans="1:7">
      <c r="A131" s="773" t="s">
        <v>2716</v>
      </c>
      <c r="B131" s="774"/>
      <c r="C131" s="774"/>
      <c r="D131" s="774"/>
      <c r="E131" s="774"/>
      <c r="F131" s="774"/>
      <c r="G131" s="774"/>
    </row>
    <row r="132" ht="33" spans="1:10">
      <c r="A132" s="765" t="s">
        <v>2711</v>
      </c>
      <c r="B132" s="765" t="s">
        <v>2717</v>
      </c>
      <c r="C132" s="765" t="s">
        <v>2712</v>
      </c>
      <c r="D132" s="775" t="s">
        <v>2718</v>
      </c>
      <c r="E132" s="775" t="s">
        <v>2719</v>
      </c>
      <c r="F132" s="775" t="s">
        <v>2720</v>
      </c>
      <c r="G132" s="766" t="s">
        <v>2705</v>
      </c>
      <c r="H132" s="775" t="s">
        <v>2706</v>
      </c>
      <c r="I132" s="766" t="s">
        <v>2707</v>
      </c>
      <c r="J132" s="775" t="s">
        <v>2708</v>
      </c>
    </row>
    <row r="133" spans="1:10">
      <c r="A133" s="203">
        <v>1.8</v>
      </c>
      <c r="B133" s="203">
        <f t="shared" ref="B133:B138" si="24">3.14159*A133*A133/4</f>
        <v>2.5446879</v>
      </c>
      <c r="C133" s="203">
        <v>1</v>
      </c>
      <c r="D133" s="203">
        <f t="shared" ref="D133:D138" si="25">B133*C133</f>
        <v>2.5446879</v>
      </c>
      <c r="E133" s="796">
        <v>150</v>
      </c>
      <c r="F133" s="203">
        <f t="shared" ref="F133:F138" si="26">D133*E133/1000000</f>
        <v>0.000381703185</v>
      </c>
      <c r="G133" s="796">
        <v>8900</v>
      </c>
      <c r="H133" s="203">
        <f>F133*G133</f>
        <v>3.3971583465</v>
      </c>
      <c r="I133" s="203">
        <v>50</v>
      </c>
      <c r="J133" s="203">
        <f t="shared" ref="J133:J138" si="27">H133*I133</f>
        <v>169.857917325</v>
      </c>
    </row>
    <row r="134" spans="1:10">
      <c r="A134" s="203">
        <v>3</v>
      </c>
      <c r="B134" s="203">
        <f t="shared" si="24"/>
        <v>7.0685775</v>
      </c>
      <c r="C134" s="203">
        <v>1</v>
      </c>
      <c r="D134" s="203">
        <f t="shared" si="25"/>
        <v>7.0685775</v>
      </c>
      <c r="E134" s="796">
        <v>150</v>
      </c>
      <c r="F134" s="203">
        <f t="shared" si="26"/>
        <v>0.001060286625</v>
      </c>
      <c r="G134" s="796">
        <v>2700</v>
      </c>
      <c r="H134" s="203">
        <f>F134*G134</f>
        <v>2.8627738875</v>
      </c>
      <c r="I134" s="203">
        <v>15</v>
      </c>
      <c r="J134" s="203">
        <f t="shared" si="27"/>
        <v>42.9416083125</v>
      </c>
    </row>
    <row r="135" spans="1:10">
      <c r="A135" s="203">
        <v>3</v>
      </c>
      <c r="B135" s="203">
        <f t="shared" si="24"/>
        <v>7.0685775</v>
      </c>
      <c r="C135" s="203">
        <v>1</v>
      </c>
      <c r="D135" s="203">
        <f t="shared" si="25"/>
        <v>7.0685775</v>
      </c>
      <c r="E135" s="796">
        <v>150</v>
      </c>
      <c r="F135" s="203">
        <f t="shared" si="26"/>
        <v>0.001060286625</v>
      </c>
      <c r="G135" s="796">
        <v>2700</v>
      </c>
      <c r="H135" s="203">
        <v>5</v>
      </c>
      <c r="I135" s="203">
        <v>15</v>
      </c>
      <c r="J135" s="203">
        <f t="shared" si="27"/>
        <v>75</v>
      </c>
    </row>
    <row r="136" spans="1:10">
      <c r="A136" s="203">
        <v>3</v>
      </c>
      <c r="B136" s="203">
        <f t="shared" si="24"/>
        <v>7.0685775</v>
      </c>
      <c r="C136" s="203">
        <v>1</v>
      </c>
      <c r="D136" s="203">
        <f t="shared" si="25"/>
        <v>7.0685775</v>
      </c>
      <c r="E136" s="796">
        <v>150</v>
      </c>
      <c r="F136" s="203">
        <f t="shared" si="26"/>
        <v>0.001060286625</v>
      </c>
      <c r="G136" s="796">
        <v>2700</v>
      </c>
      <c r="H136" s="203">
        <f>F136*G136</f>
        <v>2.8627738875</v>
      </c>
      <c r="I136" s="203">
        <v>15</v>
      </c>
      <c r="J136" s="203">
        <f t="shared" si="27"/>
        <v>42.9416083125</v>
      </c>
    </row>
    <row r="137" spans="1:10">
      <c r="A137" s="203">
        <v>2</v>
      </c>
      <c r="B137" s="203">
        <f t="shared" si="24"/>
        <v>3.14159</v>
      </c>
      <c r="C137" s="203">
        <v>1</v>
      </c>
      <c r="D137" s="203">
        <f t="shared" si="25"/>
        <v>3.14159</v>
      </c>
      <c r="E137" s="796">
        <v>1200</v>
      </c>
      <c r="F137" s="203">
        <f t="shared" si="26"/>
        <v>0.003769908</v>
      </c>
      <c r="G137" s="796">
        <v>8900</v>
      </c>
      <c r="H137" s="203">
        <f>F137*G137</f>
        <v>33.5521812</v>
      </c>
      <c r="I137" s="203">
        <v>60</v>
      </c>
      <c r="J137" s="203">
        <f t="shared" si="27"/>
        <v>2013.130872</v>
      </c>
    </row>
    <row r="138" spans="1:10">
      <c r="A138" s="203">
        <v>2</v>
      </c>
      <c r="B138" s="203">
        <f t="shared" si="24"/>
        <v>3.14159</v>
      </c>
      <c r="C138" s="203">
        <v>1</v>
      </c>
      <c r="D138" s="203">
        <f t="shared" si="25"/>
        <v>3.14159</v>
      </c>
      <c r="E138" s="796">
        <v>1200</v>
      </c>
      <c r="F138" s="203">
        <f t="shared" si="26"/>
        <v>0.003769908</v>
      </c>
      <c r="G138" s="796">
        <v>8900</v>
      </c>
      <c r="H138" s="203">
        <f>F138*G138</f>
        <v>33.5521812</v>
      </c>
      <c r="I138" s="203">
        <v>60</v>
      </c>
      <c r="J138" s="203">
        <f t="shared" si="27"/>
        <v>2013.130872</v>
      </c>
    </row>
  </sheetData>
  <customSheetViews>
    <customSheetView guid="{B9330FFD-B5EF-4680-A375-DB92D4738404}" topLeftCell="A7">
      <selection activeCell="E22" sqref="E22"/>
      <pageMargins left="0.7" right="0.7" top="0.75" bottom="0.75" header="0.3" footer="0.3"/>
      <headerFooter/>
    </customSheetView>
  </customSheetViews>
  <mergeCells count="50">
    <mergeCell ref="A1:D1"/>
    <mergeCell ref="F3:H3"/>
    <mergeCell ref="F14:H14"/>
    <mergeCell ref="A28:J28"/>
    <mergeCell ref="G29:H29"/>
    <mergeCell ref="G30:H30"/>
    <mergeCell ref="A31:J31"/>
    <mergeCell ref="G32:H32"/>
    <mergeCell ref="G33:H33"/>
    <mergeCell ref="G34:H34"/>
    <mergeCell ref="G35:H35"/>
    <mergeCell ref="G36:H36"/>
    <mergeCell ref="G37:H37"/>
    <mergeCell ref="G38:H38"/>
    <mergeCell ref="G39:H39"/>
    <mergeCell ref="G40:H40"/>
    <mergeCell ref="G41:H41"/>
    <mergeCell ref="G42:H42"/>
    <mergeCell ref="G43:H43"/>
    <mergeCell ref="G44:H44"/>
    <mergeCell ref="A46:H46"/>
    <mergeCell ref="K47:L47"/>
    <mergeCell ref="A61:M61"/>
    <mergeCell ref="B73:C73"/>
    <mergeCell ref="D73:E73"/>
    <mergeCell ref="A76:E76"/>
    <mergeCell ref="I76:J76"/>
    <mergeCell ref="A101:G101"/>
    <mergeCell ref="I109:J109"/>
    <mergeCell ref="A110:G110"/>
    <mergeCell ref="A121:G121"/>
    <mergeCell ref="A131:G131"/>
    <mergeCell ref="F4:F5"/>
    <mergeCell ref="F6:F10"/>
    <mergeCell ref="F11:F13"/>
    <mergeCell ref="I77:I78"/>
    <mergeCell ref="I110:I111"/>
    <mergeCell ref="J77:J78"/>
    <mergeCell ref="J79:J81"/>
    <mergeCell ref="J82:J84"/>
    <mergeCell ref="J110:J111"/>
    <mergeCell ref="J112:J114"/>
    <mergeCell ref="J115:J117"/>
    <mergeCell ref="K48:K49"/>
    <mergeCell ref="L48:L49"/>
    <mergeCell ref="L50:L52"/>
    <mergeCell ref="L53:L55"/>
    <mergeCell ref="G11:H13"/>
    <mergeCell ref="G4:H5"/>
    <mergeCell ref="G6:H10"/>
  </mergeCells>
  <hyperlinks>
    <hyperlink ref="E2" location="目录!A1" display="目录!A1"/>
  </hyperlinks>
  <pageMargins left="0.7" right="0.7" top="0.75" bottom="0.75" header="0.3" footer="0.3"/>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4"/>
  <sheetViews>
    <sheetView workbookViewId="0">
      <selection activeCell="M1" sqref="M1"/>
    </sheetView>
  </sheetViews>
  <sheetFormatPr defaultColWidth="9" defaultRowHeight="15.6"/>
  <cols>
    <col min="1" max="1" width="4.25" customWidth="1"/>
    <col min="2" max="2" width="18" customWidth="1"/>
    <col min="3" max="3" width="7.25" customWidth="1"/>
    <col min="4" max="4" width="11.125" customWidth="1"/>
    <col min="7" max="7" width="11.625" customWidth="1"/>
    <col min="8" max="8" width="11.125" style="682" customWidth="1"/>
    <col min="9" max="9" width="12.75" style="682" customWidth="1"/>
    <col min="10" max="10" width="14" style="682" customWidth="1"/>
    <col min="11" max="11" width="14.375" style="682" customWidth="1"/>
    <col min="12" max="12" width="10.75" style="683" customWidth="1"/>
    <col min="13" max="13" width="8.375" style="684" customWidth="1"/>
    <col min="257" max="257" width="4.25" customWidth="1"/>
    <col min="258" max="258" width="18" customWidth="1"/>
    <col min="259" max="259" width="7.25" customWidth="1"/>
    <col min="260" max="260" width="11.125" customWidth="1"/>
    <col min="263" max="263" width="11.625" customWidth="1"/>
    <col min="264" max="264" width="11.125" customWidth="1"/>
    <col min="265" max="265" width="12.75" customWidth="1"/>
    <col min="266" max="266" width="14" customWidth="1"/>
    <col min="267" max="267" width="14.375" customWidth="1"/>
    <col min="268" max="268" width="10.75" customWidth="1"/>
    <col min="269" max="269" width="8.375" customWidth="1"/>
    <col min="513" max="513" width="4.25" customWidth="1"/>
    <col min="514" max="514" width="18" customWidth="1"/>
    <col min="515" max="515" width="7.25" customWidth="1"/>
    <col min="516" max="516" width="11.125" customWidth="1"/>
    <col min="519" max="519" width="11.625" customWidth="1"/>
    <col min="520" max="520" width="11.125" customWidth="1"/>
    <col min="521" max="521" width="12.75" customWidth="1"/>
    <col min="522" max="522" width="14" customWidth="1"/>
    <col min="523" max="523" width="14.375" customWidth="1"/>
    <col min="524" max="524" width="10.75" customWidth="1"/>
    <col min="525" max="525" width="8.375" customWidth="1"/>
    <col min="769" max="769" width="4.25" customWidth="1"/>
    <col min="770" max="770" width="18" customWidth="1"/>
    <col min="771" max="771" width="7.25" customWidth="1"/>
    <col min="772" max="772" width="11.125" customWidth="1"/>
    <col min="775" max="775" width="11.625" customWidth="1"/>
    <col min="776" max="776" width="11.125" customWidth="1"/>
    <col min="777" max="777" width="12.75" customWidth="1"/>
    <col min="778" max="778" width="14" customWidth="1"/>
    <col min="779" max="779" width="14.375" customWidth="1"/>
    <col min="780" max="780" width="10.75" customWidth="1"/>
    <col min="781" max="781" width="8.375" customWidth="1"/>
    <col min="1025" max="1025" width="4.25" customWidth="1"/>
    <col min="1026" max="1026" width="18" customWidth="1"/>
    <col min="1027" max="1027" width="7.25" customWidth="1"/>
    <col min="1028" max="1028" width="11.125" customWidth="1"/>
    <col min="1031" max="1031" width="11.625" customWidth="1"/>
    <col min="1032" max="1032" width="11.125" customWidth="1"/>
    <col min="1033" max="1033" width="12.75" customWidth="1"/>
    <col min="1034" max="1034" width="14" customWidth="1"/>
    <col min="1035" max="1035" width="14.375" customWidth="1"/>
    <col min="1036" max="1036" width="10.75" customWidth="1"/>
    <col min="1037" max="1037" width="8.375" customWidth="1"/>
    <col min="1281" max="1281" width="4.25" customWidth="1"/>
    <col min="1282" max="1282" width="18" customWidth="1"/>
    <col min="1283" max="1283" width="7.25" customWidth="1"/>
    <col min="1284" max="1284" width="11.125" customWidth="1"/>
    <col min="1287" max="1287" width="11.625" customWidth="1"/>
    <col min="1288" max="1288" width="11.125" customWidth="1"/>
    <col min="1289" max="1289" width="12.75" customWidth="1"/>
    <col min="1290" max="1290" width="14" customWidth="1"/>
    <col min="1291" max="1291" width="14.375" customWidth="1"/>
    <col min="1292" max="1292" width="10.75" customWidth="1"/>
    <col min="1293" max="1293" width="8.375" customWidth="1"/>
    <col min="1537" max="1537" width="4.25" customWidth="1"/>
    <col min="1538" max="1538" width="18" customWidth="1"/>
    <col min="1539" max="1539" width="7.25" customWidth="1"/>
    <col min="1540" max="1540" width="11.125" customWidth="1"/>
    <col min="1543" max="1543" width="11.625" customWidth="1"/>
    <col min="1544" max="1544" width="11.125" customWidth="1"/>
    <col min="1545" max="1545" width="12.75" customWidth="1"/>
    <col min="1546" max="1546" width="14" customWidth="1"/>
    <col min="1547" max="1547" width="14.375" customWidth="1"/>
    <col min="1548" max="1548" width="10.75" customWidth="1"/>
    <col min="1549" max="1549" width="8.375" customWidth="1"/>
    <col min="1793" max="1793" width="4.25" customWidth="1"/>
    <col min="1794" max="1794" width="18" customWidth="1"/>
    <col min="1795" max="1795" width="7.25" customWidth="1"/>
    <col min="1796" max="1796" width="11.125" customWidth="1"/>
    <col min="1799" max="1799" width="11.625" customWidth="1"/>
    <col min="1800" max="1800" width="11.125" customWidth="1"/>
    <col min="1801" max="1801" width="12.75" customWidth="1"/>
    <col min="1802" max="1802" width="14" customWidth="1"/>
    <col min="1803" max="1803" width="14.375" customWidth="1"/>
    <col min="1804" max="1804" width="10.75" customWidth="1"/>
    <col min="1805" max="1805" width="8.375" customWidth="1"/>
    <col min="2049" max="2049" width="4.25" customWidth="1"/>
    <col min="2050" max="2050" width="18" customWidth="1"/>
    <col min="2051" max="2051" width="7.25" customWidth="1"/>
    <col min="2052" max="2052" width="11.125" customWidth="1"/>
    <col min="2055" max="2055" width="11.625" customWidth="1"/>
    <col min="2056" max="2056" width="11.125" customWidth="1"/>
    <col min="2057" max="2057" width="12.75" customWidth="1"/>
    <col min="2058" max="2058" width="14" customWidth="1"/>
    <col min="2059" max="2059" width="14.375" customWidth="1"/>
    <col min="2060" max="2060" width="10.75" customWidth="1"/>
    <col min="2061" max="2061" width="8.375" customWidth="1"/>
    <col min="2305" max="2305" width="4.25" customWidth="1"/>
    <col min="2306" max="2306" width="18" customWidth="1"/>
    <col min="2307" max="2307" width="7.25" customWidth="1"/>
    <col min="2308" max="2308" width="11.125" customWidth="1"/>
    <col min="2311" max="2311" width="11.625" customWidth="1"/>
    <col min="2312" max="2312" width="11.125" customWidth="1"/>
    <col min="2313" max="2313" width="12.75" customWidth="1"/>
    <col min="2314" max="2314" width="14" customWidth="1"/>
    <col min="2315" max="2315" width="14.375" customWidth="1"/>
    <col min="2316" max="2316" width="10.75" customWidth="1"/>
    <col min="2317" max="2317" width="8.375" customWidth="1"/>
    <col min="2561" max="2561" width="4.25" customWidth="1"/>
    <col min="2562" max="2562" width="18" customWidth="1"/>
    <col min="2563" max="2563" width="7.25" customWidth="1"/>
    <col min="2564" max="2564" width="11.125" customWidth="1"/>
    <col min="2567" max="2567" width="11.625" customWidth="1"/>
    <col min="2568" max="2568" width="11.125" customWidth="1"/>
    <col min="2569" max="2569" width="12.75" customWidth="1"/>
    <col min="2570" max="2570" width="14" customWidth="1"/>
    <col min="2571" max="2571" width="14.375" customWidth="1"/>
    <col min="2572" max="2572" width="10.75" customWidth="1"/>
    <col min="2573" max="2573" width="8.375" customWidth="1"/>
    <col min="2817" max="2817" width="4.25" customWidth="1"/>
    <col min="2818" max="2818" width="18" customWidth="1"/>
    <col min="2819" max="2819" width="7.25" customWidth="1"/>
    <col min="2820" max="2820" width="11.125" customWidth="1"/>
    <col min="2823" max="2823" width="11.625" customWidth="1"/>
    <col min="2824" max="2824" width="11.125" customWidth="1"/>
    <col min="2825" max="2825" width="12.75" customWidth="1"/>
    <col min="2826" max="2826" width="14" customWidth="1"/>
    <col min="2827" max="2827" width="14.375" customWidth="1"/>
    <col min="2828" max="2828" width="10.75" customWidth="1"/>
    <col min="2829" max="2829" width="8.375" customWidth="1"/>
    <col min="3073" max="3073" width="4.25" customWidth="1"/>
    <col min="3074" max="3074" width="18" customWidth="1"/>
    <col min="3075" max="3075" width="7.25" customWidth="1"/>
    <col min="3076" max="3076" width="11.125" customWidth="1"/>
    <col min="3079" max="3079" width="11.625" customWidth="1"/>
    <col min="3080" max="3080" width="11.125" customWidth="1"/>
    <col min="3081" max="3081" width="12.75" customWidth="1"/>
    <col min="3082" max="3082" width="14" customWidth="1"/>
    <col min="3083" max="3083" width="14.375" customWidth="1"/>
    <col min="3084" max="3084" width="10.75" customWidth="1"/>
    <col min="3085" max="3085" width="8.375" customWidth="1"/>
    <col min="3329" max="3329" width="4.25" customWidth="1"/>
    <col min="3330" max="3330" width="18" customWidth="1"/>
    <col min="3331" max="3331" width="7.25" customWidth="1"/>
    <col min="3332" max="3332" width="11.125" customWidth="1"/>
    <col min="3335" max="3335" width="11.625" customWidth="1"/>
    <col min="3336" max="3336" width="11.125" customWidth="1"/>
    <col min="3337" max="3337" width="12.75" customWidth="1"/>
    <col min="3338" max="3338" width="14" customWidth="1"/>
    <col min="3339" max="3339" width="14.375" customWidth="1"/>
    <col min="3340" max="3340" width="10.75" customWidth="1"/>
    <col min="3341" max="3341" width="8.375" customWidth="1"/>
    <col min="3585" max="3585" width="4.25" customWidth="1"/>
    <col min="3586" max="3586" width="18" customWidth="1"/>
    <col min="3587" max="3587" width="7.25" customWidth="1"/>
    <col min="3588" max="3588" width="11.125" customWidth="1"/>
    <col min="3591" max="3591" width="11.625" customWidth="1"/>
    <col min="3592" max="3592" width="11.125" customWidth="1"/>
    <col min="3593" max="3593" width="12.75" customWidth="1"/>
    <col min="3594" max="3594" width="14" customWidth="1"/>
    <col min="3595" max="3595" width="14.375" customWidth="1"/>
    <col min="3596" max="3596" width="10.75" customWidth="1"/>
    <col min="3597" max="3597" width="8.375" customWidth="1"/>
    <col min="3841" max="3841" width="4.25" customWidth="1"/>
    <col min="3842" max="3842" width="18" customWidth="1"/>
    <col min="3843" max="3843" width="7.25" customWidth="1"/>
    <col min="3844" max="3844" width="11.125" customWidth="1"/>
    <col min="3847" max="3847" width="11.625" customWidth="1"/>
    <col min="3848" max="3848" width="11.125" customWidth="1"/>
    <col min="3849" max="3849" width="12.75" customWidth="1"/>
    <col min="3850" max="3850" width="14" customWidth="1"/>
    <col min="3851" max="3851" width="14.375" customWidth="1"/>
    <col min="3852" max="3852" width="10.75" customWidth="1"/>
    <col min="3853" max="3853" width="8.375" customWidth="1"/>
    <col min="4097" max="4097" width="4.25" customWidth="1"/>
    <col min="4098" max="4098" width="18" customWidth="1"/>
    <col min="4099" max="4099" width="7.25" customWidth="1"/>
    <col min="4100" max="4100" width="11.125" customWidth="1"/>
    <col min="4103" max="4103" width="11.625" customWidth="1"/>
    <col min="4104" max="4104" width="11.125" customWidth="1"/>
    <col min="4105" max="4105" width="12.75" customWidth="1"/>
    <col min="4106" max="4106" width="14" customWidth="1"/>
    <col min="4107" max="4107" width="14.375" customWidth="1"/>
    <col min="4108" max="4108" width="10.75" customWidth="1"/>
    <col min="4109" max="4109" width="8.375" customWidth="1"/>
    <col min="4353" max="4353" width="4.25" customWidth="1"/>
    <col min="4354" max="4354" width="18" customWidth="1"/>
    <col min="4355" max="4355" width="7.25" customWidth="1"/>
    <col min="4356" max="4356" width="11.125" customWidth="1"/>
    <col min="4359" max="4359" width="11.625" customWidth="1"/>
    <col min="4360" max="4360" width="11.125" customWidth="1"/>
    <col min="4361" max="4361" width="12.75" customWidth="1"/>
    <col min="4362" max="4362" width="14" customWidth="1"/>
    <col min="4363" max="4363" width="14.375" customWidth="1"/>
    <col min="4364" max="4364" width="10.75" customWidth="1"/>
    <col min="4365" max="4365" width="8.375" customWidth="1"/>
    <col min="4609" max="4609" width="4.25" customWidth="1"/>
    <col min="4610" max="4610" width="18" customWidth="1"/>
    <col min="4611" max="4611" width="7.25" customWidth="1"/>
    <col min="4612" max="4612" width="11.125" customWidth="1"/>
    <col min="4615" max="4615" width="11.625" customWidth="1"/>
    <col min="4616" max="4616" width="11.125" customWidth="1"/>
    <col min="4617" max="4617" width="12.75" customWidth="1"/>
    <col min="4618" max="4618" width="14" customWidth="1"/>
    <col min="4619" max="4619" width="14.375" customWidth="1"/>
    <col min="4620" max="4620" width="10.75" customWidth="1"/>
    <col min="4621" max="4621" width="8.375" customWidth="1"/>
    <col min="4865" max="4865" width="4.25" customWidth="1"/>
    <col min="4866" max="4866" width="18" customWidth="1"/>
    <col min="4867" max="4867" width="7.25" customWidth="1"/>
    <col min="4868" max="4868" width="11.125" customWidth="1"/>
    <col min="4871" max="4871" width="11.625" customWidth="1"/>
    <col min="4872" max="4872" width="11.125" customWidth="1"/>
    <col min="4873" max="4873" width="12.75" customWidth="1"/>
    <col min="4874" max="4874" width="14" customWidth="1"/>
    <col min="4875" max="4875" width="14.375" customWidth="1"/>
    <col min="4876" max="4876" width="10.75" customWidth="1"/>
    <col min="4877" max="4877" width="8.375" customWidth="1"/>
    <col min="5121" max="5121" width="4.25" customWidth="1"/>
    <col min="5122" max="5122" width="18" customWidth="1"/>
    <col min="5123" max="5123" width="7.25" customWidth="1"/>
    <col min="5124" max="5124" width="11.125" customWidth="1"/>
    <col min="5127" max="5127" width="11.625" customWidth="1"/>
    <col min="5128" max="5128" width="11.125" customWidth="1"/>
    <col min="5129" max="5129" width="12.75" customWidth="1"/>
    <col min="5130" max="5130" width="14" customWidth="1"/>
    <col min="5131" max="5131" width="14.375" customWidth="1"/>
    <col min="5132" max="5132" width="10.75" customWidth="1"/>
    <col min="5133" max="5133" width="8.375" customWidth="1"/>
    <col min="5377" max="5377" width="4.25" customWidth="1"/>
    <col min="5378" max="5378" width="18" customWidth="1"/>
    <col min="5379" max="5379" width="7.25" customWidth="1"/>
    <col min="5380" max="5380" width="11.125" customWidth="1"/>
    <col min="5383" max="5383" width="11.625" customWidth="1"/>
    <col min="5384" max="5384" width="11.125" customWidth="1"/>
    <col min="5385" max="5385" width="12.75" customWidth="1"/>
    <col min="5386" max="5386" width="14" customWidth="1"/>
    <col min="5387" max="5387" width="14.375" customWidth="1"/>
    <col min="5388" max="5388" width="10.75" customWidth="1"/>
    <col min="5389" max="5389" width="8.375" customWidth="1"/>
    <col min="5633" max="5633" width="4.25" customWidth="1"/>
    <col min="5634" max="5634" width="18" customWidth="1"/>
    <col min="5635" max="5635" width="7.25" customWidth="1"/>
    <col min="5636" max="5636" width="11.125" customWidth="1"/>
    <col min="5639" max="5639" width="11.625" customWidth="1"/>
    <col min="5640" max="5640" width="11.125" customWidth="1"/>
    <col min="5641" max="5641" width="12.75" customWidth="1"/>
    <col min="5642" max="5642" width="14" customWidth="1"/>
    <col min="5643" max="5643" width="14.375" customWidth="1"/>
    <col min="5644" max="5644" width="10.75" customWidth="1"/>
    <col min="5645" max="5645" width="8.375" customWidth="1"/>
    <col min="5889" max="5889" width="4.25" customWidth="1"/>
    <col min="5890" max="5890" width="18" customWidth="1"/>
    <col min="5891" max="5891" width="7.25" customWidth="1"/>
    <col min="5892" max="5892" width="11.125" customWidth="1"/>
    <col min="5895" max="5895" width="11.625" customWidth="1"/>
    <col min="5896" max="5896" width="11.125" customWidth="1"/>
    <col min="5897" max="5897" width="12.75" customWidth="1"/>
    <col min="5898" max="5898" width="14" customWidth="1"/>
    <col min="5899" max="5899" width="14.375" customWidth="1"/>
    <col min="5900" max="5900" width="10.75" customWidth="1"/>
    <col min="5901" max="5901" width="8.375" customWidth="1"/>
    <col min="6145" max="6145" width="4.25" customWidth="1"/>
    <col min="6146" max="6146" width="18" customWidth="1"/>
    <col min="6147" max="6147" width="7.25" customWidth="1"/>
    <col min="6148" max="6148" width="11.125" customWidth="1"/>
    <col min="6151" max="6151" width="11.625" customWidth="1"/>
    <col min="6152" max="6152" width="11.125" customWidth="1"/>
    <col min="6153" max="6153" width="12.75" customWidth="1"/>
    <col min="6154" max="6154" width="14" customWidth="1"/>
    <col min="6155" max="6155" width="14.375" customWidth="1"/>
    <col min="6156" max="6156" width="10.75" customWidth="1"/>
    <col min="6157" max="6157" width="8.375" customWidth="1"/>
    <col min="6401" max="6401" width="4.25" customWidth="1"/>
    <col min="6402" max="6402" width="18" customWidth="1"/>
    <col min="6403" max="6403" width="7.25" customWidth="1"/>
    <col min="6404" max="6404" width="11.125" customWidth="1"/>
    <col min="6407" max="6407" width="11.625" customWidth="1"/>
    <col min="6408" max="6408" width="11.125" customWidth="1"/>
    <col min="6409" max="6409" width="12.75" customWidth="1"/>
    <col min="6410" max="6410" width="14" customWidth="1"/>
    <col min="6411" max="6411" width="14.375" customWidth="1"/>
    <col min="6412" max="6412" width="10.75" customWidth="1"/>
    <col min="6413" max="6413" width="8.375" customWidth="1"/>
    <col min="6657" max="6657" width="4.25" customWidth="1"/>
    <col min="6658" max="6658" width="18" customWidth="1"/>
    <col min="6659" max="6659" width="7.25" customWidth="1"/>
    <col min="6660" max="6660" width="11.125" customWidth="1"/>
    <col min="6663" max="6663" width="11.625" customWidth="1"/>
    <col min="6664" max="6664" width="11.125" customWidth="1"/>
    <col min="6665" max="6665" width="12.75" customWidth="1"/>
    <col min="6666" max="6666" width="14" customWidth="1"/>
    <col min="6667" max="6667" width="14.375" customWidth="1"/>
    <col min="6668" max="6668" width="10.75" customWidth="1"/>
    <col min="6669" max="6669" width="8.375" customWidth="1"/>
    <col min="6913" max="6913" width="4.25" customWidth="1"/>
    <col min="6914" max="6914" width="18" customWidth="1"/>
    <col min="6915" max="6915" width="7.25" customWidth="1"/>
    <col min="6916" max="6916" width="11.125" customWidth="1"/>
    <col min="6919" max="6919" width="11.625" customWidth="1"/>
    <col min="6920" max="6920" width="11.125" customWidth="1"/>
    <col min="6921" max="6921" width="12.75" customWidth="1"/>
    <col min="6922" max="6922" width="14" customWidth="1"/>
    <col min="6923" max="6923" width="14.375" customWidth="1"/>
    <col min="6924" max="6924" width="10.75" customWidth="1"/>
    <col min="6925" max="6925" width="8.375" customWidth="1"/>
    <col min="7169" max="7169" width="4.25" customWidth="1"/>
    <col min="7170" max="7170" width="18" customWidth="1"/>
    <col min="7171" max="7171" width="7.25" customWidth="1"/>
    <col min="7172" max="7172" width="11.125" customWidth="1"/>
    <col min="7175" max="7175" width="11.625" customWidth="1"/>
    <col min="7176" max="7176" width="11.125" customWidth="1"/>
    <col min="7177" max="7177" width="12.75" customWidth="1"/>
    <col min="7178" max="7178" width="14" customWidth="1"/>
    <col min="7179" max="7179" width="14.375" customWidth="1"/>
    <col min="7180" max="7180" width="10.75" customWidth="1"/>
    <col min="7181" max="7181" width="8.375" customWidth="1"/>
    <col min="7425" max="7425" width="4.25" customWidth="1"/>
    <col min="7426" max="7426" width="18" customWidth="1"/>
    <col min="7427" max="7427" width="7.25" customWidth="1"/>
    <col min="7428" max="7428" width="11.125" customWidth="1"/>
    <col min="7431" max="7431" width="11.625" customWidth="1"/>
    <col min="7432" max="7432" width="11.125" customWidth="1"/>
    <col min="7433" max="7433" width="12.75" customWidth="1"/>
    <col min="7434" max="7434" width="14" customWidth="1"/>
    <col min="7435" max="7435" width="14.375" customWidth="1"/>
    <col min="7436" max="7436" width="10.75" customWidth="1"/>
    <col min="7437" max="7437" width="8.375" customWidth="1"/>
    <col min="7681" max="7681" width="4.25" customWidth="1"/>
    <col min="7682" max="7682" width="18" customWidth="1"/>
    <col min="7683" max="7683" width="7.25" customWidth="1"/>
    <col min="7684" max="7684" width="11.125" customWidth="1"/>
    <col min="7687" max="7687" width="11.625" customWidth="1"/>
    <col min="7688" max="7688" width="11.125" customWidth="1"/>
    <col min="7689" max="7689" width="12.75" customWidth="1"/>
    <col min="7690" max="7690" width="14" customWidth="1"/>
    <col min="7691" max="7691" width="14.375" customWidth="1"/>
    <col min="7692" max="7692" width="10.75" customWidth="1"/>
    <col min="7693" max="7693" width="8.375" customWidth="1"/>
    <col min="7937" max="7937" width="4.25" customWidth="1"/>
    <col min="7938" max="7938" width="18" customWidth="1"/>
    <col min="7939" max="7939" width="7.25" customWidth="1"/>
    <col min="7940" max="7940" width="11.125" customWidth="1"/>
    <col min="7943" max="7943" width="11.625" customWidth="1"/>
    <col min="7944" max="7944" width="11.125" customWidth="1"/>
    <col min="7945" max="7945" width="12.75" customWidth="1"/>
    <col min="7946" max="7946" width="14" customWidth="1"/>
    <col min="7947" max="7947" width="14.375" customWidth="1"/>
    <col min="7948" max="7948" width="10.75" customWidth="1"/>
    <col min="7949" max="7949" width="8.375" customWidth="1"/>
    <col min="8193" max="8193" width="4.25" customWidth="1"/>
    <col min="8194" max="8194" width="18" customWidth="1"/>
    <col min="8195" max="8195" width="7.25" customWidth="1"/>
    <col min="8196" max="8196" width="11.125" customWidth="1"/>
    <col min="8199" max="8199" width="11.625" customWidth="1"/>
    <col min="8200" max="8200" width="11.125" customWidth="1"/>
    <col min="8201" max="8201" width="12.75" customWidth="1"/>
    <col min="8202" max="8202" width="14" customWidth="1"/>
    <col min="8203" max="8203" width="14.375" customWidth="1"/>
    <col min="8204" max="8204" width="10.75" customWidth="1"/>
    <col min="8205" max="8205" width="8.375" customWidth="1"/>
    <col min="8449" max="8449" width="4.25" customWidth="1"/>
    <col min="8450" max="8450" width="18" customWidth="1"/>
    <col min="8451" max="8451" width="7.25" customWidth="1"/>
    <col min="8452" max="8452" width="11.125" customWidth="1"/>
    <col min="8455" max="8455" width="11.625" customWidth="1"/>
    <col min="8456" max="8456" width="11.125" customWidth="1"/>
    <col min="8457" max="8457" width="12.75" customWidth="1"/>
    <col min="8458" max="8458" width="14" customWidth="1"/>
    <col min="8459" max="8459" width="14.375" customWidth="1"/>
    <col min="8460" max="8460" width="10.75" customWidth="1"/>
    <col min="8461" max="8461" width="8.375" customWidth="1"/>
    <col min="8705" max="8705" width="4.25" customWidth="1"/>
    <col min="8706" max="8706" width="18" customWidth="1"/>
    <col min="8707" max="8707" width="7.25" customWidth="1"/>
    <col min="8708" max="8708" width="11.125" customWidth="1"/>
    <col min="8711" max="8711" width="11.625" customWidth="1"/>
    <col min="8712" max="8712" width="11.125" customWidth="1"/>
    <col min="8713" max="8713" width="12.75" customWidth="1"/>
    <col min="8714" max="8714" width="14" customWidth="1"/>
    <col min="8715" max="8715" width="14.375" customWidth="1"/>
    <col min="8716" max="8716" width="10.75" customWidth="1"/>
    <col min="8717" max="8717" width="8.375" customWidth="1"/>
    <col min="8961" max="8961" width="4.25" customWidth="1"/>
    <col min="8962" max="8962" width="18" customWidth="1"/>
    <col min="8963" max="8963" width="7.25" customWidth="1"/>
    <col min="8964" max="8964" width="11.125" customWidth="1"/>
    <col min="8967" max="8967" width="11.625" customWidth="1"/>
    <col min="8968" max="8968" width="11.125" customWidth="1"/>
    <col min="8969" max="8969" width="12.75" customWidth="1"/>
    <col min="8970" max="8970" width="14" customWidth="1"/>
    <col min="8971" max="8971" width="14.375" customWidth="1"/>
    <col min="8972" max="8972" width="10.75" customWidth="1"/>
    <col min="8973" max="8973" width="8.375" customWidth="1"/>
    <col min="9217" max="9217" width="4.25" customWidth="1"/>
    <col min="9218" max="9218" width="18" customWidth="1"/>
    <col min="9219" max="9219" width="7.25" customWidth="1"/>
    <col min="9220" max="9220" width="11.125" customWidth="1"/>
    <col min="9223" max="9223" width="11.625" customWidth="1"/>
    <col min="9224" max="9224" width="11.125" customWidth="1"/>
    <col min="9225" max="9225" width="12.75" customWidth="1"/>
    <col min="9226" max="9226" width="14" customWidth="1"/>
    <col min="9227" max="9227" width="14.375" customWidth="1"/>
    <col min="9228" max="9228" width="10.75" customWidth="1"/>
    <col min="9229" max="9229" width="8.375" customWidth="1"/>
    <col min="9473" max="9473" width="4.25" customWidth="1"/>
    <col min="9474" max="9474" width="18" customWidth="1"/>
    <col min="9475" max="9475" width="7.25" customWidth="1"/>
    <col min="9476" max="9476" width="11.125" customWidth="1"/>
    <col min="9479" max="9479" width="11.625" customWidth="1"/>
    <col min="9480" max="9480" width="11.125" customWidth="1"/>
    <col min="9481" max="9481" width="12.75" customWidth="1"/>
    <col min="9482" max="9482" width="14" customWidth="1"/>
    <col min="9483" max="9483" width="14.375" customWidth="1"/>
    <col min="9484" max="9484" width="10.75" customWidth="1"/>
    <col min="9485" max="9485" width="8.375" customWidth="1"/>
    <col min="9729" max="9729" width="4.25" customWidth="1"/>
    <col min="9730" max="9730" width="18" customWidth="1"/>
    <col min="9731" max="9731" width="7.25" customWidth="1"/>
    <col min="9732" max="9732" width="11.125" customWidth="1"/>
    <col min="9735" max="9735" width="11.625" customWidth="1"/>
    <col min="9736" max="9736" width="11.125" customWidth="1"/>
    <col min="9737" max="9737" width="12.75" customWidth="1"/>
    <col min="9738" max="9738" width="14" customWidth="1"/>
    <col min="9739" max="9739" width="14.375" customWidth="1"/>
    <col min="9740" max="9740" width="10.75" customWidth="1"/>
    <col min="9741" max="9741" width="8.375" customWidth="1"/>
    <col min="9985" max="9985" width="4.25" customWidth="1"/>
    <col min="9986" max="9986" width="18" customWidth="1"/>
    <col min="9987" max="9987" width="7.25" customWidth="1"/>
    <col min="9988" max="9988" width="11.125" customWidth="1"/>
    <col min="9991" max="9991" width="11.625" customWidth="1"/>
    <col min="9992" max="9992" width="11.125" customWidth="1"/>
    <col min="9993" max="9993" width="12.75" customWidth="1"/>
    <col min="9994" max="9994" width="14" customWidth="1"/>
    <col min="9995" max="9995" width="14.375" customWidth="1"/>
    <col min="9996" max="9996" width="10.75" customWidth="1"/>
    <col min="9997" max="9997" width="8.375" customWidth="1"/>
    <col min="10241" max="10241" width="4.25" customWidth="1"/>
    <col min="10242" max="10242" width="18" customWidth="1"/>
    <col min="10243" max="10243" width="7.25" customWidth="1"/>
    <col min="10244" max="10244" width="11.125" customWidth="1"/>
    <col min="10247" max="10247" width="11.625" customWidth="1"/>
    <col min="10248" max="10248" width="11.125" customWidth="1"/>
    <col min="10249" max="10249" width="12.75" customWidth="1"/>
    <col min="10250" max="10250" width="14" customWidth="1"/>
    <col min="10251" max="10251" width="14.375" customWidth="1"/>
    <col min="10252" max="10252" width="10.75" customWidth="1"/>
    <col min="10253" max="10253" width="8.375" customWidth="1"/>
    <col min="10497" max="10497" width="4.25" customWidth="1"/>
    <col min="10498" max="10498" width="18" customWidth="1"/>
    <col min="10499" max="10499" width="7.25" customWidth="1"/>
    <col min="10500" max="10500" width="11.125" customWidth="1"/>
    <col min="10503" max="10503" width="11.625" customWidth="1"/>
    <col min="10504" max="10504" width="11.125" customWidth="1"/>
    <col min="10505" max="10505" width="12.75" customWidth="1"/>
    <col min="10506" max="10506" width="14" customWidth="1"/>
    <col min="10507" max="10507" width="14.375" customWidth="1"/>
    <col min="10508" max="10508" width="10.75" customWidth="1"/>
    <col min="10509" max="10509" width="8.375" customWidth="1"/>
    <col min="10753" max="10753" width="4.25" customWidth="1"/>
    <col min="10754" max="10754" width="18" customWidth="1"/>
    <col min="10755" max="10755" width="7.25" customWidth="1"/>
    <col min="10756" max="10756" width="11.125" customWidth="1"/>
    <col min="10759" max="10759" width="11.625" customWidth="1"/>
    <col min="10760" max="10760" width="11.125" customWidth="1"/>
    <col min="10761" max="10761" width="12.75" customWidth="1"/>
    <col min="10762" max="10762" width="14" customWidth="1"/>
    <col min="10763" max="10763" width="14.375" customWidth="1"/>
    <col min="10764" max="10764" width="10.75" customWidth="1"/>
    <col min="10765" max="10765" width="8.375" customWidth="1"/>
    <col min="11009" max="11009" width="4.25" customWidth="1"/>
    <col min="11010" max="11010" width="18" customWidth="1"/>
    <col min="11011" max="11011" width="7.25" customWidth="1"/>
    <col min="11012" max="11012" width="11.125" customWidth="1"/>
    <col min="11015" max="11015" width="11.625" customWidth="1"/>
    <col min="11016" max="11016" width="11.125" customWidth="1"/>
    <col min="11017" max="11017" width="12.75" customWidth="1"/>
    <col min="11018" max="11018" width="14" customWidth="1"/>
    <col min="11019" max="11019" width="14.375" customWidth="1"/>
    <col min="11020" max="11020" width="10.75" customWidth="1"/>
    <col min="11021" max="11021" width="8.375" customWidth="1"/>
    <col min="11265" max="11265" width="4.25" customWidth="1"/>
    <col min="11266" max="11266" width="18" customWidth="1"/>
    <col min="11267" max="11267" width="7.25" customWidth="1"/>
    <col min="11268" max="11268" width="11.125" customWidth="1"/>
    <col min="11271" max="11271" width="11.625" customWidth="1"/>
    <col min="11272" max="11272" width="11.125" customWidth="1"/>
    <col min="11273" max="11273" width="12.75" customWidth="1"/>
    <col min="11274" max="11274" width="14" customWidth="1"/>
    <col min="11275" max="11275" width="14.375" customWidth="1"/>
    <col min="11276" max="11276" width="10.75" customWidth="1"/>
    <col min="11277" max="11277" width="8.375" customWidth="1"/>
    <col min="11521" max="11521" width="4.25" customWidth="1"/>
    <col min="11522" max="11522" width="18" customWidth="1"/>
    <col min="11523" max="11523" width="7.25" customWidth="1"/>
    <col min="11524" max="11524" width="11.125" customWidth="1"/>
    <col min="11527" max="11527" width="11.625" customWidth="1"/>
    <col min="11528" max="11528" width="11.125" customWidth="1"/>
    <col min="11529" max="11529" width="12.75" customWidth="1"/>
    <col min="11530" max="11530" width="14" customWidth="1"/>
    <col min="11531" max="11531" width="14.375" customWidth="1"/>
    <col min="11532" max="11532" width="10.75" customWidth="1"/>
    <col min="11533" max="11533" width="8.375" customWidth="1"/>
    <col min="11777" max="11777" width="4.25" customWidth="1"/>
    <col min="11778" max="11778" width="18" customWidth="1"/>
    <col min="11779" max="11779" width="7.25" customWidth="1"/>
    <col min="11780" max="11780" width="11.125" customWidth="1"/>
    <col min="11783" max="11783" width="11.625" customWidth="1"/>
    <col min="11784" max="11784" width="11.125" customWidth="1"/>
    <col min="11785" max="11785" width="12.75" customWidth="1"/>
    <col min="11786" max="11786" width="14" customWidth="1"/>
    <col min="11787" max="11787" width="14.375" customWidth="1"/>
    <col min="11788" max="11788" width="10.75" customWidth="1"/>
    <col min="11789" max="11789" width="8.375" customWidth="1"/>
    <col min="12033" max="12033" width="4.25" customWidth="1"/>
    <col min="12034" max="12034" width="18" customWidth="1"/>
    <col min="12035" max="12035" width="7.25" customWidth="1"/>
    <col min="12036" max="12036" width="11.125" customWidth="1"/>
    <col min="12039" max="12039" width="11.625" customWidth="1"/>
    <col min="12040" max="12040" width="11.125" customWidth="1"/>
    <col min="12041" max="12041" width="12.75" customWidth="1"/>
    <col min="12042" max="12042" width="14" customWidth="1"/>
    <col min="12043" max="12043" width="14.375" customWidth="1"/>
    <col min="12044" max="12044" width="10.75" customWidth="1"/>
    <col min="12045" max="12045" width="8.375" customWidth="1"/>
    <col min="12289" max="12289" width="4.25" customWidth="1"/>
    <col min="12290" max="12290" width="18" customWidth="1"/>
    <col min="12291" max="12291" width="7.25" customWidth="1"/>
    <col min="12292" max="12292" width="11.125" customWidth="1"/>
    <col min="12295" max="12295" width="11.625" customWidth="1"/>
    <col min="12296" max="12296" width="11.125" customWidth="1"/>
    <col min="12297" max="12297" width="12.75" customWidth="1"/>
    <col min="12298" max="12298" width="14" customWidth="1"/>
    <col min="12299" max="12299" width="14.375" customWidth="1"/>
    <col min="12300" max="12300" width="10.75" customWidth="1"/>
    <col min="12301" max="12301" width="8.375" customWidth="1"/>
    <col min="12545" max="12545" width="4.25" customWidth="1"/>
    <col min="12546" max="12546" width="18" customWidth="1"/>
    <col min="12547" max="12547" width="7.25" customWidth="1"/>
    <col min="12548" max="12548" width="11.125" customWidth="1"/>
    <col min="12551" max="12551" width="11.625" customWidth="1"/>
    <col min="12552" max="12552" width="11.125" customWidth="1"/>
    <col min="12553" max="12553" width="12.75" customWidth="1"/>
    <col min="12554" max="12554" width="14" customWidth="1"/>
    <col min="12555" max="12555" width="14.375" customWidth="1"/>
    <col min="12556" max="12556" width="10.75" customWidth="1"/>
    <col min="12557" max="12557" width="8.375" customWidth="1"/>
    <col min="12801" max="12801" width="4.25" customWidth="1"/>
    <col min="12802" max="12802" width="18" customWidth="1"/>
    <col min="12803" max="12803" width="7.25" customWidth="1"/>
    <col min="12804" max="12804" width="11.125" customWidth="1"/>
    <col min="12807" max="12807" width="11.625" customWidth="1"/>
    <col min="12808" max="12808" width="11.125" customWidth="1"/>
    <col min="12809" max="12809" width="12.75" customWidth="1"/>
    <col min="12810" max="12810" width="14" customWidth="1"/>
    <col min="12811" max="12811" width="14.375" customWidth="1"/>
    <col min="12812" max="12812" width="10.75" customWidth="1"/>
    <col min="12813" max="12813" width="8.375" customWidth="1"/>
    <col min="13057" max="13057" width="4.25" customWidth="1"/>
    <col min="13058" max="13058" width="18" customWidth="1"/>
    <col min="13059" max="13059" width="7.25" customWidth="1"/>
    <col min="13060" max="13060" width="11.125" customWidth="1"/>
    <col min="13063" max="13063" width="11.625" customWidth="1"/>
    <col min="13064" max="13064" width="11.125" customWidth="1"/>
    <col min="13065" max="13065" width="12.75" customWidth="1"/>
    <col min="13066" max="13066" width="14" customWidth="1"/>
    <col min="13067" max="13067" width="14.375" customWidth="1"/>
    <col min="13068" max="13068" width="10.75" customWidth="1"/>
    <col min="13069" max="13069" width="8.375" customWidth="1"/>
    <col min="13313" max="13313" width="4.25" customWidth="1"/>
    <col min="13314" max="13314" width="18" customWidth="1"/>
    <col min="13315" max="13315" width="7.25" customWidth="1"/>
    <col min="13316" max="13316" width="11.125" customWidth="1"/>
    <col min="13319" max="13319" width="11.625" customWidth="1"/>
    <col min="13320" max="13320" width="11.125" customWidth="1"/>
    <col min="13321" max="13321" width="12.75" customWidth="1"/>
    <col min="13322" max="13322" width="14" customWidth="1"/>
    <col min="13323" max="13323" width="14.375" customWidth="1"/>
    <col min="13324" max="13324" width="10.75" customWidth="1"/>
    <col min="13325" max="13325" width="8.375" customWidth="1"/>
    <col min="13569" max="13569" width="4.25" customWidth="1"/>
    <col min="13570" max="13570" width="18" customWidth="1"/>
    <col min="13571" max="13571" width="7.25" customWidth="1"/>
    <col min="13572" max="13572" width="11.125" customWidth="1"/>
    <col min="13575" max="13575" width="11.625" customWidth="1"/>
    <col min="13576" max="13576" width="11.125" customWidth="1"/>
    <col min="13577" max="13577" width="12.75" customWidth="1"/>
    <col min="13578" max="13578" width="14" customWidth="1"/>
    <col min="13579" max="13579" width="14.375" customWidth="1"/>
    <col min="13580" max="13580" width="10.75" customWidth="1"/>
    <col min="13581" max="13581" width="8.375" customWidth="1"/>
    <col min="13825" max="13825" width="4.25" customWidth="1"/>
    <col min="13826" max="13826" width="18" customWidth="1"/>
    <col min="13827" max="13827" width="7.25" customWidth="1"/>
    <col min="13828" max="13828" width="11.125" customWidth="1"/>
    <col min="13831" max="13831" width="11.625" customWidth="1"/>
    <col min="13832" max="13832" width="11.125" customWidth="1"/>
    <col min="13833" max="13833" width="12.75" customWidth="1"/>
    <col min="13834" max="13834" width="14" customWidth="1"/>
    <col min="13835" max="13835" width="14.375" customWidth="1"/>
    <col min="13836" max="13836" width="10.75" customWidth="1"/>
    <col min="13837" max="13837" width="8.375" customWidth="1"/>
    <col min="14081" max="14081" width="4.25" customWidth="1"/>
    <col min="14082" max="14082" width="18" customWidth="1"/>
    <col min="14083" max="14083" width="7.25" customWidth="1"/>
    <col min="14084" max="14084" width="11.125" customWidth="1"/>
    <col min="14087" max="14087" width="11.625" customWidth="1"/>
    <col min="14088" max="14088" width="11.125" customWidth="1"/>
    <col min="14089" max="14089" width="12.75" customWidth="1"/>
    <col min="14090" max="14090" width="14" customWidth="1"/>
    <col min="14091" max="14091" width="14.375" customWidth="1"/>
    <col min="14092" max="14092" width="10.75" customWidth="1"/>
    <col min="14093" max="14093" width="8.375" customWidth="1"/>
    <col min="14337" max="14337" width="4.25" customWidth="1"/>
    <col min="14338" max="14338" width="18" customWidth="1"/>
    <col min="14339" max="14339" width="7.25" customWidth="1"/>
    <col min="14340" max="14340" width="11.125" customWidth="1"/>
    <col min="14343" max="14343" width="11.625" customWidth="1"/>
    <col min="14344" max="14344" width="11.125" customWidth="1"/>
    <col min="14345" max="14345" width="12.75" customWidth="1"/>
    <col min="14346" max="14346" width="14" customWidth="1"/>
    <col min="14347" max="14347" width="14.375" customWidth="1"/>
    <col min="14348" max="14348" width="10.75" customWidth="1"/>
    <col min="14349" max="14349" width="8.375" customWidth="1"/>
    <col min="14593" max="14593" width="4.25" customWidth="1"/>
    <col min="14594" max="14594" width="18" customWidth="1"/>
    <col min="14595" max="14595" width="7.25" customWidth="1"/>
    <col min="14596" max="14596" width="11.125" customWidth="1"/>
    <col min="14599" max="14599" width="11.625" customWidth="1"/>
    <col min="14600" max="14600" width="11.125" customWidth="1"/>
    <col min="14601" max="14601" width="12.75" customWidth="1"/>
    <col min="14602" max="14602" width="14" customWidth="1"/>
    <col min="14603" max="14603" width="14.375" customWidth="1"/>
    <col min="14604" max="14604" width="10.75" customWidth="1"/>
    <col min="14605" max="14605" width="8.375" customWidth="1"/>
    <col min="14849" max="14849" width="4.25" customWidth="1"/>
    <col min="14850" max="14850" width="18" customWidth="1"/>
    <col min="14851" max="14851" width="7.25" customWidth="1"/>
    <col min="14852" max="14852" width="11.125" customWidth="1"/>
    <col min="14855" max="14855" width="11.625" customWidth="1"/>
    <col min="14856" max="14856" width="11.125" customWidth="1"/>
    <col min="14857" max="14857" width="12.75" customWidth="1"/>
    <col min="14858" max="14858" width="14" customWidth="1"/>
    <col min="14859" max="14859" width="14.375" customWidth="1"/>
    <col min="14860" max="14860" width="10.75" customWidth="1"/>
    <col min="14861" max="14861" width="8.375" customWidth="1"/>
    <col min="15105" max="15105" width="4.25" customWidth="1"/>
    <col min="15106" max="15106" width="18" customWidth="1"/>
    <col min="15107" max="15107" width="7.25" customWidth="1"/>
    <col min="15108" max="15108" width="11.125" customWidth="1"/>
    <col min="15111" max="15111" width="11.625" customWidth="1"/>
    <col min="15112" max="15112" width="11.125" customWidth="1"/>
    <col min="15113" max="15113" width="12.75" customWidth="1"/>
    <col min="15114" max="15114" width="14" customWidth="1"/>
    <col min="15115" max="15115" width="14.375" customWidth="1"/>
    <col min="15116" max="15116" width="10.75" customWidth="1"/>
    <col min="15117" max="15117" width="8.375" customWidth="1"/>
    <col min="15361" max="15361" width="4.25" customWidth="1"/>
    <col min="15362" max="15362" width="18" customWidth="1"/>
    <col min="15363" max="15363" width="7.25" customWidth="1"/>
    <col min="15364" max="15364" width="11.125" customWidth="1"/>
    <col min="15367" max="15367" width="11.625" customWidth="1"/>
    <col min="15368" max="15368" width="11.125" customWidth="1"/>
    <col min="15369" max="15369" width="12.75" customWidth="1"/>
    <col min="15370" max="15370" width="14" customWidth="1"/>
    <col min="15371" max="15371" width="14.375" customWidth="1"/>
    <col min="15372" max="15372" width="10.75" customWidth="1"/>
    <col min="15373" max="15373" width="8.375" customWidth="1"/>
    <col min="15617" max="15617" width="4.25" customWidth="1"/>
    <col min="15618" max="15618" width="18" customWidth="1"/>
    <col min="15619" max="15619" width="7.25" customWidth="1"/>
    <col min="15620" max="15620" width="11.125" customWidth="1"/>
    <col min="15623" max="15623" width="11.625" customWidth="1"/>
    <col min="15624" max="15624" width="11.125" customWidth="1"/>
    <col min="15625" max="15625" width="12.75" customWidth="1"/>
    <col min="15626" max="15626" width="14" customWidth="1"/>
    <col min="15627" max="15627" width="14.375" customWidth="1"/>
    <col min="15628" max="15628" width="10.75" customWidth="1"/>
    <col min="15629" max="15629" width="8.375" customWidth="1"/>
    <col min="15873" max="15873" width="4.25" customWidth="1"/>
    <col min="15874" max="15874" width="18" customWidth="1"/>
    <col min="15875" max="15875" width="7.25" customWidth="1"/>
    <col min="15876" max="15876" width="11.125" customWidth="1"/>
    <col min="15879" max="15879" width="11.625" customWidth="1"/>
    <col min="15880" max="15880" width="11.125" customWidth="1"/>
    <col min="15881" max="15881" width="12.75" customWidth="1"/>
    <col min="15882" max="15882" width="14" customWidth="1"/>
    <col min="15883" max="15883" width="14.375" customWidth="1"/>
    <col min="15884" max="15884" width="10.75" customWidth="1"/>
    <col min="15885" max="15885" width="8.375" customWidth="1"/>
    <col min="16129" max="16129" width="4.25" customWidth="1"/>
    <col min="16130" max="16130" width="18" customWidth="1"/>
    <col min="16131" max="16131" width="7.25" customWidth="1"/>
    <col min="16132" max="16132" width="11.125" customWidth="1"/>
    <col min="16135" max="16135" width="11.625" customWidth="1"/>
    <col min="16136" max="16136" width="11.125" customWidth="1"/>
    <col min="16137" max="16137" width="12.75" customWidth="1"/>
    <col min="16138" max="16138" width="14" customWidth="1"/>
    <col min="16139" max="16139" width="14.375" customWidth="1"/>
    <col min="16140" max="16140" width="10.75" customWidth="1"/>
    <col min="16141" max="16141" width="8.375" customWidth="1"/>
  </cols>
  <sheetData>
    <row r="1" s="681" customFormat="1" ht="25.5" customHeight="1" spans="1:13">
      <c r="A1" s="685" t="s">
        <v>2721</v>
      </c>
      <c r="B1" s="685"/>
      <c r="C1" s="685"/>
      <c r="D1" s="685"/>
      <c r="E1" s="685"/>
      <c r="F1" s="685"/>
      <c r="G1" s="685"/>
      <c r="H1" s="685"/>
      <c r="I1" s="685"/>
      <c r="J1" s="685"/>
      <c r="K1" s="685"/>
      <c r="L1" s="685"/>
      <c r="M1" s="704" t="s">
        <v>88</v>
      </c>
    </row>
    <row r="2" s="681" customFormat="1" ht="46.8" spans="1:13">
      <c r="A2" s="686" t="s">
        <v>8</v>
      </c>
      <c r="B2" s="687" t="s">
        <v>2722</v>
      </c>
      <c r="C2" s="688" t="s">
        <v>2684</v>
      </c>
      <c r="D2" s="689" t="s">
        <v>2685</v>
      </c>
      <c r="E2" s="689" t="s">
        <v>2686</v>
      </c>
      <c r="F2" s="687" t="s">
        <v>2687</v>
      </c>
      <c r="G2" s="687" t="s">
        <v>2723</v>
      </c>
      <c r="H2" s="690" t="s">
        <v>2689</v>
      </c>
      <c r="I2" s="690" t="s">
        <v>2690</v>
      </c>
      <c r="J2" s="705" t="s">
        <v>2691</v>
      </c>
      <c r="K2" s="705" t="s">
        <v>2692</v>
      </c>
      <c r="L2" s="706" t="s">
        <v>2693</v>
      </c>
      <c r="M2" s="707" t="s">
        <v>2694</v>
      </c>
    </row>
    <row r="3" s="681" customFormat="1" spans="1:13">
      <c r="A3" s="691">
        <v>1</v>
      </c>
      <c r="B3" s="691"/>
      <c r="C3" s="692">
        <v>37</v>
      </c>
      <c r="D3" s="353">
        <v>0.85</v>
      </c>
      <c r="E3" s="353">
        <v>0.8</v>
      </c>
      <c r="F3" s="353">
        <v>380</v>
      </c>
      <c r="G3" s="691" t="s">
        <v>2668</v>
      </c>
      <c r="H3" s="693">
        <f>I3/E3</f>
        <v>39.3125</v>
      </c>
      <c r="I3" s="708">
        <f t="shared" ref="I3:I12" si="0">C3*D3</f>
        <v>31.45</v>
      </c>
      <c r="J3" s="693">
        <f>SQRT(H3*H3-I3*I3)</f>
        <v>23.5875</v>
      </c>
      <c r="K3" s="693">
        <f t="shared" ref="K3:K12" si="1">I3*1000/(1.732*F3*E3)</f>
        <v>59.7309164944694</v>
      </c>
      <c r="L3" s="709">
        <v>400</v>
      </c>
      <c r="M3" s="710">
        <f>H3/L3</f>
        <v>0.09828125</v>
      </c>
    </row>
    <row r="4" s="681" customFormat="1" spans="1:13">
      <c r="A4" s="691">
        <v>2</v>
      </c>
      <c r="B4" s="691"/>
      <c r="C4" s="692">
        <v>37</v>
      </c>
      <c r="D4" s="353">
        <v>0.85</v>
      </c>
      <c r="E4" s="353">
        <v>0.65</v>
      </c>
      <c r="F4" s="353">
        <v>380</v>
      </c>
      <c r="G4" s="691" t="s">
        <v>2668</v>
      </c>
      <c r="H4" s="693">
        <f t="shared" ref="H4:H12" si="2">I4/E4</f>
        <v>48.3846153846154</v>
      </c>
      <c r="I4" s="708">
        <f t="shared" si="0"/>
        <v>31.45</v>
      </c>
      <c r="J4" s="693">
        <f t="shared" ref="J4:J12" si="3">SQRT(H4*H4-I4*I4)</f>
        <v>36.7691243561383</v>
      </c>
      <c r="K4" s="693">
        <f t="shared" si="1"/>
        <v>73.5149741470393</v>
      </c>
      <c r="L4" s="709">
        <v>400</v>
      </c>
      <c r="M4" s="710">
        <f>H4/L4</f>
        <v>0.120961538461538</v>
      </c>
    </row>
    <row r="5" s="681" customFormat="1" spans="1:13">
      <c r="A5" s="691">
        <v>3</v>
      </c>
      <c r="B5" s="691"/>
      <c r="C5" s="692">
        <v>23.4</v>
      </c>
      <c r="D5" s="353">
        <v>0.85</v>
      </c>
      <c r="E5" s="353">
        <v>0.95</v>
      </c>
      <c r="F5" s="353">
        <v>380</v>
      </c>
      <c r="G5" s="691" t="s">
        <v>2668</v>
      </c>
      <c r="H5" s="693">
        <f t="shared" si="2"/>
        <v>20.9368421052632</v>
      </c>
      <c r="I5" s="708">
        <f t="shared" si="0"/>
        <v>19.89</v>
      </c>
      <c r="J5" s="693">
        <f t="shared" si="3"/>
        <v>6.53752685200759</v>
      </c>
      <c r="K5" s="693">
        <f t="shared" si="1"/>
        <v>31.8111737347501</v>
      </c>
      <c r="L5" s="709">
        <v>400</v>
      </c>
      <c r="M5" s="710">
        <f t="shared" ref="M5:M13" si="4">H5/L5</f>
        <v>0.0523421052631579</v>
      </c>
    </row>
    <row r="6" s="681" customFormat="1" spans="1:13">
      <c r="A6" s="691">
        <v>4</v>
      </c>
      <c r="B6" s="691"/>
      <c r="C6" s="692">
        <v>23.4</v>
      </c>
      <c r="D6" s="353">
        <v>0.85</v>
      </c>
      <c r="E6" s="353">
        <v>0.8</v>
      </c>
      <c r="F6" s="353">
        <v>380</v>
      </c>
      <c r="G6" s="691" t="s">
        <v>2668</v>
      </c>
      <c r="H6" s="693">
        <f t="shared" si="2"/>
        <v>24.8625</v>
      </c>
      <c r="I6" s="708">
        <f t="shared" si="0"/>
        <v>19.89</v>
      </c>
      <c r="J6" s="693">
        <f t="shared" si="3"/>
        <v>14.9175</v>
      </c>
      <c r="K6" s="693">
        <f t="shared" si="1"/>
        <v>37.7757688100158</v>
      </c>
      <c r="L6" s="709">
        <v>400</v>
      </c>
      <c r="M6" s="710">
        <f t="shared" si="4"/>
        <v>0.06215625</v>
      </c>
    </row>
    <row r="7" s="681" customFormat="1" spans="1:13">
      <c r="A7" s="691">
        <v>5</v>
      </c>
      <c r="B7" s="691"/>
      <c r="C7" s="692">
        <v>890</v>
      </c>
      <c r="D7" s="353">
        <v>0.75</v>
      </c>
      <c r="E7" s="353">
        <v>0.8</v>
      </c>
      <c r="F7" s="353">
        <v>380</v>
      </c>
      <c r="G7" s="691" t="s">
        <v>2668</v>
      </c>
      <c r="H7" s="693">
        <f t="shared" si="2"/>
        <v>834.375</v>
      </c>
      <c r="I7" s="708">
        <f t="shared" si="0"/>
        <v>667.5</v>
      </c>
      <c r="J7" s="693">
        <f t="shared" si="3"/>
        <v>500.625</v>
      </c>
      <c r="K7" s="693">
        <f t="shared" si="1"/>
        <v>1267.73884769661</v>
      </c>
      <c r="L7" s="709">
        <v>1000</v>
      </c>
      <c r="M7" s="710">
        <f t="shared" si="4"/>
        <v>0.834375</v>
      </c>
    </row>
    <row r="8" s="681" customFormat="1" spans="1:13">
      <c r="A8" s="691">
        <v>6</v>
      </c>
      <c r="B8" s="691"/>
      <c r="C8" s="692">
        <v>350</v>
      </c>
      <c r="D8" s="353">
        <v>0.85</v>
      </c>
      <c r="E8" s="353">
        <v>0.8</v>
      </c>
      <c r="F8" s="353">
        <v>380</v>
      </c>
      <c r="G8" s="691" t="s">
        <v>2668</v>
      </c>
      <c r="H8" s="693">
        <f t="shared" si="2"/>
        <v>371.875</v>
      </c>
      <c r="I8" s="708">
        <f t="shared" si="0"/>
        <v>297.5</v>
      </c>
      <c r="J8" s="693">
        <f t="shared" si="3"/>
        <v>223.125</v>
      </c>
      <c r="K8" s="693">
        <f t="shared" si="1"/>
        <v>565.022183055792</v>
      </c>
      <c r="L8" s="709">
        <v>400</v>
      </c>
      <c r="M8" s="710">
        <f t="shared" si="4"/>
        <v>0.9296875</v>
      </c>
    </row>
    <row r="9" s="681" customFormat="1" spans="1:13">
      <c r="A9" s="691">
        <v>7</v>
      </c>
      <c r="B9" s="691"/>
      <c r="C9" s="692">
        <v>0</v>
      </c>
      <c r="D9" s="353">
        <v>0.8</v>
      </c>
      <c r="E9" s="353">
        <v>0.85</v>
      </c>
      <c r="F9" s="353">
        <v>380</v>
      </c>
      <c r="G9" s="691" t="s">
        <v>2668</v>
      </c>
      <c r="H9" s="693">
        <f t="shared" si="2"/>
        <v>0</v>
      </c>
      <c r="I9" s="708">
        <f t="shared" si="0"/>
        <v>0</v>
      </c>
      <c r="J9" s="693">
        <f t="shared" si="3"/>
        <v>0</v>
      </c>
      <c r="K9" s="693">
        <f t="shared" si="1"/>
        <v>0</v>
      </c>
      <c r="L9" s="709">
        <v>400</v>
      </c>
      <c r="M9" s="710">
        <f t="shared" si="4"/>
        <v>0</v>
      </c>
    </row>
    <row r="10" s="681" customFormat="1" spans="1:13">
      <c r="A10" s="691">
        <v>8</v>
      </c>
      <c r="B10" s="691"/>
      <c r="C10" s="692">
        <v>0</v>
      </c>
      <c r="D10" s="353">
        <v>0.8</v>
      </c>
      <c r="E10" s="353">
        <v>0.85</v>
      </c>
      <c r="F10" s="353">
        <v>380</v>
      </c>
      <c r="G10" s="691" t="s">
        <v>2668</v>
      </c>
      <c r="H10" s="693">
        <f t="shared" si="2"/>
        <v>0</v>
      </c>
      <c r="I10" s="708">
        <f t="shared" si="0"/>
        <v>0</v>
      </c>
      <c r="J10" s="693">
        <f t="shared" si="3"/>
        <v>0</v>
      </c>
      <c r="K10" s="693">
        <f t="shared" si="1"/>
        <v>0</v>
      </c>
      <c r="L10" s="709">
        <v>400</v>
      </c>
      <c r="M10" s="710">
        <f t="shared" si="4"/>
        <v>0</v>
      </c>
    </row>
    <row r="11" s="681" customFormat="1" spans="1:13">
      <c r="A11" s="691">
        <v>9</v>
      </c>
      <c r="B11" s="691"/>
      <c r="C11" s="692">
        <v>0</v>
      </c>
      <c r="D11" s="353">
        <v>0.8</v>
      </c>
      <c r="E11" s="353">
        <v>0.85</v>
      </c>
      <c r="F11" s="353">
        <v>380</v>
      </c>
      <c r="G11" s="691" t="s">
        <v>2668</v>
      </c>
      <c r="H11" s="693">
        <f t="shared" si="2"/>
        <v>0</v>
      </c>
      <c r="I11" s="708">
        <f t="shared" si="0"/>
        <v>0</v>
      </c>
      <c r="J11" s="693">
        <f t="shared" si="3"/>
        <v>0</v>
      </c>
      <c r="K11" s="693">
        <f t="shared" si="1"/>
        <v>0</v>
      </c>
      <c r="L11" s="709">
        <v>400</v>
      </c>
      <c r="M11" s="710">
        <f t="shared" si="4"/>
        <v>0</v>
      </c>
    </row>
    <row r="12" s="681" customFormat="1" spans="1:13">
      <c r="A12" s="691">
        <v>10</v>
      </c>
      <c r="B12" s="691"/>
      <c r="C12" s="692">
        <v>0</v>
      </c>
      <c r="D12" s="353">
        <v>0.8</v>
      </c>
      <c r="E12" s="353">
        <v>0.85</v>
      </c>
      <c r="F12" s="353">
        <v>380</v>
      </c>
      <c r="G12" s="691" t="s">
        <v>2668</v>
      </c>
      <c r="H12" s="693">
        <f t="shared" si="2"/>
        <v>0</v>
      </c>
      <c r="I12" s="708">
        <f t="shared" si="0"/>
        <v>0</v>
      </c>
      <c r="J12" s="693">
        <f t="shared" si="3"/>
        <v>0</v>
      </c>
      <c r="K12" s="693">
        <f t="shared" si="1"/>
        <v>0</v>
      </c>
      <c r="L12" s="709">
        <v>400</v>
      </c>
      <c r="M12" s="710">
        <f t="shared" si="4"/>
        <v>0</v>
      </c>
    </row>
    <row r="13" s="681" customFormat="1" ht="78" spans="1:13">
      <c r="A13" s="694" t="s">
        <v>2391</v>
      </c>
      <c r="B13" s="695" t="str">
        <f>"总负荷:Pe="&amp;SUM(C3:C12)&amp;"(KW)"</f>
        <v>总负荷:Pe=1360.8(KW)</v>
      </c>
      <c r="C13" s="696"/>
      <c r="D13" s="697" t="str">
        <f>"平均功率因数="&amp;SUM(E3:E12)/10</f>
        <v>平均功率因数=0.82</v>
      </c>
      <c r="E13" s="698"/>
      <c r="F13" s="699"/>
      <c r="G13" s="700" t="s">
        <v>2695</v>
      </c>
      <c r="H13" s="701">
        <f>SUM(H3:H12)</f>
        <v>1339.74645748988</v>
      </c>
      <c r="I13" s="711" t="str">
        <f>"有功功率:Pj="&amp;""&amp;SUM(I3:I12)&amp;"(KW)"</f>
        <v>有功功率:Pj=1067.68(KW)</v>
      </c>
      <c r="J13" s="712" t="str">
        <f>"无功功率:
Qjs="&amp;SUM(J3:J12)&amp;"(Kvar)"</f>
        <v>无功功率:
Qjs=805.561651208146(Kvar)</v>
      </c>
      <c r="K13" s="713" t="str">
        <f>"有功电流:Ijs="&amp;SUM(K3:K12)&amp;" (A)"</f>
        <v>有功电流:Ijs=2035.59386393868 (A)</v>
      </c>
      <c r="L13" s="714">
        <v>1600</v>
      </c>
      <c r="M13" s="710">
        <f t="shared" si="4"/>
        <v>0.837341535931174</v>
      </c>
    </row>
    <row r="15" spans="1:11">
      <c r="A15" s="702"/>
      <c r="B15" s="702"/>
      <c r="C15" s="702"/>
      <c r="D15" s="702"/>
      <c r="E15" s="702"/>
      <c r="F15" s="702"/>
      <c r="G15" s="702"/>
      <c r="H15" s="703"/>
      <c r="I15" s="703"/>
      <c r="J15" s="703"/>
      <c r="K15" s="703"/>
    </row>
    <row r="16" spans="1:11">
      <c r="A16" s="702"/>
      <c r="B16" s="702"/>
      <c r="C16" s="702"/>
      <c r="D16" s="702"/>
      <c r="E16" s="702"/>
      <c r="F16" s="702"/>
      <c r="G16" s="702"/>
      <c r="H16" s="703"/>
      <c r="I16" s="703"/>
      <c r="J16" s="703"/>
      <c r="K16" s="703"/>
    </row>
    <row r="17" spans="1:11">
      <c r="A17" s="702"/>
      <c r="B17" s="702"/>
      <c r="C17" s="702"/>
      <c r="D17" s="702"/>
      <c r="E17" s="702"/>
      <c r="F17" s="702"/>
      <c r="G17" s="702"/>
      <c r="H17" s="703"/>
      <c r="I17" s="703"/>
      <c r="J17" s="703"/>
      <c r="K17" s="703"/>
    </row>
    <row r="18" spans="1:11">
      <c r="A18" s="702"/>
      <c r="B18" s="702"/>
      <c r="C18" s="702"/>
      <c r="D18" s="702"/>
      <c r="E18" s="702"/>
      <c r="F18" s="702"/>
      <c r="G18" s="702"/>
      <c r="H18" s="703"/>
      <c r="I18" s="703"/>
      <c r="J18" s="703"/>
      <c r="K18" s="703"/>
    </row>
    <row r="19" spans="1:11">
      <c r="A19" s="702"/>
      <c r="B19" s="702"/>
      <c r="C19" s="702"/>
      <c r="D19" s="702"/>
      <c r="E19" s="702"/>
      <c r="F19" s="702"/>
      <c r="G19" s="702"/>
      <c r="H19" s="703"/>
      <c r="I19" s="703"/>
      <c r="J19" s="703"/>
      <c r="K19" s="703"/>
    </row>
    <row r="20" spans="1:11">
      <c r="A20" s="702"/>
      <c r="B20" s="702"/>
      <c r="C20" s="702"/>
      <c r="D20" s="702"/>
      <c r="E20" s="702"/>
      <c r="F20" s="702"/>
      <c r="G20" s="702"/>
      <c r="H20" s="702"/>
      <c r="I20" s="702"/>
      <c r="J20" s="703"/>
      <c r="K20" s="703"/>
    </row>
    <row r="24" spans="13:13">
      <c r="M24" s="715"/>
    </row>
    <row r="25" spans="13:13">
      <c r="M25" s="715"/>
    </row>
    <row r="26" spans="13:13">
      <c r="M26" s="715"/>
    </row>
    <row r="27" spans="13:13">
      <c r="M27" s="715"/>
    </row>
    <row r="28" spans="13:13">
      <c r="M28" s="716"/>
    </row>
    <row r="29" spans="13:13">
      <c r="M29" s="716"/>
    </row>
    <row r="30" spans="13:13">
      <c r="M30" s="716"/>
    </row>
    <row r="31" spans="13:13">
      <c r="M31" s="716"/>
    </row>
    <row r="32" spans="13:13">
      <c r="M32" s="716"/>
    </row>
    <row r="33" spans="13:13">
      <c r="M33" s="716"/>
    </row>
    <row r="34" spans="13:13">
      <c r="M34" s="715"/>
    </row>
  </sheetData>
  <mergeCells count="7">
    <mergeCell ref="A1:L1"/>
    <mergeCell ref="B13:C13"/>
    <mergeCell ref="D13:E13"/>
    <mergeCell ref="A20:C20"/>
    <mergeCell ref="D20:F20"/>
    <mergeCell ref="G20:I20"/>
    <mergeCell ref="J20:K20"/>
  </mergeCells>
  <hyperlinks>
    <hyperlink ref="M1" location="目录!A1" display="目录!A1"/>
  </hyperlinks>
  <pageMargins left="0.7" right="0.7" top="0.75" bottom="0.75" header="0.3" footer="0.3"/>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3"/>
  <sheetViews>
    <sheetView topLeftCell="A2" workbookViewId="0">
      <selection activeCell="J6" sqref="J6"/>
    </sheetView>
  </sheetViews>
  <sheetFormatPr defaultColWidth="9" defaultRowHeight="15.6"/>
  <cols>
    <col min="1" max="1" width="3" customWidth="1"/>
    <col min="2" max="2" width="2.875" customWidth="1"/>
    <col min="3" max="3" width="12.875" customWidth="1"/>
    <col min="4" max="4" width="4" customWidth="1"/>
    <col min="5" max="5" width="5.125" customWidth="1"/>
    <col min="6" max="6" width="5.25" customWidth="1"/>
    <col min="7" max="7" width="5.375" customWidth="1"/>
    <col min="8" max="9" width="5.875" customWidth="1"/>
    <col min="10" max="10" width="5.375" customWidth="1"/>
    <col min="11" max="11" width="5.125" customWidth="1"/>
    <col min="12" max="12" width="14.875" customWidth="1"/>
    <col min="13" max="13" width="8.25" customWidth="1"/>
    <col min="14" max="14" width="5" customWidth="1"/>
    <col min="15" max="16" width="12" customWidth="1"/>
    <col min="17" max="17" width="5.5" customWidth="1"/>
    <col min="18" max="18" width="5.25" customWidth="1"/>
    <col min="19" max="19" width="8.75" customWidth="1"/>
    <col min="20" max="20" width="29" customWidth="1"/>
    <col min="21" max="21" width="19.875" customWidth="1"/>
    <col min="257" max="257" width="3" customWidth="1"/>
    <col min="258" max="258" width="2.875" customWidth="1"/>
    <col min="259" max="259" width="12.875" customWidth="1"/>
    <col min="260" max="260" width="4" customWidth="1"/>
    <col min="261" max="261" width="5.125" customWidth="1"/>
    <col min="262" max="262" width="5.25" customWidth="1"/>
    <col min="263" max="263" width="5.375" customWidth="1"/>
    <col min="264" max="265" width="5.875" customWidth="1"/>
    <col min="266" max="266" width="5.375" customWidth="1"/>
    <col min="267" max="267" width="5.125" customWidth="1"/>
    <col min="268" max="268" width="14.875" customWidth="1"/>
    <col min="269" max="269" width="8.25" customWidth="1"/>
    <col min="270" max="270" width="5" customWidth="1"/>
    <col min="271" max="272" width="12" customWidth="1"/>
    <col min="273" max="273" width="5.5" customWidth="1"/>
    <col min="274" max="274" width="5.25" customWidth="1"/>
    <col min="275" max="275" width="8.75" customWidth="1"/>
    <col min="276" max="276" width="29" customWidth="1"/>
    <col min="277" max="277" width="19.875" customWidth="1"/>
    <col min="513" max="513" width="3" customWidth="1"/>
    <col min="514" max="514" width="2.875" customWidth="1"/>
    <col min="515" max="515" width="12.875" customWidth="1"/>
    <col min="516" max="516" width="4" customWidth="1"/>
    <col min="517" max="517" width="5.125" customWidth="1"/>
    <col min="518" max="518" width="5.25" customWidth="1"/>
    <col min="519" max="519" width="5.375" customWidth="1"/>
    <col min="520" max="521" width="5.875" customWidth="1"/>
    <col min="522" max="522" width="5.375" customWidth="1"/>
    <col min="523" max="523" width="5.125" customWidth="1"/>
    <col min="524" max="524" width="14.875" customWidth="1"/>
    <col min="525" max="525" width="8.25" customWidth="1"/>
    <col min="526" max="526" width="5" customWidth="1"/>
    <col min="527" max="528" width="12" customWidth="1"/>
    <col min="529" max="529" width="5.5" customWidth="1"/>
    <col min="530" max="530" width="5.25" customWidth="1"/>
    <col min="531" max="531" width="8.75" customWidth="1"/>
    <col min="532" max="532" width="29" customWidth="1"/>
    <col min="533" max="533" width="19.875" customWidth="1"/>
    <col min="769" max="769" width="3" customWidth="1"/>
    <col min="770" max="770" width="2.875" customWidth="1"/>
    <col min="771" max="771" width="12.875" customWidth="1"/>
    <col min="772" max="772" width="4" customWidth="1"/>
    <col min="773" max="773" width="5.125" customWidth="1"/>
    <col min="774" max="774" width="5.25" customWidth="1"/>
    <col min="775" max="775" width="5.375" customWidth="1"/>
    <col min="776" max="777" width="5.875" customWidth="1"/>
    <col min="778" max="778" width="5.375" customWidth="1"/>
    <col min="779" max="779" width="5.125" customWidth="1"/>
    <col min="780" max="780" width="14.875" customWidth="1"/>
    <col min="781" max="781" width="8.25" customWidth="1"/>
    <col min="782" max="782" width="5" customWidth="1"/>
    <col min="783" max="784" width="12" customWidth="1"/>
    <col min="785" max="785" width="5.5" customWidth="1"/>
    <col min="786" max="786" width="5.25" customWidth="1"/>
    <col min="787" max="787" width="8.75" customWidth="1"/>
    <col min="788" max="788" width="29" customWidth="1"/>
    <col min="789" max="789" width="19.875" customWidth="1"/>
    <col min="1025" max="1025" width="3" customWidth="1"/>
    <col min="1026" max="1026" width="2.875" customWidth="1"/>
    <col min="1027" max="1027" width="12.875" customWidth="1"/>
    <col min="1028" max="1028" width="4" customWidth="1"/>
    <col min="1029" max="1029" width="5.125" customWidth="1"/>
    <col min="1030" max="1030" width="5.25" customWidth="1"/>
    <col min="1031" max="1031" width="5.375" customWidth="1"/>
    <col min="1032" max="1033" width="5.875" customWidth="1"/>
    <col min="1034" max="1034" width="5.375" customWidth="1"/>
    <col min="1035" max="1035" width="5.125" customWidth="1"/>
    <col min="1036" max="1036" width="14.875" customWidth="1"/>
    <col min="1037" max="1037" width="8.25" customWidth="1"/>
    <col min="1038" max="1038" width="5" customWidth="1"/>
    <col min="1039" max="1040" width="12" customWidth="1"/>
    <col min="1041" max="1041" width="5.5" customWidth="1"/>
    <col min="1042" max="1042" width="5.25" customWidth="1"/>
    <col min="1043" max="1043" width="8.75" customWidth="1"/>
    <col min="1044" max="1044" width="29" customWidth="1"/>
    <col min="1045" max="1045" width="19.875" customWidth="1"/>
    <col min="1281" max="1281" width="3" customWidth="1"/>
    <col min="1282" max="1282" width="2.875" customWidth="1"/>
    <col min="1283" max="1283" width="12.875" customWidth="1"/>
    <col min="1284" max="1284" width="4" customWidth="1"/>
    <col min="1285" max="1285" width="5.125" customWidth="1"/>
    <col min="1286" max="1286" width="5.25" customWidth="1"/>
    <col min="1287" max="1287" width="5.375" customWidth="1"/>
    <col min="1288" max="1289" width="5.875" customWidth="1"/>
    <col min="1290" max="1290" width="5.375" customWidth="1"/>
    <col min="1291" max="1291" width="5.125" customWidth="1"/>
    <col min="1292" max="1292" width="14.875" customWidth="1"/>
    <col min="1293" max="1293" width="8.25" customWidth="1"/>
    <col min="1294" max="1294" width="5" customWidth="1"/>
    <col min="1295" max="1296" width="12" customWidth="1"/>
    <col min="1297" max="1297" width="5.5" customWidth="1"/>
    <col min="1298" max="1298" width="5.25" customWidth="1"/>
    <col min="1299" max="1299" width="8.75" customWidth="1"/>
    <col min="1300" max="1300" width="29" customWidth="1"/>
    <col min="1301" max="1301" width="19.875" customWidth="1"/>
    <col min="1537" max="1537" width="3" customWidth="1"/>
    <col min="1538" max="1538" width="2.875" customWidth="1"/>
    <col min="1539" max="1539" width="12.875" customWidth="1"/>
    <col min="1540" max="1540" width="4" customWidth="1"/>
    <col min="1541" max="1541" width="5.125" customWidth="1"/>
    <col min="1542" max="1542" width="5.25" customWidth="1"/>
    <col min="1543" max="1543" width="5.375" customWidth="1"/>
    <col min="1544" max="1545" width="5.875" customWidth="1"/>
    <col min="1546" max="1546" width="5.375" customWidth="1"/>
    <col min="1547" max="1547" width="5.125" customWidth="1"/>
    <col min="1548" max="1548" width="14.875" customWidth="1"/>
    <col min="1549" max="1549" width="8.25" customWidth="1"/>
    <col min="1550" max="1550" width="5" customWidth="1"/>
    <col min="1551" max="1552" width="12" customWidth="1"/>
    <col min="1553" max="1553" width="5.5" customWidth="1"/>
    <col min="1554" max="1554" width="5.25" customWidth="1"/>
    <col min="1555" max="1555" width="8.75" customWidth="1"/>
    <col min="1556" max="1556" width="29" customWidth="1"/>
    <col min="1557" max="1557" width="19.875" customWidth="1"/>
    <col min="1793" max="1793" width="3" customWidth="1"/>
    <col min="1794" max="1794" width="2.875" customWidth="1"/>
    <col min="1795" max="1795" width="12.875" customWidth="1"/>
    <col min="1796" max="1796" width="4" customWidth="1"/>
    <col min="1797" max="1797" width="5.125" customWidth="1"/>
    <col min="1798" max="1798" width="5.25" customWidth="1"/>
    <col min="1799" max="1799" width="5.375" customWidth="1"/>
    <col min="1800" max="1801" width="5.875" customWidth="1"/>
    <col min="1802" max="1802" width="5.375" customWidth="1"/>
    <col min="1803" max="1803" width="5.125" customWidth="1"/>
    <col min="1804" max="1804" width="14.875" customWidth="1"/>
    <col min="1805" max="1805" width="8.25" customWidth="1"/>
    <col min="1806" max="1806" width="5" customWidth="1"/>
    <col min="1807" max="1808" width="12" customWidth="1"/>
    <col min="1809" max="1809" width="5.5" customWidth="1"/>
    <col min="1810" max="1810" width="5.25" customWidth="1"/>
    <col min="1811" max="1811" width="8.75" customWidth="1"/>
    <col min="1812" max="1812" width="29" customWidth="1"/>
    <col min="1813" max="1813" width="19.875" customWidth="1"/>
    <col min="2049" max="2049" width="3" customWidth="1"/>
    <col min="2050" max="2050" width="2.875" customWidth="1"/>
    <col min="2051" max="2051" width="12.875" customWidth="1"/>
    <col min="2052" max="2052" width="4" customWidth="1"/>
    <col min="2053" max="2053" width="5.125" customWidth="1"/>
    <col min="2054" max="2054" width="5.25" customWidth="1"/>
    <col min="2055" max="2055" width="5.375" customWidth="1"/>
    <col min="2056" max="2057" width="5.875" customWidth="1"/>
    <col min="2058" max="2058" width="5.375" customWidth="1"/>
    <col min="2059" max="2059" width="5.125" customWidth="1"/>
    <col min="2060" max="2060" width="14.875" customWidth="1"/>
    <col min="2061" max="2061" width="8.25" customWidth="1"/>
    <col min="2062" max="2062" width="5" customWidth="1"/>
    <col min="2063" max="2064" width="12" customWidth="1"/>
    <col min="2065" max="2065" width="5.5" customWidth="1"/>
    <col min="2066" max="2066" width="5.25" customWidth="1"/>
    <col min="2067" max="2067" width="8.75" customWidth="1"/>
    <col min="2068" max="2068" width="29" customWidth="1"/>
    <col min="2069" max="2069" width="19.875" customWidth="1"/>
    <col min="2305" max="2305" width="3" customWidth="1"/>
    <col min="2306" max="2306" width="2.875" customWidth="1"/>
    <col min="2307" max="2307" width="12.875" customWidth="1"/>
    <col min="2308" max="2308" width="4" customWidth="1"/>
    <col min="2309" max="2309" width="5.125" customWidth="1"/>
    <col min="2310" max="2310" width="5.25" customWidth="1"/>
    <col min="2311" max="2311" width="5.375" customWidth="1"/>
    <col min="2312" max="2313" width="5.875" customWidth="1"/>
    <col min="2314" max="2314" width="5.375" customWidth="1"/>
    <col min="2315" max="2315" width="5.125" customWidth="1"/>
    <col min="2316" max="2316" width="14.875" customWidth="1"/>
    <col min="2317" max="2317" width="8.25" customWidth="1"/>
    <col min="2318" max="2318" width="5" customWidth="1"/>
    <col min="2319" max="2320" width="12" customWidth="1"/>
    <col min="2321" max="2321" width="5.5" customWidth="1"/>
    <col min="2322" max="2322" width="5.25" customWidth="1"/>
    <col min="2323" max="2323" width="8.75" customWidth="1"/>
    <col min="2324" max="2324" width="29" customWidth="1"/>
    <col min="2325" max="2325" width="19.875" customWidth="1"/>
    <col min="2561" max="2561" width="3" customWidth="1"/>
    <col min="2562" max="2562" width="2.875" customWidth="1"/>
    <col min="2563" max="2563" width="12.875" customWidth="1"/>
    <col min="2564" max="2564" width="4" customWidth="1"/>
    <col min="2565" max="2565" width="5.125" customWidth="1"/>
    <col min="2566" max="2566" width="5.25" customWidth="1"/>
    <col min="2567" max="2567" width="5.375" customWidth="1"/>
    <col min="2568" max="2569" width="5.875" customWidth="1"/>
    <col min="2570" max="2570" width="5.375" customWidth="1"/>
    <col min="2571" max="2571" width="5.125" customWidth="1"/>
    <col min="2572" max="2572" width="14.875" customWidth="1"/>
    <col min="2573" max="2573" width="8.25" customWidth="1"/>
    <col min="2574" max="2574" width="5" customWidth="1"/>
    <col min="2575" max="2576" width="12" customWidth="1"/>
    <col min="2577" max="2577" width="5.5" customWidth="1"/>
    <col min="2578" max="2578" width="5.25" customWidth="1"/>
    <col min="2579" max="2579" width="8.75" customWidth="1"/>
    <col min="2580" max="2580" width="29" customWidth="1"/>
    <col min="2581" max="2581" width="19.875" customWidth="1"/>
    <col min="2817" max="2817" width="3" customWidth="1"/>
    <col min="2818" max="2818" width="2.875" customWidth="1"/>
    <col min="2819" max="2819" width="12.875" customWidth="1"/>
    <col min="2820" max="2820" width="4" customWidth="1"/>
    <col min="2821" max="2821" width="5.125" customWidth="1"/>
    <col min="2822" max="2822" width="5.25" customWidth="1"/>
    <col min="2823" max="2823" width="5.375" customWidth="1"/>
    <col min="2824" max="2825" width="5.875" customWidth="1"/>
    <col min="2826" max="2826" width="5.375" customWidth="1"/>
    <col min="2827" max="2827" width="5.125" customWidth="1"/>
    <col min="2828" max="2828" width="14.875" customWidth="1"/>
    <col min="2829" max="2829" width="8.25" customWidth="1"/>
    <col min="2830" max="2830" width="5" customWidth="1"/>
    <col min="2831" max="2832" width="12" customWidth="1"/>
    <col min="2833" max="2833" width="5.5" customWidth="1"/>
    <col min="2834" max="2834" width="5.25" customWidth="1"/>
    <col min="2835" max="2835" width="8.75" customWidth="1"/>
    <col min="2836" max="2836" width="29" customWidth="1"/>
    <col min="2837" max="2837" width="19.875" customWidth="1"/>
    <col min="3073" max="3073" width="3" customWidth="1"/>
    <col min="3074" max="3074" width="2.875" customWidth="1"/>
    <col min="3075" max="3075" width="12.875" customWidth="1"/>
    <col min="3076" max="3076" width="4" customWidth="1"/>
    <col min="3077" max="3077" width="5.125" customWidth="1"/>
    <col min="3078" max="3078" width="5.25" customWidth="1"/>
    <col min="3079" max="3079" width="5.375" customWidth="1"/>
    <col min="3080" max="3081" width="5.875" customWidth="1"/>
    <col min="3082" max="3082" width="5.375" customWidth="1"/>
    <col min="3083" max="3083" width="5.125" customWidth="1"/>
    <col min="3084" max="3084" width="14.875" customWidth="1"/>
    <col min="3085" max="3085" width="8.25" customWidth="1"/>
    <col min="3086" max="3086" width="5" customWidth="1"/>
    <col min="3087" max="3088" width="12" customWidth="1"/>
    <col min="3089" max="3089" width="5.5" customWidth="1"/>
    <col min="3090" max="3090" width="5.25" customWidth="1"/>
    <col min="3091" max="3091" width="8.75" customWidth="1"/>
    <col min="3092" max="3092" width="29" customWidth="1"/>
    <col min="3093" max="3093" width="19.875" customWidth="1"/>
    <col min="3329" max="3329" width="3" customWidth="1"/>
    <col min="3330" max="3330" width="2.875" customWidth="1"/>
    <col min="3331" max="3331" width="12.875" customWidth="1"/>
    <col min="3332" max="3332" width="4" customWidth="1"/>
    <col min="3333" max="3333" width="5.125" customWidth="1"/>
    <col min="3334" max="3334" width="5.25" customWidth="1"/>
    <col min="3335" max="3335" width="5.375" customWidth="1"/>
    <col min="3336" max="3337" width="5.875" customWidth="1"/>
    <col min="3338" max="3338" width="5.375" customWidth="1"/>
    <col min="3339" max="3339" width="5.125" customWidth="1"/>
    <col min="3340" max="3340" width="14.875" customWidth="1"/>
    <col min="3341" max="3341" width="8.25" customWidth="1"/>
    <col min="3342" max="3342" width="5" customWidth="1"/>
    <col min="3343" max="3344" width="12" customWidth="1"/>
    <col min="3345" max="3345" width="5.5" customWidth="1"/>
    <col min="3346" max="3346" width="5.25" customWidth="1"/>
    <col min="3347" max="3347" width="8.75" customWidth="1"/>
    <col min="3348" max="3348" width="29" customWidth="1"/>
    <col min="3349" max="3349" width="19.875" customWidth="1"/>
    <col min="3585" max="3585" width="3" customWidth="1"/>
    <col min="3586" max="3586" width="2.875" customWidth="1"/>
    <col min="3587" max="3587" width="12.875" customWidth="1"/>
    <col min="3588" max="3588" width="4" customWidth="1"/>
    <col min="3589" max="3589" width="5.125" customWidth="1"/>
    <col min="3590" max="3590" width="5.25" customWidth="1"/>
    <col min="3591" max="3591" width="5.375" customWidth="1"/>
    <col min="3592" max="3593" width="5.875" customWidth="1"/>
    <col min="3594" max="3594" width="5.375" customWidth="1"/>
    <col min="3595" max="3595" width="5.125" customWidth="1"/>
    <col min="3596" max="3596" width="14.875" customWidth="1"/>
    <col min="3597" max="3597" width="8.25" customWidth="1"/>
    <col min="3598" max="3598" width="5" customWidth="1"/>
    <col min="3599" max="3600" width="12" customWidth="1"/>
    <col min="3601" max="3601" width="5.5" customWidth="1"/>
    <col min="3602" max="3602" width="5.25" customWidth="1"/>
    <col min="3603" max="3603" width="8.75" customWidth="1"/>
    <col min="3604" max="3604" width="29" customWidth="1"/>
    <col min="3605" max="3605" width="19.875" customWidth="1"/>
    <col min="3841" max="3841" width="3" customWidth="1"/>
    <col min="3842" max="3842" width="2.875" customWidth="1"/>
    <col min="3843" max="3843" width="12.875" customWidth="1"/>
    <col min="3844" max="3844" width="4" customWidth="1"/>
    <col min="3845" max="3845" width="5.125" customWidth="1"/>
    <col min="3846" max="3846" width="5.25" customWidth="1"/>
    <col min="3847" max="3847" width="5.375" customWidth="1"/>
    <col min="3848" max="3849" width="5.875" customWidth="1"/>
    <col min="3850" max="3850" width="5.375" customWidth="1"/>
    <col min="3851" max="3851" width="5.125" customWidth="1"/>
    <col min="3852" max="3852" width="14.875" customWidth="1"/>
    <col min="3853" max="3853" width="8.25" customWidth="1"/>
    <col min="3854" max="3854" width="5" customWidth="1"/>
    <col min="3855" max="3856" width="12" customWidth="1"/>
    <col min="3857" max="3857" width="5.5" customWidth="1"/>
    <col min="3858" max="3858" width="5.25" customWidth="1"/>
    <col min="3859" max="3859" width="8.75" customWidth="1"/>
    <col min="3860" max="3860" width="29" customWidth="1"/>
    <col min="3861" max="3861" width="19.875" customWidth="1"/>
    <col min="4097" max="4097" width="3" customWidth="1"/>
    <col min="4098" max="4098" width="2.875" customWidth="1"/>
    <col min="4099" max="4099" width="12.875" customWidth="1"/>
    <col min="4100" max="4100" width="4" customWidth="1"/>
    <col min="4101" max="4101" width="5.125" customWidth="1"/>
    <col min="4102" max="4102" width="5.25" customWidth="1"/>
    <col min="4103" max="4103" width="5.375" customWidth="1"/>
    <col min="4104" max="4105" width="5.875" customWidth="1"/>
    <col min="4106" max="4106" width="5.375" customWidth="1"/>
    <col min="4107" max="4107" width="5.125" customWidth="1"/>
    <col min="4108" max="4108" width="14.875" customWidth="1"/>
    <col min="4109" max="4109" width="8.25" customWidth="1"/>
    <col min="4110" max="4110" width="5" customWidth="1"/>
    <col min="4111" max="4112" width="12" customWidth="1"/>
    <col min="4113" max="4113" width="5.5" customWidth="1"/>
    <col min="4114" max="4114" width="5.25" customWidth="1"/>
    <col min="4115" max="4115" width="8.75" customWidth="1"/>
    <col min="4116" max="4116" width="29" customWidth="1"/>
    <col min="4117" max="4117" width="19.875" customWidth="1"/>
    <col min="4353" max="4353" width="3" customWidth="1"/>
    <col min="4354" max="4354" width="2.875" customWidth="1"/>
    <col min="4355" max="4355" width="12.875" customWidth="1"/>
    <col min="4356" max="4356" width="4" customWidth="1"/>
    <col min="4357" max="4357" width="5.125" customWidth="1"/>
    <col min="4358" max="4358" width="5.25" customWidth="1"/>
    <col min="4359" max="4359" width="5.375" customWidth="1"/>
    <col min="4360" max="4361" width="5.875" customWidth="1"/>
    <col min="4362" max="4362" width="5.375" customWidth="1"/>
    <col min="4363" max="4363" width="5.125" customWidth="1"/>
    <col min="4364" max="4364" width="14.875" customWidth="1"/>
    <col min="4365" max="4365" width="8.25" customWidth="1"/>
    <col min="4366" max="4366" width="5" customWidth="1"/>
    <col min="4367" max="4368" width="12" customWidth="1"/>
    <col min="4369" max="4369" width="5.5" customWidth="1"/>
    <col min="4370" max="4370" width="5.25" customWidth="1"/>
    <col min="4371" max="4371" width="8.75" customWidth="1"/>
    <col min="4372" max="4372" width="29" customWidth="1"/>
    <col min="4373" max="4373" width="19.875" customWidth="1"/>
    <col min="4609" max="4609" width="3" customWidth="1"/>
    <col min="4610" max="4610" width="2.875" customWidth="1"/>
    <col min="4611" max="4611" width="12.875" customWidth="1"/>
    <col min="4612" max="4612" width="4" customWidth="1"/>
    <col min="4613" max="4613" width="5.125" customWidth="1"/>
    <col min="4614" max="4614" width="5.25" customWidth="1"/>
    <col min="4615" max="4615" width="5.375" customWidth="1"/>
    <col min="4616" max="4617" width="5.875" customWidth="1"/>
    <col min="4618" max="4618" width="5.375" customWidth="1"/>
    <col min="4619" max="4619" width="5.125" customWidth="1"/>
    <col min="4620" max="4620" width="14.875" customWidth="1"/>
    <col min="4621" max="4621" width="8.25" customWidth="1"/>
    <col min="4622" max="4622" width="5" customWidth="1"/>
    <col min="4623" max="4624" width="12" customWidth="1"/>
    <col min="4625" max="4625" width="5.5" customWidth="1"/>
    <col min="4626" max="4626" width="5.25" customWidth="1"/>
    <col min="4627" max="4627" width="8.75" customWidth="1"/>
    <col min="4628" max="4628" width="29" customWidth="1"/>
    <col min="4629" max="4629" width="19.875" customWidth="1"/>
    <col min="4865" max="4865" width="3" customWidth="1"/>
    <col min="4866" max="4866" width="2.875" customWidth="1"/>
    <col min="4867" max="4867" width="12.875" customWidth="1"/>
    <col min="4868" max="4868" width="4" customWidth="1"/>
    <col min="4869" max="4869" width="5.125" customWidth="1"/>
    <col min="4870" max="4870" width="5.25" customWidth="1"/>
    <col min="4871" max="4871" width="5.375" customWidth="1"/>
    <col min="4872" max="4873" width="5.875" customWidth="1"/>
    <col min="4874" max="4874" width="5.375" customWidth="1"/>
    <col min="4875" max="4875" width="5.125" customWidth="1"/>
    <col min="4876" max="4876" width="14.875" customWidth="1"/>
    <col min="4877" max="4877" width="8.25" customWidth="1"/>
    <col min="4878" max="4878" width="5" customWidth="1"/>
    <col min="4879" max="4880" width="12" customWidth="1"/>
    <col min="4881" max="4881" width="5.5" customWidth="1"/>
    <col min="4882" max="4882" width="5.25" customWidth="1"/>
    <col min="4883" max="4883" width="8.75" customWidth="1"/>
    <col min="4884" max="4884" width="29" customWidth="1"/>
    <col min="4885" max="4885" width="19.875" customWidth="1"/>
    <col min="5121" max="5121" width="3" customWidth="1"/>
    <col min="5122" max="5122" width="2.875" customWidth="1"/>
    <col min="5123" max="5123" width="12.875" customWidth="1"/>
    <col min="5124" max="5124" width="4" customWidth="1"/>
    <col min="5125" max="5125" width="5.125" customWidth="1"/>
    <col min="5126" max="5126" width="5.25" customWidth="1"/>
    <col min="5127" max="5127" width="5.375" customWidth="1"/>
    <col min="5128" max="5129" width="5.875" customWidth="1"/>
    <col min="5130" max="5130" width="5.375" customWidth="1"/>
    <col min="5131" max="5131" width="5.125" customWidth="1"/>
    <col min="5132" max="5132" width="14.875" customWidth="1"/>
    <col min="5133" max="5133" width="8.25" customWidth="1"/>
    <col min="5134" max="5134" width="5" customWidth="1"/>
    <col min="5135" max="5136" width="12" customWidth="1"/>
    <col min="5137" max="5137" width="5.5" customWidth="1"/>
    <col min="5138" max="5138" width="5.25" customWidth="1"/>
    <col min="5139" max="5139" width="8.75" customWidth="1"/>
    <col min="5140" max="5140" width="29" customWidth="1"/>
    <col min="5141" max="5141" width="19.875" customWidth="1"/>
    <col min="5377" max="5377" width="3" customWidth="1"/>
    <col min="5378" max="5378" width="2.875" customWidth="1"/>
    <col min="5379" max="5379" width="12.875" customWidth="1"/>
    <col min="5380" max="5380" width="4" customWidth="1"/>
    <col min="5381" max="5381" width="5.125" customWidth="1"/>
    <col min="5382" max="5382" width="5.25" customWidth="1"/>
    <col min="5383" max="5383" width="5.375" customWidth="1"/>
    <col min="5384" max="5385" width="5.875" customWidth="1"/>
    <col min="5386" max="5386" width="5.375" customWidth="1"/>
    <col min="5387" max="5387" width="5.125" customWidth="1"/>
    <col min="5388" max="5388" width="14.875" customWidth="1"/>
    <col min="5389" max="5389" width="8.25" customWidth="1"/>
    <col min="5390" max="5390" width="5" customWidth="1"/>
    <col min="5391" max="5392" width="12" customWidth="1"/>
    <col min="5393" max="5393" width="5.5" customWidth="1"/>
    <col min="5394" max="5394" width="5.25" customWidth="1"/>
    <col min="5395" max="5395" width="8.75" customWidth="1"/>
    <col min="5396" max="5396" width="29" customWidth="1"/>
    <col min="5397" max="5397" width="19.875" customWidth="1"/>
    <col min="5633" max="5633" width="3" customWidth="1"/>
    <col min="5634" max="5634" width="2.875" customWidth="1"/>
    <col min="5635" max="5635" width="12.875" customWidth="1"/>
    <col min="5636" max="5636" width="4" customWidth="1"/>
    <col min="5637" max="5637" width="5.125" customWidth="1"/>
    <col min="5638" max="5638" width="5.25" customWidth="1"/>
    <col min="5639" max="5639" width="5.375" customWidth="1"/>
    <col min="5640" max="5641" width="5.875" customWidth="1"/>
    <col min="5642" max="5642" width="5.375" customWidth="1"/>
    <col min="5643" max="5643" width="5.125" customWidth="1"/>
    <col min="5644" max="5644" width="14.875" customWidth="1"/>
    <col min="5645" max="5645" width="8.25" customWidth="1"/>
    <col min="5646" max="5646" width="5" customWidth="1"/>
    <col min="5647" max="5648" width="12" customWidth="1"/>
    <col min="5649" max="5649" width="5.5" customWidth="1"/>
    <col min="5650" max="5650" width="5.25" customWidth="1"/>
    <col min="5651" max="5651" width="8.75" customWidth="1"/>
    <col min="5652" max="5652" width="29" customWidth="1"/>
    <col min="5653" max="5653" width="19.875" customWidth="1"/>
    <col min="5889" max="5889" width="3" customWidth="1"/>
    <col min="5890" max="5890" width="2.875" customWidth="1"/>
    <col min="5891" max="5891" width="12.875" customWidth="1"/>
    <col min="5892" max="5892" width="4" customWidth="1"/>
    <col min="5893" max="5893" width="5.125" customWidth="1"/>
    <col min="5894" max="5894" width="5.25" customWidth="1"/>
    <col min="5895" max="5895" width="5.375" customWidth="1"/>
    <col min="5896" max="5897" width="5.875" customWidth="1"/>
    <col min="5898" max="5898" width="5.375" customWidth="1"/>
    <col min="5899" max="5899" width="5.125" customWidth="1"/>
    <col min="5900" max="5900" width="14.875" customWidth="1"/>
    <col min="5901" max="5901" width="8.25" customWidth="1"/>
    <col min="5902" max="5902" width="5" customWidth="1"/>
    <col min="5903" max="5904" width="12" customWidth="1"/>
    <col min="5905" max="5905" width="5.5" customWidth="1"/>
    <col min="5906" max="5906" width="5.25" customWidth="1"/>
    <col min="5907" max="5907" width="8.75" customWidth="1"/>
    <col min="5908" max="5908" width="29" customWidth="1"/>
    <col min="5909" max="5909" width="19.875" customWidth="1"/>
    <col min="6145" max="6145" width="3" customWidth="1"/>
    <col min="6146" max="6146" width="2.875" customWidth="1"/>
    <col min="6147" max="6147" width="12.875" customWidth="1"/>
    <col min="6148" max="6148" width="4" customWidth="1"/>
    <col min="6149" max="6149" width="5.125" customWidth="1"/>
    <col min="6150" max="6150" width="5.25" customWidth="1"/>
    <col min="6151" max="6151" width="5.375" customWidth="1"/>
    <col min="6152" max="6153" width="5.875" customWidth="1"/>
    <col min="6154" max="6154" width="5.375" customWidth="1"/>
    <col min="6155" max="6155" width="5.125" customWidth="1"/>
    <col min="6156" max="6156" width="14.875" customWidth="1"/>
    <col min="6157" max="6157" width="8.25" customWidth="1"/>
    <col min="6158" max="6158" width="5" customWidth="1"/>
    <col min="6159" max="6160" width="12" customWidth="1"/>
    <col min="6161" max="6161" width="5.5" customWidth="1"/>
    <col min="6162" max="6162" width="5.25" customWidth="1"/>
    <col min="6163" max="6163" width="8.75" customWidth="1"/>
    <col min="6164" max="6164" width="29" customWidth="1"/>
    <col min="6165" max="6165" width="19.875" customWidth="1"/>
    <col min="6401" max="6401" width="3" customWidth="1"/>
    <col min="6402" max="6402" width="2.875" customWidth="1"/>
    <col min="6403" max="6403" width="12.875" customWidth="1"/>
    <col min="6404" max="6404" width="4" customWidth="1"/>
    <col min="6405" max="6405" width="5.125" customWidth="1"/>
    <col min="6406" max="6406" width="5.25" customWidth="1"/>
    <col min="6407" max="6407" width="5.375" customWidth="1"/>
    <col min="6408" max="6409" width="5.875" customWidth="1"/>
    <col min="6410" max="6410" width="5.375" customWidth="1"/>
    <col min="6411" max="6411" width="5.125" customWidth="1"/>
    <col min="6412" max="6412" width="14.875" customWidth="1"/>
    <col min="6413" max="6413" width="8.25" customWidth="1"/>
    <col min="6414" max="6414" width="5" customWidth="1"/>
    <col min="6415" max="6416" width="12" customWidth="1"/>
    <col min="6417" max="6417" width="5.5" customWidth="1"/>
    <col min="6418" max="6418" width="5.25" customWidth="1"/>
    <col min="6419" max="6419" width="8.75" customWidth="1"/>
    <col min="6420" max="6420" width="29" customWidth="1"/>
    <col min="6421" max="6421" width="19.875" customWidth="1"/>
    <col min="6657" max="6657" width="3" customWidth="1"/>
    <col min="6658" max="6658" width="2.875" customWidth="1"/>
    <col min="6659" max="6659" width="12.875" customWidth="1"/>
    <col min="6660" max="6660" width="4" customWidth="1"/>
    <col min="6661" max="6661" width="5.125" customWidth="1"/>
    <col min="6662" max="6662" width="5.25" customWidth="1"/>
    <col min="6663" max="6663" width="5.375" customWidth="1"/>
    <col min="6664" max="6665" width="5.875" customWidth="1"/>
    <col min="6666" max="6666" width="5.375" customWidth="1"/>
    <col min="6667" max="6667" width="5.125" customWidth="1"/>
    <col min="6668" max="6668" width="14.875" customWidth="1"/>
    <col min="6669" max="6669" width="8.25" customWidth="1"/>
    <col min="6670" max="6670" width="5" customWidth="1"/>
    <col min="6671" max="6672" width="12" customWidth="1"/>
    <col min="6673" max="6673" width="5.5" customWidth="1"/>
    <col min="6674" max="6674" width="5.25" customWidth="1"/>
    <col min="6675" max="6675" width="8.75" customWidth="1"/>
    <col min="6676" max="6676" width="29" customWidth="1"/>
    <col min="6677" max="6677" width="19.875" customWidth="1"/>
    <col min="6913" max="6913" width="3" customWidth="1"/>
    <col min="6914" max="6914" width="2.875" customWidth="1"/>
    <col min="6915" max="6915" width="12.875" customWidth="1"/>
    <col min="6916" max="6916" width="4" customWidth="1"/>
    <col min="6917" max="6917" width="5.125" customWidth="1"/>
    <col min="6918" max="6918" width="5.25" customWidth="1"/>
    <col min="6919" max="6919" width="5.375" customWidth="1"/>
    <col min="6920" max="6921" width="5.875" customWidth="1"/>
    <col min="6922" max="6922" width="5.375" customWidth="1"/>
    <col min="6923" max="6923" width="5.125" customWidth="1"/>
    <col min="6924" max="6924" width="14.875" customWidth="1"/>
    <col min="6925" max="6925" width="8.25" customWidth="1"/>
    <col min="6926" max="6926" width="5" customWidth="1"/>
    <col min="6927" max="6928" width="12" customWidth="1"/>
    <col min="6929" max="6929" width="5.5" customWidth="1"/>
    <col min="6930" max="6930" width="5.25" customWidth="1"/>
    <col min="6931" max="6931" width="8.75" customWidth="1"/>
    <col min="6932" max="6932" width="29" customWidth="1"/>
    <col min="6933" max="6933" width="19.875" customWidth="1"/>
    <col min="7169" max="7169" width="3" customWidth="1"/>
    <col min="7170" max="7170" width="2.875" customWidth="1"/>
    <col min="7171" max="7171" width="12.875" customWidth="1"/>
    <col min="7172" max="7172" width="4" customWidth="1"/>
    <col min="7173" max="7173" width="5.125" customWidth="1"/>
    <col min="7174" max="7174" width="5.25" customWidth="1"/>
    <col min="7175" max="7175" width="5.375" customWidth="1"/>
    <col min="7176" max="7177" width="5.875" customWidth="1"/>
    <col min="7178" max="7178" width="5.375" customWidth="1"/>
    <col min="7179" max="7179" width="5.125" customWidth="1"/>
    <col min="7180" max="7180" width="14.875" customWidth="1"/>
    <col min="7181" max="7181" width="8.25" customWidth="1"/>
    <col min="7182" max="7182" width="5" customWidth="1"/>
    <col min="7183" max="7184" width="12" customWidth="1"/>
    <col min="7185" max="7185" width="5.5" customWidth="1"/>
    <col min="7186" max="7186" width="5.25" customWidth="1"/>
    <col min="7187" max="7187" width="8.75" customWidth="1"/>
    <col min="7188" max="7188" width="29" customWidth="1"/>
    <col min="7189" max="7189" width="19.875" customWidth="1"/>
    <col min="7425" max="7425" width="3" customWidth="1"/>
    <col min="7426" max="7426" width="2.875" customWidth="1"/>
    <col min="7427" max="7427" width="12.875" customWidth="1"/>
    <col min="7428" max="7428" width="4" customWidth="1"/>
    <col min="7429" max="7429" width="5.125" customWidth="1"/>
    <col min="7430" max="7430" width="5.25" customWidth="1"/>
    <col min="7431" max="7431" width="5.375" customWidth="1"/>
    <col min="7432" max="7433" width="5.875" customWidth="1"/>
    <col min="7434" max="7434" width="5.375" customWidth="1"/>
    <col min="7435" max="7435" width="5.125" customWidth="1"/>
    <col min="7436" max="7436" width="14.875" customWidth="1"/>
    <col min="7437" max="7437" width="8.25" customWidth="1"/>
    <col min="7438" max="7438" width="5" customWidth="1"/>
    <col min="7439" max="7440" width="12" customWidth="1"/>
    <col min="7441" max="7441" width="5.5" customWidth="1"/>
    <col min="7442" max="7442" width="5.25" customWidth="1"/>
    <col min="7443" max="7443" width="8.75" customWidth="1"/>
    <col min="7444" max="7444" width="29" customWidth="1"/>
    <col min="7445" max="7445" width="19.875" customWidth="1"/>
    <col min="7681" max="7681" width="3" customWidth="1"/>
    <col min="7682" max="7682" width="2.875" customWidth="1"/>
    <col min="7683" max="7683" width="12.875" customWidth="1"/>
    <col min="7684" max="7684" width="4" customWidth="1"/>
    <col min="7685" max="7685" width="5.125" customWidth="1"/>
    <col min="7686" max="7686" width="5.25" customWidth="1"/>
    <col min="7687" max="7687" width="5.375" customWidth="1"/>
    <col min="7688" max="7689" width="5.875" customWidth="1"/>
    <col min="7690" max="7690" width="5.375" customWidth="1"/>
    <col min="7691" max="7691" width="5.125" customWidth="1"/>
    <col min="7692" max="7692" width="14.875" customWidth="1"/>
    <col min="7693" max="7693" width="8.25" customWidth="1"/>
    <col min="7694" max="7694" width="5" customWidth="1"/>
    <col min="7695" max="7696" width="12" customWidth="1"/>
    <col min="7697" max="7697" width="5.5" customWidth="1"/>
    <col min="7698" max="7698" width="5.25" customWidth="1"/>
    <col min="7699" max="7699" width="8.75" customWidth="1"/>
    <col min="7700" max="7700" width="29" customWidth="1"/>
    <col min="7701" max="7701" width="19.875" customWidth="1"/>
    <col min="7937" max="7937" width="3" customWidth="1"/>
    <col min="7938" max="7938" width="2.875" customWidth="1"/>
    <col min="7939" max="7939" width="12.875" customWidth="1"/>
    <col min="7940" max="7940" width="4" customWidth="1"/>
    <col min="7941" max="7941" width="5.125" customWidth="1"/>
    <col min="7942" max="7942" width="5.25" customWidth="1"/>
    <col min="7943" max="7943" width="5.375" customWidth="1"/>
    <col min="7944" max="7945" width="5.875" customWidth="1"/>
    <col min="7946" max="7946" width="5.375" customWidth="1"/>
    <col min="7947" max="7947" width="5.125" customWidth="1"/>
    <col min="7948" max="7948" width="14.875" customWidth="1"/>
    <col min="7949" max="7949" width="8.25" customWidth="1"/>
    <col min="7950" max="7950" width="5" customWidth="1"/>
    <col min="7951" max="7952" width="12" customWidth="1"/>
    <col min="7953" max="7953" width="5.5" customWidth="1"/>
    <col min="7954" max="7954" width="5.25" customWidth="1"/>
    <col min="7955" max="7955" width="8.75" customWidth="1"/>
    <col min="7956" max="7956" width="29" customWidth="1"/>
    <col min="7957" max="7957" width="19.875" customWidth="1"/>
    <col min="8193" max="8193" width="3" customWidth="1"/>
    <col min="8194" max="8194" width="2.875" customWidth="1"/>
    <col min="8195" max="8195" width="12.875" customWidth="1"/>
    <col min="8196" max="8196" width="4" customWidth="1"/>
    <col min="8197" max="8197" width="5.125" customWidth="1"/>
    <col min="8198" max="8198" width="5.25" customWidth="1"/>
    <col min="8199" max="8199" width="5.375" customWidth="1"/>
    <col min="8200" max="8201" width="5.875" customWidth="1"/>
    <col min="8202" max="8202" width="5.375" customWidth="1"/>
    <col min="8203" max="8203" width="5.125" customWidth="1"/>
    <col min="8204" max="8204" width="14.875" customWidth="1"/>
    <col min="8205" max="8205" width="8.25" customWidth="1"/>
    <col min="8206" max="8206" width="5" customWidth="1"/>
    <col min="8207" max="8208" width="12" customWidth="1"/>
    <col min="8209" max="8209" width="5.5" customWidth="1"/>
    <col min="8210" max="8210" width="5.25" customWidth="1"/>
    <col min="8211" max="8211" width="8.75" customWidth="1"/>
    <col min="8212" max="8212" width="29" customWidth="1"/>
    <col min="8213" max="8213" width="19.875" customWidth="1"/>
    <col min="8449" max="8449" width="3" customWidth="1"/>
    <col min="8450" max="8450" width="2.875" customWidth="1"/>
    <col min="8451" max="8451" width="12.875" customWidth="1"/>
    <col min="8452" max="8452" width="4" customWidth="1"/>
    <col min="8453" max="8453" width="5.125" customWidth="1"/>
    <col min="8454" max="8454" width="5.25" customWidth="1"/>
    <col min="8455" max="8455" width="5.375" customWidth="1"/>
    <col min="8456" max="8457" width="5.875" customWidth="1"/>
    <col min="8458" max="8458" width="5.375" customWidth="1"/>
    <col min="8459" max="8459" width="5.125" customWidth="1"/>
    <col min="8460" max="8460" width="14.875" customWidth="1"/>
    <col min="8461" max="8461" width="8.25" customWidth="1"/>
    <col min="8462" max="8462" width="5" customWidth="1"/>
    <col min="8463" max="8464" width="12" customWidth="1"/>
    <col min="8465" max="8465" width="5.5" customWidth="1"/>
    <col min="8466" max="8466" width="5.25" customWidth="1"/>
    <col min="8467" max="8467" width="8.75" customWidth="1"/>
    <col min="8468" max="8468" width="29" customWidth="1"/>
    <col min="8469" max="8469" width="19.875" customWidth="1"/>
    <col min="8705" max="8705" width="3" customWidth="1"/>
    <col min="8706" max="8706" width="2.875" customWidth="1"/>
    <col min="8707" max="8707" width="12.875" customWidth="1"/>
    <col min="8708" max="8708" width="4" customWidth="1"/>
    <col min="8709" max="8709" width="5.125" customWidth="1"/>
    <col min="8710" max="8710" width="5.25" customWidth="1"/>
    <col min="8711" max="8711" width="5.375" customWidth="1"/>
    <col min="8712" max="8713" width="5.875" customWidth="1"/>
    <col min="8714" max="8714" width="5.375" customWidth="1"/>
    <col min="8715" max="8715" width="5.125" customWidth="1"/>
    <col min="8716" max="8716" width="14.875" customWidth="1"/>
    <col min="8717" max="8717" width="8.25" customWidth="1"/>
    <col min="8718" max="8718" width="5" customWidth="1"/>
    <col min="8719" max="8720" width="12" customWidth="1"/>
    <col min="8721" max="8721" width="5.5" customWidth="1"/>
    <col min="8722" max="8722" width="5.25" customWidth="1"/>
    <col min="8723" max="8723" width="8.75" customWidth="1"/>
    <col min="8724" max="8724" width="29" customWidth="1"/>
    <col min="8725" max="8725" width="19.875" customWidth="1"/>
    <col min="8961" max="8961" width="3" customWidth="1"/>
    <col min="8962" max="8962" width="2.875" customWidth="1"/>
    <col min="8963" max="8963" width="12.875" customWidth="1"/>
    <col min="8964" max="8964" width="4" customWidth="1"/>
    <col min="8965" max="8965" width="5.125" customWidth="1"/>
    <col min="8966" max="8966" width="5.25" customWidth="1"/>
    <col min="8967" max="8967" width="5.375" customWidth="1"/>
    <col min="8968" max="8969" width="5.875" customWidth="1"/>
    <col min="8970" max="8970" width="5.375" customWidth="1"/>
    <col min="8971" max="8971" width="5.125" customWidth="1"/>
    <col min="8972" max="8972" width="14.875" customWidth="1"/>
    <col min="8973" max="8973" width="8.25" customWidth="1"/>
    <col min="8974" max="8974" width="5" customWidth="1"/>
    <col min="8975" max="8976" width="12" customWidth="1"/>
    <col min="8977" max="8977" width="5.5" customWidth="1"/>
    <col min="8978" max="8978" width="5.25" customWidth="1"/>
    <col min="8979" max="8979" width="8.75" customWidth="1"/>
    <col min="8980" max="8980" width="29" customWidth="1"/>
    <col min="8981" max="8981" width="19.875" customWidth="1"/>
    <col min="9217" max="9217" width="3" customWidth="1"/>
    <col min="9218" max="9218" width="2.875" customWidth="1"/>
    <col min="9219" max="9219" width="12.875" customWidth="1"/>
    <col min="9220" max="9220" width="4" customWidth="1"/>
    <col min="9221" max="9221" width="5.125" customWidth="1"/>
    <col min="9222" max="9222" width="5.25" customWidth="1"/>
    <col min="9223" max="9223" width="5.375" customWidth="1"/>
    <col min="9224" max="9225" width="5.875" customWidth="1"/>
    <col min="9226" max="9226" width="5.375" customWidth="1"/>
    <col min="9227" max="9227" width="5.125" customWidth="1"/>
    <col min="9228" max="9228" width="14.875" customWidth="1"/>
    <col min="9229" max="9229" width="8.25" customWidth="1"/>
    <col min="9230" max="9230" width="5" customWidth="1"/>
    <col min="9231" max="9232" width="12" customWidth="1"/>
    <col min="9233" max="9233" width="5.5" customWidth="1"/>
    <col min="9234" max="9234" width="5.25" customWidth="1"/>
    <col min="9235" max="9235" width="8.75" customWidth="1"/>
    <col min="9236" max="9236" width="29" customWidth="1"/>
    <col min="9237" max="9237" width="19.875" customWidth="1"/>
    <col min="9473" max="9473" width="3" customWidth="1"/>
    <col min="9474" max="9474" width="2.875" customWidth="1"/>
    <col min="9475" max="9475" width="12.875" customWidth="1"/>
    <col min="9476" max="9476" width="4" customWidth="1"/>
    <col min="9477" max="9477" width="5.125" customWidth="1"/>
    <col min="9478" max="9478" width="5.25" customWidth="1"/>
    <col min="9479" max="9479" width="5.375" customWidth="1"/>
    <col min="9480" max="9481" width="5.875" customWidth="1"/>
    <col min="9482" max="9482" width="5.375" customWidth="1"/>
    <col min="9483" max="9483" width="5.125" customWidth="1"/>
    <col min="9484" max="9484" width="14.875" customWidth="1"/>
    <col min="9485" max="9485" width="8.25" customWidth="1"/>
    <col min="9486" max="9486" width="5" customWidth="1"/>
    <col min="9487" max="9488" width="12" customWidth="1"/>
    <col min="9489" max="9489" width="5.5" customWidth="1"/>
    <col min="9490" max="9490" width="5.25" customWidth="1"/>
    <col min="9491" max="9491" width="8.75" customWidth="1"/>
    <col min="9492" max="9492" width="29" customWidth="1"/>
    <col min="9493" max="9493" width="19.875" customWidth="1"/>
    <col min="9729" max="9729" width="3" customWidth="1"/>
    <col min="9730" max="9730" width="2.875" customWidth="1"/>
    <col min="9731" max="9731" width="12.875" customWidth="1"/>
    <col min="9732" max="9732" width="4" customWidth="1"/>
    <col min="9733" max="9733" width="5.125" customWidth="1"/>
    <col min="9734" max="9734" width="5.25" customWidth="1"/>
    <col min="9735" max="9735" width="5.375" customWidth="1"/>
    <col min="9736" max="9737" width="5.875" customWidth="1"/>
    <col min="9738" max="9738" width="5.375" customWidth="1"/>
    <col min="9739" max="9739" width="5.125" customWidth="1"/>
    <col min="9740" max="9740" width="14.875" customWidth="1"/>
    <col min="9741" max="9741" width="8.25" customWidth="1"/>
    <col min="9742" max="9742" width="5" customWidth="1"/>
    <col min="9743" max="9744" width="12" customWidth="1"/>
    <col min="9745" max="9745" width="5.5" customWidth="1"/>
    <col min="9746" max="9746" width="5.25" customWidth="1"/>
    <col min="9747" max="9747" width="8.75" customWidth="1"/>
    <col min="9748" max="9748" width="29" customWidth="1"/>
    <col min="9749" max="9749" width="19.875" customWidth="1"/>
    <col min="9985" max="9985" width="3" customWidth="1"/>
    <col min="9986" max="9986" width="2.875" customWidth="1"/>
    <col min="9987" max="9987" width="12.875" customWidth="1"/>
    <col min="9988" max="9988" width="4" customWidth="1"/>
    <col min="9989" max="9989" width="5.125" customWidth="1"/>
    <col min="9990" max="9990" width="5.25" customWidth="1"/>
    <col min="9991" max="9991" width="5.375" customWidth="1"/>
    <col min="9992" max="9993" width="5.875" customWidth="1"/>
    <col min="9994" max="9994" width="5.375" customWidth="1"/>
    <col min="9995" max="9995" width="5.125" customWidth="1"/>
    <col min="9996" max="9996" width="14.875" customWidth="1"/>
    <col min="9997" max="9997" width="8.25" customWidth="1"/>
    <col min="9998" max="9998" width="5" customWidth="1"/>
    <col min="9999" max="10000" width="12" customWidth="1"/>
    <col min="10001" max="10001" width="5.5" customWidth="1"/>
    <col min="10002" max="10002" width="5.25" customWidth="1"/>
    <col min="10003" max="10003" width="8.75" customWidth="1"/>
    <col min="10004" max="10004" width="29" customWidth="1"/>
    <col min="10005" max="10005" width="19.875" customWidth="1"/>
    <col min="10241" max="10241" width="3" customWidth="1"/>
    <col min="10242" max="10242" width="2.875" customWidth="1"/>
    <col min="10243" max="10243" width="12.875" customWidth="1"/>
    <col min="10244" max="10244" width="4" customWidth="1"/>
    <col min="10245" max="10245" width="5.125" customWidth="1"/>
    <col min="10246" max="10246" width="5.25" customWidth="1"/>
    <col min="10247" max="10247" width="5.375" customWidth="1"/>
    <col min="10248" max="10249" width="5.875" customWidth="1"/>
    <col min="10250" max="10250" width="5.375" customWidth="1"/>
    <col min="10251" max="10251" width="5.125" customWidth="1"/>
    <col min="10252" max="10252" width="14.875" customWidth="1"/>
    <col min="10253" max="10253" width="8.25" customWidth="1"/>
    <col min="10254" max="10254" width="5" customWidth="1"/>
    <col min="10255" max="10256" width="12" customWidth="1"/>
    <col min="10257" max="10257" width="5.5" customWidth="1"/>
    <col min="10258" max="10258" width="5.25" customWidth="1"/>
    <col min="10259" max="10259" width="8.75" customWidth="1"/>
    <col min="10260" max="10260" width="29" customWidth="1"/>
    <col min="10261" max="10261" width="19.875" customWidth="1"/>
    <col min="10497" max="10497" width="3" customWidth="1"/>
    <col min="10498" max="10498" width="2.875" customWidth="1"/>
    <col min="10499" max="10499" width="12.875" customWidth="1"/>
    <col min="10500" max="10500" width="4" customWidth="1"/>
    <col min="10501" max="10501" width="5.125" customWidth="1"/>
    <col min="10502" max="10502" width="5.25" customWidth="1"/>
    <col min="10503" max="10503" width="5.375" customWidth="1"/>
    <col min="10504" max="10505" width="5.875" customWidth="1"/>
    <col min="10506" max="10506" width="5.375" customWidth="1"/>
    <col min="10507" max="10507" width="5.125" customWidth="1"/>
    <col min="10508" max="10508" width="14.875" customWidth="1"/>
    <col min="10509" max="10509" width="8.25" customWidth="1"/>
    <col min="10510" max="10510" width="5" customWidth="1"/>
    <col min="10511" max="10512" width="12" customWidth="1"/>
    <col min="10513" max="10513" width="5.5" customWidth="1"/>
    <col min="10514" max="10514" width="5.25" customWidth="1"/>
    <col min="10515" max="10515" width="8.75" customWidth="1"/>
    <col min="10516" max="10516" width="29" customWidth="1"/>
    <col min="10517" max="10517" width="19.875" customWidth="1"/>
    <col min="10753" max="10753" width="3" customWidth="1"/>
    <col min="10754" max="10754" width="2.875" customWidth="1"/>
    <col min="10755" max="10755" width="12.875" customWidth="1"/>
    <col min="10756" max="10756" width="4" customWidth="1"/>
    <col min="10757" max="10757" width="5.125" customWidth="1"/>
    <col min="10758" max="10758" width="5.25" customWidth="1"/>
    <col min="10759" max="10759" width="5.375" customWidth="1"/>
    <col min="10760" max="10761" width="5.875" customWidth="1"/>
    <col min="10762" max="10762" width="5.375" customWidth="1"/>
    <col min="10763" max="10763" width="5.125" customWidth="1"/>
    <col min="10764" max="10764" width="14.875" customWidth="1"/>
    <col min="10765" max="10765" width="8.25" customWidth="1"/>
    <col min="10766" max="10766" width="5" customWidth="1"/>
    <col min="10767" max="10768" width="12" customWidth="1"/>
    <col min="10769" max="10769" width="5.5" customWidth="1"/>
    <col min="10770" max="10770" width="5.25" customWidth="1"/>
    <col min="10771" max="10771" width="8.75" customWidth="1"/>
    <col min="10772" max="10772" width="29" customWidth="1"/>
    <col min="10773" max="10773" width="19.875" customWidth="1"/>
    <col min="11009" max="11009" width="3" customWidth="1"/>
    <col min="11010" max="11010" width="2.875" customWidth="1"/>
    <col min="11011" max="11011" width="12.875" customWidth="1"/>
    <col min="11012" max="11012" width="4" customWidth="1"/>
    <col min="11013" max="11013" width="5.125" customWidth="1"/>
    <col min="11014" max="11014" width="5.25" customWidth="1"/>
    <col min="11015" max="11015" width="5.375" customWidth="1"/>
    <col min="11016" max="11017" width="5.875" customWidth="1"/>
    <col min="11018" max="11018" width="5.375" customWidth="1"/>
    <col min="11019" max="11019" width="5.125" customWidth="1"/>
    <col min="11020" max="11020" width="14.875" customWidth="1"/>
    <col min="11021" max="11021" width="8.25" customWidth="1"/>
    <col min="11022" max="11022" width="5" customWidth="1"/>
    <col min="11023" max="11024" width="12" customWidth="1"/>
    <col min="11025" max="11025" width="5.5" customWidth="1"/>
    <col min="11026" max="11026" width="5.25" customWidth="1"/>
    <col min="11027" max="11027" width="8.75" customWidth="1"/>
    <col min="11028" max="11028" width="29" customWidth="1"/>
    <col min="11029" max="11029" width="19.875" customWidth="1"/>
    <col min="11265" max="11265" width="3" customWidth="1"/>
    <col min="11266" max="11266" width="2.875" customWidth="1"/>
    <col min="11267" max="11267" width="12.875" customWidth="1"/>
    <col min="11268" max="11268" width="4" customWidth="1"/>
    <col min="11269" max="11269" width="5.125" customWidth="1"/>
    <col min="11270" max="11270" width="5.25" customWidth="1"/>
    <col min="11271" max="11271" width="5.375" customWidth="1"/>
    <col min="11272" max="11273" width="5.875" customWidth="1"/>
    <col min="11274" max="11274" width="5.375" customWidth="1"/>
    <col min="11275" max="11275" width="5.125" customWidth="1"/>
    <col min="11276" max="11276" width="14.875" customWidth="1"/>
    <col min="11277" max="11277" width="8.25" customWidth="1"/>
    <col min="11278" max="11278" width="5" customWidth="1"/>
    <col min="11279" max="11280" width="12" customWidth="1"/>
    <col min="11281" max="11281" width="5.5" customWidth="1"/>
    <col min="11282" max="11282" width="5.25" customWidth="1"/>
    <col min="11283" max="11283" width="8.75" customWidth="1"/>
    <col min="11284" max="11284" width="29" customWidth="1"/>
    <col min="11285" max="11285" width="19.875" customWidth="1"/>
    <col min="11521" max="11521" width="3" customWidth="1"/>
    <col min="11522" max="11522" width="2.875" customWidth="1"/>
    <col min="11523" max="11523" width="12.875" customWidth="1"/>
    <col min="11524" max="11524" width="4" customWidth="1"/>
    <col min="11525" max="11525" width="5.125" customWidth="1"/>
    <col min="11526" max="11526" width="5.25" customWidth="1"/>
    <col min="11527" max="11527" width="5.375" customWidth="1"/>
    <col min="11528" max="11529" width="5.875" customWidth="1"/>
    <col min="11530" max="11530" width="5.375" customWidth="1"/>
    <col min="11531" max="11531" width="5.125" customWidth="1"/>
    <col min="11532" max="11532" width="14.875" customWidth="1"/>
    <col min="11533" max="11533" width="8.25" customWidth="1"/>
    <col min="11534" max="11534" width="5" customWidth="1"/>
    <col min="11535" max="11536" width="12" customWidth="1"/>
    <col min="11537" max="11537" width="5.5" customWidth="1"/>
    <col min="11538" max="11538" width="5.25" customWidth="1"/>
    <col min="11539" max="11539" width="8.75" customWidth="1"/>
    <col min="11540" max="11540" width="29" customWidth="1"/>
    <col min="11541" max="11541" width="19.875" customWidth="1"/>
    <col min="11777" max="11777" width="3" customWidth="1"/>
    <col min="11778" max="11778" width="2.875" customWidth="1"/>
    <col min="11779" max="11779" width="12.875" customWidth="1"/>
    <col min="11780" max="11780" width="4" customWidth="1"/>
    <col min="11781" max="11781" width="5.125" customWidth="1"/>
    <col min="11782" max="11782" width="5.25" customWidth="1"/>
    <col min="11783" max="11783" width="5.375" customWidth="1"/>
    <col min="11784" max="11785" width="5.875" customWidth="1"/>
    <col min="11786" max="11786" width="5.375" customWidth="1"/>
    <col min="11787" max="11787" width="5.125" customWidth="1"/>
    <col min="11788" max="11788" width="14.875" customWidth="1"/>
    <col min="11789" max="11789" width="8.25" customWidth="1"/>
    <col min="11790" max="11790" width="5" customWidth="1"/>
    <col min="11791" max="11792" width="12" customWidth="1"/>
    <col min="11793" max="11793" width="5.5" customWidth="1"/>
    <col min="11794" max="11794" width="5.25" customWidth="1"/>
    <col min="11795" max="11795" width="8.75" customWidth="1"/>
    <col min="11796" max="11796" width="29" customWidth="1"/>
    <col min="11797" max="11797" width="19.875" customWidth="1"/>
    <col min="12033" max="12033" width="3" customWidth="1"/>
    <col min="12034" max="12034" width="2.875" customWidth="1"/>
    <col min="12035" max="12035" width="12.875" customWidth="1"/>
    <col min="12036" max="12036" width="4" customWidth="1"/>
    <col min="12037" max="12037" width="5.125" customWidth="1"/>
    <col min="12038" max="12038" width="5.25" customWidth="1"/>
    <col min="12039" max="12039" width="5.375" customWidth="1"/>
    <col min="12040" max="12041" width="5.875" customWidth="1"/>
    <col min="12042" max="12042" width="5.375" customWidth="1"/>
    <col min="12043" max="12043" width="5.125" customWidth="1"/>
    <col min="12044" max="12044" width="14.875" customWidth="1"/>
    <col min="12045" max="12045" width="8.25" customWidth="1"/>
    <col min="12046" max="12046" width="5" customWidth="1"/>
    <col min="12047" max="12048" width="12" customWidth="1"/>
    <col min="12049" max="12049" width="5.5" customWidth="1"/>
    <col min="12050" max="12050" width="5.25" customWidth="1"/>
    <col min="12051" max="12051" width="8.75" customWidth="1"/>
    <col min="12052" max="12052" width="29" customWidth="1"/>
    <col min="12053" max="12053" width="19.875" customWidth="1"/>
    <col min="12289" max="12289" width="3" customWidth="1"/>
    <col min="12290" max="12290" width="2.875" customWidth="1"/>
    <col min="12291" max="12291" width="12.875" customWidth="1"/>
    <col min="12292" max="12292" width="4" customWidth="1"/>
    <col min="12293" max="12293" width="5.125" customWidth="1"/>
    <col min="12294" max="12294" width="5.25" customWidth="1"/>
    <col min="12295" max="12295" width="5.375" customWidth="1"/>
    <col min="12296" max="12297" width="5.875" customWidth="1"/>
    <col min="12298" max="12298" width="5.375" customWidth="1"/>
    <col min="12299" max="12299" width="5.125" customWidth="1"/>
    <col min="12300" max="12300" width="14.875" customWidth="1"/>
    <col min="12301" max="12301" width="8.25" customWidth="1"/>
    <col min="12302" max="12302" width="5" customWidth="1"/>
    <col min="12303" max="12304" width="12" customWidth="1"/>
    <col min="12305" max="12305" width="5.5" customWidth="1"/>
    <col min="12306" max="12306" width="5.25" customWidth="1"/>
    <col min="12307" max="12307" width="8.75" customWidth="1"/>
    <col min="12308" max="12308" width="29" customWidth="1"/>
    <col min="12309" max="12309" width="19.875" customWidth="1"/>
    <col min="12545" max="12545" width="3" customWidth="1"/>
    <col min="12546" max="12546" width="2.875" customWidth="1"/>
    <col min="12547" max="12547" width="12.875" customWidth="1"/>
    <col min="12548" max="12548" width="4" customWidth="1"/>
    <col min="12549" max="12549" width="5.125" customWidth="1"/>
    <col min="12550" max="12550" width="5.25" customWidth="1"/>
    <col min="12551" max="12551" width="5.375" customWidth="1"/>
    <col min="12552" max="12553" width="5.875" customWidth="1"/>
    <col min="12554" max="12554" width="5.375" customWidth="1"/>
    <col min="12555" max="12555" width="5.125" customWidth="1"/>
    <col min="12556" max="12556" width="14.875" customWidth="1"/>
    <col min="12557" max="12557" width="8.25" customWidth="1"/>
    <col min="12558" max="12558" width="5" customWidth="1"/>
    <col min="12559" max="12560" width="12" customWidth="1"/>
    <col min="12561" max="12561" width="5.5" customWidth="1"/>
    <col min="12562" max="12562" width="5.25" customWidth="1"/>
    <col min="12563" max="12563" width="8.75" customWidth="1"/>
    <col min="12564" max="12564" width="29" customWidth="1"/>
    <col min="12565" max="12565" width="19.875" customWidth="1"/>
    <col min="12801" max="12801" width="3" customWidth="1"/>
    <col min="12802" max="12802" width="2.875" customWidth="1"/>
    <col min="12803" max="12803" width="12.875" customWidth="1"/>
    <col min="12804" max="12804" width="4" customWidth="1"/>
    <col min="12805" max="12805" width="5.125" customWidth="1"/>
    <col min="12806" max="12806" width="5.25" customWidth="1"/>
    <col min="12807" max="12807" width="5.375" customWidth="1"/>
    <col min="12808" max="12809" width="5.875" customWidth="1"/>
    <col min="12810" max="12810" width="5.375" customWidth="1"/>
    <col min="12811" max="12811" width="5.125" customWidth="1"/>
    <col min="12812" max="12812" width="14.875" customWidth="1"/>
    <col min="12813" max="12813" width="8.25" customWidth="1"/>
    <col min="12814" max="12814" width="5" customWidth="1"/>
    <col min="12815" max="12816" width="12" customWidth="1"/>
    <col min="12817" max="12817" width="5.5" customWidth="1"/>
    <col min="12818" max="12818" width="5.25" customWidth="1"/>
    <col min="12819" max="12819" width="8.75" customWidth="1"/>
    <col min="12820" max="12820" width="29" customWidth="1"/>
    <col min="12821" max="12821" width="19.875" customWidth="1"/>
    <col min="13057" max="13057" width="3" customWidth="1"/>
    <col min="13058" max="13058" width="2.875" customWidth="1"/>
    <col min="13059" max="13059" width="12.875" customWidth="1"/>
    <col min="13060" max="13060" width="4" customWidth="1"/>
    <col min="13061" max="13061" width="5.125" customWidth="1"/>
    <col min="13062" max="13062" width="5.25" customWidth="1"/>
    <col min="13063" max="13063" width="5.375" customWidth="1"/>
    <col min="13064" max="13065" width="5.875" customWidth="1"/>
    <col min="13066" max="13066" width="5.375" customWidth="1"/>
    <col min="13067" max="13067" width="5.125" customWidth="1"/>
    <col min="13068" max="13068" width="14.875" customWidth="1"/>
    <col min="13069" max="13069" width="8.25" customWidth="1"/>
    <col min="13070" max="13070" width="5" customWidth="1"/>
    <col min="13071" max="13072" width="12" customWidth="1"/>
    <col min="13073" max="13073" width="5.5" customWidth="1"/>
    <col min="13074" max="13074" width="5.25" customWidth="1"/>
    <col min="13075" max="13075" width="8.75" customWidth="1"/>
    <col min="13076" max="13076" width="29" customWidth="1"/>
    <col min="13077" max="13077" width="19.875" customWidth="1"/>
    <col min="13313" max="13313" width="3" customWidth="1"/>
    <col min="13314" max="13314" width="2.875" customWidth="1"/>
    <col min="13315" max="13315" width="12.875" customWidth="1"/>
    <col min="13316" max="13316" width="4" customWidth="1"/>
    <col min="13317" max="13317" width="5.125" customWidth="1"/>
    <col min="13318" max="13318" width="5.25" customWidth="1"/>
    <col min="13319" max="13319" width="5.375" customWidth="1"/>
    <col min="13320" max="13321" width="5.875" customWidth="1"/>
    <col min="13322" max="13322" width="5.375" customWidth="1"/>
    <col min="13323" max="13323" width="5.125" customWidth="1"/>
    <col min="13324" max="13324" width="14.875" customWidth="1"/>
    <col min="13325" max="13325" width="8.25" customWidth="1"/>
    <col min="13326" max="13326" width="5" customWidth="1"/>
    <col min="13327" max="13328" width="12" customWidth="1"/>
    <col min="13329" max="13329" width="5.5" customWidth="1"/>
    <col min="13330" max="13330" width="5.25" customWidth="1"/>
    <col min="13331" max="13331" width="8.75" customWidth="1"/>
    <col min="13332" max="13332" width="29" customWidth="1"/>
    <col min="13333" max="13333" width="19.875" customWidth="1"/>
    <col min="13569" max="13569" width="3" customWidth="1"/>
    <col min="13570" max="13570" width="2.875" customWidth="1"/>
    <col min="13571" max="13571" width="12.875" customWidth="1"/>
    <col min="13572" max="13572" width="4" customWidth="1"/>
    <col min="13573" max="13573" width="5.125" customWidth="1"/>
    <col min="13574" max="13574" width="5.25" customWidth="1"/>
    <col min="13575" max="13575" width="5.375" customWidth="1"/>
    <col min="13576" max="13577" width="5.875" customWidth="1"/>
    <col min="13578" max="13578" width="5.375" customWidth="1"/>
    <col min="13579" max="13579" width="5.125" customWidth="1"/>
    <col min="13580" max="13580" width="14.875" customWidth="1"/>
    <col min="13581" max="13581" width="8.25" customWidth="1"/>
    <col min="13582" max="13582" width="5" customWidth="1"/>
    <col min="13583" max="13584" width="12" customWidth="1"/>
    <col min="13585" max="13585" width="5.5" customWidth="1"/>
    <col min="13586" max="13586" width="5.25" customWidth="1"/>
    <col min="13587" max="13587" width="8.75" customWidth="1"/>
    <col min="13588" max="13588" width="29" customWidth="1"/>
    <col min="13589" max="13589" width="19.875" customWidth="1"/>
    <col min="13825" max="13825" width="3" customWidth="1"/>
    <col min="13826" max="13826" width="2.875" customWidth="1"/>
    <col min="13827" max="13827" width="12.875" customWidth="1"/>
    <col min="13828" max="13828" width="4" customWidth="1"/>
    <col min="13829" max="13829" width="5.125" customWidth="1"/>
    <col min="13830" max="13830" width="5.25" customWidth="1"/>
    <col min="13831" max="13831" width="5.375" customWidth="1"/>
    <col min="13832" max="13833" width="5.875" customWidth="1"/>
    <col min="13834" max="13834" width="5.375" customWidth="1"/>
    <col min="13835" max="13835" width="5.125" customWidth="1"/>
    <col min="13836" max="13836" width="14.875" customWidth="1"/>
    <col min="13837" max="13837" width="8.25" customWidth="1"/>
    <col min="13838" max="13838" width="5" customWidth="1"/>
    <col min="13839" max="13840" width="12" customWidth="1"/>
    <col min="13841" max="13841" width="5.5" customWidth="1"/>
    <col min="13842" max="13842" width="5.25" customWidth="1"/>
    <col min="13843" max="13843" width="8.75" customWidth="1"/>
    <col min="13844" max="13844" width="29" customWidth="1"/>
    <col min="13845" max="13845" width="19.875" customWidth="1"/>
    <col min="14081" max="14081" width="3" customWidth="1"/>
    <col min="14082" max="14082" width="2.875" customWidth="1"/>
    <col min="14083" max="14083" width="12.875" customWidth="1"/>
    <col min="14084" max="14084" width="4" customWidth="1"/>
    <col min="14085" max="14085" width="5.125" customWidth="1"/>
    <col min="14086" max="14086" width="5.25" customWidth="1"/>
    <col min="14087" max="14087" width="5.375" customWidth="1"/>
    <col min="14088" max="14089" width="5.875" customWidth="1"/>
    <col min="14090" max="14090" width="5.375" customWidth="1"/>
    <col min="14091" max="14091" width="5.125" customWidth="1"/>
    <col min="14092" max="14092" width="14.875" customWidth="1"/>
    <col min="14093" max="14093" width="8.25" customWidth="1"/>
    <col min="14094" max="14094" width="5" customWidth="1"/>
    <col min="14095" max="14096" width="12" customWidth="1"/>
    <col min="14097" max="14097" width="5.5" customWidth="1"/>
    <col min="14098" max="14098" width="5.25" customWidth="1"/>
    <col min="14099" max="14099" width="8.75" customWidth="1"/>
    <col min="14100" max="14100" width="29" customWidth="1"/>
    <col min="14101" max="14101" width="19.875" customWidth="1"/>
    <col min="14337" max="14337" width="3" customWidth="1"/>
    <col min="14338" max="14338" width="2.875" customWidth="1"/>
    <col min="14339" max="14339" width="12.875" customWidth="1"/>
    <col min="14340" max="14340" width="4" customWidth="1"/>
    <col min="14341" max="14341" width="5.125" customWidth="1"/>
    <col min="14342" max="14342" width="5.25" customWidth="1"/>
    <col min="14343" max="14343" width="5.375" customWidth="1"/>
    <col min="14344" max="14345" width="5.875" customWidth="1"/>
    <col min="14346" max="14346" width="5.375" customWidth="1"/>
    <col min="14347" max="14347" width="5.125" customWidth="1"/>
    <col min="14348" max="14348" width="14.875" customWidth="1"/>
    <col min="14349" max="14349" width="8.25" customWidth="1"/>
    <col min="14350" max="14350" width="5" customWidth="1"/>
    <col min="14351" max="14352" width="12" customWidth="1"/>
    <col min="14353" max="14353" width="5.5" customWidth="1"/>
    <col min="14354" max="14354" width="5.25" customWidth="1"/>
    <col min="14355" max="14355" width="8.75" customWidth="1"/>
    <col min="14356" max="14356" width="29" customWidth="1"/>
    <col min="14357" max="14357" width="19.875" customWidth="1"/>
    <col min="14593" max="14593" width="3" customWidth="1"/>
    <col min="14594" max="14594" width="2.875" customWidth="1"/>
    <col min="14595" max="14595" width="12.875" customWidth="1"/>
    <col min="14596" max="14596" width="4" customWidth="1"/>
    <col min="14597" max="14597" width="5.125" customWidth="1"/>
    <col min="14598" max="14598" width="5.25" customWidth="1"/>
    <col min="14599" max="14599" width="5.375" customWidth="1"/>
    <col min="14600" max="14601" width="5.875" customWidth="1"/>
    <col min="14602" max="14602" width="5.375" customWidth="1"/>
    <col min="14603" max="14603" width="5.125" customWidth="1"/>
    <col min="14604" max="14604" width="14.875" customWidth="1"/>
    <col min="14605" max="14605" width="8.25" customWidth="1"/>
    <col min="14606" max="14606" width="5" customWidth="1"/>
    <col min="14607" max="14608" width="12" customWidth="1"/>
    <col min="14609" max="14609" width="5.5" customWidth="1"/>
    <col min="14610" max="14610" width="5.25" customWidth="1"/>
    <col min="14611" max="14611" width="8.75" customWidth="1"/>
    <col min="14612" max="14612" width="29" customWidth="1"/>
    <col min="14613" max="14613" width="19.875" customWidth="1"/>
    <col min="14849" max="14849" width="3" customWidth="1"/>
    <col min="14850" max="14850" width="2.875" customWidth="1"/>
    <col min="14851" max="14851" width="12.875" customWidth="1"/>
    <col min="14852" max="14852" width="4" customWidth="1"/>
    <col min="14853" max="14853" width="5.125" customWidth="1"/>
    <col min="14854" max="14854" width="5.25" customWidth="1"/>
    <col min="14855" max="14855" width="5.375" customWidth="1"/>
    <col min="14856" max="14857" width="5.875" customWidth="1"/>
    <col min="14858" max="14858" width="5.375" customWidth="1"/>
    <col min="14859" max="14859" width="5.125" customWidth="1"/>
    <col min="14860" max="14860" width="14.875" customWidth="1"/>
    <col min="14861" max="14861" width="8.25" customWidth="1"/>
    <col min="14862" max="14862" width="5" customWidth="1"/>
    <col min="14863" max="14864" width="12" customWidth="1"/>
    <col min="14865" max="14865" width="5.5" customWidth="1"/>
    <col min="14866" max="14866" width="5.25" customWidth="1"/>
    <col min="14867" max="14867" width="8.75" customWidth="1"/>
    <col min="14868" max="14868" width="29" customWidth="1"/>
    <col min="14869" max="14869" width="19.875" customWidth="1"/>
    <col min="15105" max="15105" width="3" customWidth="1"/>
    <col min="15106" max="15106" width="2.875" customWidth="1"/>
    <col min="15107" max="15107" width="12.875" customWidth="1"/>
    <col min="15108" max="15108" width="4" customWidth="1"/>
    <col min="15109" max="15109" width="5.125" customWidth="1"/>
    <col min="15110" max="15110" width="5.25" customWidth="1"/>
    <col min="15111" max="15111" width="5.375" customWidth="1"/>
    <col min="15112" max="15113" width="5.875" customWidth="1"/>
    <col min="15114" max="15114" width="5.375" customWidth="1"/>
    <col min="15115" max="15115" width="5.125" customWidth="1"/>
    <col min="15116" max="15116" width="14.875" customWidth="1"/>
    <col min="15117" max="15117" width="8.25" customWidth="1"/>
    <col min="15118" max="15118" width="5" customWidth="1"/>
    <col min="15119" max="15120" width="12" customWidth="1"/>
    <col min="15121" max="15121" width="5.5" customWidth="1"/>
    <col min="15122" max="15122" width="5.25" customWidth="1"/>
    <col min="15123" max="15123" width="8.75" customWidth="1"/>
    <col min="15124" max="15124" width="29" customWidth="1"/>
    <col min="15125" max="15125" width="19.875" customWidth="1"/>
    <col min="15361" max="15361" width="3" customWidth="1"/>
    <col min="15362" max="15362" width="2.875" customWidth="1"/>
    <col min="15363" max="15363" width="12.875" customWidth="1"/>
    <col min="15364" max="15364" width="4" customWidth="1"/>
    <col min="15365" max="15365" width="5.125" customWidth="1"/>
    <col min="15366" max="15366" width="5.25" customWidth="1"/>
    <col min="15367" max="15367" width="5.375" customWidth="1"/>
    <col min="15368" max="15369" width="5.875" customWidth="1"/>
    <col min="15370" max="15370" width="5.375" customWidth="1"/>
    <col min="15371" max="15371" width="5.125" customWidth="1"/>
    <col min="15372" max="15372" width="14.875" customWidth="1"/>
    <col min="15373" max="15373" width="8.25" customWidth="1"/>
    <col min="15374" max="15374" width="5" customWidth="1"/>
    <col min="15375" max="15376" width="12" customWidth="1"/>
    <col min="15377" max="15377" width="5.5" customWidth="1"/>
    <col min="15378" max="15378" width="5.25" customWidth="1"/>
    <col min="15379" max="15379" width="8.75" customWidth="1"/>
    <col min="15380" max="15380" width="29" customWidth="1"/>
    <col min="15381" max="15381" width="19.875" customWidth="1"/>
    <col min="15617" max="15617" width="3" customWidth="1"/>
    <col min="15618" max="15618" width="2.875" customWidth="1"/>
    <col min="15619" max="15619" width="12.875" customWidth="1"/>
    <col min="15620" max="15620" width="4" customWidth="1"/>
    <col min="15621" max="15621" width="5.125" customWidth="1"/>
    <col min="15622" max="15622" width="5.25" customWidth="1"/>
    <col min="15623" max="15623" width="5.375" customWidth="1"/>
    <col min="15624" max="15625" width="5.875" customWidth="1"/>
    <col min="15626" max="15626" width="5.375" customWidth="1"/>
    <col min="15627" max="15627" width="5.125" customWidth="1"/>
    <col min="15628" max="15628" width="14.875" customWidth="1"/>
    <col min="15629" max="15629" width="8.25" customWidth="1"/>
    <col min="15630" max="15630" width="5" customWidth="1"/>
    <col min="15631" max="15632" width="12" customWidth="1"/>
    <col min="15633" max="15633" width="5.5" customWidth="1"/>
    <col min="15634" max="15634" width="5.25" customWidth="1"/>
    <col min="15635" max="15635" width="8.75" customWidth="1"/>
    <col min="15636" max="15636" width="29" customWidth="1"/>
    <col min="15637" max="15637" width="19.875" customWidth="1"/>
    <col min="15873" max="15873" width="3" customWidth="1"/>
    <col min="15874" max="15874" width="2.875" customWidth="1"/>
    <col min="15875" max="15875" width="12.875" customWidth="1"/>
    <col min="15876" max="15876" width="4" customWidth="1"/>
    <col min="15877" max="15877" width="5.125" customWidth="1"/>
    <col min="15878" max="15878" width="5.25" customWidth="1"/>
    <col min="15879" max="15879" width="5.375" customWidth="1"/>
    <col min="15880" max="15881" width="5.875" customWidth="1"/>
    <col min="15882" max="15882" width="5.375" customWidth="1"/>
    <col min="15883" max="15883" width="5.125" customWidth="1"/>
    <col min="15884" max="15884" width="14.875" customWidth="1"/>
    <col min="15885" max="15885" width="8.25" customWidth="1"/>
    <col min="15886" max="15886" width="5" customWidth="1"/>
    <col min="15887" max="15888" width="12" customWidth="1"/>
    <col min="15889" max="15889" width="5.5" customWidth="1"/>
    <col min="15890" max="15890" width="5.25" customWidth="1"/>
    <col min="15891" max="15891" width="8.75" customWidth="1"/>
    <col min="15892" max="15892" width="29" customWidth="1"/>
    <col min="15893" max="15893" width="19.875" customWidth="1"/>
    <col min="16129" max="16129" width="3" customWidth="1"/>
    <col min="16130" max="16130" width="2.875" customWidth="1"/>
    <col min="16131" max="16131" width="12.875" customWidth="1"/>
    <col min="16132" max="16132" width="4" customWidth="1"/>
    <col min="16133" max="16133" width="5.125" customWidth="1"/>
    <col min="16134" max="16134" width="5.25" customWidth="1"/>
    <col min="16135" max="16135" width="5.375" customWidth="1"/>
    <col min="16136" max="16137" width="5.875" customWidth="1"/>
    <col min="16138" max="16138" width="5.375" customWidth="1"/>
    <col min="16139" max="16139" width="5.125" customWidth="1"/>
    <col min="16140" max="16140" width="14.875" customWidth="1"/>
    <col min="16141" max="16141" width="8.25" customWidth="1"/>
    <col min="16142" max="16142" width="5" customWidth="1"/>
    <col min="16143" max="16144" width="12" customWidth="1"/>
    <col min="16145" max="16145" width="5.5" customWidth="1"/>
    <col min="16146" max="16146" width="5.25" customWidth="1"/>
    <col min="16147" max="16147" width="8.75" customWidth="1"/>
    <col min="16148" max="16148" width="29" customWidth="1"/>
    <col min="16149" max="16149" width="19.875" customWidth="1"/>
  </cols>
  <sheetData>
    <row r="1" ht="25.8" spans="1:21">
      <c r="A1" s="680" t="s">
        <v>2724</v>
      </c>
      <c r="B1" s="680"/>
      <c r="C1" s="680"/>
      <c r="D1" s="680"/>
      <c r="E1" s="680"/>
      <c r="F1" s="680"/>
      <c r="G1" s="680"/>
      <c r="H1" s="680"/>
      <c r="I1" s="680"/>
      <c r="J1" s="680"/>
      <c r="K1" s="680"/>
      <c r="L1" s="680"/>
      <c r="M1" s="680"/>
      <c r="N1" s="680"/>
      <c r="O1" s="680"/>
      <c r="P1" s="680"/>
      <c r="Q1" s="680"/>
      <c r="R1" s="680"/>
      <c r="S1" s="680"/>
      <c r="T1" s="680"/>
      <c r="U1" s="525" t="s">
        <v>88</v>
      </c>
    </row>
    <row r="2" ht="84" spans="1:23">
      <c r="A2" s="260" t="s">
        <v>2725</v>
      </c>
      <c r="B2" s="260" t="s">
        <v>2726</v>
      </c>
      <c r="C2" s="260" t="s">
        <v>2727</v>
      </c>
      <c r="D2" s="260" t="s">
        <v>2728</v>
      </c>
      <c r="E2" s="260" t="s">
        <v>2729</v>
      </c>
      <c r="F2" s="260" t="s">
        <v>2730</v>
      </c>
      <c r="G2" s="260" t="s">
        <v>2731</v>
      </c>
      <c r="H2" s="260" t="s">
        <v>2732</v>
      </c>
      <c r="I2" s="260" t="s">
        <v>2733</v>
      </c>
      <c r="J2" s="260" t="s">
        <v>2734</v>
      </c>
      <c r="K2" s="260" t="s">
        <v>2735</v>
      </c>
      <c r="L2" s="665" t="s">
        <v>2736</v>
      </c>
      <c r="M2" s="260" t="s">
        <v>2737</v>
      </c>
      <c r="N2" s="660" t="s">
        <v>2738</v>
      </c>
      <c r="O2" s="674" t="s">
        <v>2739</v>
      </c>
      <c r="P2" s="665" t="s">
        <v>2740</v>
      </c>
      <c r="Q2" s="260" t="s">
        <v>2741</v>
      </c>
      <c r="R2" s="660" t="s">
        <v>2742</v>
      </c>
      <c r="S2" s="660" t="s">
        <v>2743</v>
      </c>
      <c r="T2" s="664" t="s">
        <v>2744</v>
      </c>
      <c r="U2" s="665" t="s">
        <v>2745</v>
      </c>
      <c r="V2" s="21"/>
      <c r="W2" s="676"/>
    </row>
    <row r="3" spans="1:23">
      <c r="A3" s="661"/>
      <c r="B3" s="661"/>
      <c r="C3" s="661"/>
      <c r="D3" s="660" t="s">
        <v>382</v>
      </c>
      <c r="E3" s="660" t="s">
        <v>1707</v>
      </c>
      <c r="F3" s="660" t="s">
        <v>2746</v>
      </c>
      <c r="G3" s="660" t="s">
        <v>2747</v>
      </c>
      <c r="H3" s="660" t="s">
        <v>2748</v>
      </c>
      <c r="I3" s="228" t="s">
        <v>246</v>
      </c>
      <c r="J3" s="661"/>
      <c r="K3" s="661"/>
      <c r="L3" s="228" t="s">
        <v>2749</v>
      </c>
      <c r="M3" s="660" t="s">
        <v>1056</v>
      </c>
      <c r="N3" s="254"/>
      <c r="O3" s="228" t="s">
        <v>2750</v>
      </c>
      <c r="P3" s="228" t="s">
        <v>2751</v>
      </c>
      <c r="Q3" s="263"/>
      <c r="R3" s="254"/>
      <c r="S3" s="663" t="s">
        <v>2752</v>
      </c>
      <c r="T3" s="677"/>
      <c r="U3" s="665"/>
      <c r="V3" s="21"/>
      <c r="W3" s="676"/>
    </row>
    <row r="4" s="156" customFormat="1" spans="1:23">
      <c r="A4" s="228">
        <v>1</v>
      </c>
      <c r="B4" s="673">
        <v>4</v>
      </c>
      <c r="C4" s="228" t="s">
        <v>2753</v>
      </c>
      <c r="D4" s="228">
        <v>120</v>
      </c>
      <c r="E4" s="228">
        <v>20</v>
      </c>
      <c r="F4" s="228">
        <v>250</v>
      </c>
      <c r="G4" s="228">
        <v>500</v>
      </c>
      <c r="H4" s="672">
        <f>0.4+0.6*F4/G4</f>
        <v>0.7</v>
      </c>
      <c r="I4" s="228">
        <v>1140</v>
      </c>
      <c r="J4" s="663">
        <v>0.7</v>
      </c>
      <c r="K4" s="663">
        <v>293</v>
      </c>
      <c r="L4" s="675">
        <f>H4*G4*1000/(POWER(3,1/2)*I4*J4)</f>
        <v>253.223802276152</v>
      </c>
      <c r="M4" s="663">
        <v>42.5</v>
      </c>
      <c r="N4" s="666">
        <v>0.95</v>
      </c>
      <c r="O4" s="672">
        <f>H4*G4*E4*1000/(I4*M4*D4)</f>
        <v>1.20399036807706</v>
      </c>
      <c r="P4" s="672"/>
      <c r="Q4" s="228">
        <v>0.7</v>
      </c>
      <c r="R4" s="678">
        <f>F4*0.67*4</f>
        <v>670</v>
      </c>
      <c r="S4" s="678">
        <f t="shared" ref="S4:S33" si="0">0.69*R4</f>
        <v>462.3</v>
      </c>
      <c r="T4" s="666">
        <f>E4/(M4*D4)*(1.732*S4*Q4+H4*G4*1000/I4)</f>
        <v>3.40200025043</v>
      </c>
      <c r="U4" s="666"/>
      <c r="V4" s="679"/>
      <c r="W4" s="679"/>
    </row>
    <row r="5" s="156" customFormat="1" spans="1:23">
      <c r="A5" s="228">
        <v>2</v>
      </c>
      <c r="B5" s="673">
        <v>5</v>
      </c>
      <c r="C5" s="228" t="s">
        <v>2754</v>
      </c>
      <c r="D5" s="228">
        <v>70</v>
      </c>
      <c r="E5" s="228">
        <v>30</v>
      </c>
      <c r="F5" s="228">
        <v>45</v>
      </c>
      <c r="G5" s="228">
        <v>90</v>
      </c>
      <c r="H5" s="672">
        <v>0.8</v>
      </c>
      <c r="I5" s="228">
        <v>1140</v>
      </c>
      <c r="J5" s="663">
        <v>0.7</v>
      </c>
      <c r="K5" s="228">
        <v>168</v>
      </c>
      <c r="L5" s="675">
        <f>0.67*G5</f>
        <v>60.3</v>
      </c>
      <c r="M5" s="663">
        <v>42.5</v>
      </c>
      <c r="N5" s="666">
        <v>0.95</v>
      </c>
      <c r="O5" s="672">
        <f>H5*G5*E5*1000/(I5*M5*D5)</f>
        <v>0.636886333480761</v>
      </c>
      <c r="P5" s="672"/>
      <c r="Q5" s="228">
        <v>0.7</v>
      </c>
      <c r="R5" s="678">
        <f>0.67*F5*6</f>
        <v>180.9</v>
      </c>
      <c r="S5" s="678">
        <f t="shared" si="0"/>
        <v>124.821</v>
      </c>
      <c r="T5" s="666">
        <f>E5/(M5*D5)*(1.732*S5*Q5+H5*G5*1000/I5)</f>
        <v>2.16293319465723</v>
      </c>
      <c r="U5" s="666"/>
      <c r="V5" s="679"/>
      <c r="W5" s="679"/>
    </row>
    <row r="6" s="156" customFormat="1" spans="1:23">
      <c r="A6" s="228">
        <v>3</v>
      </c>
      <c r="B6" s="673">
        <v>6</v>
      </c>
      <c r="C6" s="228" t="s">
        <v>2753</v>
      </c>
      <c r="D6" s="228">
        <v>120</v>
      </c>
      <c r="E6" s="228">
        <v>30</v>
      </c>
      <c r="F6" s="228">
        <v>250</v>
      </c>
      <c r="G6" s="228">
        <f>500+132+90</f>
        <v>722</v>
      </c>
      <c r="H6" s="672">
        <f>0.4+0.6*F6/G6</f>
        <v>0.607756232686981</v>
      </c>
      <c r="I6" s="228">
        <v>1140</v>
      </c>
      <c r="J6" s="663">
        <v>0.7</v>
      </c>
      <c r="K6" s="228">
        <v>293</v>
      </c>
      <c r="L6" s="675">
        <f>H6*G6*1000/(POWER(3,1/2)*I6*J6)</f>
        <v>317.470298396501</v>
      </c>
      <c r="M6" s="663">
        <v>42.5</v>
      </c>
      <c r="N6" s="666">
        <v>0.95</v>
      </c>
      <c r="O6" s="672">
        <f>H6*G6*E6*1000/(I6*M6*D6)</f>
        <v>2.26418988648091</v>
      </c>
      <c r="P6" s="672"/>
      <c r="Q6" s="228">
        <v>0.7</v>
      </c>
      <c r="R6" s="678">
        <f>0.67*F6*4</f>
        <v>670</v>
      </c>
      <c r="S6" s="678">
        <f t="shared" si="0"/>
        <v>462.3</v>
      </c>
      <c r="T6" s="666">
        <f>E6/(M6*D6)*(1.732*S6*Q6+H6*G6*1000/I6)</f>
        <v>5.56120471001032</v>
      </c>
      <c r="U6" s="666"/>
      <c r="V6" s="679"/>
      <c r="W6" s="679"/>
    </row>
    <row r="7" s="156" customFormat="1" spans="1:23">
      <c r="A7" s="228">
        <v>4</v>
      </c>
      <c r="B7" s="673">
        <v>7</v>
      </c>
      <c r="C7" s="228" t="s">
        <v>2753</v>
      </c>
      <c r="D7" s="228">
        <v>120</v>
      </c>
      <c r="E7" s="228">
        <v>20</v>
      </c>
      <c r="F7" s="228">
        <v>400</v>
      </c>
      <c r="G7" s="228">
        <f>400+250+930</f>
        <v>1580</v>
      </c>
      <c r="H7" s="672">
        <f>0.4+0.6*F7/G7</f>
        <v>0.551898734177215</v>
      </c>
      <c r="I7" s="228">
        <v>3300</v>
      </c>
      <c r="J7" s="663">
        <v>0.7</v>
      </c>
      <c r="K7" s="228">
        <v>293</v>
      </c>
      <c r="L7" s="675">
        <f>H7*G7*1000/(POWER(3,1/2)*I7*J7)</f>
        <v>217.943478239547</v>
      </c>
      <c r="M7" s="663">
        <v>42.5</v>
      </c>
      <c r="N7" s="666">
        <v>0.95</v>
      </c>
      <c r="O7" s="672">
        <f>(H7*G7*E7*1000/(I7*M7*D7))/2</f>
        <v>0.518122400475342</v>
      </c>
      <c r="P7" s="672"/>
      <c r="Q7" s="228">
        <v>0.7</v>
      </c>
      <c r="R7" s="678">
        <f>0.67*F7*4*1140/3300</f>
        <v>370.327272727273</v>
      </c>
      <c r="S7" s="678">
        <f t="shared" si="0"/>
        <v>255.525818181818</v>
      </c>
      <c r="T7" s="666">
        <f>(E7/(M7*D7)*(1.732*S7*Q7+H7*G7*1000/I7))/2</f>
        <v>1.12557240432561</v>
      </c>
      <c r="U7" s="666"/>
      <c r="V7" s="679"/>
      <c r="W7" s="679"/>
    </row>
    <row r="8" s="156" customFormat="1" spans="1:23">
      <c r="A8" s="228">
        <v>5</v>
      </c>
      <c r="B8" s="673">
        <v>8</v>
      </c>
      <c r="C8" s="228" t="s">
        <v>2753</v>
      </c>
      <c r="D8" s="228">
        <v>120</v>
      </c>
      <c r="E8" s="228">
        <v>20</v>
      </c>
      <c r="F8" s="228">
        <v>400</v>
      </c>
      <c r="G8" s="228">
        <v>1600</v>
      </c>
      <c r="H8" s="672">
        <f>0.4+0.6*F8/G8</f>
        <v>0.55</v>
      </c>
      <c r="I8" s="228">
        <v>3300</v>
      </c>
      <c r="J8" s="663">
        <v>0.7</v>
      </c>
      <c r="K8" s="228">
        <v>293</v>
      </c>
      <c r="L8" s="675">
        <f>H8*G8*1000/(POWER(3,1/2)*I8*J8)</f>
        <v>219.942959691286</v>
      </c>
      <c r="M8" s="663">
        <v>42.5</v>
      </c>
      <c r="N8" s="666">
        <v>0.95</v>
      </c>
      <c r="O8" s="672">
        <f>(H8*G8*E8*1000/(I8*M8*D8))/2</f>
        <v>0.522875816993464</v>
      </c>
      <c r="P8" s="672"/>
      <c r="Q8" s="228">
        <v>0.7</v>
      </c>
      <c r="R8" s="678">
        <f>0.67*F8*4*1140/3300</f>
        <v>370.327272727273</v>
      </c>
      <c r="S8" s="678">
        <f t="shared" si="0"/>
        <v>255.525818181818</v>
      </c>
      <c r="T8" s="666">
        <f>(E8/(M8*D8)*(1.732*S8*Q8+H8*G8*1000/I8))/2</f>
        <v>1.13032582084373</v>
      </c>
      <c r="U8" s="666">
        <f>1.732*S8*E8*Q8/(M8*D8)</f>
        <v>1.21490000770053</v>
      </c>
      <c r="V8" s="679"/>
      <c r="W8" s="679"/>
    </row>
    <row r="9" s="156" customFormat="1" spans="1:23">
      <c r="A9" s="228">
        <v>6</v>
      </c>
      <c r="B9" s="673">
        <v>9</v>
      </c>
      <c r="C9" s="228" t="s">
        <v>2755</v>
      </c>
      <c r="D9" s="228">
        <v>35</v>
      </c>
      <c r="E9" s="228">
        <v>150</v>
      </c>
      <c r="F9" s="228">
        <v>45</v>
      </c>
      <c r="G9" s="228">
        <v>45</v>
      </c>
      <c r="H9" s="672">
        <v>0.8</v>
      </c>
      <c r="I9" s="228">
        <v>1140</v>
      </c>
      <c r="J9" s="663">
        <v>0.7</v>
      </c>
      <c r="K9" s="228">
        <v>143</v>
      </c>
      <c r="L9" s="675">
        <f t="shared" ref="L9:L21" si="1">0.67*F9</f>
        <v>30.15</v>
      </c>
      <c r="M9" s="663">
        <v>42.5</v>
      </c>
      <c r="N9" s="666">
        <v>0.95</v>
      </c>
      <c r="O9" s="672"/>
      <c r="P9" s="672">
        <f t="shared" ref="P9:P24" si="2">H9*G9*E9*1000/(I9*M9*D9*N9)</f>
        <v>3.35203333410927</v>
      </c>
      <c r="Q9" s="228">
        <v>0.7</v>
      </c>
      <c r="R9" s="678">
        <f>1.15*F9*6</f>
        <v>310.5</v>
      </c>
      <c r="S9" s="678">
        <f t="shared" si="0"/>
        <v>214.245</v>
      </c>
      <c r="T9" s="666"/>
      <c r="U9" s="666">
        <f t="shared" ref="U9:U24" si="3">1.732*S9*E9*Q9/(M9*D9)</f>
        <v>26.1933416470588</v>
      </c>
      <c r="V9" s="679"/>
      <c r="W9" s="679"/>
    </row>
    <row r="10" s="156" customFormat="1" spans="1:23">
      <c r="A10" s="228">
        <v>7</v>
      </c>
      <c r="B10" s="673">
        <v>10</v>
      </c>
      <c r="C10" s="228" t="s">
        <v>2755</v>
      </c>
      <c r="D10" s="228">
        <v>35</v>
      </c>
      <c r="E10" s="228">
        <v>150</v>
      </c>
      <c r="F10" s="228">
        <v>45</v>
      </c>
      <c r="G10" s="228">
        <v>45</v>
      </c>
      <c r="H10" s="672">
        <v>0.8</v>
      </c>
      <c r="I10" s="228">
        <v>1140</v>
      </c>
      <c r="J10" s="663">
        <v>0.7</v>
      </c>
      <c r="K10" s="228">
        <v>143</v>
      </c>
      <c r="L10" s="675">
        <f t="shared" si="1"/>
        <v>30.15</v>
      </c>
      <c r="M10" s="663">
        <v>42.5</v>
      </c>
      <c r="N10" s="666">
        <v>0.95</v>
      </c>
      <c r="O10" s="672"/>
      <c r="P10" s="672">
        <f t="shared" si="2"/>
        <v>3.35203333410927</v>
      </c>
      <c r="Q10" s="228">
        <v>0.7</v>
      </c>
      <c r="R10" s="678">
        <f>1.15*F10*6</f>
        <v>310.5</v>
      </c>
      <c r="S10" s="678">
        <f t="shared" si="0"/>
        <v>214.245</v>
      </c>
      <c r="T10" s="666"/>
      <c r="U10" s="666">
        <f t="shared" si="3"/>
        <v>26.1933416470588</v>
      </c>
      <c r="V10" s="679"/>
      <c r="W10" s="679"/>
    </row>
    <row r="11" s="156" customFormat="1" spans="1:23">
      <c r="A11" s="228">
        <v>8</v>
      </c>
      <c r="B11" s="673">
        <v>11</v>
      </c>
      <c r="C11" s="228" t="s">
        <v>2756</v>
      </c>
      <c r="D11" s="228">
        <v>70</v>
      </c>
      <c r="E11" s="228">
        <v>20</v>
      </c>
      <c r="F11" s="228">
        <v>250</v>
      </c>
      <c r="G11" s="228">
        <v>250</v>
      </c>
      <c r="H11" s="672">
        <v>0.8</v>
      </c>
      <c r="I11" s="228">
        <v>1140</v>
      </c>
      <c r="J11" s="663">
        <v>0.7</v>
      </c>
      <c r="K11" s="228">
        <v>168</v>
      </c>
      <c r="L11" s="675">
        <f t="shared" si="1"/>
        <v>167.5</v>
      </c>
      <c r="M11" s="663">
        <v>42.5</v>
      </c>
      <c r="N11" s="666">
        <v>0.95</v>
      </c>
      <c r="O11" s="672"/>
      <c r="P11" s="672">
        <f t="shared" si="2"/>
        <v>1.24149382744788</v>
      </c>
      <c r="Q11" s="228">
        <v>0.7</v>
      </c>
      <c r="R11" s="678">
        <f>0.67*F11*4</f>
        <v>670</v>
      </c>
      <c r="S11" s="678">
        <f t="shared" si="0"/>
        <v>462.3</v>
      </c>
      <c r="T11" s="666"/>
      <c r="U11" s="666">
        <f t="shared" si="3"/>
        <v>3.76801694117647</v>
      </c>
      <c r="V11" s="679"/>
      <c r="W11" s="679"/>
    </row>
    <row r="12" s="156" customFormat="1" spans="1:23">
      <c r="A12" s="228">
        <v>9</v>
      </c>
      <c r="B12" s="673">
        <v>12</v>
      </c>
      <c r="C12" s="228" t="s">
        <v>2756</v>
      </c>
      <c r="D12" s="228">
        <v>70</v>
      </c>
      <c r="E12" s="228">
        <v>20</v>
      </c>
      <c r="F12" s="228">
        <v>250</v>
      </c>
      <c r="G12" s="228">
        <v>250</v>
      </c>
      <c r="H12" s="672">
        <v>0.8</v>
      </c>
      <c r="I12" s="228">
        <v>1140</v>
      </c>
      <c r="J12" s="663">
        <v>0.7</v>
      </c>
      <c r="K12" s="228">
        <v>168</v>
      </c>
      <c r="L12" s="675">
        <f t="shared" si="1"/>
        <v>167.5</v>
      </c>
      <c r="M12" s="663">
        <v>42.5</v>
      </c>
      <c r="N12" s="666">
        <v>0.95</v>
      </c>
      <c r="O12" s="672"/>
      <c r="P12" s="672">
        <f t="shared" si="2"/>
        <v>1.24149382744788</v>
      </c>
      <c r="Q12" s="228">
        <v>0.7</v>
      </c>
      <c r="R12" s="678">
        <f>0.67*F12*4</f>
        <v>670</v>
      </c>
      <c r="S12" s="678">
        <f t="shared" si="0"/>
        <v>462.3</v>
      </c>
      <c r="T12" s="666"/>
      <c r="U12" s="666">
        <f t="shared" si="3"/>
        <v>3.76801694117647</v>
      </c>
      <c r="V12" s="679"/>
      <c r="W12" s="679"/>
    </row>
    <row r="13" s="156" customFormat="1" spans="1:23">
      <c r="A13" s="228">
        <v>10</v>
      </c>
      <c r="B13" s="673">
        <v>13</v>
      </c>
      <c r="C13" s="228" t="s">
        <v>2757</v>
      </c>
      <c r="D13" s="228">
        <v>16</v>
      </c>
      <c r="E13" s="228">
        <v>20</v>
      </c>
      <c r="F13" s="228">
        <v>15</v>
      </c>
      <c r="G13" s="228">
        <v>15</v>
      </c>
      <c r="H13" s="672">
        <v>0.8</v>
      </c>
      <c r="I13" s="228">
        <v>1140</v>
      </c>
      <c r="J13" s="663">
        <v>0.7</v>
      </c>
      <c r="K13" s="228">
        <v>76</v>
      </c>
      <c r="L13" s="675">
        <f t="shared" si="1"/>
        <v>10.05</v>
      </c>
      <c r="M13" s="663">
        <v>42.5</v>
      </c>
      <c r="N13" s="666">
        <v>0.95</v>
      </c>
      <c r="O13" s="672"/>
      <c r="P13" s="672">
        <f t="shared" si="2"/>
        <v>0.325892129705068</v>
      </c>
      <c r="Q13" s="228">
        <v>0.7</v>
      </c>
      <c r="R13" s="678">
        <f>0.67*F13*4</f>
        <v>40.2</v>
      </c>
      <c r="S13" s="678">
        <f t="shared" si="0"/>
        <v>27.738</v>
      </c>
      <c r="T13" s="666"/>
      <c r="U13" s="666">
        <f t="shared" si="3"/>
        <v>0.989104447058823</v>
      </c>
      <c r="V13" s="679"/>
      <c r="W13" s="679"/>
    </row>
    <row r="14" s="156" customFormat="1" spans="1:23">
      <c r="A14" s="228">
        <v>11</v>
      </c>
      <c r="B14" s="673">
        <v>14</v>
      </c>
      <c r="C14" s="228" t="s">
        <v>2757</v>
      </c>
      <c r="D14" s="228">
        <v>16</v>
      </c>
      <c r="E14" s="228">
        <v>20</v>
      </c>
      <c r="F14" s="228">
        <v>15</v>
      </c>
      <c r="G14" s="228">
        <v>15</v>
      </c>
      <c r="H14" s="672">
        <v>0.8</v>
      </c>
      <c r="I14" s="228">
        <v>1140</v>
      </c>
      <c r="J14" s="663">
        <v>0.7</v>
      </c>
      <c r="K14" s="228">
        <v>76</v>
      </c>
      <c r="L14" s="675">
        <f t="shared" si="1"/>
        <v>10.05</v>
      </c>
      <c r="M14" s="663">
        <v>42.5</v>
      </c>
      <c r="N14" s="666">
        <v>0.95</v>
      </c>
      <c r="O14" s="672"/>
      <c r="P14" s="672">
        <f t="shared" si="2"/>
        <v>0.325892129705068</v>
      </c>
      <c r="Q14" s="228">
        <v>0.7</v>
      </c>
      <c r="R14" s="678">
        <f>0.67*F14*4</f>
        <v>40.2</v>
      </c>
      <c r="S14" s="678">
        <f t="shared" si="0"/>
        <v>27.738</v>
      </c>
      <c r="T14" s="666"/>
      <c r="U14" s="666">
        <f t="shared" si="3"/>
        <v>0.989104447058823</v>
      </c>
      <c r="V14" s="679"/>
      <c r="W14" s="679"/>
    </row>
    <row r="15" s="156" customFormat="1" spans="1:23">
      <c r="A15" s="228">
        <v>12</v>
      </c>
      <c r="B15" s="673">
        <v>15</v>
      </c>
      <c r="C15" s="228" t="s">
        <v>2755</v>
      </c>
      <c r="D15" s="228">
        <v>35</v>
      </c>
      <c r="E15" s="228">
        <v>10</v>
      </c>
      <c r="F15" s="228">
        <v>45</v>
      </c>
      <c r="G15" s="228">
        <v>45</v>
      </c>
      <c r="H15" s="672">
        <v>0.8</v>
      </c>
      <c r="I15" s="228">
        <v>1140</v>
      </c>
      <c r="J15" s="663">
        <v>0.7</v>
      </c>
      <c r="K15" s="228">
        <v>143</v>
      </c>
      <c r="L15" s="675">
        <f t="shared" si="1"/>
        <v>30.15</v>
      </c>
      <c r="M15" s="663">
        <v>42.5</v>
      </c>
      <c r="N15" s="666">
        <v>0.95</v>
      </c>
      <c r="O15" s="672"/>
      <c r="P15" s="672">
        <f t="shared" si="2"/>
        <v>0.223468888940618</v>
      </c>
      <c r="Q15" s="228">
        <v>0.7</v>
      </c>
      <c r="R15" s="678">
        <f>1.15*F15*6</f>
        <v>310.5</v>
      </c>
      <c r="S15" s="678">
        <f t="shared" si="0"/>
        <v>214.245</v>
      </c>
      <c r="T15" s="666"/>
      <c r="U15" s="666">
        <f t="shared" si="3"/>
        <v>1.74622277647059</v>
      </c>
      <c r="V15" s="679"/>
      <c r="W15" s="679"/>
    </row>
    <row r="16" s="156" customFormat="1" spans="1:23">
      <c r="A16" s="228">
        <v>13</v>
      </c>
      <c r="B16" s="673">
        <v>16</v>
      </c>
      <c r="C16" s="228" t="s">
        <v>2755</v>
      </c>
      <c r="D16" s="228">
        <v>35</v>
      </c>
      <c r="E16" s="228">
        <v>10</v>
      </c>
      <c r="F16" s="228">
        <v>45</v>
      </c>
      <c r="G16" s="228">
        <v>45</v>
      </c>
      <c r="H16" s="672">
        <v>0.8</v>
      </c>
      <c r="I16" s="228">
        <v>1140</v>
      </c>
      <c r="J16" s="663">
        <v>0.7</v>
      </c>
      <c r="K16" s="228">
        <v>143</v>
      </c>
      <c r="L16" s="675">
        <f t="shared" si="1"/>
        <v>30.15</v>
      </c>
      <c r="M16" s="663">
        <v>42.5</v>
      </c>
      <c r="N16" s="666">
        <v>0.95</v>
      </c>
      <c r="O16" s="672"/>
      <c r="P16" s="672">
        <f t="shared" si="2"/>
        <v>0.223468888940618</v>
      </c>
      <c r="Q16" s="228">
        <v>0.7</v>
      </c>
      <c r="R16" s="678">
        <f>1.15*F16*6</f>
        <v>310.5</v>
      </c>
      <c r="S16" s="678">
        <f t="shared" si="0"/>
        <v>214.245</v>
      </c>
      <c r="T16" s="666"/>
      <c r="U16" s="666">
        <f t="shared" si="3"/>
        <v>1.74622277647059</v>
      </c>
      <c r="V16" s="679"/>
      <c r="W16" s="679"/>
    </row>
    <row r="17" s="156" customFormat="1" spans="1:23">
      <c r="A17" s="228">
        <v>14</v>
      </c>
      <c r="B17" s="673">
        <v>17</v>
      </c>
      <c r="C17" s="228" t="s">
        <v>2758</v>
      </c>
      <c r="D17" s="228">
        <v>50</v>
      </c>
      <c r="E17" s="228">
        <v>30</v>
      </c>
      <c r="F17" s="228">
        <v>250</v>
      </c>
      <c r="G17" s="228">
        <v>250</v>
      </c>
      <c r="H17" s="672">
        <v>0.8</v>
      </c>
      <c r="I17" s="228">
        <v>1140</v>
      </c>
      <c r="J17" s="663">
        <v>0.7</v>
      </c>
      <c r="K17" s="228">
        <v>168</v>
      </c>
      <c r="L17" s="675">
        <f t="shared" si="1"/>
        <v>167.5</v>
      </c>
      <c r="M17" s="663">
        <v>42.5</v>
      </c>
      <c r="N17" s="666">
        <v>0.95</v>
      </c>
      <c r="O17" s="672"/>
      <c r="P17" s="672">
        <f t="shared" si="2"/>
        <v>2.60713703764054</v>
      </c>
      <c r="Q17" s="228">
        <v>0.7</v>
      </c>
      <c r="R17" s="678">
        <f>0.67*F17*4</f>
        <v>670</v>
      </c>
      <c r="S17" s="678">
        <f t="shared" si="0"/>
        <v>462.3</v>
      </c>
      <c r="T17" s="666"/>
      <c r="U17" s="666">
        <f t="shared" si="3"/>
        <v>7.91283557647059</v>
      </c>
      <c r="V17" s="679"/>
      <c r="W17" s="679"/>
    </row>
    <row r="18" s="156" customFormat="1" spans="1:23">
      <c r="A18" s="228">
        <v>15</v>
      </c>
      <c r="B18" s="673">
        <v>18</v>
      </c>
      <c r="C18" s="228" t="s">
        <v>2758</v>
      </c>
      <c r="D18" s="228">
        <v>50</v>
      </c>
      <c r="E18" s="228">
        <v>30</v>
      </c>
      <c r="F18" s="228">
        <v>132</v>
      </c>
      <c r="G18" s="228">
        <v>132</v>
      </c>
      <c r="H18" s="672">
        <v>0.8</v>
      </c>
      <c r="I18" s="228">
        <v>1140</v>
      </c>
      <c r="J18" s="663">
        <v>0.7</v>
      </c>
      <c r="K18" s="228">
        <v>168</v>
      </c>
      <c r="L18" s="675">
        <f t="shared" si="1"/>
        <v>88.44</v>
      </c>
      <c r="M18" s="663">
        <v>42.5</v>
      </c>
      <c r="N18" s="666">
        <v>0.95</v>
      </c>
      <c r="O18" s="672"/>
      <c r="P18" s="672">
        <f t="shared" si="2"/>
        <v>1.37656835587421</v>
      </c>
      <c r="Q18" s="228">
        <v>0.7</v>
      </c>
      <c r="R18" s="678">
        <f>0.67*F18*6</f>
        <v>530.64</v>
      </c>
      <c r="S18" s="678">
        <f t="shared" si="0"/>
        <v>366.1416</v>
      </c>
      <c r="T18" s="666"/>
      <c r="U18" s="666">
        <f t="shared" si="3"/>
        <v>6.26696577656471</v>
      </c>
      <c r="V18" s="679"/>
      <c r="W18" s="679"/>
    </row>
    <row r="19" s="156" customFormat="1" spans="1:23">
      <c r="A19" s="228">
        <v>16</v>
      </c>
      <c r="B19" s="673">
        <v>19</v>
      </c>
      <c r="C19" s="228" t="s">
        <v>2758</v>
      </c>
      <c r="D19" s="228">
        <v>50</v>
      </c>
      <c r="E19" s="228">
        <v>30</v>
      </c>
      <c r="F19" s="228">
        <v>250</v>
      </c>
      <c r="G19" s="228">
        <v>250</v>
      </c>
      <c r="H19" s="672">
        <v>0.8</v>
      </c>
      <c r="I19" s="228">
        <v>1140</v>
      </c>
      <c r="J19" s="663">
        <v>0.7</v>
      </c>
      <c r="K19" s="228">
        <v>168</v>
      </c>
      <c r="L19" s="675">
        <f t="shared" si="1"/>
        <v>167.5</v>
      </c>
      <c r="M19" s="663">
        <v>42.5</v>
      </c>
      <c r="N19" s="666">
        <v>0.95</v>
      </c>
      <c r="O19" s="672"/>
      <c r="P19" s="672">
        <f t="shared" si="2"/>
        <v>2.60713703764054</v>
      </c>
      <c r="Q19" s="228">
        <v>0.7</v>
      </c>
      <c r="R19" s="678">
        <f>0.67*F19*4</f>
        <v>670</v>
      </c>
      <c r="S19" s="678">
        <f t="shared" si="0"/>
        <v>462.3</v>
      </c>
      <c r="T19" s="666"/>
      <c r="U19" s="666">
        <f t="shared" si="3"/>
        <v>7.91283557647059</v>
      </c>
      <c r="V19" s="679"/>
      <c r="W19" s="679"/>
    </row>
    <row r="20" s="156" customFormat="1" spans="1:23">
      <c r="A20" s="228">
        <v>17</v>
      </c>
      <c r="B20" s="673">
        <v>20</v>
      </c>
      <c r="C20" s="228" t="s">
        <v>2758</v>
      </c>
      <c r="D20" s="228">
        <v>50</v>
      </c>
      <c r="E20" s="228">
        <v>30</v>
      </c>
      <c r="F20" s="228">
        <v>132</v>
      </c>
      <c r="G20" s="228">
        <v>132</v>
      </c>
      <c r="H20" s="672">
        <v>0.8</v>
      </c>
      <c r="I20" s="228">
        <v>1140</v>
      </c>
      <c r="J20" s="663">
        <v>0.7</v>
      </c>
      <c r="K20" s="228">
        <v>168</v>
      </c>
      <c r="L20" s="675">
        <f t="shared" si="1"/>
        <v>88.44</v>
      </c>
      <c r="M20" s="663">
        <v>42.5</v>
      </c>
      <c r="N20" s="666">
        <v>0.95</v>
      </c>
      <c r="O20" s="672"/>
      <c r="P20" s="672">
        <f t="shared" si="2"/>
        <v>1.37656835587421</v>
      </c>
      <c r="Q20" s="228">
        <v>0.7</v>
      </c>
      <c r="R20" s="678">
        <f>0.67*F20*6</f>
        <v>530.64</v>
      </c>
      <c r="S20" s="678">
        <f t="shared" si="0"/>
        <v>366.1416</v>
      </c>
      <c r="T20" s="666"/>
      <c r="U20" s="666">
        <f t="shared" si="3"/>
        <v>6.26696577656471</v>
      </c>
      <c r="V20" s="679"/>
      <c r="W20" s="679"/>
    </row>
    <row r="21" s="156" customFormat="1" spans="1:23">
      <c r="A21" s="228">
        <v>18</v>
      </c>
      <c r="B21" s="673">
        <v>21</v>
      </c>
      <c r="C21" s="228" t="s">
        <v>2758</v>
      </c>
      <c r="D21" s="228">
        <v>50</v>
      </c>
      <c r="E21" s="228">
        <v>30</v>
      </c>
      <c r="F21" s="228">
        <v>250</v>
      </c>
      <c r="G21" s="228">
        <v>250</v>
      </c>
      <c r="H21" s="672">
        <v>0.8</v>
      </c>
      <c r="I21" s="228">
        <v>1140</v>
      </c>
      <c r="J21" s="663">
        <v>0.7</v>
      </c>
      <c r="K21" s="228">
        <v>168</v>
      </c>
      <c r="L21" s="675">
        <f t="shared" si="1"/>
        <v>167.5</v>
      </c>
      <c r="M21" s="663">
        <v>42.5</v>
      </c>
      <c r="N21" s="666">
        <v>0.95</v>
      </c>
      <c r="O21" s="672"/>
      <c r="P21" s="672">
        <f t="shared" si="2"/>
        <v>2.60713703764054</v>
      </c>
      <c r="Q21" s="228">
        <v>0.7</v>
      </c>
      <c r="R21" s="678">
        <f>0.67*F21*4</f>
        <v>670</v>
      </c>
      <c r="S21" s="678">
        <f t="shared" si="0"/>
        <v>462.3</v>
      </c>
      <c r="T21" s="666"/>
      <c r="U21" s="666">
        <f t="shared" si="3"/>
        <v>7.91283557647059</v>
      </c>
      <c r="V21" s="679"/>
      <c r="W21" s="679"/>
    </row>
    <row r="22" s="156" customFormat="1" spans="1:23">
      <c r="A22" s="228">
        <v>19</v>
      </c>
      <c r="B22" s="673">
        <v>22</v>
      </c>
      <c r="C22" s="228" t="s">
        <v>2756</v>
      </c>
      <c r="D22" s="228">
        <v>70</v>
      </c>
      <c r="E22" s="228">
        <v>200</v>
      </c>
      <c r="F22" s="228">
        <v>400</v>
      </c>
      <c r="G22" s="228">
        <v>400</v>
      </c>
      <c r="H22" s="672">
        <v>0.8</v>
      </c>
      <c r="I22" s="228">
        <v>3300</v>
      </c>
      <c r="J22" s="663">
        <v>0.7</v>
      </c>
      <c r="K22" s="228">
        <v>205</v>
      </c>
      <c r="L22" s="675">
        <f>0.67*F22/330*114</f>
        <v>92.5818181818182</v>
      </c>
      <c r="M22" s="663">
        <v>42.5</v>
      </c>
      <c r="N22" s="666">
        <v>0.95</v>
      </c>
      <c r="O22" s="672"/>
      <c r="P22" s="672">
        <f t="shared" si="2"/>
        <v>6.86207497353008</v>
      </c>
      <c r="Q22" s="228">
        <v>0.7</v>
      </c>
      <c r="R22" s="678">
        <f>0.67*F22*4/330*114</f>
        <v>370.327272727273</v>
      </c>
      <c r="S22" s="678">
        <f t="shared" si="0"/>
        <v>255.525818181818</v>
      </c>
      <c r="T22" s="666"/>
      <c r="U22" s="666">
        <f t="shared" si="3"/>
        <v>20.8268572748663</v>
      </c>
      <c r="V22" s="679"/>
      <c r="W22" s="679"/>
    </row>
    <row r="23" s="156" customFormat="1" spans="1:23">
      <c r="A23" s="228">
        <v>20</v>
      </c>
      <c r="B23" s="673">
        <v>23</v>
      </c>
      <c r="C23" s="228" t="s">
        <v>2756</v>
      </c>
      <c r="D23" s="228">
        <v>70</v>
      </c>
      <c r="E23" s="228">
        <v>200</v>
      </c>
      <c r="F23" s="228">
        <v>200</v>
      </c>
      <c r="G23" s="228">
        <v>200</v>
      </c>
      <c r="H23" s="672">
        <v>0.8</v>
      </c>
      <c r="I23" s="228">
        <v>3300</v>
      </c>
      <c r="J23" s="663">
        <v>0.7</v>
      </c>
      <c r="K23" s="228">
        <v>205</v>
      </c>
      <c r="L23" s="675">
        <f>0.67*F23/330*114</f>
        <v>46.2909090909091</v>
      </c>
      <c r="M23" s="663">
        <v>42.5</v>
      </c>
      <c r="N23" s="666">
        <v>0.95</v>
      </c>
      <c r="O23" s="672"/>
      <c r="P23" s="672">
        <f t="shared" si="2"/>
        <v>3.43103748676504</v>
      </c>
      <c r="Q23" s="228">
        <v>0.7</v>
      </c>
      <c r="R23" s="678">
        <f>0.67*F23*4/330*114</f>
        <v>185.163636363636</v>
      </c>
      <c r="S23" s="678">
        <f t="shared" si="0"/>
        <v>127.762909090909</v>
      </c>
      <c r="T23" s="666"/>
      <c r="U23" s="666">
        <f t="shared" si="3"/>
        <v>10.4134286374332</v>
      </c>
      <c r="V23" s="679"/>
      <c r="W23" s="679"/>
    </row>
    <row r="24" s="156" customFormat="1" spans="1:23">
      <c r="A24" s="228">
        <v>21</v>
      </c>
      <c r="B24" s="673">
        <v>24</v>
      </c>
      <c r="C24" s="228" t="s">
        <v>2758</v>
      </c>
      <c r="D24" s="228">
        <v>50</v>
      </c>
      <c r="E24" s="228">
        <v>230</v>
      </c>
      <c r="F24" s="228">
        <v>250</v>
      </c>
      <c r="G24" s="228">
        <v>250</v>
      </c>
      <c r="H24" s="672">
        <v>0.8</v>
      </c>
      <c r="I24" s="228">
        <v>3300</v>
      </c>
      <c r="J24" s="663">
        <v>0.7</v>
      </c>
      <c r="K24" s="228">
        <v>168</v>
      </c>
      <c r="L24" s="675">
        <f>0.67*F24/330*114</f>
        <v>57.8636363636364</v>
      </c>
      <c r="M24" s="663">
        <v>42.5</v>
      </c>
      <c r="N24" s="666">
        <v>0.95</v>
      </c>
      <c r="O24" s="672"/>
      <c r="P24" s="672">
        <f t="shared" si="2"/>
        <v>6.90496294211465</v>
      </c>
      <c r="Q24" s="228">
        <v>0.7</v>
      </c>
      <c r="R24" s="678">
        <f>0.67*F24*4/330*114</f>
        <v>231.454545454545</v>
      </c>
      <c r="S24" s="678">
        <f t="shared" si="0"/>
        <v>159.703636363636</v>
      </c>
      <c r="T24" s="666"/>
      <c r="U24" s="666">
        <f t="shared" si="3"/>
        <v>20.9570251328342</v>
      </c>
      <c r="V24" s="679"/>
      <c r="W24" s="679"/>
    </row>
    <row r="25" s="156" customFormat="1" spans="1:23">
      <c r="A25" s="228">
        <v>22</v>
      </c>
      <c r="B25" s="673">
        <v>25</v>
      </c>
      <c r="C25" s="228" t="s">
        <v>2756</v>
      </c>
      <c r="D25" s="228">
        <v>70</v>
      </c>
      <c r="E25" s="228">
        <v>460</v>
      </c>
      <c r="F25" s="228">
        <v>400</v>
      </c>
      <c r="G25" s="228">
        <v>930</v>
      </c>
      <c r="H25" s="672">
        <f>0.4+0.6*F25/G25</f>
        <v>0.658064516129032</v>
      </c>
      <c r="I25" s="228">
        <v>3300</v>
      </c>
      <c r="J25" s="663">
        <v>0.7</v>
      </c>
      <c r="K25" s="228">
        <v>168</v>
      </c>
      <c r="L25" s="675">
        <f>H25*G25*1000/(POWER(3,1/2)*I25*J25)</f>
        <v>152.960331058031</v>
      </c>
      <c r="M25" s="663">
        <v>42.5</v>
      </c>
      <c r="N25" s="666">
        <v>0.95</v>
      </c>
      <c r="O25" s="672">
        <f>H25*G25*E25*1000/(I25*M25*D25)</f>
        <v>28.6753246753247</v>
      </c>
      <c r="P25" s="672"/>
      <c r="Q25" s="228">
        <v>0.7</v>
      </c>
      <c r="R25" s="678">
        <f t="shared" ref="R25:R33" si="4">0.67*F25*4/330*114</f>
        <v>370.327272727273</v>
      </c>
      <c r="S25" s="678">
        <f t="shared" si="0"/>
        <v>255.525818181818</v>
      </c>
      <c r="T25" s="666">
        <f>E25/(M25*D25)*(1.732*S25*Q25+H25*G25*1000/I25)</f>
        <v>76.5770964075172</v>
      </c>
      <c r="U25" s="666"/>
      <c r="V25" s="679"/>
      <c r="W25" s="679"/>
    </row>
    <row r="26" s="156" customFormat="1" spans="1:23">
      <c r="A26" s="228">
        <v>23</v>
      </c>
      <c r="B26" s="673">
        <v>26</v>
      </c>
      <c r="C26" s="228" t="s">
        <v>2756</v>
      </c>
      <c r="D26" s="228">
        <v>70</v>
      </c>
      <c r="E26" s="228">
        <v>460</v>
      </c>
      <c r="F26" s="228">
        <v>200</v>
      </c>
      <c r="G26" s="228">
        <v>200</v>
      </c>
      <c r="H26" s="672">
        <v>0.8</v>
      </c>
      <c r="I26" s="228">
        <v>3300</v>
      </c>
      <c r="J26" s="663">
        <v>0.7</v>
      </c>
      <c r="K26" s="228">
        <v>205</v>
      </c>
      <c r="L26" s="675">
        <f t="shared" ref="L26:L33" si="5">0.67*F26/330*114</f>
        <v>46.2909090909091</v>
      </c>
      <c r="M26" s="663">
        <v>42.5</v>
      </c>
      <c r="N26" s="666">
        <v>0.95</v>
      </c>
      <c r="O26" s="672"/>
      <c r="P26" s="672">
        <f t="shared" ref="P26:P33" si="6">H26*G26*E26*1000/(I26*M26*D26*N26)</f>
        <v>7.89138621955959</v>
      </c>
      <c r="Q26" s="228">
        <v>0.7</v>
      </c>
      <c r="R26" s="678">
        <f t="shared" si="4"/>
        <v>185.163636363636</v>
      </c>
      <c r="S26" s="678">
        <f t="shared" si="0"/>
        <v>127.762909090909</v>
      </c>
      <c r="T26" s="666"/>
      <c r="U26" s="666">
        <f t="shared" ref="U26:U33" si="7">1.732*S26*E26*Q26/(M26*D26)</f>
        <v>23.9508858660963</v>
      </c>
      <c r="V26" s="679"/>
      <c r="W26" s="679"/>
    </row>
    <row r="27" s="156" customFormat="1" spans="1:23">
      <c r="A27" s="228">
        <v>24</v>
      </c>
      <c r="B27" s="673">
        <v>27</v>
      </c>
      <c r="C27" s="228" t="s">
        <v>2756</v>
      </c>
      <c r="D27" s="228">
        <v>70</v>
      </c>
      <c r="E27" s="228">
        <v>460</v>
      </c>
      <c r="F27" s="228">
        <v>400</v>
      </c>
      <c r="G27" s="228">
        <v>400</v>
      </c>
      <c r="H27" s="672">
        <v>0.8</v>
      </c>
      <c r="I27" s="228">
        <v>3300</v>
      </c>
      <c r="J27" s="663">
        <v>0.7</v>
      </c>
      <c r="K27" s="228">
        <v>205</v>
      </c>
      <c r="L27" s="675">
        <f t="shared" si="5"/>
        <v>92.5818181818182</v>
      </c>
      <c r="M27" s="663">
        <v>42.5</v>
      </c>
      <c r="N27" s="666">
        <v>0.95</v>
      </c>
      <c r="O27" s="672"/>
      <c r="P27" s="672">
        <f t="shared" si="6"/>
        <v>15.7827724391192</v>
      </c>
      <c r="Q27" s="228">
        <v>0.7</v>
      </c>
      <c r="R27" s="678">
        <f t="shared" si="4"/>
        <v>370.327272727273</v>
      </c>
      <c r="S27" s="678">
        <f t="shared" si="0"/>
        <v>255.525818181818</v>
      </c>
      <c r="T27" s="666"/>
      <c r="U27" s="666">
        <f t="shared" si="7"/>
        <v>47.9017717321925</v>
      </c>
      <c r="V27" s="679"/>
      <c r="W27" s="679"/>
    </row>
    <row r="28" s="156" customFormat="1" spans="1:23">
      <c r="A28" s="228">
        <v>25</v>
      </c>
      <c r="B28" s="673">
        <v>28</v>
      </c>
      <c r="C28" s="228" t="s">
        <v>2756</v>
      </c>
      <c r="D28" s="228">
        <v>70</v>
      </c>
      <c r="E28" s="228">
        <v>250</v>
      </c>
      <c r="F28" s="228">
        <v>200</v>
      </c>
      <c r="G28" s="228">
        <v>200</v>
      </c>
      <c r="H28" s="672">
        <v>0.8</v>
      </c>
      <c r="I28" s="228">
        <v>3300</v>
      </c>
      <c r="J28" s="663">
        <v>0.7</v>
      </c>
      <c r="K28" s="228">
        <v>205</v>
      </c>
      <c r="L28" s="675">
        <f t="shared" si="5"/>
        <v>46.2909090909091</v>
      </c>
      <c r="M28" s="663">
        <v>42.5</v>
      </c>
      <c r="N28" s="666">
        <v>0.95</v>
      </c>
      <c r="O28" s="672"/>
      <c r="P28" s="672">
        <f t="shared" si="6"/>
        <v>4.2887968584563</v>
      </c>
      <c r="Q28" s="228">
        <v>0.7</v>
      </c>
      <c r="R28" s="678">
        <f t="shared" si="4"/>
        <v>185.163636363636</v>
      </c>
      <c r="S28" s="678">
        <f t="shared" si="0"/>
        <v>127.762909090909</v>
      </c>
      <c r="T28" s="666"/>
      <c r="U28" s="666">
        <f t="shared" si="7"/>
        <v>13.0167857967914</v>
      </c>
      <c r="V28" s="679"/>
      <c r="W28" s="679"/>
    </row>
    <row r="29" s="156" customFormat="1" spans="1:23">
      <c r="A29" s="228">
        <v>26</v>
      </c>
      <c r="B29" s="673">
        <v>29</v>
      </c>
      <c r="C29" s="228" t="s">
        <v>2756</v>
      </c>
      <c r="D29" s="228">
        <v>70</v>
      </c>
      <c r="E29" s="228">
        <v>250</v>
      </c>
      <c r="F29" s="228">
        <v>400</v>
      </c>
      <c r="G29" s="228">
        <v>400</v>
      </c>
      <c r="H29" s="672">
        <v>0.8</v>
      </c>
      <c r="I29" s="228">
        <v>3300</v>
      </c>
      <c r="J29" s="663">
        <v>0.7</v>
      </c>
      <c r="K29" s="228">
        <v>205</v>
      </c>
      <c r="L29" s="675">
        <f t="shared" si="5"/>
        <v>92.5818181818182</v>
      </c>
      <c r="M29" s="663">
        <v>42.5</v>
      </c>
      <c r="N29" s="666">
        <v>0.95</v>
      </c>
      <c r="O29" s="672"/>
      <c r="P29" s="672">
        <f t="shared" si="6"/>
        <v>8.5775937169126</v>
      </c>
      <c r="Q29" s="228">
        <v>0.7</v>
      </c>
      <c r="R29" s="678">
        <f t="shared" si="4"/>
        <v>370.327272727273</v>
      </c>
      <c r="S29" s="678">
        <f t="shared" si="0"/>
        <v>255.525818181818</v>
      </c>
      <c r="T29" s="666"/>
      <c r="U29" s="666">
        <f t="shared" si="7"/>
        <v>26.0335715935829</v>
      </c>
      <c r="V29" s="679"/>
      <c r="W29" s="679"/>
    </row>
    <row r="30" s="156" customFormat="1" spans="1:23">
      <c r="A30" s="228">
        <v>27</v>
      </c>
      <c r="B30" s="673">
        <v>30</v>
      </c>
      <c r="C30" s="228" t="s">
        <v>2756</v>
      </c>
      <c r="D30" s="228">
        <v>70</v>
      </c>
      <c r="E30" s="228">
        <v>450</v>
      </c>
      <c r="F30" s="228">
        <v>200</v>
      </c>
      <c r="G30" s="228">
        <v>200</v>
      </c>
      <c r="H30" s="672">
        <v>0.8</v>
      </c>
      <c r="I30" s="228">
        <v>3300</v>
      </c>
      <c r="J30" s="663">
        <v>0.7</v>
      </c>
      <c r="K30" s="228">
        <v>205</v>
      </c>
      <c r="L30" s="675">
        <f t="shared" si="5"/>
        <v>46.2909090909091</v>
      </c>
      <c r="M30" s="663">
        <v>42.5</v>
      </c>
      <c r="N30" s="666">
        <v>0.95</v>
      </c>
      <c r="O30" s="672"/>
      <c r="P30" s="672">
        <f t="shared" si="6"/>
        <v>7.71983434522134</v>
      </c>
      <c r="Q30" s="228">
        <v>0.7</v>
      </c>
      <c r="R30" s="678">
        <f t="shared" si="4"/>
        <v>185.163636363636</v>
      </c>
      <c r="S30" s="678">
        <f t="shared" si="0"/>
        <v>127.762909090909</v>
      </c>
      <c r="T30" s="666"/>
      <c r="U30" s="666">
        <f t="shared" si="7"/>
        <v>23.4302144342246</v>
      </c>
      <c r="V30" s="679"/>
      <c r="W30" s="679"/>
    </row>
    <row r="31" s="156" customFormat="1" spans="1:23">
      <c r="A31" s="228">
        <v>28</v>
      </c>
      <c r="B31" s="673">
        <v>31</v>
      </c>
      <c r="C31" s="228" t="s">
        <v>2756</v>
      </c>
      <c r="D31" s="228">
        <v>70</v>
      </c>
      <c r="E31" s="228">
        <v>450</v>
      </c>
      <c r="F31" s="228">
        <v>400</v>
      </c>
      <c r="G31" s="228">
        <v>400</v>
      </c>
      <c r="H31" s="672">
        <v>0.8</v>
      </c>
      <c r="I31" s="228">
        <v>3300</v>
      </c>
      <c r="J31" s="663">
        <v>0.7</v>
      </c>
      <c r="K31" s="228">
        <v>205</v>
      </c>
      <c r="L31" s="675">
        <f t="shared" si="5"/>
        <v>92.5818181818182</v>
      </c>
      <c r="M31" s="663">
        <v>42.5</v>
      </c>
      <c r="N31" s="666">
        <v>0.95</v>
      </c>
      <c r="O31" s="672"/>
      <c r="P31" s="672">
        <f t="shared" si="6"/>
        <v>15.4396686904427</v>
      </c>
      <c r="Q31" s="228">
        <v>0.7</v>
      </c>
      <c r="R31" s="678">
        <f t="shared" si="4"/>
        <v>370.327272727273</v>
      </c>
      <c r="S31" s="678">
        <f t="shared" si="0"/>
        <v>255.525818181818</v>
      </c>
      <c r="T31" s="666"/>
      <c r="U31" s="666">
        <f t="shared" si="7"/>
        <v>46.8604288684492</v>
      </c>
      <c r="V31" s="679"/>
      <c r="W31" s="679"/>
    </row>
    <row r="32" s="156" customFormat="1" spans="1:23">
      <c r="A32" s="228">
        <v>29</v>
      </c>
      <c r="B32" s="673">
        <v>32</v>
      </c>
      <c r="C32" s="228" t="s">
        <v>2756</v>
      </c>
      <c r="D32" s="228">
        <v>70</v>
      </c>
      <c r="E32" s="228">
        <v>240</v>
      </c>
      <c r="F32" s="228">
        <v>200</v>
      </c>
      <c r="G32" s="228">
        <v>200</v>
      </c>
      <c r="H32" s="672">
        <v>0.8</v>
      </c>
      <c r="I32" s="228">
        <v>3300</v>
      </c>
      <c r="J32" s="663">
        <v>0.7</v>
      </c>
      <c r="K32" s="228">
        <v>205</v>
      </c>
      <c r="L32" s="675">
        <f t="shared" si="5"/>
        <v>46.2909090909091</v>
      </c>
      <c r="M32" s="663">
        <v>42.5</v>
      </c>
      <c r="N32" s="666">
        <v>0.95</v>
      </c>
      <c r="O32" s="672"/>
      <c r="P32" s="672">
        <f t="shared" si="6"/>
        <v>4.11724498411805</v>
      </c>
      <c r="Q32" s="228">
        <v>0.7</v>
      </c>
      <c r="R32" s="678">
        <f t="shared" si="4"/>
        <v>185.163636363636</v>
      </c>
      <c r="S32" s="678">
        <f t="shared" si="0"/>
        <v>127.762909090909</v>
      </c>
      <c r="T32" s="666"/>
      <c r="U32" s="666">
        <f t="shared" si="7"/>
        <v>12.4961143649198</v>
      </c>
      <c r="V32" s="679"/>
      <c r="W32" s="679"/>
    </row>
    <row r="33" s="156" customFormat="1" spans="1:23">
      <c r="A33" s="228">
        <v>30</v>
      </c>
      <c r="B33" s="673">
        <v>33</v>
      </c>
      <c r="C33" s="228" t="s">
        <v>2756</v>
      </c>
      <c r="D33" s="228">
        <v>70</v>
      </c>
      <c r="E33" s="228">
        <v>240</v>
      </c>
      <c r="F33" s="228">
        <v>200</v>
      </c>
      <c r="G33" s="228">
        <v>200</v>
      </c>
      <c r="H33" s="672">
        <v>0.8</v>
      </c>
      <c r="I33" s="228">
        <v>3300</v>
      </c>
      <c r="J33" s="663">
        <v>0.7</v>
      </c>
      <c r="K33" s="228">
        <v>205</v>
      </c>
      <c r="L33" s="675">
        <f t="shared" si="5"/>
        <v>46.2909090909091</v>
      </c>
      <c r="M33" s="663">
        <v>42.5</v>
      </c>
      <c r="N33" s="666">
        <v>0.95</v>
      </c>
      <c r="O33" s="672"/>
      <c r="P33" s="672">
        <f t="shared" si="6"/>
        <v>4.11724498411805</v>
      </c>
      <c r="Q33" s="228">
        <v>0.7</v>
      </c>
      <c r="R33" s="678">
        <f t="shared" si="4"/>
        <v>185.163636363636</v>
      </c>
      <c r="S33" s="678">
        <f t="shared" si="0"/>
        <v>127.762909090909</v>
      </c>
      <c r="T33" s="666"/>
      <c r="U33" s="666">
        <f t="shared" si="7"/>
        <v>12.4961143649198</v>
      </c>
      <c r="V33" s="679"/>
      <c r="W33" s="679"/>
    </row>
  </sheetData>
  <protectedRanges>
    <protectedRange sqref="D4:U33" name="範圍1"/>
  </protectedRanges>
  <mergeCells count="9">
    <mergeCell ref="A1:T1"/>
    <mergeCell ref="A2:A3"/>
    <mergeCell ref="B2:B3"/>
    <mergeCell ref="C2:C3"/>
    <mergeCell ref="J2:J3"/>
    <mergeCell ref="K2:K3"/>
    <mergeCell ref="Q2:Q3"/>
    <mergeCell ref="T2:T3"/>
    <mergeCell ref="U2:U3"/>
  </mergeCells>
  <hyperlinks>
    <hyperlink ref="U1" location="目录!A1" display="目录!A1"/>
  </hyperlinks>
  <pageMargins left="0.7" right="0.7" top="0.75" bottom="0.75" header="0.3" footer="0.3"/>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T13" sqref="T13"/>
    </sheetView>
  </sheetViews>
  <sheetFormatPr defaultColWidth="9" defaultRowHeight="15.6"/>
  <cols>
    <col min="1" max="1" width="3" customWidth="1"/>
    <col min="2" max="2" width="2.875" customWidth="1"/>
    <col min="3" max="3" width="12.875" customWidth="1"/>
    <col min="4" max="4" width="4" customWidth="1"/>
    <col min="5" max="5" width="5.125" customWidth="1"/>
    <col min="6" max="6" width="5.25" customWidth="1"/>
    <col min="7" max="7" width="5.375" customWidth="1"/>
    <col min="8" max="9" width="5.875" customWidth="1"/>
    <col min="10" max="10" width="5.375" customWidth="1"/>
    <col min="11" max="11" width="5.125" customWidth="1"/>
    <col min="12" max="12" width="14.875" customWidth="1"/>
    <col min="13" max="13" width="8.25" customWidth="1"/>
    <col min="14" max="14" width="5" customWidth="1"/>
    <col min="15" max="16" width="12" customWidth="1"/>
    <col min="17" max="17" width="5.5" customWidth="1"/>
    <col min="18" max="18" width="5.25" customWidth="1"/>
    <col min="19" max="19" width="8.75" customWidth="1"/>
    <col min="20" max="20" width="29" customWidth="1"/>
    <col min="21" max="21" width="19.875" customWidth="1"/>
    <col min="257" max="257" width="3" customWidth="1"/>
    <col min="258" max="258" width="2.875" customWidth="1"/>
    <col min="259" max="259" width="12.875" customWidth="1"/>
    <col min="260" max="260" width="4" customWidth="1"/>
    <col min="261" max="261" width="5.125" customWidth="1"/>
    <col min="262" max="262" width="5.25" customWidth="1"/>
    <col min="263" max="263" width="5.375" customWidth="1"/>
    <col min="264" max="265" width="5.875" customWidth="1"/>
    <col min="266" max="266" width="5.375" customWidth="1"/>
    <col min="267" max="267" width="5.125" customWidth="1"/>
    <col min="268" max="268" width="14.875" customWidth="1"/>
    <col min="269" max="269" width="8.25" customWidth="1"/>
    <col min="270" max="270" width="5" customWidth="1"/>
    <col min="271" max="272" width="12" customWidth="1"/>
    <col min="273" max="273" width="5.5" customWidth="1"/>
    <col min="274" max="274" width="5.25" customWidth="1"/>
    <col min="275" max="275" width="8.75" customWidth="1"/>
    <col min="276" max="276" width="29" customWidth="1"/>
    <col min="277" max="277" width="19.875" customWidth="1"/>
    <col min="513" max="513" width="3" customWidth="1"/>
    <col min="514" max="514" width="2.875" customWidth="1"/>
    <col min="515" max="515" width="12.875" customWidth="1"/>
    <col min="516" max="516" width="4" customWidth="1"/>
    <col min="517" max="517" width="5.125" customWidth="1"/>
    <col min="518" max="518" width="5.25" customWidth="1"/>
    <col min="519" max="519" width="5.375" customWidth="1"/>
    <col min="520" max="521" width="5.875" customWidth="1"/>
    <col min="522" max="522" width="5.375" customWidth="1"/>
    <col min="523" max="523" width="5.125" customWidth="1"/>
    <col min="524" max="524" width="14.875" customWidth="1"/>
    <col min="525" max="525" width="8.25" customWidth="1"/>
    <col min="526" max="526" width="5" customWidth="1"/>
    <col min="527" max="528" width="12" customWidth="1"/>
    <col min="529" max="529" width="5.5" customWidth="1"/>
    <col min="530" max="530" width="5.25" customWidth="1"/>
    <col min="531" max="531" width="8.75" customWidth="1"/>
    <col min="532" max="532" width="29" customWidth="1"/>
    <col min="533" max="533" width="19.875" customWidth="1"/>
    <col min="769" max="769" width="3" customWidth="1"/>
    <col min="770" max="770" width="2.875" customWidth="1"/>
    <col min="771" max="771" width="12.875" customWidth="1"/>
    <col min="772" max="772" width="4" customWidth="1"/>
    <col min="773" max="773" width="5.125" customWidth="1"/>
    <col min="774" max="774" width="5.25" customWidth="1"/>
    <col min="775" max="775" width="5.375" customWidth="1"/>
    <col min="776" max="777" width="5.875" customWidth="1"/>
    <col min="778" max="778" width="5.375" customWidth="1"/>
    <col min="779" max="779" width="5.125" customWidth="1"/>
    <col min="780" max="780" width="14.875" customWidth="1"/>
    <col min="781" max="781" width="8.25" customWidth="1"/>
    <col min="782" max="782" width="5" customWidth="1"/>
    <col min="783" max="784" width="12" customWidth="1"/>
    <col min="785" max="785" width="5.5" customWidth="1"/>
    <col min="786" max="786" width="5.25" customWidth="1"/>
    <col min="787" max="787" width="8.75" customWidth="1"/>
    <col min="788" max="788" width="29" customWidth="1"/>
    <col min="789" max="789" width="19.875" customWidth="1"/>
    <col min="1025" max="1025" width="3" customWidth="1"/>
    <col min="1026" max="1026" width="2.875" customWidth="1"/>
    <col min="1027" max="1027" width="12.875" customWidth="1"/>
    <col min="1028" max="1028" width="4" customWidth="1"/>
    <col min="1029" max="1029" width="5.125" customWidth="1"/>
    <col min="1030" max="1030" width="5.25" customWidth="1"/>
    <col min="1031" max="1031" width="5.375" customWidth="1"/>
    <col min="1032" max="1033" width="5.875" customWidth="1"/>
    <col min="1034" max="1034" width="5.375" customWidth="1"/>
    <col min="1035" max="1035" width="5.125" customWidth="1"/>
    <col min="1036" max="1036" width="14.875" customWidth="1"/>
    <col min="1037" max="1037" width="8.25" customWidth="1"/>
    <col min="1038" max="1038" width="5" customWidth="1"/>
    <col min="1039" max="1040" width="12" customWidth="1"/>
    <col min="1041" max="1041" width="5.5" customWidth="1"/>
    <col min="1042" max="1042" width="5.25" customWidth="1"/>
    <col min="1043" max="1043" width="8.75" customWidth="1"/>
    <col min="1044" max="1044" width="29" customWidth="1"/>
    <col min="1045" max="1045" width="19.875" customWidth="1"/>
    <col min="1281" max="1281" width="3" customWidth="1"/>
    <col min="1282" max="1282" width="2.875" customWidth="1"/>
    <col min="1283" max="1283" width="12.875" customWidth="1"/>
    <col min="1284" max="1284" width="4" customWidth="1"/>
    <col min="1285" max="1285" width="5.125" customWidth="1"/>
    <col min="1286" max="1286" width="5.25" customWidth="1"/>
    <col min="1287" max="1287" width="5.375" customWidth="1"/>
    <col min="1288" max="1289" width="5.875" customWidth="1"/>
    <col min="1290" max="1290" width="5.375" customWidth="1"/>
    <col min="1291" max="1291" width="5.125" customWidth="1"/>
    <col min="1292" max="1292" width="14.875" customWidth="1"/>
    <col min="1293" max="1293" width="8.25" customWidth="1"/>
    <col min="1294" max="1294" width="5" customWidth="1"/>
    <col min="1295" max="1296" width="12" customWidth="1"/>
    <col min="1297" max="1297" width="5.5" customWidth="1"/>
    <col min="1298" max="1298" width="5.25" customWidth="1"/>
    <col min="1299" max="1299" width="8.75" customWidth="1"/>
    <col min="1300" max="1300" width="29" customWidth="1"/>
    <col min="1301" max="1301" width="19.875" customWidth="1"/>
    <col min="1537" max="1537" width="3" customWidth="1"/>
    <col min="1538" max="1538" width="2.875" customWidth="1"/>
    <col min="1539" max="1539" width="12.875" customWidth="1"/>
    <col min="1540" max="1540" width="4" customWidth="1"/>
    <col min="1541" max="1541" width="5.125" customWidth="1"/>
    <col min="1542" max="1542" width="5.25" customWidth="1"/>
    <col min="1543" max="1543" width="5.375" customWidth="1"/>
    <col min="1544" max="1545" width="5.875" customWidth="1"/>
    <col min="1546" max="1546" width="5.375" customWidth="1"/>
    <col min="1547" max="1547" width="5.125" customWidth="1"/>
    <col min="1548" max="1548" width="14.875" customWidth="1"/>
    <col min="1549" max="1549" width="8.25" customWidth="1"/>
    <col min="1550" max="1550" width="5" customWidth="1"/>
    <col min="1551" max="1552" width="12" customWidth="1"/>
    <col min="1553" max="1553" width="5.5" customWidth="1"/>
    <col min="1554" max="1554" width="5.25" customWidth="1"/>
    <col min="1555" max="1555" width="8.75" customWidth="1"/>
    <col min="1556" max="1556" width="29" customWidth="1"/>
    <col min="1557" max="1557" width="19.875" customWidth="1"/>
    <col min="1793" max="1793" width="3" customWidth="1"/>
    <col min="1794" max="1794" width="2.875" customWidth="1"/>
    <col min="1795" max="1795" width="12.875" customWidth="1"/>
    <col min="1796" max="1796" width="4" customWidth="1"/>
    <col min="1797" max="1797" width="5.125" customWidth="1"/>
    <col min="1798" max="1798" width="5.25" customWidth="1"/>
    <col min="1799" max="1799" width="5.375" customWidth="1"/>
    <col min="1800" max="1801" width="5.875" customWidth="1"/>
    <col min="1802" max="1802" width="5.375" customWidth="1"/>
    <col min="1803" max="1803" width="5.125" customWidth="1"/>
    <col min="1804" max="1804" width="14.875" customWidth="1"/>
    <col min="1805" max="1805" width="8.25" customWidth="1"/>
    <col min="1806" max="1806" width="5" customWidth="1"/>
    <col min="1807" max="1808" width="12" customWidth="1"/>
    <col min="1809" max="1809" width="5.5" customWidth="1"/>
    <col min="1810" max="1810" width="5.25" customWidth="1"/>
    <col min="1811" max="1811" width="8.75" customWidth="1"/>
    <col min="1812" max="1812" width="29" customWidth="1"/>
    <col min="1813" max="1813" width="19.875" customWidth="1"/>
    <col min="2049" max="2049" width="3" customWidth="1"/>
    <col min="2050" max="2050" width="2.875" customWidth="1"/>
    <col min="2051" max="2051" width="12.875" customWidth="1"/>
    <col min="2052" max="2052" width="4" customWidth="1"/>
    <col min="2053" max="2053" width="5.125" customWidth="1"/>
    <col min="2054" max="2054" width="5.25" customWidth="1"/>
    <col min="2055" max="2055" width="5.375" customWidth="1"/>
    <col min="2056" max="2057" width="5.875" customWidth="1"/>
    <col min="2058" max="2058" width="5.375" customWidth="1"/>
    <col min="2059" max="2059" width="5.125" customWidth="1"/>
    <col min="2060" max="2060" width="14.875" customWidth="1"/>
    <col min="2061" max="2061" width="8.25" customWidth="1"/>
    <col min="2062" max="2062" width="5" customWidth="1"/>
    <col min="2063" max="2064" width="12" customWidth="1"/>
    <col min="2065" max="2065" width="5.5" customWidth="1"/>
    <col min="2066" max="2066" width="5.25" customWidth="1"/>
    <col min="2067" max="2067" width="8.75" customWidth="1"/>
    <col min="2068" max="2068" width="29" customWidth="1"/>
    <col min="2069" max="2069" width="19.875" customWidth="1"/>
    <col min="2305" max="2305" width="3" customWidth="1"/>
    <col min="2306" max="2306" width="2.875" customWidth="1"/>
    <col min="2307" max="2307" width="12.875" customWidth="1"/>
    <col min="2308" max="2308" width="4" customWidth="1"/>
    <col min="2309" max="2309" width="5.125" customWidth="1"/>
    <col min="2310" max="2310" width="5.25" customWidth="1"/>
    <col min="2311" max="2311" width="5.375" customWidth="1"/>
    <col min="2312" max="2313" width="5.875" customWidth="1"/>
    <col min="2314" max="2314" width="5.375" customWidth="1"/>
    <col min="2315" max="2315" width="5.125" customWidth="1"/>
    <col min="2316" max="2316" width="14.875" customWidth="1"/>
    <col min="2317" max="2317" width="8.25" customWidth="1"/>
    <col min="2318" max="2318" width="5" customWidth="1"/>
    <col min="2319" max="2320" width="12" customWidth="1"/>
    <col min="2321" max="2321" width="5.5" customWidth="1"/>
    <col min="2322" max="2322" width="5.25" customWidth="1"/>
    <col min="2323" max="2323" width="8.75" customWidth="1"/>
    <col min="2324" max="2324" width="29" customWidth="1"/>
    <col min="2325" max="2325" width="19.875" customWidth="1"/>
    <col min="2561" max="2561" width="3" customWidth="1"/>
    <col min="2562" max="2562" width="2.875" customWidth="1"/>
    <col min="2563" max="2563" width="12.875" customWidth="1"/>
    <col min="2564" max="2564" width="4" customWidth="1"/>
    <col min="2565" max="2565" width="5.125" customWidth="1"/>
    <col min="2566" max="2566" width="5.25" customWidth="1"/>
    <col min="2567" max="2567" width="5.375" customWidth="1"/>
    <col min="2568" max="2569" width="5.875" customWidth="1"/>
    <col min="2570" max="2570" width="5.375" customWidth="1"/>
    <col min="2571" max="2571" width="5.125" customWidth="1"/>
    <col min="2572" max="2572" width="14.875" customWidth="1"/>
    <col min="2573" max="2573" width="8.25" customWidth="1"/>
    <col min="2574" max="2574" width="5" customWidth="1"/>
    <col min="2575" max="2576" width="12" customWidth="1"/>
    <col min="2577" max="2577" width="5.5" customWidth="1"/>
    <col min="2578" max="2578" width="5.25" customWidth="1"/>
    <col min="2579" max="2579" width="8.75" customWidth="1"/>
    <col min="2580" max="2580" width="29" customWidth="1"/>
    <col min="2581" max="2581" width="19.875" customWidth="1"/>
    <col min="2817" max="2817" width="3" customWidth="1"/>
    <col min="2818" max="2818" width="2.875" customWidth="1"/>
    <col min="2819" max="2819" width="12.875" customWidth="1"/>
    <col min="2820" max="2820" width="4" customWidth="1"/>
    <col min="2821" max="2821" width="5.125" customWidth="1"/>
    <col min="2822" max="2822" width="5.25" customWidth="1"/>
    <col min="2823" max="2823" width="5.375" customWidth="1"/>
    <col min="2824" max="2825" width="5.875" customWidth="1"/>
    <col min="2826" max="2826" width="5.375" customWidth="1"/>
    <col min="2827" max="2827" width="5.125" customWidth="1"/>
    <col min="2828" max="2828" width="14.875" customWidth="1"/>
    <col min="2829" max="2829" width="8.25" customWidth="1"/>
    <col min="2830" max="2830" width="5" customWidth="1"/>
    <col min="2831" max="2832" width="12" customWidth="1"/>
    <col min="2833" max="2833" width="5.5" customWidth="1"/>
    <col min="2834" max="2834" width="5.25" customWidth="1"/>
    <col min="2835" max="2835" width="8.75" customWidth="1"/>
    <col min="2836" max="2836" width="29" customWidth="1"/>
    <col min="2837" max="2837" width="19.875" customWidth="1"/>
    <col min="3073" max="3073" width="3" customWidth="1"/>
    <col min="3074" max="3074" width="2.875" customWidth="1"/>
    <col min="3075" max="3075" width="12.875" customWidth="1"/>
    <col min="3076" max="3076" width="4" customWidth="1"/>
    <col min="3077" max="3077" width="5.125" customWidth="1"/>
    <col min="3078" max="3078" width="5.25" customWidth="1"/>
    <col min="3079" max="3079" width="5.375" customWidth="1"/>
    <col min="3080" max="3081" width="5.875" customWidth="1"/>
    <col min="3082" max="3082" width="5.375" customWidth="1"/>
    <col min="3083" max="3083" width="5.125" customWidth="1"/>
    <col min="3084" max="3084" width="14.875" customWidth="1"/>
    <col min="3085" max="3085" width="8.25" customWidth="1"/>
    <col min="3086" max="3086" width="5" customWidth="1"/>
    <col min="3087" max="3088" width="12" customWidth="1"/>
    <col min="3089" max="3089" width="5.5" customWidth="1"/>
    <col min="3090" max="3090" width="5.25" customWidth="1"/>
    <col min="3091" max="3091" width="8.75" customWidth="1"/>
    <col min="3092" max="3092" width="29" customWidth="1"/>
    <col min="3093" max="3093" width="19.875" customWidth="1"/>
    <col min="3329" max="3329" width="3" customWidth="1"/>
    <col min="3330" max="3330" width="2.875" customWidth="1"/>
    <col min="3331" max="3331" width="12.875" customWidth="1"/>
    <col min="3332" max="3332" width="4" customWidth="1"/>
    <col min="3333" max="3333" width="5.125" customWidth="1"/>
    <col min="3334" max="3334" width="5.25" customWidth="1"/>
    <col min="3335" max="3335" width="5.375" customWidth="1"/>
    <col min="3336" max="3337" width="5.875" customWidth="1"/>
    <col min="3338" max="3338" width="5.375" customWidth="1"/>
    <col min="3339" max="3339" width="5.125" customWidth="1"/>
    <col min="3340" max="3340" width="14.875" customWidth="1"/>
    <col min="3341" max="3341" width="8.25" customWidth="1"/>
    <col min="3342" max="3342" width="5" customWidth="1"/>
    <col min="3343" max="3344" width="12" customWidth="1"/>
    <col min="3345" max="3345" width="5.5" customWidth="1"/>
    <col min="3346" max="3346" width="5.25" customWidth="1"/>
    <col min="3347" max="3347" width="8.75" customWidth="1"/>
    <col min="3348" max="3348" width="29" customWidth="1"/>
    <col min="3349" max="3349" width="19.875" customWidth="1"/>
    <col min="3585" max="3585" width="3" customWidth="1"/>
    <col min="3586" max="3586" width="2.875" customWidth="1"/>
    <col min="3587" max="3587" width="12.875" customWidth="1"/>
    <col min="3588" max="3588" width="4" customWidth="1"/>
    <col min="3589" max="3589" width="5.125" customWidth="1"/>
    <col min="3590" max="3590" width="5.25" customWidth="1"/>
    <col min="3591" max="3591" width="5.375" customWidth="1"/>
    <col min="3592" max="3593" width="5.875" customWidth="1"/>
    <col min="3594" max="3594" width="5.375" customWidth="1"/>
    <col min="3595" max="3595" width="5.125" customWidth="1"/>
    <col min="3596" max="3596" width="14.875" customWidth="1"/>
    <col min="3597" max="3597" width="8.25" customWidth="1"/>
    <col min="3598" max="3598" width="5" customWidth="1"/>
    <col min="3599" max="3600" width="12" customWidth="1"/>
    <col min="3601" max="3601" width="5.5" customWidth="1"/>
    <col min="3602" max="3602" width="5.25" customWidth="1"/>
    <col min="3603" max="3603" width="8.75" customWidth="1"/>
    <col min="3604" max="3604" width="29" customWidth="1"/>
    <col min="3605" max="3605" width="19.875" customWidth="1"/>
    <col min="3841" max="3841" width="3" customWidth="1"/>
    <col min="3842" max="3842" width="2.875" customWidth="1"/>
    <col min="3843" max="3843" width="12.875" customWidth="1"/>
    <col min="3844" max="3844" width="4" customWidth="1"/>
    <col min="3845" max="3845" width="5.125" customWidth="1"/>
    <col min="3846" max="3846" width="5.25" customWidth="1"/>
    <col min="3847" max="3847" width="5.375" customWidth="1"/>
    <col min="3848" max="3849" width="5.875" customWidth="1"/>
    <col min="3850" max="3850" width="5.375" customWidth="1"/>
    <col min="3851" max="3851" width="5.125" customWidth="1"/>
    <col min="3852" max="3852" width="14.875" customWidth="1"/>
    <col min="3853" max="3853" width="8.25" customWidth="1"/>
    <col min="3854" max="3854" width="5" customWidth="1"/>
    <col min="3855" max="3856" width="12" customWidth="1"/>
    <col min="3857" max="3857" width="5.5" customWidth="1"/>
    <col min="3858" max="3858" width="5.25" customWidth="1"/>
    <col min="3859" max="3859" width="8.75" customWidth="1"/>
    <col min="3860" max="3860" width="29" customWidth="1"/>
    <col min="3861" max="3861" width="19.875" customWidth="1"/>
    <col min="4097" max="4097" width="3" customWidth="1"/>
    <col min="4098" max="4098" width="2.875" customWidth="1"/>
    <col min="4099" max="4099" width="12.875" customWidth="1"/>
    <col min="4100" max="4100" width="4" customWidth="1"/>
    <col min="4101" max="4101" width="5.125" customWidth="1"/>
    <col min="4102" max="4102" width="5.25" customWidth="1"/>
    <col min="4103" max="4103" width="5.375" customWidth="1"/>
    <col min="4104" max="4105" width="5.875" customWidth="1"/>
    <col min="4106" max="4106" width="5.375" customWidth="1"/>
    <col min="4107" max="4107" width="5.125" customWidth="1"/>
    <col min="4108" max="4108" width="14.875" customWidth="1"/>
    <col min="4109" max="4109" width="8.25" customWidth="1"/>
    <col min="4110" max="4110" width="5" customWidth="1"/>
    <col min="4111" max="4112" width="12" customWidth="1"/>
    <col min="4113" max="4113" width="5.5" customWidth="1"/>
    <col min="4114" max="4114" width="5.25" customWidth="1"/>
    <col min="4115" max="4115" width="8.75" customWidth="1"/>
    <col min="4116" max="4116" width="29" customWidth="1"/>
    <col min="4117" max="4117" width="19.875" customWidth="1"/>
    <col min="4353" max="4353" width="3" customWidth="1"/>
    <col min="4354" max="4354" width="2.875" customWidth="1"/>
    <col min="4355" max="4355" width="12.875" customWidth="1"/>
    <col min="4356" max="4356" width="4" customWidth="1"/>
    <col min="4357" max="4357" width="5.125" customWidth="1"/>
    <col min="4358" max="4358" width="5.25" customWidth="1"/>
    <col min="4359" max="4359" width="5.375" customWidth="1"/>
    <col min="4360" max="4361" width="5.875" customWidth="1"/>
    <col min="4362" max="4362" width="5.375" customWidth="1"/>
    <col min="4363" max="4363" width="5.125" customWidth="1"/>
    <col min="4364" max="4364" width="14.875" customWidth="1"/>
    <col min="4365" max="4365" width="8.25" customWidth="1"/>
    <col min="4366" max="4366" width="5" customWidth="1"/>
    <col min="4367" max="4368" width="12" customWidth="1"/>
    <col min="4369" max="4369" width="5.5" customWidth="1"/>
    <col min="4370" max="4370" width="5.25" customWidth="1"/>
    <col min="4371" max="4371" width="8.75" customWidth="1"/>
    <col min="4372" max="4372" width="29" customWidth="1"/>
    <col min="4373" max="4373" width="19.875" customWidth="1"/>
    <col min="4609" max="4609" width="3" customWidth="1"/>
    <col min="4610" max="4610" width="2.875" customWidth="1"/>
    <col min="4611" max="4611" width="12.875" customWidth="1"/>
    <col min="4612" max="4612" width="4" customWidth="1"/>
    <col min="4613" max="4613" width="5.125" customWidth="1"/>
    <col min="4614" max="4614" width="5.25" customWidth="1"/>
    <col min="4615" max="4615" width="5.375" customWidth="1"/>
    <col min="4616" max="4617" width="5.875" customWidth="1"/>
    <col min="4618" max="4618" width="5.375" customWidth="1"/>
    <col min="4619" max="4619" width="5.125" customWidth="1"/>
    <col min="4620" max="4620" width="14.875" customWidth="1"/>
    <col min="4621" max="4621" width="8.25" customWidth="1"/>
    <col min="4622" max="4622" width="5" customWidth="1"/>
    <col min="4623" max="4624" width="12" customWidth="1"/>
    <col min="4625" max="4625" width="5.5" customWidth="1"/>
    <col min="4626" max="4626" width="5.25" customWidth="1"/>
    <col min="4627" max="4627" width="8.75" customWidth="1"/>
    <col min="4628" max="4628" width="29" customWidth="1"/>
    <col min="4629" max="4629" width="19.875" customWidth="1"/>
    <col min="4865" max="4865" width="3" customWidth="1"/>
    <col min="4866" max="4866" width="2.875" customWidth="1"/>
    <col min="4867" max="4867" width="12.875" customWidth="1"/>
    <col min="4868" max="4868" width="4" customWidth="1"/>
    <col min="4869" max="4869" width="5.125" customWidth="1"/>
    <col min="4870" max="4870" width="5.25" customWidth="1"/>
    <col min="4871" max="4871" width="5.375" customWidth="1"/>
    <col min="4872" max="4873" width="5.875" customWidth="1"/>
    <col min="4874" max="4874" width="5.375" customWidth="1"/>
    <col min="4875" max="4875" width="5.125" customWidth="1"/>
    <col min="4876" max="4876" width="14.875" customWidth="1"/>
    <col min="4877" max="4877" width="8.25" customWidth="1"/>
    <col min="4878" max="4878" width="5" customWidth="1"/>
    <col min="4879" max="4880" width="12" customWidth="1"/>
    <col min="4881" max="4881" width="5.5" customWidth="1"/>
    <col min="4882" max="4882" width="5.25" customWidth="1"/>
    <col min="4883" max="4883" width="8.75" customWidth="1"/>
    <col min="4884" max="4884" width="29" customWidth="1"/>
    <col min="4885" max="4885" width="19.875" customWidth="1"/>
    <col min="5121" max="5121" width="3" customWidth="1"/>
    <col min="5122" max="5122" width="2.875" customWidth="1"/>
    <col min="5123" max="5123" width="12.875" customWidth="1"/>
    <col min="5124" max="5124" width="4" customWidth="1"/>
    <col min="5125" max="5125" width="5.125" customWidth="1"/>
    <col min="5126" max="5126" width="5.25" customWidth="1"/>
    <col min="5127" max="5127" width="5.375" customWidth="1"/>
    <col min="5128" max="5129" width="5.875" customWidth="1"/>
    <col min="5130" max="5130" width="5.375" customWidth="1"/>
    <col min="5131" max="5131" width="5.125" customWidth="1"/>
    <col min="5132" max="5132" width="14.875" customWidth="1"/>
    <col min="5133" max="5133" width="8.25" customWidth="1"/>
    <col min="5134" max="5134" width="5" customWidth="1"/>
    <col min="5135" max="5136" width="12" customWidth="1"/>
    <col min="5137" max="5137" width="5.5" customWidth="1"/>
    <col min="5138" max="5138" width="5.25" customWidth="1"/>
    <col min="5139" max="5139" width="8.75" customWidth="1"/>
    <col min="5140" max="5140" width="29" customWidth="1"/>
    <col min="5141" max="5141" width="19.875" customWidth="1"/>
    <col min="5377" max="5377" width="3" customWidth="1"/>
    <col min="5378" max="5378" width="2.875" customWidth="1"/>
    <col min="5379" max="5379" width="12.875" customWidth="1"/>
    <col min="5380" max="5380" width="4" customWidth="1"/>
    <col min="5381" max="5381" width="5.125" customWidth="1"/>
    <col min="5382" max="5382" width="5.25" customWidth="1"/>
    <col min="5383" max="5383" width="5.375" customWidth="1"/>
    <col min="5384" max="5385" width="5.875" customWidth="1"/>
    <col min="5386" max="5386" width="5.375" customWidth="1"/>
    <col min="5387" max="5387" width="5.125" customWidth="1"/>
    <col min="5388" max="5388" width="14.875" customWidth="1"/>
    <col min="5389" max="5389" width="8.25" customWidth="1"/>
    <col min="5390" max="5390" width="5" customWidth="1"/>
    <col min="5391" max="5392" width="12" customWidth="1"/>
    <col min="5393" max="5393" width="5.5" customWidth="1"/>
    <col min="5394" max="5394" width="5.25" customWidth="1"/>
    <col min="5395" max="5395" width="8.75" customWidth="1"/>
    <col min="5396" max="5396" width="29" customWidth="1"/>
    <col min="5397" max="5397" width="19.875" customWidth="1"/>
    <col min="5633" max="5633" width="3" customWidth="1"/>
    <col min="5634" max="5634" width="2.875" customWidth="1"/>
    <col min="5635" max="5635" width="12.875" customWidth="1"/>
    <col min="5636" max="5636" width="4" customWidth="1"/>
    <col min="5637" max="5637" width="5.125" customWidth="1"/>
    <col min="5638" max="5638" width="5.25" customWidth="1"/>
    <col min="5639" max="5639" width="5.375" customWidth="1"/>
    <col min="5640" max="5641" width="5.875" customWidth="1"/>
    <col min="5642" max="5642" width="5.375" customWidth="1"/>
    <col min="5643" max="5643" width="5.125" customWidth="1"/>
    <col min="5644" max="5644" width="14.875" customWidth="1"/>
    <col min="5645" max="5645" width="8.25" customWidth="1"/>
    <col min="5646" max="5646" width="5" customWidth="1"/>
    <col min="5647" max="5648" width="12" customWidth="1"/>
    <col min="5649" max="5649" width="5.5" customWidth="1"/>
    <col min="5650" max="5650" width="5.25" customWidth="1"/>
    <col min="5651" max="5651" width="8.75" customWidth="1"/>
    <col min="5652" max="5652" width="29" customWidth="1"/>
    <col min="5653" max="5653" width="19.875" customWidth="1"/>
    <col min="5889" max="5889" width="3" customWidth="1"/>
    <col min="5890" max="5890" width="2.875" customWidth="1"/>
    <col min="5891" max="5891" width="12.875" customWidth="1"/>
    <col min="5892" max="5892" width="4" customWidth="1"/>
    <col min="5893" max="5893" width="5.125" customWidth="1"/>
    <col min="5894" max="5894" width="5.25" customWidth="1"/>
    <col min="5895" max="5895" width="5.375" customWidth="1"/>
    <col min="5896" max="5897" width="5.875" customWidth="1"/>
    <col min="5898" max="5898" width="5.375" customWidth="1"/>
    <col min="5899" max="5899" width="5.125" customWidth="1"/>
    <col min="5900" max="5900" width="14.875" customWidth="1"/>
    <col min="5901" max="5901" width="8.25" customWidth="1"/>
    <col min="5902" max="5902" width="5" customWidth="1"/>
    <col min="5903" max="5904" width="12" customWidth="1"/>
    <col min="5905" max="5905" width="5.5" customWidth="1"/>
    <col min="5906" max="5906" width="5.25" customWidth="1"/>
    <col min="5907" max="5907" width="8.75" customWidth="1"/>
    <col min="5908" max="5908" width="29" customWidth="1"/>
    <col min="5909" max="5909" width="19.875" customWidth="1"/>
    <col min="6145" max="6145" width="3" customWidth="1"/>
    <col min="6146" max="6146" width="2.875" customWidth="1"/>
    <col min="6147" max="6147" width="12.875" customWidth="1"/>
    <col min="6148" max="6148" width="4" customWidth="1"/>
    <col min="6149" max="6149" width="5.125" customWidth="1"/>
    <col min="6150" max="6150" width="5.25" customWidth="1"/>
    <col min="6151" max="6151" width="5.375" customWidth="1"/>
    <col min="6152" max="6153" width="5.875" customWidth="1"/>
    <col min="6154" max="6154" width="5.375" customWidth="1"/>
    <col min="6155" max="6155" width="5.125" customWidth="1"/>
    <col min="6156" max="6156" width="14.875" customWidth="1"/>
    <col min="6157" max="6157" width="8.25" customWidth="1"/>
    <col min="6158" max="6158" width="5" customWidth="1"/>
    <col min="6159" max="6160" width="12" customWidth="1"/>
    <col min="6161" max="6161" width="5.5" customWidth="1"/>
    <col min="6162" max="6162" width="5.25" customWidth="1"/>
    <col min="6163" max="6163" width="8.75" customWidth="1"/>
    <col min="6164" max="6164" width="29" customWidth="1"/>
    <col min="6165" max="6165" width="19.875" customWidth="1"/>
    <col min="6401" max="6401" width="3" customWidth="1"/>
    <col min="6402" max="6402" width="2.875" customWidth="1"/>
    <col min="6403" max="6403" width="12.875" customWidth="1"/>
    <col min="6404" max="6404" width="4" customWidth="1"/>
    <col min="6405" max="6405" width="5.125" customWidth="1"/>
    <col min="6406" max="6406" width="5.25" customWidth="1"/>
    <col min="6407" max="6407" width="5.375" customWidth="1"/>
    <col min="6408" max="6409" width="5.875" customWidth="1"/>
    <col min="6410" max="6410" width="5.375" customWidth="1"/>
    <col min="6411" max="6411" width="5.125" customWidth="1"/>
    <col min="6412" max="6412" width="14.875" customWidth="1"/>
    <col min="6413" max="6413" width="8.25" customWidth="1"/>
    <col min="6414" max="6414" width="5" customWidth="1"/>
    <col min="6415" max="6416" width="12" customWidth="1"/>
    <col min="6417" max="6417" width="5.5" customWidth="1"/>
    <col min="6418" max="6418" width="5.25" customWidth="1"/>
    <col min="6419" max="6419" width="8.75" customWidth="1"/>
    <col min="6420" max="6420" width="29" customWidth="1"/>
    <col min="6421" max="6421" width="19.875" customWidth="1"/>
    <col min="6657" max="6657" width="3" customWidth="1"/>
    <col min="6658" max="6658" width="2.875" customWidth="1"/>
    <col min="6659" max="6659" width="12.875" customWidth="1"/>
    <col min="6660" max="6660" width="4" customWidth="1"/>
    <col min="6661" max="6661" width="5.125" customWidth="1"/>
    <col min="6662" max="6662" width="5.25" customWidth="1"/>
    <col min="6663" max="6663" width="5.375" customWidth="1"/>
    <col min="6664" max="6665" width="5.875" customWidth="1"/>
    <col min="6666" max="6666" width="5.375" customWidth="1"/>
    <col min="6667" max="6667" width="5.125" customWidth="1"/>
    <col min="6668" max="6668" width="14.875" customWidth="1"/>
    <col min="6669" max="6669" width="8.25" customWidth="1"/>
    <col min="6670" max="6670" width="5" customWidth="1"/>
    <col min="6671" max="6672" width="12" customWidth="1"/>
    <col min="6673" max="6673" width="5.5" customWidth="1"/>
    <col min="6674" max="6674" width="5.25" customWidth="1"/>
    <col min="6675" max="6675" width="8.75" customWidth="1"/>
    <col min="6676" max="6676" width="29" customWidth="1"/>
    <col min="6677" max="6677" width="19.875" customWidth="1"/>
    <col min="6913" max="6913" width="3" customWidth="1"/>
    <col min="6914" max="6914" width="2.875" customWidth="1"/>
    <col min="6915" max="6915" width="12.875" customWidth="1"/>
    <col min="6916" max="6916" width="4" customWidth="1"/>
    <col min="6917" max="6917" width="5.125" customWidth="1"/>
    <col min="6918" max="6918" width="5.25" customWidth="1"/>
    <col min="6919" max="6919" width="5.375" customWidth="1"/>
    <col min="6920" max="6921" width="5.875" customWidth="1"/>
    <col min="6922" max="6922" width="5.375" customWidth="1"/>
    <col min="6923" max="6923" width="5.125" customWidth="1"/>
    <col min="6924" max="6924" width="14.875" customWidth="1"/>
    <col min="6925" max="6925" width="8.25" customWidth="1"/>
    <col min="6926" max="6926" width="5" customWidth="1"/>
    <col min="6927" max="6928" width="12" customWidth="1"/>
    <col min="6929" max="6929" width="5.5" customWidth="1"/>
    <col min="6930" max="6930" width="5.25" customWidth="1"/>
    <col min="6931" max="6931" width="8.75" customWidth="1"/>
    <col min="6932" max="6932" width="29" customWidth="1"/>
    <col min="6933" max="6933" width="19.875" customWidth="1"/>
    <col min="7169" max="7169" width="3" customWidth="1"/>
    <col min="7170" max="7170" width="2.875" customWidth="1"/>
    <col min="7171" max="7171" width="12.875" customWidth="1"/>
    <col min="7172" max="7172" width="4" customWidth="1"/>
    <col min="7173" max="7173" width="5.125" customWidth="1"/>
    <col min="7174" max="7174" width="5.25" customWidth="1"/>
    <col min="7175" max="7175" width="5.375" customWidth="1"/>
    <col min="7176" max="7177" width="5.875" customWidth="1"/>
    <col min="7178" max="7178" width="5.375" customWidth="1"/>
    <col min="7179" max="7179" width="5.125" customWidth="1"/>
    <col min="7180" max="7180" width="14.875" customWidth="1"/>
    <col min="7181" max="7181" width="8.25" customWidth="1"/>
    <col min="7182" max="7182" width="5" customWidth="1"/>
    <col min="7183" max="7184" width="12" customWidth="1"/>
    <col min="7185" max="7185" width="5.5" customWidth="1"/>
    <col min="7186" max="7186" width="5.25" customWidth="1"/>
    <col min="7187" max="7187" width="8.75" customWidth="1"/>
    <col min="7188" max="7188" width="29" customWidth="1"/>
    <col min="7189" max="7189" width="19.875" customWidth="1"/>
    <col min="7425" max="7425" width="3" customWidth="1"/>
    <col min="7426" max="7426" width="2.875" customWidth="1"/>
    <col min="7427" max="7427" width="12.875" customWidth="1"/>
    <col min="7428" max="7428" width="4" customWidth="1"/>
    <col min="7429" max="7429" width="5.125" customWidth="1"/>
    <col min="7430" max="7430" width="5.25" customWidth="1"/>
    <col min="7431" max="7431" width="5.375" customWidth="1"/>
    <col min="7432" max="7433" width="5.875" customWidth="1"/>
    <col min="7434" max="7434" width="5.375" customWidth="1"/>
    <col min="7435" max="7435" width="5.125" customWidth="1"/>
    <col min="7436" max="7436" width="14.875" customWidth="1"/>
    <col min="7437" max="7437" width="8.25" customWidth="1"/>
    <col min="7438" max="7438" width="5" customWidth="1"/>
    <col min="7439" max="7440" width="12" customWidth="1"/>
    <col min="7441" max="7441" width="5.5" customWidth="1"/>
    <col min="7442" max="7442" width="5.25" customWidth="1"/>
    <col min="7443" max="7443" width="8.75" customWidth="1"/>
    <col min="7444" max="7444" width="29" customWidth="1"/>
    <col min="7445" max="7445" width="19.875" customWidth="1"/>
    <col min="7681" max="7681" width="3" customWidth="1"/>
    <col min="7682" max="7682" width="2.875" customWidth="1"/>
    <col min="7683" max="7683" width="12.875" customWidth="1"/>
    <col min="7684" max="7684" width="4" customWidth="1"/>
    <col min="7685" max="7685" width="5.125" customWidth="1"/>
    <col min="7686" max="7686" width="5.25" customWidth="1"/>
    <col min="7687" max="7687" width="5.375" customWidth="1"/>
    <col min="7688" max="7689" width="5.875" customWidth="1"/>
    <col min="7690" max="7690" width="5.375" customWidth="1"/>
    <col min="7691" max="7691" width="5.125" customWidth="1"/>
    <col min="7692" max="7692" width="14.875" customWidth="1"/>
    <col min="7693" max="7693" width="8.25" customWidth="1"/>
    <col min="7694" max="7694" width="5" customWidth="1"/>
    <col min="7695" max="7696" width="12" customWidth="1"/>
    <col min="7697" max="7697" width="5.5" customWidth="1"/>
    <col min="7698" max="7698" width="5.25" customWidth="1"/>
    <col min="7699" max="7699" width="8.75" customWidth="1"/>
    <col min="7700" max="7700" width="29" customWidth="1"/>
    <col min="7701" max="7701" width="19.875" customWidth="1"/>
    <col min="7937" max="7937" width="3" customWidth="1"/>
    <col min="7938" max="7938" width="2.875" customWidth="1"/>
    <col min="7939" max="7939" width="12.875" customWidth="1"/>
    <col min="7940" max="7940" width="4" customWidth="1"/>
    <col min="7941" max="7941" width="5.125" customWidth="1"/>
    <col min="7942" max="7942" width="5.25" customWidth="1"/>
    <col min="7943" max="7943" width="5.375" customWidth="1"/>
    <col min="7944" max="7945" width="5.875" customWidth="1"/>
    <col min="7946" max="7946" width="5.375" customWidth="1"/>
    <col min="7947" max="7947" width="5.125" customWidth="1"/>
    <col min="7948" max="7948" width="14.875" customWidth="1"/>
    <col min="7949" max="7949" width="8.25" customWidth="1"/>
    <col min="7950" max="7950" width="5" customWidth="1"/>
    <col min="7951" max="7952" width="12" customWidth="1"/>
    <col min="7953" max="7953" width="5.5" customWidth="1"/>
    <col min="7954" max="7954" width="5.25" customWidth="1"/>
    <col min="7955" max="7955" width="8.75" customWidth="1"/>
    <col min="7956" max="7956" width="29" customWidth="1"/>
    <col min="7957" max="7957" width="19.875" customWidth="1"/>
    <col min="8193" max="8193" width="3" customWidth="1"/>
    <col min="8194" max="8194" width="2.875" customWidth="1"/>
    <col min="8195" max="8195" width="12.875" customWidth="1"/>
    <col min="8196" max="8196" width="4" customWidth="1"/>
    <col min="8197" max="8197" width="5.125" customWidth="1"/>
    <col min="8198" max="8198" width="5.25" customWidth="1"/>
    <col min="8199" max="8199" width="5.375" customWidth="1"/>
    <col min="8200" max="8201" width="5.875" customWidth="1"/>
    <col min="8202" max="8202" width="5.375" customWidth="1"/>
    <col min="8203" max="8203" width="5.125" customWidth="1"/>
    <col min="8204" max="8204" width="14.875" customWidth="1"/>
    <col min="8205" max="8205" width="8.25" customWidth="1"/>
    <col min="8206" max="8206" width="5" customWidth="1"/>
    <col min="8207" max="8208" width="12" customWidth="1"/>
    <col min="8209" max="8209" width="5.5" customWidth="1"/>
    <col min="8210" max="8210" width="5.25" customWidth="1"/>
    <col min="8211" max="8211" width="8.75" customWidth="1"/>
    <col min="8212" max="8212" width="29" customWidth="1"/>
    <col min="8213" max="8213" width="19.875" customWidth="1"/>
    <col min="8449" max="8449" width="3" customWidth="1"/>
    <col min="8450" max="8450" width="2.875" customWidth="1"/>
    <col min="8451" max="8451" width="12.875" customWidth="1"/>
    <col min="8452" max="8452" width="4" customWidth="1"/>
    <col min="8453" max="8453" width="5.125" customWidth="1"/>
    <col min="8454" max="8454" width="5.25" customWidth="1"/>
    <col min="8455" max="8455" width="5.375" customWidth="1"/>
    <col min="8456" max="8457" width="5.875" customWidth="1"/>
    <col min="8458" max="8458" width="5.375" customWidth="1"/>
    <col min="8459" max="8459" width="5.125" customWidth="1"/>
    <col min="8460" max="8460" width="14.875" customWidth="1"/>
    <col min="8461" max="8461" width="8.25" customWidth="1"/>
    <col min="8462" max="8462" width="5" customWidth="1"/>
    <col min="8463" max="8464" width="12" customWidth="1"/>
    <col min="8465" max="8465" width="5.5" customWidth="1"/>
    <col min="8466" max="8466" width="5.25" customWidth="1"/>
    <col min="8467" max="8467" width="8.75" customWidth="1"/>
    <col min="8468" max="8468" width="29" customWidth="1"/>
    <col min="8469" max="8469" width="19.875" customWidth="1"/>
    <col min="8705" max="8705" width="3" customWidth="1"/>
    <col min="8706" max="8706" width="2.875" customWidth="1"/>
    <col min="8707" max="8707" width="12.875" customWidth="1"/>
    <col min="8708" max="8708" width="4" customWidth="1"/>
    <col min="8709" max="8709" width="5.125" customWidth="1"/>
    <col min="8710" max="8710" width="5.25" customWidth="1"/>
    <col min="8711" max="8711" width="5.375" customWidth="1"/>
    <col min="8712" max="8713" width="5.875" customWidth="1"/>
    <col min="8714" max="8714" width="5.375" customWidth="1"/>
    <col min="8715" max="8715" width="5.125" customWidth="1"/>
    <col min="8716" max="8716" width="14.875" customWidth="1"/>
    <col min="8717" max="8717" width="8.25" customWidth="1"/>
    <col min="8718" max="8718" width="5" customWidth="1"/>
    <col min="8719" max="8720" width="12" customWidth="1"/>
    <col min="8721" max="8721" width="5.5" customWidth="1"/>
    <col min="8722" max="8722" width="5.25" customWidth="1"/>
    <col min="8723" max="8723" width="8.75" customWidth="1"/>
    <col min="8724" max="8724" width="29" customWidth="1"/>
    <col min="8725" max="8725" width="19.875" customWidth="1"/>
    <col min="8961" max="8961" width="3" customWidth="1"/>
    <col min="8962" max="8962" width="2.875" customWidth="1"/>
    <col min="8963" max="8963" width="12.875" customWidth="1"/>
    <col min="8964" max="8964" width="4" customWidth="1"/>
    <col min="8965" max="8965" width="5.125" customWidth="1"/>
    <col min="8966" max="8966" width="5.25" customWidth="1"/>
    <col min="8967" max="8967" width="5.375" customWidth="1"/>
    <col min="8968" max="8969" width="5.875" customWidth="1"/>
    <col min="8970" max="8970" width="5.375" customWidth="1"/>
    <col min="8971" max="8971" width="5.125" customWidth="1"/>
    <col min="8972" max="8972" width="14.875" customWidth="1"/>
    <col min="8973" max="8973" width="8.25" customWidth="1"/>
    <col min="8974" max="8974" width="5" customWidth="1"/>
    <col min="8975" max="8976" width="12" customWidth="1"/>
    <col min="8977" max="8977" width="5.5" customWidth="1"/>
    <col min="8978" max="8978" width="5.25" customWidth="1"/>
    <col min="8979" max="8979" width="8.75" customWidth="1"/>
    <col min="8980" max="8980" width="29" customWidth="1"/>
    <col min="8981" max="8981" width="19.875" customWidth="1"/>
    <col min="9217" max="9217" width="3" customWidth="1"/>
    <col min="9218" max="9218" width="2.875" customWidth="1"/>
    <col min="9219" max="9219" width="12.875" customWidth="1"/>
    <col min="9220" max="9220" width="4" customWidth="1"/>
    <col min="9221" max="9221" width="5.125" customWidth="1"/>
    <col min="9222" max="9222" width="5.25" customWidth="1"/>
    <col min="9223" max="9223" width="5.375" customWidth="1"/>
    <col min="9224" max="9225" width="5.875" customWidth="1"/>
    <col min="9226" max="9226" width="5.375" customWidth="1"/>
    <col min="9227" max="9227" width="5.125" customWidth="1"/>
    <col min="9228" max="9228" width="14.875" customWidth="1"/>
    <col min="9229" max="9229" width="8.25" customWidth="1"/>
    <col min="9230" max="9230" width="5" customWidth="1"/>
    <col min="9231" max="9232" width="12" customWidth="1"/>
    <col min="9233" max="9233" width="5.5" customWidth="1"/>
    <col min="9234" max="9234" width="5.25" customWidth="1"/>
    <col min="9235" max="9235" width="8.75" customWidth="1"/>
    <col min="9236" max="9236" width="29" customWidth="1"/>
    <col min="9237" max="9237" width="19.875" customWidth="1"/>
    <col min="9473" max="9473" width="3" customWidth="1"/>
    <col min="9474" max="9474" width="2.875" customWidth="1"/>
    <col min="9475" max="9475" width="12.875" customWidth="1"/>
    <col min="9476" max="9476" width="4" customWidth="1"/>
    <col min="9477" max="9477" width="5.125" customWidth="1"/>
    <col min="9478" max="9478" width="5.25" customWidth="1"/>
    <col min="9479" max="9479" width="5.375" customWidth="1"/>
    <col min="9480" max="9481" width="5.875" customWidth="1"/>
    <col min="9482" max="9482" width="5.375" customWidth="1"/>
    <col min="9483" max="9483" width="5.125" customWidth="1"/>
    <col min="9484" max="9484" width="14.875" customWidth="1"/>
    <col min="9485" max="9485" width="8.25" customWidth="1"/>
    <col min="9486" max="9486" width="5" customWidth="1"/>
    <col min="9487" max="9488" width="12" customWidth="1"/>
    <col min="9489" max="9489" width="5.5" customWidth="1"/>
    <col min="9490" max="9490" width="5.25" customWidth="1"/>
    <col min="9491" max="9491" width="8.75" customWidth="1"/>
    <col min="9492" max="9492" width="29" customWidth="1"/>
    <col min="9493" max="9493" width="19.875" customWidth="1"/>
    <col min="9729" max="9729" width="3" customWidth="1"/>
    <col min="9730" max="9730" width="2.875" customWidth="1"/>
    <col min="9731" max="9731" width="12.875" customWidth="1"/>
    <col min="9732" max="9732" width="4" customWidth="1"/>
    <col min="9733" max="9733" width="5.125" customWidth="1"/>
    <col min="9734" max="9734" width="5.25" customWidth="1"/>
    <col min="9735" max="9735" width="5.375" customWidth="1"/>
    <col min="9736" max="9737" width="5.875" customWidth="1"/>
    <col min="9738" max="9738" width="5.375" customWidth="1"/>
    <col min="9739" max="9739" width="5.125" customWidth="1"/>
    <col min="9740" max="9740" width="14.875" customWidth="1"/>
    <col min="9741" max="9741" width="8.25" customWidth="1"/>
    <col min="9742" max="9742" width="5" customWidth="1"/>
    <col min="9743" max="9744" width="12" customWidth="1"/>
    <col min="9745" max="9745" width="5.5" customWidth="1"/>
    <col min="9746" max="9746" width="5.25" customWidth="1"/>
    <col min="9747" max="9747" width="8.75" customWidth="1"/>
    <col min="9748" max="9748" width="29" customWidth="1"/>
    <col min="9749" max="9749" width="19.875" customWidth="1"/>
    <col min="9985" max="9985" width="3" customWidth="1"/>
    <col min="9986" max="9986" width="2.875" customWidth="1"/>
    <col min="9987" max="9987" width="12.875" customWidth="1"/>
    <col min="9988" max="9988" width="4" customWidth="1"/>
    <col min="9989" max="9989" width="5.125" customWidth="1"/>
    <col min="9990" max="9990" width="5.25" customWidth="1"/>
    <col min="9991" max="9991" width="5.375" customWidth="1"/>
    <col min="9992" max="9993" width="5.875" customWidth="1"/>
    <col min="9994" max="9994" width="5.375" customWidth="1"/>
    <col min="9995" max="9995" width="5.125" customWidth="1"/>
    <col min="9996" max="9996" width="14.875" customWidth="1"/>
    <col min="9997" max="9997" width="8.25" customWidth="1"/>
    <col min="9998" max="9998" width="5" customWidth="1"/>
    <col min="9999" max="10000" width="12" customWidth="1"/>
    <col min="10001" max="10001" width="5.5" customWidth="1"/>
    <col min="10002" max="10002" width="5.25" customWidth="1"/>
    <col min="10003" max="10003" width="8.75" customWidth="1"/>
    <col min="10004" max="10004" width="29" customWidth="1"/>
    <col min="10005" max="10005" width="19.875" customWidth="1"/>
    <col min="10241" max="10241" width="3" customWidth="1"/>
    <col min="10242" max="10242" width="2.875" customWidth="1"/>
    <col min="10243" max="10243" width="12.875" customWidth="1"/>
    <col min="10244" max="10244" width="4" customWidth="1"/>
    <col min="10245" max="10245" width="5.125" customWidth="1"/>
    <col min="10246" max="10246" width="5.25" customWidth="1"/>
    <col min="10247" max="10247" width="5.375" customWidth="1"/>
    <col min="10248" max="10249" width="5.875" customWidth="1"/>
    <col min="10250" max="10250" width="5.375" customWidth="1"/>
    <col min="10251" max="10251" width="5.125" customWidth="1"/>
    <col min="10252" max="10252" width="14.875" customWidth="1"/>
    <col min="10253" max="10253" width="8.25" customWidth="1"/>
    <col min="10254" max="10254" width="5" customWidth="1"/>
    <col min="10255" max="10256" width="12" customWidth="1"/>
    <col min="10257" max="10257" width="5.5" customWidth="1"/>
    <col min="10258" max="10258" width="5.25" customWidth="1"/>
    <col min="10259" max="10259" width="8.75" customWidth="1"/>
    <col min="10260" max="10260" width="29" customWidth="1"/>
    <col min="10261" max="10261" width="19.875" customWidth="1"/>
    <col min="10497" max="10497" width="3" customWidth="1"/>
    <col min="10498" max="10498" width="2.875" customWidth="1"/>
    <col min="10499" max="10499" width="12.875" customWidth="1"/>
    <col min="10500" max="10500" width="4" customWidth="1"/>
    <col min="10501" max="10501" width="5.125" customWidth="1"/>
    <col min="10502" max="10502" width="5.25" customWidth="1"/>
    <col min="10503" max="10503" width="5.375" customWidth="1"/>
    <col min="10504" max="10505" width="5.875" customWidth="1"/>
    <col min="10506" max="10506" width="5.375" customWidth="1"/>
    <col min="10507" max="10507" width="5.125" customWidth="1"/>
    <col min="10508" max="10508" width="14.875" customWidth="1"/>
    <col min="10509" max="10509" width="8.25" customWidth="1"/>
    <col min="10510" max="10510" width="5" customWidth="1"/>
    <col min="10511" max="10512" width="12" customWidth="1"/>
    <col min="10513" max="10513" width="5.5" customWidth="1"/>
    <col min="10514" max="10514" width="5.25" customWidth="1"/>
    <col min="10515" max="10515" width="8.75" customWidth="1"/>
    <col min="10516" max="10516" width="29" customWidth="1"/>
    <col min="10517" max="10517" width="19.875" customWidth="1"/>
    <col min="10753" max="10753" width="3" customWidth="1"/>
    <col min="10754" max="10754" width="2.875" customWidth="1"/>
    <col min="10755" max="10755" width="12.875" customWidth="1"/>
    <col min="10756" max="10756" width="4" customWidth="1"/>
    <col min="10757" max="10757" width="5.125" customWidth="1"/>
    <col min="10758" max="10758" width="5.25" customWidth="1"/>
    <col min="10759" max="10759" width="5.375" customWidth="1"/>
    <col min="10760" max="10761" width="5.875" customWidth="1"/>
    <col min="10762" max="10762" width="5.375" customWidth="1"/>
    <col min="10763" max="10763" width="5.125" customWidth="1"/>
    <col min="10764" max="10764" width="14.875" customWidth="1"/>
    <col min="10765" max="10765" width="8.25" customWidth="1"/>
    <col min="10766" max="10766" width="5" customWidth="1"/>
    <col min="10767" max="10768" width="12" customWidth="1"/>
    <col min="10769" max="10769" width="5.5" customWidth="1"/>
    <col min="10770" max="10770" width="5.25" customWidth="1"/>
    <col min="10771" max="10771" width="8.75" customWidth="1"/>
    <col min="10772" max="10772" width="29" customWidth="1"/>
    <col min="10773" max="10773" width="19.875" customWidth="1"/>
    <col min="11009" max="11009" width="3" customWidth="1"/>
    <col min="11010" max="11010" width="2.875" customWidth="1"/>
    <col min="11011" max="11011" width="12.875" customWidth="1"/>
    <col min="11012" max="11012" width="4" customWidth="1"/>
    <col min="11013" max="11013" width="5.125" customWidth="1"/>
    <col min="11014" max="11014" width="5.25" customWidth="1"/>
    <col min="11015" max="11015" width="5.375" customWidth="1"/>
    <col min="11016" max="11017" width="5.875" customWidth="1"/>
    <col min="11018" max="11018" width="5.375" customWidth="1"/>
    <col min="11019" max="11019" width="5.125" customWidth="1"/>
    <col min="11020" max="11020" width="14.875" customWidth="1"/>
    <col min="11021" max="11021" width="8.25" customWidth="1"/>
    <col min="11022" max="11022" width="5" customWidth="1"/>
    <col min="11023" max="11024" width="12" customWidth="1"/>
    <col min="11025" max="11025" width="5.5" customWidth="1"/>
    <col min="11026" max="11026" width="5.25" customWidth="1"/>
    <col min="11027" max="11027" width="8.75" customWidth="1"/>
    <col min="11028" max="11028" width="29" customWidth="1"/>
    <col min="11029" max="11029" width="19.875" customWidth="1"/>
    <col min="11265" max="11265" width="3" customWidth="1"/>
    <col min="11266" max="11266" width="2.875" customWidth="1"/>
    <col min="11267" max="11267" width="12.875" customWidth="1"/>
    <col min="11268" max="11268" width="4" customWidth="1"/>
    <col min="11269" max="11269" width="5.125" customWidth="1"/>
    <col min="11270" max="11270" width="5.25" customWidth="1"/>
    <col min="11271" max="11271" width="5.375" customWidth="1"/>
    <col min="11272" max="11273" width="5.875" customWidth="1"/>
    <col min="11274" max="11274" width="5.375" customWidth="1"/>
    <col min="11275" max="11275" width="5.125" customWidth="1"/>
    <col min="11276" max="11276" width="14.875" customWidth="1"/>
    <col min="11277" max="11277" width="8.25" customWidth="1"/>
    <col min="11278" max="11278" width="5" customWidth="1"/>
    <col min="11279" max="11280" width="12" customWidth="1"/>
    <col min="11281" max="11281" width="5.5" customWidth="1"/>
    <col min="11282" max="11282" width="5.25" customWidth="1"/>
    <col min="11283" max="11283" width="8.75" customWidth="1"/>
    <col min="11284" max="11284" width="29" customWidth="1"/>
    <col min="11285" max="11285" width="19.875" customWidth="1"/>
    <col min="11521" max="11521" width="3" customWidth="1"/>
    <col min="11522" max="11522" width="2.875" customWidth="1"/>
    <col min="11523" max="11523" width="12.875" customWidth="1"/>
    <col min="11524" max="11524" width="4" customWidth="1"/>
    <col min="11525" max="11525" width="5.125" customWidth="1"/>
    <col min="11526" max="11526" width="5.25" customWidth="1"/>
    <col min="11527" max="11527" width="5.375" customWidth="1"/>
    <col min="11528" max="11529" width="5.875" customWidth="1"/>
    <col min="11530" max="11530" width="5.375" customWidth="1"/>
    <col min="11531" max="11531" width="5.125" customWidth="1"/>
    <col min="11532" max="11532" width="14.875" customWidth="1"/>
    <col min="11533" max="11533" width="8.25" customWidth="1"/>
    <col min="11534" max="11534" width="5" customWidth="1"/>
    <col min="11535" max="11536" width="12" customWidth="1"/>
    <col min="11537" max="11537" width="5.5" customWidth="1"/>
    <col min="11538" max="11538" width="5.25" customWidth="1"/>
    <col min="11539" max="11539" width="8.75" customWidth="1"/>
    <col min="11540" max="11540" width="29" customWidth="1"/>
    <col min="11541" max="11541" width="19.875" customWidth="1"/>
    <col min="11777" max="11777" width="3" customWidth="1"/>
    <col min="11778" max="11778" width="2.875" customWidth="1"/>
    <col min="11779" max="11779" width="12.875" customWidth="1"/>
    <col min="11780" max="11780" width="4" customWidth="1"/>
    <col min="11781" max="11781" width="5.125" customWidth="1"/>
    <col min="11782" max="11782" width="5.25" customWidth="1"/>
    <col min="11783" max="11783" width="5.375" customWidth="1"/>
    <col min="11784" max="11785" width="5.875" customWidth="1"/>
    <col min="11786" max="11786" width="5.375" customWidth="1"/>
    <col min="11787" max="11787" width="5.125" customWidth="1"/>
    <col min="11788" max="11788" width="14.875" customWidth="1"/>
    <col min="11789" max="11789" width="8.25" customWidth="1"/>
    <col min="11790" max="11790" width="5" customWidth="1"/>
    <col min="11791" max="11792" width="12" customWidth="1"/>
    <col min="11793" max="11793" width="5.5" customWidth="1"/>
    <col min="11794" max="11794" width="5.25" customWidth="1"/>
    <col min="11795" max="11795" width="8.75" customWidth="1"/>
    <col min="11796" max="11796" width="29" customWidth="1"/>
    <col min="11797" max="11797" width="19.875" customWidth="1"/>
    <col min="12033" max="12033" width="3" customWidth="1"/>
    <col min="12034" max="12034" width="2.875" customWidth="1"/>
    <col min="12035" max="12035" width="12.875" customWidth="1"/>
    <col min="12036" max="12036" width="4" customWidth="1"/>
    <col min="12037" max="12037" width="5.125" customWidth="1"/>
    <col min="12038" max="12038" width="5.25" customWidth="1"/>
    <col min="12039" max="12039" width="5.375" customWidth="1"/>
    <col min="12040" max="12041" width="5.875" customWidth="1"/>
    <col min="12042" max="12042" width="5.375" customWidth="1"/>
    <col min="12043" max="12043" width="5.125" customWidth="1"/>
    <col min="12044" max="12044" width="14.875" customWidth="1"/>
    <col min="12045" max="12045" width="8.25" customWidth="1"/>
    <col min="12046" max="12046" width="5" customWidth="1"/>
    <col min="12047" max="12048" width="12" customWidth="1"/>
    <col min="12049" max="12049" width="5.5" customWidth="1"/>
    <col min="12050" max="12050" width="5.25" customWidth="1"/>
    <col min="12051" max="12051" width="8.75" customWidth="1"/>
    <col min="12052" max="12052" width="29" customWidth="1"/>
    <col min="12053" max="12053" width="19.875" customWidth="1"/>
    <col min="12289" max="12289" width="3" customWidth="1"/>
    <col min="12290" max="12290" width="2.875" customWidth="1"/>
    <col min="12291" max="12291" width="12.875" customWidth="1"/>
    <col min="12292" max="12292" width="4" customWidth="1"/>
    <col min="12293" max="12293" width="5.125" customWidth="1"/>
    <col min="12294" max="12294" width="5.25" customWidth="1"/>
    <col min="12295" max="12295" width="5.375" customWidth="1"/>
    <col min="12296" max="12297" width="5.875" customWidth="1"/>
    <col min="12298" max="12298" width="5.375" customWidth="1"/>
    <col min="12299" max="12299" width="5.125" customWidth="1"/>
    <col min="12300" max="12300" width="14.875" customWidth="1"/>
    <col min="12301" max="12301" width="8.25" customWidth="1"/>
    <col min="12302" max="12302" width="5" customWidth="1"/>
    <col min="12303" max="12304" width="12" customWidth="1"/>
    <col min="12305" max="12305" width="5.5" customWidth="1"/>
    <col min="12306" max="12306" width="5.25" customWidth="1"/>
    <col min="12307" max="12307" width="8.75" customWidth="1"/>
    <col min="12308" max="12308" width="29" customWidth="1"/>
    <col min="12309" max="12309" width="19.875" customWidth="1"/>
    <col min="12545" max="12545" width="3" customWidth="1"/>
    <col min="12546" max="12546" width="2.875" customWidth="1"/>
    <col min="12547" max="12547" width="12.875" customWidth="1"/>
    <col min="12548" max="12548" width="4" customWidth="1"/>
    <col min="12549" max="12549" width="5.125" customWidth="1"/>
    <col min="12550" max="12550" width="5.25" customWidth="1"/>
    <col min="12551" max="12551" width="5.375" customWidth="1"/>
    <col min="12552" max="12553" width="5.875" customWidth="1"/>
    <col min="12554" max="12554" width="5.375" customWidth="1"/>
    <col min="12555" max="12555" width="5.125" customWidth="1"/>
    <col min="12556" max="12556" width="14.875" customWidth="1"/>
    <col min="12557" max="12557" width="8.25" customWidth="1"/>
    <col min="12558" max="12558" width="5" customWidth="1"/>
    <col min="12559" max="12560" width="12" customWidth="1"/>
    <col min="12561" max="12561" width="5.5" customWidth="1"/>
    <col min="12562" max="12562" width="5.25" customWidth="1"/>
    <col min="12563" max="12563" width="8.75" customWidth="1"/>
    <col min="12564" max="12564" width="29" customWidth="1"/>
    <col min="12565" max="12565" width="19.875" customWidth="1"/>
    <col min="12801" max="12801" width="3" customWidth="1"/>
    <col min="12802" max="12802" width="2.875" customWidth="1"/>
    <col min="12803" max="12803" width="12.875" customWidth="1"/>
    <col min="12804" max="12804" width="4" customWidth="1"/>
    <col min="12805" max="12805" width="5.125" customWidth="1"/>
    <col min="12806" max="12806" width="5.25" customWidth="1"/>
    <col min="12807" max="12807" width="5.375" customWidth="1"/>
    <col min="12808" max="12809" width="5.875" customWidth="1"/>
    <col min="12810" max="12810" width="5.375" customWidth="1"/>
    <col min="12811" max="12811" width="5.125" customWidth="1"/>
    <col min="12812" max="12812" width="14.875" customWidth="1"/>
    <col min="12813" max="12813" width="8.25" customWidth="1"/>
    <col min="12814" max="12814" width="5" customWidth="1"/>
    <col min="12815" max="12816" width="12" customWidth="1"/>
    <col min="12817" max="12817" width="5.5" customWidth="1"/>
    <col min="12818" max="12818" width="5.25" customWidth="1"/>
    <col min="12819" max="12819" width="8.75" customWidth="1"/>
    <col min="12820" max="12820" width="29" customWidth="1"/>
    <col min="12821" max="12821" width="19.875" customWidth="1"/>
    <col min="13057" max="13057" width="3" customWidth="1"/>
    <col min="13058" max="13058" width="2.875" customWidth="1"/>
    <col min="13059" max="13059" width="12.875" customWidth="1"/>
    <col min="13060" max="13060" width="4" customWidth="1"/>
    <col min="13061" max="13061" width="5.125" customWidth="1"/>
    <col min="13062" max="13062" width="5.25" customWidth="1"/>
    <col min="13063" max="13063" width="5.375" customWidth="1"/>
    <col min="13064" max="13065" width="5.875" customWidth="1"/>
    <col min="13066" max="13066" width="5.375" customWidth="1"/>
    <col min="13067" max="13067" width="5.125" customWidth="1"/>
    <col min="13068" max="13068" width="14.875" customWidth="1"/>
    <col min="13069" max="13069" width="8.25" customWidth="1"/>
    <col min="13070" max="13070" width="5" customWidth="1"/>
    <col min="13071" max="13072" width="12" customWidth="1"/>
    <col min="13073" max="13073" width="5.5" customWidth="1"/>
    <col min="13074" max="13074" width="5.25" customWidth="1"/>
    <col min="13075" max="13075" width="8.75" customWidth="1"/>
    <col min="13076" max="13076" width="29" customWidth="1"/>
    <col min="13077" max="13077" width="19.875" customWidth="1"/>
    <col min="13313" max="13313" width="3" customWidth="1"/>
    <col min="13314" max="13314" width="2.875" customWidth="1"/>
    <col min="13315" max="13315" width="12.875" customWidth="1"/>
    <col min="13316" max="13316" width="4" customWidth="1"/>
    <col min="13317" max="13317" width="5.125" customWidth="1"/>
    <col min="13318" max="13318" width="5.25" customWidth="1"/>
    <col min="13319" max="13319" width="5.375" customWidth="1"/>
    <col min="13320" max="13321" width="5.875" customWidth="1"/>
    <col min="13322" max="13322" width="5.375" customWidth="1"/>
    <col min="13323" max="13323" width="5.125" customWidth="1"/>
    <col min="13324" max="13324" width="14.875" customWidth="1"/>
    <col min="13325" max="13325" width="8.25" customWidth="1"/>
    <col min="13326" max="13326" width="5" customWidth="1"/>
    <col min="13327" max="13328" width="12" customWidth="1"/>
    <col min="13329" max="13329" width="5.5" customWidth="1"/>
    <col min="13330" max="13330" width="5.25" customWidth="1"/>
    <col min="13331" max="13331" width="8.75" customWidth="1"/>
    <col min="13332" max="13332" width="29" customWidth="1"/>
    <col min="13333" max="13333" width="19.875" customWidth="1"/>
    <col min="13569" max="13569" width="3" customWidth="1"/>
    <col min="13570" max="13570" width="2.875" customWidth="1"/>
    <col min="13571" max="13571" width="12.875" customWidth="1"/>
    <col min="13572" max="13572" width="4" customWidth="1"/>
    <col min="13573" max="13573" width="5.125" customWidth="1"/>
    <col min="13574" max="13574" width="5.25" customWidth="1"/>
    <col min="13575" max="13575" width="5.375" customWidth="1"/>
    <col min="13576" max="13577" width="5.875" customWidth="1"/>
    <col min="13578" max="13578" width="5.375" customWidth="1"/>
    <col min="13579" max="13579" width="5.125" customWidth="1"/>
    <col min="13580" max="13580" width="14.875" customWidth="1"/>
    <col min="13581" max="13581" width="8.25" customWidth="1"/>
    <col min="13582" max="13582" width="5" customWidth="1"/>
    <col min="13583" max="13584" width="12" customWidth="1"/>
    <col min="13585" max="13585" width="5.5" customWidth="1"/>
    <col min="13586" max="13586" width="5.25" customWidth="1"/>
    <col min="13587" max="13587" width="8.75" customWidth="1"/>
    <col min="13588" max="13588" width="29" customWidth="1"/>
    <col min="13589" max="13589" width="19.875" customWidth="1"/>
    <col min="13825" max="13825" width="3" customWidth="1"/>
    <col min="13826" max="13826" width="2.875" customWidth="1"/>
    <col min="13827" max="13827" width="12.875" customWidth="1"/>
    <col min="13828" max="13828" width="4" customWidth="1"/>
    <col min="13829" max="13829" width="5.125" customWidth="1"/>
    <col min="13830" max="13830" width="5.25" customWidth="1"/>
    <col min="13831" max="13831" width="5.375" customWidth="1"/>
    <col min="13832" max="13833" width="5.875" customWidth="1"/>
    <col min="13834" max="13834" width="5.375" customWidth="1"/>
    <col min="13835" max="13835" width="5.125" customWidth="1"/>
    <col min="13836" max="13836" width="14.875" customWidth="1"/>
    <col min="13837" max="13837" width="8.25" customWidth="1"/>
    <col min="13838" max="13838" width="5" customWidth="1"/>
    <col min="13839" max="13840" width="12" customWidth="1"/>
    <col min="13841" max="13841" width="5.5" customWidth="1"/>
    <col min="13842" max="13842" width="5.25" customWidth="1"/>
    <col min="13843" max="13843" width="8.75" customWidth="1"/>
    <col min="13844" max="13844" width="29" customWidth="1"/>
    <col min="13845" max="13845" width="19.875" customWidth="1"/>
    <col min="14081" max="14081" width="3" customWidth="1"/>
    <col min="14082" max="14082" width="2.875" customWidth="1"/>
    <col min="14083" max="14083" width="12.875" customWidth="1"/>
    <col min="14084" max="14084" width="4" customWidth="1"/>
    <col min="14085" max="14085" width="5.125" customWidth="1"/>
    <col min="14086" max="14086" width="5.25" customWidth="1"/>
    <col min="14087" max="14087" width="5.375" customWidth="1"/>
    <col min="14088" max="14089" width="5.875" customWidth="1"/>
    <col min="14090" max="14090" width="5.375" customWidth="1"/>
    <col min="14091" max="14091" width="5.125" customWidth="1"/>
    <col min="14092" max="14092" width="14.875" customWidth="1"/>
    <col min="14093" max="14093" width="8.25" customWidth="1"/>
    <col min="14094" max="14094" width="5" customWidth="1"/>
    <col min="14095" max="14096" width="12" customWidth="1"/>
    <col min="14097" max="14097" width="5.5" customWidth="1"/>
    <col min="14098" max="14098" width="5.25" customWidth="1"/>
    <col min="14099" max="14099" width="8.75" customWidth="1"/>
    <col min="14100" max="14100" width="29" customWidth="1"/>
    <col min="14101" max="14101" width="19.875" customWidth="1"/>
    <col min="14337" max="14337" width="3" customWidth="1"/>
    <col min="14338" max="14338" width="2.875" customWidth="1"/>
    <col min="14339" max="14339" width="12.875" customWidth="1"/>
    <col min="14340" max="14340" width="4" customWidth="1"/>
    <col min="14341" max="14341" width="5.125" customWidth="1"/>
    <col min="14342" max="14342" width="5.25" customWidth="1"/>
    <col min="14343" max="14343" width="5.375" customWidth="1"/>
    <col min="14344" max="14345" width="5.875" customWidth="1"/>
    <col min="14346" max="14346" width="5.375" customWidth="1"/>
    <col min="14347" max="14347" width="5.125" customWidth="1"/>
    <col min="14348" max="14348" width="14.875" customWidth="1"/>
    <col min="14349" max="14349" width="8.25" customWidth="1"/>
    <col min="14350" max="14350" width="5" customWidth="1"/>
    <col min="14351" max="14352" width="12" customWidth="1"/>
    <col min="14353" max="14353" width="5.5" customWidth="1"/>
    <col min="14354" max="14354" width="5.25" customWidth="1"/>
    <col min="14355" max="14355" width="8.75" customWidth="1"/>
    <col min="14356" max="14356" width="29" customWidth="1"/>
    <col min="14357" max="14357" width="19.875" customWidth="1"/>
    <col min="14593" max="14593" width="3" customWidth="1"/>
    <col min="14594" max="14594" width="2.875" customWidth="1"/>
    <col min="14595" max="14595" width="12.875" customWidth="1"/>
    <col min="14596" max="14596" width="4" customWidth="1"/>
    <col min="14597" max="14597" width="5.125" customWidth="1"/>
    <col min="14598" max="14598" width="5.25" customWidth="1"/>
    <col min="14599" max="14599" width="5.375" customWidth="1"/>
    <col min="14600" max="14601" width="5.875" customWidth="1"/>
    <col min="14602" max="14602" width="5.375" customWidth="1"/>
    <col min="14603" max="14603" width="5.125" customWidth="1"/>
    <col min="14604" max="14604" width="14.875" customWidth="1"/>
    <col min="14605" max="14605" width="8.25" customWidth="1"/>
    <col min="14606" max="14606" width="5" customWidth="1"/>
    <col min="14607" max="14608" width="12" customWidth="1"/>
    <col min="14609" max="14609" width="5.5" customWidth="1"/>
    <col min="14610" max="14610" width="5.25" customWidth="1"/>
    <col min="14611" max="14611" width="8.75" customWidth="1"/>
    <col min="14612" max="14612" width="29" customWidth="1"/>
    <col min="14613" max="14613" width="19.875" customWidth="1"/>
    <col min="14849" max="14849" width="3" customWidth="1"/>
    <col min="14850" max="14850" width="2.875" customWidth="1"/>
    <col min="14851" max="14851" width="12.875" customWidth="1"/>
    <col min="14852" max="14852" width="4" customWidth="1"/>
    <col min="14853" max="14853" width="5.125" customWidth="1"/>
    <col min="14854" max="14854" width="5.25" customWidth="1"/>
    <col min="14855" max="14855" width="5.375" customWidth="1"/>
    <col min="14856" max="14857" width="5.875" customWidth="1"/>
    <col min="14858" max="14858" width="5.375" customWidth="1"/>
    <col min="14859" max="14859" width="5.125" customWidth="1"/>
    <col min="14860" max="14860" width="14.875" customWidth="1"/>
    <col min="14861" max="14861" width="8.25" customWidth="1"/>
    <col min="14862" max="14862" width="5" customWidth="1"/>
    <col min="14863" max="14864" width="12" customWidth="1"/>
    <col min="14865" max="14865" width="5.5" customWidth="1"/>
    <col min="14866" max="14866" width="5.25" customWidth="1"/>
    <col min="14867" max="14867" width="8.75" customWidth="1"/>
    <col min="14868" max="14868" width="29" customWidth="1"/>
    <col min="14869" max="14869" width="19.875" customWidth="1"/>
    <col min="15105" max="15105" width="3" customWidth="1"/>
    <col min="15106" max="15106" width="2.875" customWidth="1"/>
    <col min="15107" max="15107" width="12.875" customWidth="1"/>
    <col min="15108" max="15108" width="4" customWidth="1"/>
    <col min="15109" max="15109" width="5.125" customWidth="1"/>
    <col min="15110" max="15110" width="5.25" customWidth="1"/>
    <col min="15111" max="15111" width="5.375" customWidth="1"/>
    <col min="15112" max="15113" width="5.875" customWidth="1"/>
    <col min="15114" max="15114" width="5.375" customWidth="1"/>
    <col min="15115" max="15115" width="5.125" customWidth="1"/>
    <col min="15116" max="15116" width="14.875" customWidth="1"/>
    <col min="15117" max="15117" width="8.25" customWidth="1"/>
    <col min="15118" max="15118" width="5" customWidth="1"/>
    <col min="15119" max="15120" width="12" customWidth="1"/>
    <col min="15121" max="15121" width="5.5" customWidth="1"/>
    <col min="15122" max="15122" width="5.25" customWidth="1"/>
    <col min="15123" max="15123" width="8.75" customWidth="1"/>
    <col min="15124" max="15124" width="29" customWidth="1"/>
    <col min="15125" max="15125" width="19.875" customWidth="1"/>
    <col min="15361" max="15361" width="3" customWidth="1"/>
    <col min="15362" max="15362" width="2.875" customWidth="1"/>
    <col min="15363" max="15363" width="12.875" customWidth="1"/>
    <col min="15364" max="15364" width="4" customWidth="1"/>
    <col min="15365" max="15365" width="5.125" customWidth="1"/>
    <col min="15366" max="15366" width="5.25" customWidth="1"/>
    <col min="15367" max="15367" width="5.375" customWidth="1"/>
    <col min="15368" max="15369" width="5.875" customWidth="1"/>
    <col min="15370" max="15370" width="5.375" customWidth="1"/>
    <col min="15371" max="15371" width="5.125" customWidth="1"/>
    <col min="15372" max="15372" width="14.875" customWidth="1"/>
    <col min="15373" max="15373" width="8.25" customWidth="1"/>
    <col min="15374" max="15374" width="5" customWidth="1"/>
    <col min="15375" max="15376" width="12" customWidth="1"/>
    <col min="15377" max="15377" width="5.5" customWidth="1"/>
    <col min="15378" max="15378" width="5.25" customWidth="1"/>
    <col min="15379" max="15379" width="8.75" customWidth="1"/>
    <col min="15380" max="15380" width="29" customWidth="1"/>
    <col min="15381" max="15381" width="19.875" customWidth="1"/>
    <col min="15617" max="15617" width="3" customWidth="1"/>
    <col min="15618" max="15618" width="2.875" customWidth="1"/>
    <col min="15619" max="15619" width="12.875" customWidth="1"/>
    <col min="15620" max="15620" width="4" customWidth="1"/>
    <col min="15621" max="15621" width="5.125" customWidth="1"/>
    <col min="15622" max="15622" width="5.25" customWidth="1"/>
    <col min="15623" max="15623" width="5.375" customWidth="1"/>
    <col min="15624" max="15625" width="5.875" customWidth="1"/>
    <col min="15626" max="15626" width="5.375" customWidth="1"/>
    <col min="15627" max="15627" width="5.125" customWidth="1"/>
    <col min="15628" max="15628" width="14.875" customWidth="1"/>
    <col min="15629" max="15629" width="8.25" customWidth="1"/>
    <col min="15630" max="15630" width="5" customWidth="1"/>
    <col min="15631" max="15632" width="12" customWidth="1"/>
    <col min="15633" max="15633" width="5.5" customWidth="1"/>
    <col min="15634" max="15634" width="5.25" customWidth="1"/>
    <col min="15635" max="15635" width="8.75" customWidth="1"/>
    <col min="15636" max="15636" width="29" customWidth="1"/>
    <col min="15637" max="15637" width="19.875" customWidth="1"/>
    <col min="15873" max="15873" width="3" customWidth="1"/>
    <col min="15874" max="15874" width="2.875" customWidth="1"/>
    <col min="15875" max="15875" width="12.875" customWidth="1"/>
    <col min="15876" max="15876" width="4" customWidth="1"/>
    <col min="15877" max="15877" width="5.125" customWidth="1"/>
    <col min="15878" max="15878" width="5.25" customWidth="1"/>
    <col min="15879" max="15879" width="5.375" customWidth="1"/>
    <col min="15880" max="15881" width="5.875" customWidth="1"/>
    <col min="15882" max="15882" width="5.375" customWidth="1"/>
    <col min="15883" max="15883" width="5.125" customWidth="1"/>
    <col min="15884" max="15884" width="14.875" customWidth="1"/>
    <col min="15885" max="15885" width="8.25" customWidth="1"/>
    <col min="15886" max="15886" width="5" customWidth="1"/>
    <col min="15887" max="15888" width="12" customWidth="1"/>
    <col min="15889" max="15889" width="5.5" customWidth="1"/>
    <col min="15890" max="15890" width="5.25" customWidth="1"/>
    <col min="15891" max="15891" width="8.75" customWidth="1"/>
    <col min="15892" max="15892" width="29" customWidth="1"/>
    <col min="15893" max="15893" width="19.875" customWidth="1"/>
    <col min="16129" max="16129" width="3" customWidth="1"/>
    <col min="16130" max="16130" width="2.875" customWidth="1"/>
    <col min="16131" max="16131" width="12.875" customWidth="1"/>
    <col min="16132" max="16132" width="4" customWidth="1"/>
    <col min="16133" max="16133" width="5.125" customWidth="1"/>
    <col min="16134" max="16134" width="5.25" customWidth="1"/>
    <col min="16135" max="16135" width="5.375" customWidth="1"/>
    <col min="16136" max="16137" width="5.875" customWidth="1"/>
    <col min="16138" max="16138" width="5.375" customWidth="1"/>
    <col min="16139" max="16139" width="5.125" customWidth="1"/>
    <col min="16140" max="16140" width="14.875" customWidth="1"/>
    <col min="16141" max="16141" width="8.25" customWidth="1"/>
    <col min="16142" max="16142" width="5" customWidth="1"/>
    <col min="16143" max="16144" width="12" customWidth="1"/>
    <col min="16145" max="16145" width="5.5" customWidth="1"/>
    <col min="16146" max="16146" width="5.25" customWidth="1"/>
    <col min="16147" max="16147" width="8.75" customWidth="1"/>
    <col min="16148" max="16148" width="29" customWidth="1"/>
    <col min="16149" max="16149" width="19.875" customWidth="1"/>
  </cols>
  <sheetData>
    <row r="1" ht="25.8" spans="1:21">
      <c r="A1" s="652" t="s">
        <v>2724</v>
      </c>
      <c r="B1" s="652"/>
      <c r="C1" s="652"/>
      <c r="D1" s="652"/>
      <c r="E1" s="652"/>
      <c r="F1" s="652"/>
      <c r="G1" s="652"/>
      <c r="H1" s="652"/>
      <c r="I1" s="652"/>
      <c r="J1" s="652"/>
      <c r="K1" s="652"/>
      <c r="L1" s="652"/>
      <c r="M1" s="652"/>
      <c r="N1" s="652"/>
      <c r="O1" s="652"/>
      <c r="P1" s="652"/>
      <c r="Q1" s="652"/>
      <c r="R1" s="652"/>
      <c r="S1" s="652"/>
      <c r="T1" s="652"/>
      <c r="U1" s="155" t="s">
        <v>88</v>
      </c>
    </row>
    <row r="3" ht="84" spans="1:23">
      <c r="A3" s="260" t="s">
        <v>2725</v>
      </c>
      <c r="B3" s="260" t="s">
        <v>2726</v>
      </c>
      <c r="C3" s="260" t="s">
        <v>2727</v>
      </c>
      <c r="D3" s="260" t="s">
        <v>2728</v>
      </c>
      <c r="E3" s="260" t="s">
        <v>2729</v>
      </c>
      <c r="F3" s="260" t="s">
        <v>2730</v>
      </c>
      <c r="G3" s="260" t="s">
        <v>2731</v>
      </c>
      <c r="H3" s="260" t="s">
        <v>2732</v>
      </c>
      <c r="I3" s="260" t="s">
        <v>2733</v>
      </c>
      <c r="J3" s="260" t="s">
        <v>2734</v>
      </c>
      <c r="K3" s="260" t="s">
        <v>2735</v>
      </c>
      <c r="L3" s="665" t="s">
        <v>2736</v>
      </c>
      <c r="M3" s="260" t="s">
        <v>2737</v>
      </c>
      <c r="N3" s="660" t="s">
        <v>2738</v>
      </c>
      <c r="O3" s="674" t="s">
        <v>2739</v>
      </c>
      <c r="P3" s="665" t="s">
        <v>2740</v>
      </c>
      <c r="Q3" s="260" t="s">
        <v>2741</v>
      </c>
      <c r="R3" s="660" t="s">
        <v>2742</v>
      </c>
      <c r="S3" s="660" t="s">
        <v>2743</v>
      </c>
      <c r="T3" s="664" t="s">
        <v>2744</v>
      </c>
      <c r="U3" s="665" t="s">
        <v>2745</v>
      </c>
      <c r="V3" s="21"/>
      <c r="W3" s="676"/>
    </row>
    <row r="4" spans="1:23">
      <c r="A4" s="661"/>
      <c r="B4" s="661"/>
      <c r="C4" s="661"/>
      <c r="D4" s="660" t="s">
        <v>382</v>
      </c>
      <c r="E4" s="660" t="s">
        <v>1707</v>
      </c>
      <c r="F4" s="660" t="s">
        <v>2746</v>
      </c>
      <c r="G4" s="660" t="s">
        <v>2747</v>
      </c>
      <c r="H4" s="660" t="s">
        <v>2748</v>
      </c>
      <c r="I4" s="228" t="s">
        <v>246</v>
      </c>
      <c r="J4" s="661"/>
      <c r="K4" s="661"/>
      <c r="L4" s="228" t="s">
        <v>2749</v>
      </c>
      <c r="M4" s="660" t="s">
        <v>1056</v>
      </c>
      <c r="N4" s="254"/>
      <c r="O4" s="228" t="s">
        <v>2750</v>
      </c>
      <c r="P4" s="228" t="s">
        <v>2751</v>
      </c>
      <c r="Q4" s="263"/>
      <c r="R4" s="254"/>
      <c r="S4" s="663" t="s">
        <v>2752</v>
      </c>
      <c r="T4" s="677"/>
      <c r="U4" s="665"/>
      <c r="V4" s="21"/>
      <c r="W4" s="676"/>
    </row>
    <row r="5" s="156" customFormat="1" spans="1:23">
      <c r="A5" s="228">
        <v>1</v>
      </c>
      <c r="B5" s="673">
        <v>4</v>
      </c>
      <c r="C5" s="228" t="s">
        <v>2753</v>
      </c>
      <c r="D5" s="228">
        <v>120</v>
      </c>
      <c r="E5" s="228">
        <v>20</v>
      </c>
      <c r="F5" s="228">
        <v>250</v>
      </c>
      <c r="G5" s="228">
        <v>500</v>
      </c>
      <c r="H5" s="672">
        <f>0.4+0.6*F5/G5</f>
        <v>0.7</v>
      </c>
      <c r="I5" s="228">
        <v>1140</v>
      </c>
      <c r="J5" s="663">
        <v>0.7</v>
      </c>
      <c r="K5" s="663">
        <v>293</v>
      </c>
      <c r="L5" s="675">
        <f>H5*G5*1000/(POWER(3,1/2)*I5*J5)</f>
        <v>253.223802276152</v>
      </c>
      <c r="M5" s="663">
        <v>42.5</v>
      </c>
      <c r="N5" s="666">
        <v>0.95</v>
      </c>
      <c r="O5" s="672">
        <f>H5*G5*E5*1000/(I5*M5*D5)</f>
        <v>1.20399036807706</v>
      </c>
      <c r="P5" s="672"/>
      <c r="Q5" s="228">
        <v>0.7</v>
      </c>
      <c r="R5" s="678">
        <f>F5*0.67*4</f>
        <v>670</v>
      </c>
      <c r="S5" s="678">
        <f t="shared" ref="S5:S34" si="0">0.69*R5</f>
        <v>462.3</v>
      </c>
      <c r="T5" s="666">
        <f>E5/(M5*D5)*(1.732*S5*Q5+H5*G5*1000/I5)</f>
        <v>3.40200025043</v>
      </c>
      <c r="U5" s="666"/>
      <c r="V5" s="679"/>
      <c r="W5" s="679"/>
    </row>
    <row r="6" s="156" customFormat="1" spans="1:23">
      <c r="A6" s="228">
        <v>2</v>
      </c>
      <c r="B6" s="673">
        <v>5</v>
      </c>
      <c r="C6" s="228" t="s">
        <v>2754</v>
      </c>
      <c r="D6" s="228">
        <v>70</v>
      </c>
      <c r="E6" s="228">
        <v>30</v>
      </c>
      <c r="F6" s="228">
        <v>45</v>
      </c>
      <c r="G6" s="228">
        <v>90</v>
      </c>
      <c r="H6" s="672">
        <v>0.8</v>
      </c>
      <c r="I6" s="228">
        <v>1140</v>
      </c>
      <c r="J6" s="663">
        <v>0.7</v>
      </c>
      <c r="K6" s="228">
        <v>168</v>
      </c>
      <c r="L6" s="675">
        <f>0.67*G6</f>
        <v>60.3</v>
      </c>
      <c r="M6" s="663">
        <v>42.5</v>
      </c>
      <c r="N6" s="666">
        <v>0.95</v>
      </c>
      <c r="O6" s="672">
        <f>H6*G6*E6*1000/(I6*M6*D6)</f>
        <v>0.636886333480761</v>
      </c>
      <c r="P6" s="672"/>
      <c r="Q6" s="228">
        <v>0.7</v>
      </c>
      <c r="R6" s="678">
        <f>0.67*F6*6</f>
        <v>180.9</v>
      </c>
      <c r="S6" s="678">
        <f t="shared" si="0"/>
        <v>124.821</v>
      </c>
      <c r="T6" s="666">
        <f>E6/(M6*D6)*(1.732*S6*Q6+H6*G6*1000/I6)</f>
        <v>2.16293319465723</v>
      </c>
      <c r="U6" s="666"/>
      <c r="V6" s="679"/>
      <c r="W6" s="679"/>
    </row>
    <row r="7" s="156" customFormat="1" spans="1:23">
      <c r="A7" s="228">
        <v>3</v>
      </c>
      <c r="B7" s="673">
        <v>6</v>
      </c>
      <c r="C7" s="228" t="s">
        <v>2753</v>
      </c>
      <c r="D7" s="228">
        <v>120</v>
      </c>
      <c r="E7" s="228">
        <v>30</v>
      </c>
      <c r="F7" s="228">
        <v>250</v>
      </c>
      <c r="G7" s="228">
        <f>500+132+90</f>
        <v>722</v>
      </c>
      <c r="H7" s="672">
        <f>0.4+0.6*F7/G7</f>
        <v>0.607756232686981</v>
      </c>
      <c r="I7" s="228">
        <v>1140</v>
      </c>
      <c r="J7" s="663">
        <v>0.7</v>
      </c>
      <c r="K7" s="228">
        <v>293</v>
      </c>
      <c r="L7" s="675">
        <f>H7*G7*1000/(POWER(3,1/2)*I7*J7)</f>
        <v>317.470298396501</v>
      </c>
      <c r="M7" s="663">
        <v>42.5</v>
      </c>
      <c r="N7" s="666">
        <v>0.95</v>
      </c>
      <c r="O7" s="672">
        <f>H7*G7*E7*1000/(I7*M7*D7)</f>
        <v>2.26418988648091</v>
      </c>
      <c r="P7" s="672"/>
      <c r="Q7" s="228">
        <v>0.7</v>
      </c>
      <c r="R7" s="678">
        <f>0.67*F7*4</f>
        <v>670</v>
      </c>
      <c r="S7" s="678">
        <f t="shared" si="0"/>
        <v>462.3</v>
      </c>
      <c r="T7" s="666">
        <f>E7/(M7*D7)*(1.732*S7*Q7+H7*G7*1000/I7)</f>
        <v>5.56120471001032</v>
      </c>
      <c r="U7" s="666"/>
      <c r="V7" s="679"/>
      <c r="W7" s="679"/>
    </row>
    <row r="8" s="156" customFormat="1" spans="1:23">
      <c r="A8" s="228">
        <v>4</v>
      </c>
      <c r="B8" s="673">
        <v>7</v>
      </c>
      <c r="C8" s="228" t="s">
        <v>2753</v>
      </c>
      <c r="D8" s="228">
        <v>120</v>
      </c>
      <c r="E8" s="228">
        <v>20</v>
      </c>
      <c r="F8" s="228">
        <v>400</v>
      </c>
      <c r="G8" s="228">
        <f>400+250+930</f>
        <v>1580</v>
      </c>
      <c r="H8" s="672">
        <f>0.4+0.6*F8/G8</f>
        <v>0.551898734177215</v>
      </c>
      <c r="I8" s="228">
        <v>3300</v>
      </c>
      <c r="J8" s="663">
        <v>0.7</v>
      </c>
      <c r="K8" s="228">
        <v>293</v>
      </c>
      <c r="L8" s="675">
        <f>H8*G8*1000/(POWER(3,1/2)*I8*J8)</f>
        <v>217.943478239547</v>
      </c>
      <c r="M8" s="663">
        <v>42.5</v>
      </c>
      <c r="N8" s="666">
        <v>0.95</v>
      </c>
      <c r="O8" s="672">
        <f>(H8*G8*E8*1000/(I8*M8*D8))/2</f>
        <v>0.518122400475342</v>
      </c>
      <c r="P8" s="672"/>
      <c r="Q8" s="228">
        <v>0.7</v>
      </c>
      <c r="R8" s="678">
        <f>0.67*F8*4*1140/3300</f>
        <v>370.327272727273</v>
      </c>
      <c r="S8" s="678">
        <f t="shared" si="0"/>
        <v>255.525818181818</v>
      </c>
      <c r="T8" s="666">
        <f>(E8/(M8*D8)*(1.732*S8*Q8+H8*G8*1000/I8))/2</f>
        <v>1.12557240432561</v>
      </c>
      <c r="U8" s="666"/>
      <c r="V8" s="679"/>
      <c r="W8" s="679"/>
    </row>
    <row r="9" s="156" customFormat="1" spans="1:23">
      <c r="A9" s="228">
        <v>5</v>
      </c>
      <c r="B9" s="673">
        <v>8</v>
      </c>
      <c r="C9" s="228" t="s">
        <v>2753</v>
      </c>
      <c r="D9" s="228">
        <v>120</v>
      </c>
      <c r="E9" s="228">
        <v>20</v>
      </c>
      <c r="F9" s="228">
        <v>400</v>
      </c>
      <c r="G9" s="228">
        <v>1600</v>
      </c>
      <c r="H9" s="672">
        <f>0.4+0.6*F9/G9</f>
        <v>0.55</v>
      </c>
      <c r="I9" s="228">
        <v>3300</v>
      </c>
      <c r="J9" s="663">
        <v>0.7</v>
      </c>
      <c r="K9" s="228">
        <v>293</v>
      </c>
      <c r="L9" s="675">
        <f>H9*G9*1000/(POWER(3,1/2)*I9*J9)</f>
        <v>219.942959691286</v>
      </c>
      <c r="M9" s="663">
        <v>42.5</v>
      </c>
      <c r="N9" s="666">
        <v>0.95</v>
      </c>
      <c r="O9" s="672">
        <f>(H9*G9*E9*1000/(I9*M9*D9))/2</f>
        <v>0.522875816993464</v>
      </c>
      <c r="P9" s="672"/>
      <c r="Q9" s="228">
        <v>0.7</v>
      </c>
      <c r="R9" s="678">
        <f>0.67*F9*4*1140/3300</f>
        <v>370.327272727273</v>
      </c>
      <c r="S9" s="678">
        <f t="shared" si="0"/>
        <v>255.525818181818</v>
      </c>
      <c r="T9" s="666">
        <f>(E9/(M9*D9)*(1.732*S9*Q9+H9*G9*1000/I9))/2</f>
        <v>1.13032582084373</v>
      </c>
      <c r="U9" s="666">
        <f>1.732*S9*E9*Q9/(M9*D9)</f>
        <v>1.21490000770053</v>
      </c>
      <c r="V9" s="679"/>
      <c r="W9" s="679"/>
    </row>
    <row r="10" s="156" customFormat="1" spans="1:23">
      <c r="A10" s="228">
        <v>6</v>
      </c>
      <c r="B10" s="673">
        <v>9</v>
      </c>
      <c r="C10" s="228" t="s">
        <v>2755</v>
      </c>
      <c r="D10" s="228">
        <v>35</v>
      </c>
      <c r="E10" s="228">
        <v>150</v>
      </c>
      <c r="F10" s="228">
        <v>45</v>
      </c>
      <c r="G10" s="228">
        <v>45</v>
      </c>
      <c r="H10" s="672">
        <v>0.8</v>
      </c>
      <c r="I10" s="228">
        <v>1140</v>
      </c>
      <c r="J10" s="663">
        <v>0.7</v>
      </c>
      <c r="K10" s="228">
        <v>143</v>
      </c>
      <c r="L10" s="675">
        <f t="shared" ref="L10:L22" si="1">0.67*F10</f>
        <v>30.15</v>
      </c>
      <c r="M10" s="663">
        <v>42.5</v>
      </c>
      <c r="N10" s="666">
        <v>0.95</v>
      </c>
      <c r="O10" s="672"/>
      <c r="P10" s="672">
        <f t="shared" ref="P10:P25" si="2">H10*G10*E10*1000/(I10*M10*D10*N10)</f>
        <v>3.35203333410927</v>
      </c>
      <c r="Q10" s="228">
        <v>0.7</v>
      </c>
      <c r="R10" s="678">
        <f>1.15*F10*6</f>
        <v>310.5</v>
      </c>
      <c r="S10" s="678">
        <f t="shared" si="0"/>
        <v>214.245</v>
      </c>
      <c r="T10" s="666"/>
      <c r="U10" s="666">
        <f t="shared" ref="U10:U25" si="3">1.732*S10*E10*Q10/(M10*D10)</f>
        <v>26.1933416470588</v>
      </c>
      <c r="V10" s="679"/>
      <c r="W10" s="679"/>
    </row>
    <row r="11" s="156" customFormat="1" spans="1:23">
      <c r="A11" s="228">
        <v>7</v>
      </c>
      <c r="B11" s="673">
        <v>10</v>
      </c>
      <c r="C11" s="228" t="s">
        <v>2755</v>
      </c>
      <c r="D11" s="228">
        <v>35</v>
      </c>
      <c r="E11" s="228">
        <v>150</v>
      </c>
      <c r="F11" s="228">
        <v>45</v>
      </c>
      <c r="G11" s="228">
        <v>45</v>
      </c>
      <c r="H11" s="672">
        <v>0.8</v>
      </c>
      <c r="I11" s="228">
        <v>1140</v>
      </c>
      <c r="J11" s="663">
        <v>0.7</v>
      </c>
      <c r="K11" s="228">
        <v>143</v>
      </c>
      <c r="L11" s="675">
        <f t="shared" si="1"/>
        <v>30.15</v>
      </c>
      <c r="M11" s="663">
        <v>42.5</v>
      </c>
      <c r="N11" s="666">
        <v>0.95</v>
      </c>
      <c r="O11" s="672"/>
      <c r="P11" s="672">
        <f t="shared" si="2"/>
        <v>3.35203333410927</v>
      </c>
      <c r="Q11" s="228">
        <v>0.7</v>
      </c>
      <c r="R11" s="678">
        <f>1.15*F11*6</f>
        <v>310.5</v>
      </c>
      <c r="S11" s="678">
        <f t="shared" si="0"/>
        <v>214.245</v>
      </c>
      <c r="T11" s="666"/>
      <c r="U11" s="666">
        <f t="shared" si="3"/>
        <v>26.1933416470588</v>
      </c>
      <c r="V11" s="679"/>
      <c r="W11" s="679"/>
    </row>
    <row r="12" s="156" customFormat="1" spans="1:23">
      <c r="A12" s="228">
        <v>8</v>
      </c>
      <c r="B12" s="673">
        <v>11</v>
      </c>
      <c r="C12" s="228" t="s">
        <v>2756</v>
      </c>
      <c r="D12" s="228">
        <v>70</v>
      </c>
      <c r="E12" s="228">
        <v>20</v>
      </c>
      <c r="F12" s="228">
        <v>250</v>
      </c>
      <c r="G12" s="228">
        <v>250</v>
      </c>
      <c r="H12" s="672">
        <v>0.8</v>
      </c>
      <c r="I12" s="228">
        <v>1140</v>
      </c>
      <c r="J12" s="663">
        <v>0.7</v>
      </c>
      <c r="K12" s="228">
        <v>168</v>
      </c>
      <c r="L12" s="675">
        <f t="shared" si="1"/>
        <v>167.5</v>
      </c>
      <c r="M12" s="663">
        <v>42.5</v>
      </c>
      <c r="N12" s="666">
        <v>0.95</v>
      </c>
      <c r="O12" s="672"/>
      <c r="P12" s="672">
        <f t="shared" si="2"/>
        <v>1.24149382744788</v>
      </c>
      <c r="Q12" s="228">
        <v>0.7</v>
      </c>
      <c r="R12" s="678">
        <f>0.67*F12*4</f>
        <v>670</v>
      </c>
      <c r="S12" s="678">
        <f t="shared" si="0"/>
        <v>462.3</v>
      </c>
      <c r="T12" s="666"/>
      <c r="U12" s="666">
        <f t="shared" si="3"/>
        <v>3.76801694117647</v>
      </c>
      <c r="V12" s="679"/>
      <c r="W12" s="679"/>
    </row>
    <row r="13" s="156" customFormat="1" spans="1:23">
      <c r="A13" s="228">
        <v>9</v>
      </c>
      <c r="B13" s="673">
        <v>12</v>
      </c>
      <c r="C13" s="228" t="s">
        <v>2756</v>
      </c>
      <c r="D13" s="228">
        <v>70</v>
      </c>
      <c r="E13" s="228">
        <v>20</v>
      </c>
      <c r="F13" s="228">
        <v>250</v>
      </c>
      <c r="G13" s="228">
        <v>250</v>
      </c>
      <c r="H13" s="672">
        <v>0.8</v>
      </c>
      <c r="I13" s="228">
        <v>1140</v>
      </c>
      <c r="J13" s="663">
        <v>0.7</v>
      </c>
      <c r="K13" s="228">
        <v>168</v>
      </c>
      <c r="L13" s="675">
        <f t="shared" si="1"/>
        <v>167.5</v>
      </c>
      <c r="M13" s="663">
        <v>42.5</v>
      </c>
      <c r="N13" s="666">
        <v>0.95</v>
      </c>
      <c r="O13" s="672"/>
      <c r="P13" s="672">
        <f t="shared" si="2"/>
        <v>1.24149382744788</v>
      </c>
      <c r="Q13" s="228">
        <v>0.7</v>
      </c>
      <c r="R13" s="678">
        <f>0.67*F13*4</f>
        <v>670</v>
      </c>
      <c r="S13" s="678">
        <f t="shared" si="0"/>
        <v>462.3</v>
      </c>
      <c r="T13" s="666"/>
      <c r="U13" s="666">
        <f t="shared" si="3"/>
        <v>3.76801694117647</v>
      </c>
      <c r="V13" s="679"/>
      <c r="W13" s="679"/>
    </row>
    <row r="14" s="156" customFormat="1" spans="1:23">
      <c r="A14" s="228">
        <v>10</v>
      </c>
      <c r="B14" s="673">
        <v>13</v>
      </c>
      <c r="C14" s="228" t="s">
        <v>2757</v>
      </c>
      <c r="D14" s="228">
        <v>16</v>
      </c>
      <c r="E14" s="228">
        <v>20</v>
      </c>
      <c r="F14" s="228">
        <v>15</v>
      </c>
      <c r="G14" s="228">
        <v>15</v>
      </c>
      <c r="H14" s="672">
        <v>0.8</v>
      </c>
      <c r="I14" s="228">
        <v>1140</v>
      </c>
      <c r="J14" s="663">
        <v>0.7</v>
      </c>
      <c r="K14" s="228">
        <v>76</v>
      </c>
      <c r="L14" s="675">
        <f t="shared" si="1"/>
        <v>10.05</v>
      </c>
      <c r="M14" s="663">
        <v>42.5</v>
      </c>
      <c r="N14" s="666">
        <v>0.95</v>
      </c>
      <c r="O14" s="672"/>
      <c r="P14" s="672">
        <f t="shared" si="2"/>
        <v>0.325892129705068</v>
      </c>
      <c r="Q14" s="228">
        <v>0.7</v>
      </c>
      <c r="R14" s="678">
        <f>0.67*F14*4</f>
        <v>40.2</v>
      </c>
      <c r="S14" s="678">
        <f t="shared" si="0"/>
        <v>27.738</v>
      </c>
      <c r="T14" s="666"/>
      <c r="U14" s="666">
        <f t="shared" si="3"/>
        <v>0.989104447058823</v>
      </c>
      <c r="V14" s="679"/>
      <c r="W14" s="679"/>
    </row>
    <row r="15" s="156" customFormat="1" spans="1:23">
      <c r="A15" s="228">
        <v>11</v>
      </c>
      <c r="B15" s="673">
        <v>14</v>
      </c>
      <c r="C15" s="228" t="s">
        <v>2757</v>
      </c>
      <c r="D15" s="228">
        <v>16</v>
      </c>
      <c r="E15" s="228">
        <v>20</v>
      </c>
      <c r="F15" s="228">
        <v>15</v>
      </c>
      <c r="G15" s="228">
        <v>15</v>
      </c>
      <c r="H15" s="672">
        <v>0.8</v>
      </c>
      <c r="I15" s="228">
        <v>1140</v>
      </c>
      <c r="J15" s="663">
        <v>0.7</v>
      </c>
      <c r="K15" s="228">
        <v>76</v>
      </c>
      <c r="L15" s="675">
        <f t="shared" si="1"/>
        <v>10.05</v>
      </c>
      <c r="M15" s="663">
        <v>42.5</v>
      </c>
      <c r="N15" s="666">
        <v>0.95</v>
      </c>
      <c r="O15" s="672"/>
      <c r="P15" s="672">
        <f t="shared" si="2"/>
        <v>0.325892129705068</v>
      </c>
      <c r="Q15" s="228">
        <v>0.7</v>
      </c>
      <c r="R15" s="678">
        <f>0.67*F15*4</f>
        <v>40.2</v>
      </c>
      <c r="S15" s="678">
        <f t="shared" si="0"/>
        <v>27.738</v>
      </c>
      <c r="T15" s="666"/>
      <c r="U15" s="666">
        <f t="shared" si="3"/>
        <v>0.989104447058823</v>
      </c>
      <c r="V15" s="679"/>
      <c r="W15" s="679"/>
    </row>
    <row r="16" s="156" customFormat="1" spans="1:23">
      <c r="A16" s="228">
        <v>12</v>
      </c>
      <c r="B16" s="673">
        <v>15</v>
      </c>
      <c r="C16" s="228" t="s">
        <v>2755</v>
      </c>
      <c r="D16" s="228">
        <v>35</v>
      </c>
      <c r="E16" s="228">
        <v>10</v>
      </c>
      <c r="F16" s="228">
        <v>45</v>
      </c>
      <c r="G16" s="228">
        <v>45</v>
      </c>
      <c r="H16" s="672">
        <v>0.8</v>
      </c>
      <c r="I16" s="228">
        <v>1140</v>
      </c>
      <c r="J16" s="663">
        <v>0.7</v>
      </c>
      <c r="K16" s="228">
        <v>143</v>
      </c>
      <c r="L16" s="675">
        <f t="shared" si="1"/>
        <v>30.15</v>
      </c>
      <c r="M16" s="663">
        <v>42.5</v>
      </c>
      <c r="N16" s="666">
        <v>0.95</v>
      </c>
      <c r="O16" s="672"/>
      <c r="P16" s="672">
        <f t="shared" si="2"/>
        <v>0.223468888940618</v>
      </c>
      <c r="Q16" s="228">
        <v>0.7</v>
      </c>
      <c r="R16" s="678">
        <f>1.15*F16*6</f>
        <v>310.5</v>
      </c>
      <c r="S16" s="678">
        <f t="shared" si="0"/>
        <v>214.245</v>
      </c>
      <c r="T16" s="666"/>
      <c r="U16" s="666">
        <f t="shared" si="3"/>
        <v>1.74622277647059</v>
      </c>
      <c r="V16" s="679"/>
      <c r="W16" s="679"/>
    </row>
    <row r="17" s="156" customFormat="1" spans="1:23">
      <c r="A17" s="228">
        <v>13</v>
      </c>
      <c r="B17" s="673">
        <v>16</v>
      </c>
      <c r="C17" s="228" t="s">
        <v>2755</v>
      </c>
      <c r="D17" s="228">
        <v>35</v>
      </c>
      <c r="E17" s="228">
        <v>10</v>
      </c>
      <c r="F17" s="228">
        <v>45</v>
      </c>
      <c r="G17" s="228">
        <v>45</v>
      </c>
      <c r="H17" s="672">
        <v>0.8</v>
      </c>
      <c r="I17" s="228">
        <v>1140</v>
      </c>
      <c r="J17" s="663">
        <v>0.7</v>
      </c>
      <c r="K17" s="228">
        <v>143</v>
      </c>
      <c r="L17" s="675">
        <f t="shared" si="1"/>
        <v>30.15</v>
      </c>
      <c r="M17" s="663">
        <v>42.5</v>
      </c>
      <c r="N17" s="666">
        <v>0.95</v>
      </c>
      <c r="O17" s="672"/>
      <c r="P17" s="672">
        <f t="shared" si="2"/>
        <v>0.223468888940618</v>
      </c>
      <c r="Q17" s="228">
        <v>0.7</v>
      </c>
      <c r="R17" s="678">
        <f>1.15*F17*6</f>
        <v>310.5</v>
      </c>
      <c r="S17" s="678">
        <f t="shared" si="0"/>
        <v>214.245</v>
      </c>
      <c r="T17" s="666"/>
      <c r="U17" s="666">
        <f t="shared" si="3"/>
        <v>1.74622277647059</v>
      </c>
      <c r="V17" s="679"/>
      <c r="W17" s="679"/>
    </row>
    <row r="18" s="156" customFormat="1" spans="1:23">
      <c r="A18" s="228">
        <v>14</v>
      </c>
      <c r="B18" s="673">
        <v>17</v>
      </c>
      <c r="C18" s="228" t="s">
        <v>2758</v>
      </c>
      <c r="D18" s="228">
        <v>50</v>
      </c>
      <c r="E18" s="228">
        <v>30</v>
      </c>
      <c r="F18" s="228">
        <v>250</v>
      </c>
      <c r="G18" s="228">
        <v>250</v>
      </c>
      <c r="H18" s="672">
        <v>0.8</v>
      </c>
      <c r="I18" s="228">
        <v>1140</v>
      </c>
      <c r="J18" s="663">
        <v>0.7</v>
      </c>
      <c r="K18" s="228">
        <v>168</v>
      </c>
      <c r="L18" s="675">
        <f t="shared" si="1"/>
        <v>167.5</v>
      </c>
      <c r="M18" s="663">
        <v>42.5</v>
      </c>
      <c r="N18" s="666">
        <v>0.95</v>
      </c>
      <c r="O18" s="672"/>
      <c r="P18" s="672">
        <f t="shared" si="2"/>
        <v>2.60713703764054</v>
      </c>
      <c r="Q18" s="228">
        <v>0.7</v>
      </c>
      <c r="R18" s="678">
        <f>0.67*F18*4</f>
        <v>670</v>
      </c>
      <c r="S18" s="678">
        <f t="shared" si="0"/>
        <v>462.3</v>
      </c>
      <c r="T18" s="666"/>
      <c r="U18" s="666">
        <f t="shared" si="3"/>
        <v>7.91283557647059</v>
      </c>
      <c r="V18" s="679"/>
      <c r="W18" s="679"/>
    </row>
    <row r="19" s="156" customFormat="1" spans="1:23">
      <c r="A19" s="228">
        <v>15</v>
      </c>
      <c r="B19" s="673">
        <v>18</v>
      </c>
      <c r="C19" s="228" t="s">
        <v>2758</v>
      </c>
      <c r="D19" s="228">
        <v>50</v>
      </c>
      <c r="E19" s="228">
        <v>30</v>
      </c>
      <c r="F19" s="228">
        <v>132</v>
      </c>
      <c r="G19" s="228">
        <v>132</v>
      </c>
      <c r="H19" s="672">
        <v>0.8</v>
      </c>
      <c r="I19" s="228">
        <v>1140</v>
      </c>
      <c r="J19" s="663">
        <v>0.7</v>
      </c>
      <c r="K19" s="228">
        <v>168</v>
      </c>
      <c r="L19" s="675">
        <f t="shared" si="1"/>
        <v>88.44</v>
      </c>
      <c r="M19" s="663">
        <v>42.5</v>
      </c>
      <c r="N19" s="666">
        <v>0.95</v>
      </c>
      <c r="O19" s="672"/>
      <c r="P19" s="672">
        <f t="shared" si="2"/>
        <v>1.37656835587421</v>
      </c>
      <c r="Q19" s="228">
        <v>0.7</v>
      </c>
      <c r="R19" s="678">
        <f>0.67*F19*6</f>
        <v>530.64</v>
      </c>
      <c r="S19" s="678">
        <f t="shared" si="0"/>
        <v>366.1416</v>
      </c>
      <c r="T19" s="666"/>
      <c r="U19" s="666">
        <f t="shared" si="3"/>
        <v>6.26696577656471</v>
      </c>
      <c r="V19" s="679"/>
      <c r="W19" s="679"/>
    </row>
    <row r="20" s="156" customFormat="1" spans="1:23">
      <c r="A20" s="228">
        <v>16</v>
      </c>
      <c r="B20" s="673">
        <v>19</v>
      </c>
      <c r="C20" s="228" t="s">
        <v>2758</v>
      </c>
      <c r="D20" s="228">
        <v>50</v>
      </c>
      <c r="E20" s="228">
        <v>30</v>
      </c>
      <c r="F20" s="228">
        <v>250</v>
      </c>
      <c r="G20" s="228">
        <v>250</v>
      </c>
      <c r="H20" s="672">
        <v>0.8</v>
      </c>
      <c r="I20" s="228">
        <v>1140</v>
      </c>
      <c r="J20" s="663">
        <v>0.7</v>
      </c>
      <c r="K20" s="228">
        <v>168</v>
      </c>
      <c r="L20" s="675">
        <f t="shared" si="1"/>
        <v>167.5</v>
      </c>
      <c r="M20" s="663">
        <v>42.5</v>
      </c>
      <c r="N20" s="666">
        <v>0.95</v>
      </c>
      <c r="O20" s="672"/>
      <c r="P20" s="672">
        <f t="shared" si="2"/>
        <v>2.60713703764054</v>
      </c>
      <c r="Q20" s="228">
        <v>0.7</v>
      </c>
      <c r="R20" s="678">
        <f>0.67*F20*4</f>
        <v>670</v>
      </c>
      <c r="S20" s="678">
        <f t="shared" si="0"/>
        <v>462.3</v>
      </c>
      <c r="T20" s="666"/>
      <c r="U20" s="666">
        <f t="shared" si="3"/>
        <v>7.91283557647059</v>
      </c>
      <c r="V20" s="679"/>
      <c r="W20" s="679"/>
    </row>
    <row r="21" s="156" customFormat="1" spans="1:23">
      <c r="A21" s="228">
        <v>17</v>
      </c>
      <c r="B21" s="673">
        <v>20</v>
      </c>
      <c r="C21" s="228" t="s">
        <v>2758</v>
      </c>
      <c r="D21" s="228">
        <v>50</v>
      </c>
      <c r="E21" s="228">
        <v>30</v>
      </c>
      <c r="F21" s="228">
        <v>132</v>
      </c>
      <c r="G21" s="228">
        <v>132</v>
      </c>
      <c r="H21" s="672">
        <v>0.8</v>
      </c>
      <c r="I21" s="228">
        <v>1140</v>
      </c>
      <c r="J21" s="663">
        <v>0.7</v>
      </c>
      <c r="K21" s="228">
        <v>168</v>
      </c>
      <c r="L21" s="675">
        <f t="shared" si="1"/>
        <v>88.44</v>
      </c>
      <c r="M21" s="663">
        <v>42.5</v>
      </c>
      <c r="N21" s="666">
        <v>0.95</v>
      </c>
      <c r="O21" s="672"/>
      <c r="P21" s="672">
        <f t="shared" si="2"/>
        <v>1.37656835587421</v>
      </c>
      <c r="Q21" s="228">
        <v>0.7</v>
      </c>
      <c r="R21" s="678">
        <f>0.67*F21*6</f>
        <v>530.64</v>
      </c>
      <c r="S21" s="678">
        <f t="shared" si="0"/>
        <v>366.1416</v>
      </c>
      <c r="T21" s="666"/>
      <c r="U21" s="666">
        <f t="shared" si="3"/>
        <v>6.26696577656471</v>
      </c>
      <c r="V21" s="679"/>
      <c r="W21" s="679"/>
    </row>
    <row r="22" s="156" customFormat="1" spans="1:23">
      <c r="A22" s="228">
        <v>18</v>
      </c>
      <c r="B22" s="673">
        <v>21</v>
      </c>
      <c r="C22" s="228" t="s">
        <v>2758</v>
      </c>
      <c r="D22" s="228">
        <v>50</v>
      </c>
      <c r="E22" s="228">
        <v>30</v>
      </c>
      <c r="F22" s="228">
        <v>250</v>
      </c>
      <c r="G22" s="228">
        <v>250</v>
      </c>
      <c r="H22" s="672">
        <v>0.8</v>
      </c>
      <c r="I22" s="228">
        <v>1140</v>
      </c>
      <c r="J22" s="663">
        <v>0.7</v>
      </c>
      <c r="K22" s="228">
        <v>168</v>
      </c>
      <c r="L22" s="675">
        <f t="shared" si="1"/>
        <v>167.5</v>
      </c>
      <c r="M22" s="663">
        <v>42.5</v>
      </c>
      <c r="N22" s="666">
        <v>0.95</v>
      </c>
      <c r="O22" s="672"/>
      <c r="P22" s="672">
        <f t="shared" si="2"/>
        <v>2.60713703764054</v>
      </c>
      <c r="Q22" s="228">
        <v>0.7</v>
      </c>
      <c r="R22" s="678">
        <f>0.67*F22*4</f>
        <v>670</v>
      </c>
      <c r="S22" s="678">
        <f t="shared" si="0"/>
        <v>462.3</v>
      </c>
      <c r="T22" s="666"/>
      <c r="U22" s="666">
        <f t="shared" si="3"/>
        <v>7.91283557647059</v>
      </c>
      <c r="V22" s="679"/>
      <c r="W22" s="679"/>
    </row>
    <row r="23" s="156" customFormat="1" spans="1:23">
      <c r="A23" s="228">
        <v>19</v>
      </c>
      <c r="B23" s="673">
        <v>22</v>
      </c>
      <c r="C23" s="228" t="s">
        <v>2756</v>
      </c>
      <c r="D23" s="228">
        <v>70</v>
      </c>
      <c r="E23" s="228">
        <v>200</v>
      </c>
      <c r="F23" s="228">
        <v>400</v>
      </c>
      <c r="G23" s="228">
        <v>400</v>
      </c>
      <c r="H23" s="672">
        <v>0.8</v>
      </c>
      <c r="I23" s="228">
        <v>3300</v>
      </c>
      <c r="J23" s="663">
        <v>0.7</v>
      </c>
      <c r="K23" s="228">
        <v>205</v>
      </c>
      <c r="L23" s="675">
        <f>0.67*F23/330*114</f>
        <v>92.5818181818182</v>
      </c>
      <c r="M23" s="663">
        <v>42.5</v>
      </c>
      <c r="N23" s="666">
        <v>0.95</v>
      </c>
      <c r="O23" s="672"/>
      <c r="P23" s="672">
        <f t="shared" si="2"/>
        <v>6.86207497353008</v>
      </c>
      <c r="Q23" s="228">
        <v>0.7</v>
      </c>
      <c r="R23" s="678">
        <f>0.67*F23*4/330*114</f>
        <v>370.327272727273</v>
      </c>
      <c r="S23" s="678">
        <f t="shared" si="0"/>
        <v>255.525818181818</v>
      </c>
      <c r="T23" s="666"/>
      <c r="U23" s="666">
        <f t="shared" si="3"/>
        <v>20.8268572748663</v>
      </c>
      <c r="V23" s="679"/>
      <c r="W23" s="679"/>
    </row>
    <row r="24" s="156" customFormat="1" spans="1:23">
      <c r="A24" s="228">
        <v>20</v>
      </c>
      <c r="B24" s="673">
        <v>23</v>
      </c>
      <c r="C24" s="228" t="s">
        <v>2756</v>
      </c>
      <c r="D24" s="228">
        <v>70</v>
      </c>
      <c r="E24" s="228">
        <v>200</v>
      </c>
      <c r="F24" s="228">
        <v>200</v>
      </c>
      <c r="G24" s="228">
        <v>200</v>
      </c>
      <c r="H24" s="672">
        <v>0.8</v>
      </c>
      <c r="I24" s="228">
        <v>3300</v>
      </c>
      <c r="J24" s="663">
        <v>0.7</v>
      </c>
      <c r="K24" s="228">
        <v>205</v>
      </c>
      <c r="L24" s="675">
        <f>0.67*F24/330*114</f>
        <v>46.2909090909091</v>
      </c>
      <c r="M24" s="663">
        <v>42.5</v>
      </c>
      <c r="N24" s="666">
        <v>0.95</v>
      </c>
      <c r="O24" s="672"/>
      <c r="P24" s="672">
        <f t="shared" si="2"/>
        <v>3.43103748676504</v>
      </c>
      <c r="Q24" s="228">
        <v>0.7</v>
      </c>
      <c r="R24" s="678">
        <f>0.67*F24*4/330*114</f>
        <v>185.163636363636</v>
      </c>
      <c r="S24" s="678">
        <f t="shared" si="0"/>
        <v>127.762909090909</v>
      </c>
      <c r="T24" s="666"/>
      <c r="U24" s="666">
        <f t="shared" si="3"/>
        <v>10.4134286374332</v>
      </c>
      <c r="V24" s="679"/>
      <c r="W24" s="679"/>
    </row>
    <row r="25" s="156" customFormat="1" spans="1:23">
      <c r="A25" s="228">
        <v>21</v>
      </c>
      <c r="B25" s="673">
        <v>24</v>
      </c>
      <c r="C25" s="228" t="s">
        <v>2758</v>
      </c>
      <c r="D25" s="228">
        <v>50</v>
      </c>
      <c r="E25" s="228">
        <v>230</v>
      </c>
      <c r="F25" s="228">
        <v>250</v>
      </c>
      <c r="G25" s="228">
        <v>250</v>
      </c>
      <c r="H25" s="672">
        <v>0.8</v>
      </c>
      <c r="I25" s="228">
        <v>3300</v>
      </c>
      <c r="J25" s="663">
        <v>0.7</v>
      </c>
      <c r="K25" s="228">
        <v>168</v>
      </c>
      <c r="L25" s="675">
        <f>0.67*F25/330*114</f>
        <v>57.8636363636364</v>
      </c>
      <c r="M25" s="663">
        <v>42.5</v>
      </c>
      <c r="N25" s="666">
        <v>0.95</v>
      </c>
      <c r="O25" s="672"/>
      <c r="P25" s="672">
        <f t="shared" si="2"/>
        <v>6.90496294211465</v>
      </c>
      <c r="Q25" s="228">
        <v>0.7</v>
      </c>
      <c r="R25" s="678">
        <f>0.67*F25*4/330*114</f>
        <v>231.454545454545</v>
      </c>
      <c r="S25" s="678">
        <f t="shared" si="0"/>
        <v>159.703636363636</v>
      </c>
      <c r="T25" s="666"/>
      <c r="U25" s="666">
        <f t="shared" si="3"/>
        <v>20.9570251328342</v>
      </c>
      <c r="V25" s="679"/>
      <c r="W25" s="679"/>
    </row>
    <row r="26" s="156" customFormat="1" spans="1:23">
      <c r="A26" s="228">
        <v>22</v>
      </c>
      <c r="B26" s="673">
        <v>25</v>
      </c>
      <c r="C26" s="228" t="s">
        <v>2756</v>
      </c>
      <c r="D26" s="228">
        <v>70</v>
      </c>
      <c r="E26" s="228">
        <v>460</v>
      </c>
      <c r="F26" s="228">
        <v>400</v>
      </c>
      <c r="G26" s="228">
        <v>930</v>
      </c>
      <c r="H26" s="672">
        <f>0.4+0.6*F26/G26</f>
        <v>0.658064516129032</v>
      </c>
      <c r="I26" s="228">
        <v>3300</v>
      </c>
      <c r="J26" s="663">
        <v>0.7</v>
      </c>
      <c r="K26" s="228">
        <v>168</v>
      </c>
      <c r="L26" s="675">
        <f>H26*G26*1000/(POWER(3,1/2)*I26*J26)</f>
        <v>152.960331058031</v>
      </c>
      <c r="M26" s="663">
        <v>42.5</v>
      </c>
      <c r="N26" s="666">
        <v>0.95</v>
      </c>
      <c r="O26" s="672">
        <f>H26*G26*E26*1000/(I26*M26*D26)</f>
        <v>28.6753246753247</v>
      </c>
      <c r="P26" s="672"/>
      <c r="Q26" s="228">
        <v>0.7</v>
      </c>
      <c r="R26" s="678">
        <f t="shared" ref="R26:R34" si="4">0.67*F26*4/330*114</f>
        <v>370.327272727273</v>
      </c>
      <c r="S26" s="678">
        <f t="shared" si="0"/>
        <v>255.525818181818</v>
      </c>
      <c r="T26" s="666">
        <f>E26/(M26*D26)*(1.732*S26*Q26+H26*G26*1000/I26)</f>
        <v>76.5770964075172</v>
      </c>
      <c r="U26" s="666"/>
      <c r="V26" s="679"/>
      <c r="W26" s="679"/>
    </row>
    <row r="27" s="156" customFormat="1" spans="1:23">
      <c r="A27" s="228">
        <v>23</v>
      </c>
      <c r="B27" s="673">
        <v>26</v>
      </c>
      <c r="C27" s="228" t="s">
        <v>2756</v>
      </c>
      <c r="D27" s="228">
        <v>70</v>
      </c>
      <c r="E27" s="228">
        <v>460</v>
      </c>
      <c r="F27" s="228">
        <v>200</v>
      </c>
      <c r="G27" s="228">
        <v>200</v>
      </c>
      <c r="H27" s="672">
        <v>0.8</v>
      </c>
      <c r="I27" s="228">
        <v>3300</v>
      </c>
      <c r="J27" s="663">
        <v>0.7</v>
      </c>
      <c r="K27" s="228">
        <v>205</v>
      </c>
      <c r="L27" s="675">
        <f t="shared" ref="L27:L34" si="5">0.67*F27/330*114</f>
        <v>46.2909090909091</v>
      </c>
      <c r="M27" s="663">
        <v>42.5</v>
      </c>
      <c r="N27" s="666">
        <v>0.95</v>
      </c>
      <c r="O27" s="672"/>
      <c r="P27" s="672">
        <f t="shared" ref="P27:P34" si="6">H27*G27*E27*1000/(I27*M27*D27*N27)</f>
        <v>7.89138621955959</v>
      </c>
      <c r="Q27" s="228">
        <v>0.7</v>
      </c>
      <c r="R27" s="678">
        <f t="shared" si="4"/>
        <v>185.163636363636</v>
      </c>
      <c r="S27" s="678">
        <f t="shared" si="0"/>
        <v>127.762909090909</v>
      </c>
      <c r="T27" s="666"/>
      <c r="U27" s="666">
        <f t="shared" ref="U27:U34" si="7">1.732*S27*E27*Q27/(M27*D27)</f>
        <v>23.9508858660963</v>
      </c>
      <c r="V27" s="679"/>
      <c r="W27" s="679"/>
    </row>
    <row r="28" s="156" customFormat="1" spans="1:23">
      <c r="A28" s="228">
        <v>24</v>
      </c>
      <c r="B28" s="673">
        <v>27</v>
      </c>
      <c r="C28" s="228" t="s">
        <v>2756</v>
      </c>
      <c r="D28" s="228">
        <v>70</v>
      </c>
      <c r="E28" s="228">
        <v>460</v>
      </c>
      <c r="F28" s="228">
        <v>400</v>
      </c>
      <c r="G28" s="228">
        <v>400</v>
      </c>
      <c r="H28" s="672">
        <v>0.8</v>
      </c>
      <c r="I28" s="228">
        <v>3300</v>
      </c>
      <c r="J28" s="663">
        <v>0.7</v>
      </c>
      <c r="K28" s="228">
        <v>205</v>
      </c>
      <c r="L28" s="675">
        <f t="shared" si="5"/>
        <v>92.5818181818182</v>
      </c>
      <c r="M28" s="663">
        <v>42.5</v>
      </c>
      <c r="N28" s="666">
        <v>0.95</v>
      </c>
      <c r="O28" s="672"/>
      <c r="P28" s="672">
        <f t="shared" si="6"/>
        <v>15.7827724391192</v>
      </c>
      <c r="Q28" s="228">
        <v>0.7</v>
      </c>
      <c r="R28" s="678">
        <f t="shared" si="4"/>
        <v>370.327272727273</v>
      </c>
      <c r="S28" s="678">
        <f t="shared" si="0"/>
        <v>255.525818181818</v>
      </c>
      <c r="T28" s="666"/>
      <c r="U28" s="666">
        <f t="shared" si="7"/>
        <v>47.9017717321925</v>
      </c>
      <c r="V28" s="679"/>
      <c r="W28" s="679"/>
    </row>
    <row r="29" s="156" customFormat="1" spans="1:23">
      <c r="A29" s="228">
        <v>25</v>
      </c>
      <c r="B29" s="673">
        <v>28</v>
      </c>
      <c r="C29" s="228" t="s">
        <v>2756</v>
      </c>
      <c r="D29" s="228">
        <v>70</v>
      </c>
      <c r="E29" s="228">
        <v>250</v>
      </c>
      <c r="F29" s="228">
        <v>200</v>
      </c>
      <c r="G29" s="228">
        <v>200</v>
      </c>
      <c r="H29" s="672">
        <v>0.8</v>
      </c>
      <c r="I29" s="228">
        <v>3300</v>
      </c>
      <c r="J29" s="663">
        <v>0.7</v>
      </c>
      <c r="K29" s="228">
        <v>205</v>
      </c>
      <c r="L29" s="675">
        <f t="shared" si="5"/>
        <v>46.2909090909091</v>
      </c>
      <c r="M29" s="663">
        <v>42.5</v>
      </c>
      <c r="N29" s="666">
        <v>0.95</v>
      </c>
      <c r="O29" s="672"/>
      <c r="P29" s="672">
        <f t="shared" si="6"/>
        <v>4.2887968584563</v>
      </c>
      <c r="Q29" s="228">
        <v>0.7</v>
      </c>
      <c r="R29" s="678">
        <f t="shared" si="4"/>
        <v>185.163636363636</v>
      </c>
      <c r="S29" s="678">
        <f t="shared" si="0"/>
        <v>127.762909090909</v>
      </c>
      <c r="T29" s="666"/>
      <c r="U29" s="666">
        <f t="shared" si="7"/>
        <v>13.0167857967914</v>
      </c>
      <c r="V29" s="679"/>
      <c r="W29" s="679"/>
    </row>
    <row r="30" s="156" customFormat="1" spans="1:23">
      <c r="A30" s="228">
        <v>26</v>
      </c>
      <c r="B30" s="673">
        <v>29</v>
      </c>
      <c r="C30" s="228" t="s">
        <v>2756</v>
      </c>
      <c r="D30" s="228">
        <v>70</v>
      </c>
      <c r="E30" s="228">
        <v>250</v>
      </c>
      <c r="F30" s="228">
        <v>400</v>
      </c>
      <c r="G30" s="228">
        <v>400</v>
      </c>
      <c r="H30" s="672">
        <v>0.8</v>
      </c>
      <c r="I30" s="228">
        <v>3300</v>
      </c>
      <c r="J30" s="663">
        <v>0.7</v>
      </c>
      <c r="K30" s="228">
        <v>205</v>
      </c>
      <c r="L30" s="675">
        <f t="shared" si="5"/>
        <v>92.5818181818182</v>
      </c>
      <c r="M30" s="663">
        <v>42.5</v>
      </c>
      <c r="N30" s="666">
        <v>0.95</v>
      </c>
      <c r="O30" s="672"/>
      <c r="P30" s="672">
        <f t="shared" si="6"/>
        <v>8.5775937169126</v>
      </c>
      <c r="Q30" s="228">
        <v>0.7</v>
      </c>
      <c r="R30" s="678">
        <f t="shared" si="4"/>
        <v>370.327272727273</v>
      </c>
      <c r="S30" s="678">
        <f t="shared" si="0"/>
        <v>255.525818181818</v>
      </c>
      <c r="T30" s="666"/>
      <c r="U30" s="666">
        <f t="shared" si="7"/>
        <v>26.0335715935829</v>
      </c>
      <c r="V30" s="679"/>
      <c r="W30" s="679"/>
    </row>
    <row r="31" s="156" customFormat="1" spans="1:23">
      <c r="A31" s="228">
        <v>27</v>
      </c>
      <c r="B31" s="673">
        <v>30</v>
      </c>
      <c r="C31" s="228" t="s">
        <v>2756</v>
      </c>
      <c r="D31" s="228">
        <v>70</v>
      </c>
      <c r="E31" s="228">
        <v>450</v>
      </c>
      <c r="F31" s="228">
        <v>200</v>
      </c>
      <c r="G31" s="228">
        <v>200</v>
      </c>
      <c r="H31" s="672">
        <v>0.8</v>
      </c>
      <c r="I31" s="228">
        <v>3300</v>
      </c>
      <c r="J31" s="663">
        <v>0.7</v>
      </c>
      <c r="K31" s="228">
        <v>205</v>
      </c>
      <c r="L31" s="675">
        <f t="shared" si="5"/>
        <v>46.2909090909091</v>
      </c>
      <c r="M31" s="663">
        <v>42.5</v>
      </c>
      <c r="N31" s="666">
        <v>0.95</v>
      </c>
      <c r="O31" s="672"/>
      <c r="P31" s="672">
        <f t="shared" si="6"/>
        <v>7.71983434522134</v>
      </c>
      <c r="Q31" s="228">
        <v>0.7</v>
      </c>
      <c r="R31" s="678">
        <f t="shared" si="4"/>
        <v>185.163636363636</v>
      </c>
      <c r="S31" s="678">
        <f t="shared" si="0"/>
        <v>127.762909090909</v>
      </c>
      <c r="T31" s="666"/>
      <c r="U31" s="666">
        <f t="shared" si="7"/>
        <v>23.4302144342246</v>
      </c>
      <c r="V31" s="679"/>
      <c r="W31" s="679"/>
    </row>
    <row r="32" s="156" customFormat="1" spans="1:23">
      <c r="A32" s="228">
        <v>28</v>
      </c>
      <c r="B32" s="673">
        <v>31</v>
      </c>
      <c r="C32" s="228" t="s">
        <v>2756</v>
      </c>
      <c r="D32" s="228">
        <v>70</v>
      </c>
      <c r="E32" s="228">
        <v>450</v>
      </c>
      <c r="F32" s="228">
        <v>400</v>
      </c>
      <c r="G32" s="228">
        <v>400</v>
      </c>
      <c r="H32" s="672">
        <v>0.8</v>
      </c>
      <c r="I32" s="228">
        <v>3300</v>
      </c>
      <c r="J32" s="663">
        <v>0.7</v>
      </c>
      <c r="K32" s="228">
        <v>205</v>
      </c>
      <c r="L32" s="675">
        <f t="shared" si="5"/>
        <v>92.5818181818182</v>
      </c>
      <c r="M32" s="663">
        <v>42.5</v>
      </c>
      <c r="N32" s="666">
        <v>0.95</v>
      </c>
      <c r="O32" s="672"/>
      <c r="P32" s="672">
        <f t="shared" si="6"/>
        <v>15.4396686904427</v>
      </c>
      <c r="Q32" s="228">
        <v>0.7</v>
      </c>
      <c r="R32" s="678">
        <f t="shared" si="4"/>
        <v>370.327272727273</v>
      </c>
      <c r="S32" s="678">
        <f t="shared" si="0"/>
        <v>255.525818181818</v>
      </c>
      <c r="T32" s="666"/>
      <c r="U32" s="666">
        <f t="shared" si="7"/>
        <v>46.8604288684492</v>
      </c>
      <c r="V32" s="679"/>
      <c r="W32" s="679"/>
    </row>
    <row r="33" s="156" customFormat="1" spans="1:23">
      <c r="A33" s="228">
        <v>29</v>
      </c>
      <c r="B33" s="673">
        <v>32</v>
      </c>
      <c r="C33" s="228" t="s">
        <v>2756</v>
      </c>
      <c r="D33" s="228">
        <v>70</v>
      </c>
      <c r="E33" s="228">
        <v>240</v>
      </c>
      <c r="F33" s="228">
        <v>200</v>
      </c>
      <c r="G33" s="228">
        <v>200</v>
      </c>
      <c r="H33" s="672">
        <v>0.8</v>
      </c>
      <c r="I33" s="228">
        <v>3300</v>
      </c>
      <c r="J33" s="663">
        <v>0.7</v>
      </c>
      <c r="K33" s="228">
        <v>205</v>
      </c>
      <c r="L33" s="675">
        <f t="shared" si="5"/>
        <v>46.2909090909091</v>
      </c>
      <c r="M33" s="663">
        <v>42.5</v>
      </c>
      <c r="N33" s="666">
        <v>0.95</v>
      </c>
      <c r="O33" s="672"/>
      <c r="P33" s="672">
        <f t="shared" si="6"/>
        <v>4.11724498411805</v>
      </c>
      <c r="Q33" s="228">
        <v>0.7</v>
      </c>
      <c r="R33" s="678">
        <f t="shared" si="4"/>
        <v>185.163636363636</v>
      </c>
      <c r="S33" s="678">
        <f t="shared" si="0"/>
        <v>127.762909090909</v>
      </c>
      <c r="T33" s="666"/>
      <c r="U33" s="666">
        <f t="shared" si="7"/>
        <v>12.4961143649198</v>
      </c>
      <c r="V33" s="679"/>
      <c r="W33" s="679"/>
    </row>
    <row r="34" s="156" customFormat="1" spans="1:23">
      <c r="A34" s="228">
        <v>30</v>
      </c>
      <c r="B34" s="673">
        <v>33</v>
      </c>
      <c r="C34" s="228" t="s">
        <v>2756</v>
      </c>
      <c r="D34" s="228">
        <v>70</v>
      </c>
      <c r="E34" s="228">
        <v>240</v>
      </c>
      <c r="F34" s="228">
        <v>200</v>
      </c>
      <c r="G34" s="228">
        <v>200</v>
      </c>
      <c r="H34" s="672">
        <v>0.8</v>
      </c>
      <c r="I34" s="228">
        <v>3300</v>
      </c>
      <c r="J34" s="663">
        <v>0.7</v>
      </c>
      <c r="K34" s="228">
        <v>205</v>
      </c>
      <c r="L34" s="675">
        <f t="shared" si="5"/>
        <v>46.2909090909091</v>
      </c>
      <c r="M34" s="663">
        <v>42.5</v>
      </c>
      <c r="N34" s="666">
        <v>0.95</v>
      </c>
      <c r="O34" s="672"/>
      <c r="P34" s="672">
        <f t="shared" si="6"/>
        <v>4.11724498411805</v>
      </c>
      <c r="Q34" s="228">
        <v>0.7</v>
      </c>
      <c r="R34" s="678">
        <f t="shared" si="4"/>
        <v>185.163636363636</v>
      </c>
      <c r="S34" s="678">
        <f t="shared" si="0"/>
        <v>127.762909090909</v>
      </c>
      <c r="T34" s="666"/>
      <c r="U34" s="666">
        <f t="shared" si="7"/>
        <v>12.4961143649198</v>
      </c>
      <c r="V34" s="679"/>
      <c r="W34" s="679"/>
    </row>
  </sheetData>
  <protectedRanges>
    <protectedRange sqref="D5:U34" name="範圍1"/>
  </protectedRanges>
  <mergeCells count="9">
    <mergeCell ref="A1:T1"/>
    <mergeCell ref="A3:A4"/>
    <mergeCell ref="B3:B4"/>
    <mergeCell ref="C3:C4"/>
    <mergeCell ref="J3:J4"/>
    <mergeCell ref="K3:K4"/>
    <mergeCell ref="Q3:Q4"/>
    <mergeCell ref="T3:T4"/>
    <mergeCell ref="U3:U4"/>
  </mergeCells>
  <hyperlinks>
    <hyperlink ref="U1" location="目录!A1" display="目录!A1"/>
  </hyperlinks>
  <pageMargins left="0.7" right="0.7" top="0.75" bottom="0.75" header="0.3" footer="0.3"/>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workbookViewId="0">
      <selection activeCell="M16" sqref="M16"/>
    </sheetView>
  </sheetViews>
  <sheetFormatPr defaultColWidth="9" defaultRowHeight="15.6"/>
  <cols>
    <col min="1" max="1" width="3.25" customWidth="1"/>
    <col min="2" max="2" width="4.125" customWidth="1"/>
    <col min="3" max="3" width="18.5" customWidth="1"/>
    <col min="4" max="5" width="4.125" customWidth="1"/>
    <col min="6" max="6" width="5.625" customWidth="1"/>
    <col min="7" max="7" width="15" customWidth="1"/>
    <col min="8" max="8" width="6.125" customWidth="1"/>
    <col min="9" max="9" width="6.875" customWidth="1"/>
    <col min="10" max="10" width="9.875" customWidth="1"/>
    <col min="11" max="11" width="14" customWidth="1"/>
    <col min="12" max="12" width="5.875" customWidth="1"/>
    <col min="13" max="13" width="13.875" customWidth="1"/>
    <col min="14" max="14" width="9.375" customWidth="1"/>
    <col min="257" max="257" width="3.25" customWidth="1"/>
    <col min="258" max="258" width="4.125" customWidth="1"/>
    <col min="259" max="259" width="18.5" customWidth="1"/>
    <col min="260" max="261" width="4.125" customWidth="1"/>
    <col min="262" max="262" width="5.625" customWidth="1"/>
    <col min="263" max="263" width="15" customWidth="1"/>
    <col min="264" max="264" width="6.125" customWidth="1"/>
    <col min="265" max="265" width="6.875" customWidth="1"/>
    <col min="266" max="266" width="9.875" customWidth="1"/>
    <col min="267" max="267" width="14" customWidth="1"/>
    <col min="268" max="268" width="5.875" customWidth="1"/>
    <col min="269" max="269" width="13.875" customWidth="1"/>
    <col min="270" max="270" width="9.375" customWidth="1"/>
    <col min="513" max="513" width="3.25" customWidth="1"/>
    <col min="514" max="514" width="4.125" customWidth="1"/>
    <col min="515" max="515" width="18.5" customWidth="1"/>
    <col min="516" max="517" width="4.125" customWidth="1"/>
    <col min="518" max="518" width="5.625" customWidth="1"/>
    <col min="519" max="519" width="15" customWidth="1"/>
    <col min="520" max="520" width="6.125" customWidth="1"/>
    <col min="521" max="521" width="6.875" customWidth="1"/>
    <col min="522" max="522" width="9.875" customWidth="1"/>
    <col min="523" max="523" width="14" customWidth="1"/>
    <col min="524" max="524" width="5.875" customWidth="1"/>
    <col min="525" max="525" width="13.875" customWidth="1"/>
    <col min="526" max="526" width="9.375" customWidth="1"/>
    <col min="769" max="769" width="3.25" customWidth="1"/>
    <col min="770" max="770" width="4.125" customWidth="1"/>
    <col min="771" max="771" width="18.5" customWidth="1"/>
    <col min="772" max="773" width="4.125" customWidth="1"/>
    <col min="774" max="774" width="5.625" customWidth="1"/>
    <col min="775" max="775" width="15" customWidth="1"/>
    <col min="776" max="776" width="6.125" customWidth="1"/>
    <col min="777" max="777" width="6.875" customWidth="1"/>
    <col min="778" max="778" width="9.875" customWidth="1"/>
    <col min="779" max="779" width="14" customWidth="1"/>
    <col min="780" max="780" width="5.875" customWidth="1"/>
    <col min="781" max="781" width="13.875" customWidth="1"/>
    <col min="782" max="782" width="9.375" customWidth="1"/>
    <col min="1025" max="1025" width="3.25" customWidth="1"/>
    <col min="1026" max="1026" width="4.125" customWidth="1"/>
    <col min="1027" max="1027" width="18.5" customWidth="1"/>
    <col min="1028" max="1029" width="4.125" customWidth="1"/>
    <col min="1030" max="1030" width="5.625" customWidth="1"/>
    <col min="1031" max="1031" width="15" customWidth="1"/>
    <col min="1032" max="1032" width="6.125" customWidth="1"/>
    <col min="1033" max="1033" width="6.875" customWidth="1"/>
    <col min="1034" max="1034" width="9.875" customWidth="1"/>
    <col min="1035" max="1035" width="14" customWidth="1"/>
    <col min="1036" max="1036" width="5.875" customWidth="1"/>
    <col min="1037" max="1037" width="13.875" customWidth="1"/>
    <col min="1038" max="1038" width="9.375" customWidth="1"/>
    <col min="1281" max="1281" width="3.25" customWidth="1"/>
    <col min="1282" max="1282" width="4.125" customWidth="1"/>
    <col min="1283" max="1283" width="18.5" customWidth="1"/>
    <col min="1284" max="1285" width="4.125" customWidth="1"/>
    <col min="1286" max="1286" width="5.625" customWidth="1"/>
    <col min="1287" max="1287" width="15" customWidth="1"/>
    <col min="1288" max="1288" width="6.125" customWidth="1"/>
    <col min="1289" max="1289" width="6.875" customWidth="1"/>
    <col min="1290" max="1290" width="9.875" customWidth="1"/>
    <col min="1291" max="1291" width="14" customWidth="1"/>
    <col min="1292" max="1292" width="5.875" customWidth="1"/>
    <col min="1293" max="1293" width="13.875" customWidth="1"/>
    <col min="1294" max="1294" width="9.375" customWidth="1"/>
    <col min="1537" max="1537" width="3.25" customWidth="1"/>
    <col min="1538" max="1538" width="4.125" customWidth="1"/>
    <col min="1539" max="1539" width="18.5" customWidth="1"/>
    <col min="1540" max="1541" width="4.125" customWidth="1"/>
    <col min="1542" max="1542" width="5.625" customWidth="1"/>
    <col min="1543" max="1543" width="15" customWidth="1"/>
    <col min="1544" max="1544" width="6.125" customWidth="1"/>
    <col min="1545" max="1545" width="6.875" customWidth="1"/>
    <col min="1546" max="1546" width="9.875" customWidth="1"/>
    <col min="1547" max="1547" width="14" customWidth="1"/>
    <col min="1548" max="1548" width="5.875" customWidth="1"/>
    <col min="1549" max="1549" width="13.875" customWidth="1"/>
    <col min="1550" max="1550" width="9.375" customWidth="1"/>
    <col min="1793" max="1793" width="3.25" customWidth="1"/>
    <col min="1794" max="1794" width="4.125" customWidth="1"/>
    <col min="1795" max="1795" width="18.5" customWidth="1"/>
    <col min="1796" max="1797" width="4.125" customWidth="1"/>
    <col min="1798" max="1798" width="5.625" customWidth="1"/>
    <col min="1799" max="1799" width="15" customWidth="1"/>
    <col min="1800" max="1800" width="6.125" customWidth="1"/>
    <col min="1801" max="1801" width="6.875" customWidth="1"/>
    <col min="1802" max="1802" width="9.875" customWidth="1"/>
    <col min="1803" max="1803" width="14" customWidth="1"/>
    <col min="1804" max="1804" width="5.875" customWidth="1"/>
    <col min="1805" max="1805" width="13.875" customWidth="1"/>
    <col min="1806" max="1806" width="9.375" customWidth="1"/>
    <col min="2049" max="2049" width="3.25" customWidth="1"/>
    <col min="2050" max="2050" width="4.125" customWidth="1"/>
    <col min="2051" max="2051" width="18.5" customWidth="1"/>
    <col min="2052" max="2053" width="4.125" customWidth="1"/>
    <col min="2054" max="2054" width="5.625" customWidth="1"/>
    <col min="2055" max="2055" width="15" customWidth="1"/>
    <col min="2056" max="2056" width="6.125" customWidth="1"/>
    <col min="2057" max="2057" width="6.875" customWidth="1"/>
    <col min="2058" max="2058" width="9.875" customWidth="1"/>
    <col min="2059" max="2059" width="14" customWidth="1"/>
    <col min="2060" max="2060" width="5.875" customWidth="1"/>
    <col min="2061" max="2061" width="13.875" customWidth="1"/>
    <col min="2062" max="2062" width="9.375" customWidth="1"/>
    <col min="2305" max="2305" width="3.25" customWidth="1"/>
    <col min="2306" max="2306" width="4.125" customWidth="1"/>
    <col min="2307" max="2307" width="18.5" customWidth="1"/>
    <col min="2308" max="2309" width="4.125" customWidth="1"/>
    <col min="2310" max="2310" width="5.625" customWidth="1"/>
    <col min="2311" max="2311" width="15" customWidth="1"/>
    <col min="2312" max="2312" width="6.125" customWidth="1"/>
    <col min="2313" max="2313" width="6.875" customWidth="1"/>
    <col min="2314" max="2314" width="9.875" customWidth="1"/>
    <col min="2315" max="2315" width="14" customWidth="1"/>
    <col min="2316" max="2316" width="5.875" customWidth="1"/>
    <col min="2317" max="2317" width="13.875" customWidth="1"/>
    <col min="2318" max="2318" width="9.375" customWidth="1"/>
    <col min="2561" max="2561" width="3.25" customWidth="1"/>
    <col min="2562" max="2562" width="4.125" customWidth="1"/>
    <col min="2563" max="2563" width="18.5" customWidth="1"/>
    <col min="2564" max="2565" width="4.125" customWidth="1"/>
    <col min="2566" max="2566" width="5.625" customWidth="1"/>
    <col min="2567" max="2567" width="15" customWidth="1"/>
    <col min="2568" max="2568" width="6.125" customWidth="1"/>
    <col min="2569" max="2569" width="6.875" customWidth="1"/>
    <col min="2570" max="2570" width="9.875" customWidth="1"/>
    <col min="2571" max="2571" width="14" customWidth="1"/>
    <col min="2572" max="2572" width="5.875" customWidth="1"/>
    <col min="2573" max="2573" width="13.875" customWidth="1"/>
    <col min="2574" max="2574" width="9.375" customWidth="1"/>
    <col min="2817" max="2817" width="3.25" customWidth="1"/>
    <col min="2818" max="2818" width="4.125" customWidth="1"/>
    <col min="2819" max="2819" width="18.5" customWidth="1"/>
    <col min="2820" max="2821" width="4.125" customWidth="1"/>
    <col min="2822" max="2822" width="5.625" customWidth="1"/>
    <col min="2823" max="2823" width="15" customWidth="1"/>
    <col min="2824" max="2824" width="6.125" customWidth="1"/>
    <col min="2825" max="2825" width="6.875" customWidth="1"/>
    <col min="2826" max="2826" width="9.875" customWidth="1"/>
    <col min="2827" max="2827" width="14" customWidth="1"/>
    <col min="2828" max="2828" width="5.875" customWidth="1"/>
    <col min="2829" max="2829" width="13.875" customWidth="1"/>
    <col min="2830" max="2830" width="9.375" customWidth="1"/>
    <col min="3073" max="3073" width="3.25" customWidth="1"/>
    <col min="3074" max="3074" width="4.125" customWidth="1"/>
    <col min="3075" max="3075" width="18.5" customWidth="1"/>
    <col min="3076" max="3077" width="4.125" customWidth="1"/>
    <col min="3078" max="3078" width="5.625" customWidth="1"/>
    <col min="3079" max="3079" width="15" customWidth="1"/>
    <col min="3080" max="3080" width="6.125" customWidth="1"/>
    <col min="3081" max="3081" width="6.875" customWidth="1"/>
    <col min="3082" max="3082" width="9.875" customWidth="1"/>
    <col min="3083" max="3083" width="14" customWidth="1"/>
    <col min="3084" max="3084" width="5.875" customWidth="1"/>
    <col min="3085" max="3085" width="13.875" customWidth="1"/>
    <col min="3086" max="3086" width="9.375" customWidth="1"/>
    <col min="3329" max="3329" width="3.25" customWidth="1"/>
    <col min="3330" max="3330" width="4.125" customWidth="1"/>
    <col min="3331" max="3331" width="18.5" customWidth="1"/>
    <col min="3332" max="3333" width="4.125" customWidth="1"/>
    <col min="3334" max="3334" width="5.625" customWidth="1"/>
    <col min="3335" max="3335" width="15" customWidth="1"/>
    <col min="3336" max="3336" width="6.125" customWidth="1"/>
    <col min="3337" max="3337" width="6.875" customWidth="1"/>
    <col min="3338" max="3338" width="9.875" customWidth="1"/>
    <col min="3339" max="3339" width="14" customWidth="1"/>
    <col min="3340" max="3340" width="5.875" customWidth="1"/>
    <col min="3341" max="3341" width="13.875" customWidth="1"/>
    <col min="3342" max="3342" width="9.375" customWidth="1"/>
    <col min="3585" max="3585" width="3.25" customWidth="1"/>
    <col min="3586" max="3586" width="4.125" customWidth="1"/>
    <col min="3587" max="3587" width="18.5" customWidth="1"/>
    <col min="3588" max="3589" width="4.125" customWidth="1"/>
    <col min="3590" max="3590" width="5.625" customWidth="1"/>
    <col min="3591" max="3591" width="15" customWidth="1"/>
    <col min="3592" max="3592" width="6.125" customWidth="1"/>
    <col min="3593" max="3593" width="6.875" customWidth="1"/>
    <col min="3594" max="3594" width="9.875" customWidth="1"/>
    <col min="3595" max="3595" width="14" customWidth="1"/>
    <col min="3596" max="3596" width="5.875" customWidth="1"/>
    <col min="3597" max="3597" width="13.875" customWidth="1"/>
    <col min="3598" max="3598" width="9.375" customWidth="1"/>
    <col min="3841" max="3841" width="3.25" customWidth="1"/>
    <col min="3842" max="3842" width="4.125" customWidth="1"/>
    <col min="3843" max="3843" width="18.5" customWidth="1"/>
    <col min="3844" max="3845" width="4.125" customWidth="1"/>
    <col min="3846" max="3846" width="5.625" customWidth="1"/>
    <col min="3847" max="3847" width="15" customWidth="1"/>
    <col min="3848" max="3848" width="6.125" customWidth="1"/>
    <col min="3849" max="3849" width="6.875" customWidth="1"/>
    <col min="3850" max="3850" width="9.875" customWidth="1"/>
    <col min="3851" max="3851" width="14" customWidth="1"/>
    <col min="3852" max="3852" width="5.875" customWidth="1"/>
    <col min="3853" max="3853" width="13.875" customWidth="1"/>
    <col min="3854" max="3854" width="9.375" customWidth="1"/>
    <col min="4097" max="4097" width="3.25" customWidth="1"/>
    <col min="4098" max="4098" width="4.125" customWidth="1"/>
    <col min="4099" max="4099" width="18.5" customWidth="1"/>
    <col min="4100" max="4101" width="4.125" customWidth="1"/>
    <col min="4102" max="4102" width="5.625" customWidth="1"/>
    <col min="4103" max="4103" width="15" customWidth="1"/>
    <col min="4104" max="4104" width="6.125" customWidth="1"/>
    <col min="4105" max="4105" width="6.875" customWidth="1"/>
    <col min="4106" max="4106" width="9.875" customWidth="1"/>
    <col min="4107" max="4107" width="14" customWidth="1"/>
    <col min="4108" max="4108" width="5.875" customWidth="1"/>
    <col min="4109" max="4109" width="13.875" customWidth="1"/>
    <col min="4110" max="4110" width="9.375" customWidth="1"/>
    <col min="4353" max="4353" width="3.25" customWidth="1"/>
    <col min="4354" max="4354" width="4.125" customWidth="1"/>
    <col min="4355" max="4355" width="18.5" customWidth="1"/>
    <col min="4356" max="4357" width="4.125" customWidth="1"/>
    <col min="4358" max="4358" width="5.625" customWidth="1"/>
    <col min="4359" max="4359" width="15" customWidth="1"/>
    <col min="4360" max="4360" width="6.125" customWidth="1"/>
    <col min="4361" max="4361" width="6.875" customWidth="1"/>
    <col min="4362" max="4362" width="9.875" customWidth="1"/>
    <col min="4363" max="4363" width="14" customWidth="1"/>
    <col min="4364" max="4364" width="5.875" customWidth="1"/>
    <col min="4365" max="4365" width="13.875" customWidth="1"/>
    <col min="4366" max="4366" width="9.375" customWidth="1"/>
    <col min="4609" max="4609" width="3.25" customWidth="1"/>
    <col min="4610" max="4610" width="4.125" customWidth="1"/>
    <col min="4611" max="4611" width="18.5" customWidth="1"/>
    <col min="4612" max="4613" width="4.125" customWidth="1"/>
    <col min="4614" max="4614" width="5.625" customWidth="1"/>
    <col min="4615" max="4615" width="15" customWidth="1"/>
    <col min="4616" max="4616" width="6.125" customWidth="1"/>
    <col min="4617" max="4617" width="6.875" customWidth="1"/>
    <col min="4618" max="4618" width="9.875" customWidth="1"/>
    <col min="4619" max="4619" width="14" customWidth="1"/>
    <col min="4620" max="4620" width="5.875" customWidth="1"/>
    <col min="4621" max="4621" width="13.875" customWidth="1"/>
    <col min="4622" max="4622" width="9.375" customWidth="1"/>
    <col min="4865" max="4865" width="3.25" customWidth="1"/>
    <col min="4866" max="4866" width="4.125" customWidth="1"/>
    <col min="4867" max="4867" width="18.5" customWidth="1"/>
    <col min="4868" max="4869" width="4.125" customWidth="1"/>
    <col min="4870" max="4870" width="5.625" customWidth="1"/>
    <col min="4871" max="4871" width="15" customWidth="1"/>
    <col min="4872" max="4872" width="6.125" customWidth="1"/>
    <col min="4873" max="4873" width="6.875" customWidth="1"/>
    <col min="4874" max="4874" width="9.875" customWidth="1"/>
    <col min="4875" max="4875" width="14" customWidth="1"/>
    <col min="4876" max="4876" width="5.875" customWidth="1"/>
    <col min="4877" max="4877" width="13.875" customWidth="1"/>
    <col min="4878" max="4878" width="9.375" customWidth="1"/>
    <col min="5121" max="5121" width="3.25" customWidth="1"/>
    <col min="5122" max="5122" width="4.125" customWidth="1"/>
    <col min="5123" max="5123" width="18.5" customWidth="1"/>
    <col min="5124" max="5125" width="4.125" customWidth="1"/>
    <col min="5126" max="5126" width="5.625" customWidth="1"/>
    <col min="5127" max="5127" width="15" customWidth="1"/>
    <col min="5128" max="5128" width="6.125" customWidth="1"/>
    <col min="5129" max="5129" width="6.875" customWidth="1"/>
    <col min="5130" max="5130" width="9.875" customWidth="1"/>
    <col min="5131" max="5131" width="14" customWidth="1"/>
    <col min="5132" max="5132" width="5.875" customWidth="1"/>
    <col min="5133" max="5133" width="13.875" customWidth="1"/>
    <col min="5134" max="5134" width="9.375" customWidth="1"/>
    <col min="5377" max="5377" width="3.25" customWidth="1"/>
    <col min="5378" max="5378" width="4.125" customWidth="1"/>
    <col min="5379" max="5379" width="18.5" customWidth="1"/>
    <col min="5380" max="5381" width="4.125" customWidth="1"/>
    <col min="5382" max="5382" width="5.625" customWidth="1"/>
    <col min="5383" max="5383" width="15" customWidth="1"/>
    <col min="5384" max="5384" width="6.125" customWidth="1"/>
    <col min="5385" max="5385" width="6.875" customWidth="1"/>
    <col min="5386" max="5386" width="9.875" customWidth="1"/>
    <col min="5387" max="5387" width="14" customWidth="1"/>
    <col min="5388" max="5388" width="5.875" customWidth="1"/>
    <col min="5389" max="5389" width="13.875" customWidth="1"/>
    <col min="5390" max="5390" width="9.375" customWidth="1"/>
    <col min="5633" max="5633" width="3.25" customWidth="1"/>
    <col min="5634" max="5634" width="4.125" customWidth="1"/>
    <col min="5635" max="5635" width="18.5" customWidth="1"/>
    <col min="5636" max="5637" width="4.125" customWidth="1"/>
    <col min="5638" max="5638" width="5.625" customWidth="1"/>
    <col min="5639" max="5639" width="15" customWidth="1"/>
    <col min="5640" max="5640" width="6.125" customWidth="1"/>
    <col min="5641" max="5641" width="6.875" customWidth="1"/>
    <col min="5642" max="5642" width="9.875" customWidth="1"/>
    <col min="5643" max="5643" width="14" customWidth="1"/>
    <col min="5644" max="5644" width="5.875" customWidth="1"/>
    <col min="5645" max="5645" width="13.875" customWidth="1"/>
    <col min="5646" max="5646" width="9.375" customWidth="1"/>
    <col min="5889" max="5889" width="3.25" customWidth="1"/>
    <col min="5890" max="5890" width="4.125" customWidth="1"/>
    <col min="5891" max="5891" width="18.5" customWidth="1"/>
    <col min="5892" max="5893" width="4.125" customWidth="1"/>
    <col min="5894" max="5894" width="5.625" customWidth="1"/>
    <col min="5895" max="5895" width="15" customWidth="1"/>
    <col min="5896" max="5896" width="6.125" customWidth="1"/>
    <col min="5897" max="5897" width="6.875" customWidth="1"/>
    <col min="5898" max="5898" width="9.875" customWidth="1"/>
    <col min="5899" max="5899" width="14" customWidth="1"/>
    <col min="5900" max="5900" width="5.875" customWidth="1"/>
    <col min="5901" max="5901" width="13.875" customWidth="1"/>
    <col min="5902" max="5902" width="9.375" customWidth="1"/>
    <col min="6145" max="6145" width="3.25" customWidth="1"/>
    <col min="6146" max="6146" width="4.125" customWidth="1"/>
    <col min="6147" max="6147" width="18.5" customWidth="1"/>
    <col min="6148" max="6149" width="4.125" customWidth="1"/>
    <col min="6150" max="6150" width="5.625" customWidth="1"/>
    <col min="6151" max="6151" width="15" customWidth="1"/>
    <col min="6152" max="6152" width="6.125" customWidth="1"/>
    <col min="6153" max="6153" width="6.875" customWidth="1"/>
    <col min="6154" max="6154" width="9.875" customWidth="1"/>
    <col min="6155" max="6155" width="14" customWidth="1"/>
    <col min="6156" max="6156" width="5.875" customWidth="1"/>
    <col min="6157" max="6157" width="13.875" customWidth="1"/>
    <col min="6158" max="6158" width="9.375" customWidth="1"/>
    <col min="6401" max="6401" width="3.25" customWidth="1"/>
    <col min="6402" max="6402" width="4.125" customWidth="1"/>
    <col min="6403" max="6403" width="18.5" customWidth="1"/>
    <col min="6404" max="6405" width="4.125" customWidth="1"/>
    <col min="6406" max="6406" width="5.625" customWidth="1"/>
    <col min="6407" max="6407" width="15" customWidth="1"/>
    <col min="6408" max="6408" width="6.125" customWidth="1"/>
    <col min="6409" max="6409" width="6.875" customWidth="1"/>
    <col min="6410" max="6410" width="9.875" customWidth="1"/>
    <col min="6411" max="6411" width="14" customWidth="1"/>
    <col min="6412" max="6412" width="5.875" customWidth="1"/>
    <col min="6413" max="6413" width="13.875" customWidth="1"/>
    <col min="6414" max="6414" width="9.375" customWidth="1"/>
    <col min="6657" max="6657" width="3.25" customWidth="1"/>
    <col min="6658" max="6658" width="4.125" customWidth="1"/>
    <col min="6659" max="6659" width="18.5" customWidth="1"/>
    <col min="6660" max="6661" width="4.125" customWidth="1"/>
    <col min="6662" max="6662" width="5.625" customWidth="1"/>
    <col min="6663" max="6663" width="15" customWidth="1"/>
    <col min="6664" max="6664" width="6.125" customWidth="1"/>
    <col min="6665" max="6665" width="6.875" customWidth="1"/>
    <col min="6666" max="6666" width="9.875" customWidth="1"/>
    <col min="6667" max="6667" width="14" customWidth="1"/>
    <col min="6668" max="6668" width="5.875" customWidth="1"/>
    <col min="6669" max="6669" width="13.875" customWidth="1"/>
    <col min="6670" max="6670" width="9.375" customWidth="1"/>
    <col min="6913" max="6913" width="3.25" customWidth="1"/>
    <col min="6914" max="6914" width="4.125" customWidth="1"/>
    <col min="6915" max="6915" width="18.5" customWidth="1"/>
    <col min="6916" max="6917" width="4.125" customWidth="1"/>
    <col min="6918" max="6918" width="5.625" customWidth="1"/>
    <col min="6919" max="6919" width="15" customWidth="1"/>
    <col min="6920" max="6920" width="6.125" customWidth="1"/>
    <col min="6921" max="6921" width="6.875" customWidth="1"/>
    <col min="6922" max="6922" width="9.875" customWidth="1"/>
    <col min="6923" max="6923" width="14" customWidth="1"/>
    <col min="6924" max="6924" width="5.875" customWidth="1"/>
    <col min="6925" max="6925" width="13.875" customWidth="1"/>
    <col min="6926" max="6926" width="9.375" customWidth="1"/>
    <col min="7169" max="7169" width="3.25" customWidth="1"/>
    <col min="7170" max="7170" width="4.125" customWidth="1"/>
    <col min="7171" max="7171" width="18.5" customWidth="1"/>
    <col min="7172" max="7173" width="4.125" customWidth="1"/>
    <col min="7174" max="7174" width="5.625" customWidth="1"/>
    <col min="7175" max="7175" width="15" customWidth="1"/>
    <col min="7176" max="7176" width="6.125" customWidth="1"/>
    <col min="7177" max="7177" width="6.875" customWidth="1"/>
    <col min="7178" max="7178" width="9.875" customWidth="1"/>
    <col min="7179" max="7179" width="14" customWidth="1"/>
    <col min="7180" max="7180" width="5.875" customWidth="1"/>
    <col min="7181" max="7181" width="13.875" customWidth="1"/>
    <col min="7182" max="7182" width="9.375" customWidth="1"/>
    <col min="7425" max="7425" width="3.25" customWidth="1"/>
    <col min="7426" max="7426" width="4.125" customWidth="1"/>
    <col min="7427" max="7427" width="18.5" customWidth="1"/>
    <col min="7428" max="7429" width="4.125" customWidth="1"/>
    <col min="7430" max="7430" width="5.625" customWidth="1"/>
    <col min="7431" max="7431" width="15" customWidth="1"/>
    <col min="7432" max="7432" width="6.125" customWidth="1"/>
    <col min="7433" max="7433" width="6.875" customWidth="1"/>
    <col min="7434" max="7434" width="9.875" customWidth="1"/>
    <col min="7435" max="7435" width="14" customWidth="1"/>
    <col min="7436" max="7436" width="5.875" customWidth="1"/>
    <col min="7437" max="7437" width="13.875" customWidth="1"/>
    <col min="7438" max="7438" width="9.375" customWidth="1"/>
    <col min="7681" max="7681" width="3.25" customWidth="1"/>
    <col min="7682" max="7682" width="4.125" customWidth="1"/>
    <col min="7683" max="7683" width="18.5" customWidth="1"/>
    <col min="7684" max="7685" width="4.125" customWidth="1"/>
    <col min="7686" max="7686" width="5.625" customWidth="1"/>
    <col min="7687" max="7687" width="15" customWidth="1"/>
    <col min="7688" max="7688" width="6.125" customWidth="1"/>
    <col min="7689" max="7689" width="6.875" customWidth="1"/>
    <col min="7690" max="7690" width="9.875" customWidth="1"/>
    <col min="7691" max="7691" width="14" customWidth="1"/>
    <col min="7692" max="7692" width="5.875" customWidth="1"/>
    <col min="7693" max="7693" width="13.875" customWidth="1"/>
    <col min="7694" max="7694" width="9.375" customWidth="1"/>
    <col min="7937" max="7937" width="3.25" customWidth="1"/>
    <col min="7938" max="7938" width="4.125" customWidth="1"/>
    <col min="7939" max="7939" width="18.5" customWidth="1"/>
    <col min="7940" max="7941" width="4.125" customWidth="1"/>
    <col min="7942" max="7942" width="5.625" customWidth="1"/>
    <col min="7943" max="7943" width="15" customWidth="1"/>
    <col min="7944" max="7944" width="6.125" customWidth="1"/>
    <col min="7945" max="7945" width="6.875" customWidth="1"/>
    <col min="7946" max="7946" width="9.875" customWidth="1"/>
    <col min="7947" max="7947" width="14" customWidth="1"/>
    <col min="7948" max="7948" width="5.875" customWidth="1"/>
    <col min="7949" max="7949" width="13.875" customWidth="1"/>
    <col min="7950" max="7950" width="9.375" customWidth="1"/>
    <col min="8193" max="8193" width="3.25" customWidth="1"/>
    <col min="8194" max="8194" width="4.125" customWidth="1"/>
    <col min="8195" max="8195" width="18.5" customWidth="1"/>
    <col min="8196" max="8197" width="4.125" customWidth="1"/>
    <col min="8198" max="8198" width="5.625" customWidth="1"/>
    <col min="8199" max="8199" width="15" customWidth="1"/>
    <col min="8200" max="8200" width="6.125" customWidth="1"/>
    <col min="8201" max="8201" width="6.875" customWidth="1"/>
    <col min="8202" max="8202" width="9.875" customWidth="1"/>
    <col min="8203" max="8203" width="14" customWidth="1"/>
    <col min="8204" max="8204" width="5.875" customWidth="1"/>
    <col min="8205" max="8205" width="13.875" customWidth="1"/>
    <col min="8206" max="8206" width="9.375" customWidth="1"/>
    <col min="8449" max="8449" width="3.25" customWidth="1"/>
    <col min="8450" max="8450" width="4.125" customWidth="1"/>
    <col min="8451" max="8451" width="18.5" customWidth="1"/>
    <col min="8452" max="8453" width="4.125" customWidth="1"/>
    <col min="8454" max="8454" width="5.625" customWidth="1"/>
    <col min="8455" max="8455" width="15" customWidth="1"/>
    <col min="8456" max="8456" width="6.125" customWidth="1"/>
    <col min="8457" max="8457" width="6.875" customWidth="1"/>
    <col min="8458" max="8458" width="9.875" customWidth="1"/>
    <col min="8459" max="8459" width="14" customWidth="1"/>
    <col min="8460" max="8460" width="5.875" customWidth="1"/>
    <col min="8461" max="8461" width="13.875" customWidth="1"/>
    <col min="8462" max="8462" width="9.375" customWidth="1"/>
    <col min="8705" max="8705" width="3.25" customWidth="1"/>
    <col min="8706" max="8706" width="4.125" customWidth="1"/>
    <col min="8707" max="8707" width="18.5" customWidth="1"/>
    <col min="8708" max="8709" width="4.125" customWidth="1"/>
    <col min="8710" max="8710" width="5.625" customWidth="1"/>
    <col min="8711" max="8711" width="15" customWidth="1"/>
    <col min="8712" max="8712" width="6.125" customWidth="1"/>
    <col min="8713" max="8713" width="6.875" customWidth="1"/>
    <col min="8714" max="8714" width="9.875" customWidth="1"/>
    <col min="8715" max="8715" width="14" customWidth="1"/>
    <col min="8716" max="8716" width="5.875" customWidth="1"/>
    <col min="8717" max="8717" width="13.875" customWidth="1"/>
    <col min="8718" max="8718" width="9.375" customWidth="1"/>
    <col min="8961" max="8961" width="3.25" customWidth="1"/>
    <col min="8962" max="8962" width="4.125" customWidth="1"/>
    <col min="8963" max="8963" width="18.5" customWidth="1"/>
    <col min="8964" max="8965" width="4.125" customWidth="1"/>
    <col min="8966" max="8966" width="5.625" customWidth="1"/>
    <col min="8967" max="8967" width="15" customWidth="1"/>
    <col min="8968" max="8968" width="6.125" customWidth="1"/>
    <col min="8969" max="8969" width="6.875" customWidth="1"/>
    <col min="8970" max="8970" width="9.875" customWidth="1"/>
    <col min="8971" max="8971" width="14" customWidth="1"/>
    <col min="8972" max="8972" width="5.875" customWidth="1"/>
    <col min="8973" max="8973" width="13.875" customWidth="1"/>
    <col min="8974" max="8974" width="9.375" customWidth="1"/>
    <col min="9217" max="9217" width="3.25" customWidth="1"/>
    <col min="9218" max="9218" width="4.125" customWidth="1"/>
    <col min="9219" max="9219" width="18.5" customWidth="1"/>
    <col min="9220" max="9221" width="4.125" customWidth="1"/>
    <col min="9222" max="9222" width="5.625" customWidth="1"/>
    <col min="9223" max="9223" width="15" customWidth="1"/>
    <col min="9224" max="9224" width="6.125" customWidth="1"/>
    <col min="9225" max="9225" width="6.875" customWidth="1"/>
    <col min="9226" max="9226" width="9.875" customWidth="1"/>
    <col min="9227" max="9227" width="14" customWidth="1"/>
    <col min="9228" max="9228" width="5.875" customWidth="1"/>
    <col min="9229" max="9229" width="13.875" customWidth="1"/>
    <col min="9230" max="9230" width="9.375" customWidth="1"/>
    <col min="9473" max="9473" width="3.25" customWidth="1"/>
    <col min="9474" max="9474" width="4.125" customWidth="1"/>
    <col min="9475" max="9475" width="18.5" customWidth="1"/>
    <col min="9476" max="9477" width="4.125" customWidth="1"/>
    <col min="9478" max="9478" width="5.625" customWidth="1"/>
    <col min="9479" max="9479" width="15" customWidth="1"/>
    <col min="9480" max="9480" width="6.125" customWidth="1"/>
    <col min="9481" max="9481" width="6.875" customWidth="1"/>
    <col min="9482" max="9482" width="9.875" customWidth="1"/>
    <col min="9483" max="9483" width="14" customWidth="1"/>
    <col min="9484" max="9484" width="5.875" customWidth="1"/>
    <col min="9485" max="9485" width="13.875" customWidth="1"/>
    <col min="9486" max="9486" width="9.375" customWidth="1"/>
    <col min="9729" max="9729" width="3.25" customWidth="1"/>
    <col min="9730" max="9730" width="4.125" customWidth="1"/>
    <col min="9731" max="9731" width="18.5" customWidth="1"/>
    <col min="9732" max="9733" width="4.125" customWidth="1"/>
    <col min="9734" max="9734" width="5.625" customWidth="1"/>
    <col min="9735" max="9735" width="15" customWidth="1"/>
    <col min="9736" max="9736" width="6.125" customWidth="1"/>
    <col min="9737" max="9737" width="6.875" customWidth="1"/>
    <col min="9738" max="9738" width="9.875" customWidth="1"/>
    <col min="9739" max="9739" width="14" customWidth="1"/>
    <col min="9740" max="9740" width="5.875" customWidth="1"/>
    <col min="9741" max="9741" width="13.875" customWidth="1"/>
    <col min="9742" max="9742" width="9.375" customWidth="1"/>
    <col min="9985" max="9985" width="3.25" customWidth="1"/>
    <col min="9986" max="9986" width="4.125" customWidth="1"/>
    <col min="9987" max="9987" width="18.5" customWidth="1"/>
    <col min="9988" max="9989" width="4.125" customWidth="1"/>
    <col min="9990" max="9990" width="5.625" customWidth="1"/>
    <col min="9991" max="9991" width="15" customWidth="1"/>
    <col min="9992" max="9992" width="6.125" customWidth="1"/>
    <col min="9993" max="9993" width="6.875" customWidth="1"/>
    <col min="9994" max="9994" width="9.875" customWidth="1"/>
    <col min="9995" max="9995" width="14" customWidth="1"/>
    <col min="9996" max="9996" width="5.875" customWidth="1"/>
    <col min="9997" max="9997" width="13.875" customWidth="1"/>
    <col min="9998" max="9998" width="9.375" customWidth="1"/>
    <col min="10241" max="10241" width="3.25" customWidth="1"/>
    <col min="10242" max="10242" width="4.125" customWidth="1"/>
    <col min="10243" max="10243" width="18.5" customWidth="1"/>
    <col min="10244" max="10245" width="4.125" customWidth="1"/>
    <col min="10246" max="10246" width="5.625" customWidth="1"/>
    <col min="10247" max="10247" width="15" customWidth="1"/>
    <col min="10248" max="10248" width="6.125" customWidth="1"/>
    <col min="10249" max="10249" width="6.875" customWidth="1"/>
    <col min="10250" max="10250" width="9.875" customWidth="1"/>
    <col min="10251" max="10251" width="14" customWidth="1"/>
    <col min="10252" max="10252" width="5.875" customWidth="1"/>
    <col min="10253" max="10253" width="13.875" customWidth="1"/>
    <col min="10254" max="10254" width="9.375" customWidth="1"/>
    <col min="10497" max="10497" width="3.25" customWidth="1"/>
    <col min="10498" max="10498" width="4.125" customWidth="1"/>
    <col min="10499" max="10499" width="18.5" customWidth="1"/>
    <col min="10500" max="10501" width="4.125" customWidth="1"/>
    <col min="10502" max="10502" width="5.625" customWidth="1"/>
    <col min="10503" max="10503" width="15" customWidth="1"/>
    <col min="10504" max="10504" width="6.125" customWidth="1"/>
    <col min="10505" max="10505" width="6.875" customWidth="1"/>
    <col min="10506" max="10506" width="9.875" customWidth="1"/>
    <col min="10507" max="10507" width="14" customWidth="1"/>
    <col min="10508" max="10508" width="5.875" customWidth="1"/>
    <col min="10509" max="10509" width="13.875" customWidth="1"/>
    <col min="10510" max="10510" width="9.375" customWidth="1"/>
    <col min="10753" max="10753" width="3.25" customWidth="1"/>
    <col min="10754" max="10754" width="4.125" customWidth="1"/>
    <col min="10755" max="10755" width="18.5" customWidth="1"/>
    <col min="10756" max="10757" width="4.125" customWidth="1"/>
    <col min="10758" max="10758" width="5.625" customWidth="1"/>
    <col min="10759" max="10759" width="15" customWidth="1"/>
    <col min="10760" max="10760" width="6.125" customWidth="1"/>
    <col min="10761" max="10761" width="6.875" customWidth="1"/>
    <col min="10762" max="10762" width="9.875" customWidth="1"/>
    <col min="10763" max="10763" width="14" customWidth="1"/>
    <col min="10764" max="10764" width="5.875" customWidth="1"/>
    <col min="10765" max="10765" width="13.875" customWidth="1"/>
    <col min="10766" max="10766" width="9.375" customWidth="1"/>
    <col min="11009" max="11009" width="3.25" customWidth="1"/>
    <col min="11010" max="11010" width="4.125" customWidth="1"/>
    <col min="11011" max="11011" width="18.5" customWidth="1"/>
    <col min="11012" max="11013" width="4.125" customWidth="1"/>
    <col min="11014" max="11014" width="5.625" customWidth="1"/>
    <col min="11015" max="11015" width="15" customWidth="1"/>
    <col min="11016" max="11016" width="6.125" customWidth="1"/>
    <col min="11017" max="11017" width="6.875" customWidth="1"/>
    <col min="11018" max="11018" width="9.875" customWidth="1"/>
    <col min="11019" max="11019" width="14" customWidth="1"/>
    <col min="11020" max="11020" width="5.875" customWidth="1"/>
    <col min="11021" max="11021" width="13.875" customWidth="1"/>
    <col min="11022" max="11022" width="9.375" customWidth="1"/>
    <col min="11265" max="11265" width="3.25" customWidth="1"/>
    <col min="11266" max="11266" width="4.125" customWidth="1"/>
    <col min="11267" max="11267" width="18.5" customWidth="1"/>
    <col min="11268" max="11269" width="4.125" customWidth="1"/>
    <col min="11270" max="11270" width="5.625" customWidth="1"/>
    <col min="11271" max="11271" width="15" customWidth="1"/>
    <col min="11272" max="11272" width="6.125" customWidth="1"/>
    <col min="11273" max="11273" width="6.875" customWidth="1"/>
    <col min="11274" max="11274" width="9.875" customWidth="1"/>
    <col min="11275" max="11275" width="14" customWidth="1"/>
    <col min="11276" max="11276" width="5.875" customWidth="1"/>
    <col min="11277" max="11277" width="13.875" customWidth="1"/>
    <col min="11278" max="11278" width="9.375" customWidth="1"/>
    <col min="11521" max="11521" width="3.25" customWidth="1"/>
    <col min="11522" max="11522" width="4.125" customWidth="1"/>
    <col min="11523" max="11523" width="18.5" customWidth="1"/>
    <col min="11524" max="11525" width="4.125" customWidth="1"/>
    <col min="11526" max="11526" width="5.625" customWidth="1"/>
    <col min="11527" max="11527" width="15" customWidth="1"/>
    <col min="11528" max="11528" width="6.125" customWidth="1"/>
    <col min="11529" max="11529" width="6.875" customWidth="1"/>
    <col min="11530" max="11530" width="9.875" customWidth="1"/>
    <col min="11531" max="11531" width="14" customWidth="1"/>
    <col min="11532" max="11532" width="5.875" customWidth="1"/>
    <col min="11533" max="11533" width="13.875" customWidth="1"/>
    <col min="11534" max="11534" width="9.375" customWidth="1"/>
    <col min="11777" max="11777" width="3.25" customWidth="1"/>
    <col min="11778" max="11778" width="4.125" customWidth="1"/>
    <col min="11779" max="11779" width="18.5" customWidth="1"/>
    <col min="11780" max="11781" width="4.125" customWidth="1"/>
    <col min="11782" max="11782" width="5.625" customWidth="1"/>
    <col min="11783" max="11783" width="15" customWidth="1"/>
    <col min="11784" max="11784" width="6.125" customWidth="1"/>
    <col min="11785" max="11785" width="6.875" customWidth="1"/>
    <col min="11786" max="11786" width="9.875" customWidth="1"/>
    <col min="11787" max="11787" width="14" customWidth="1"/>
    <col min="11788" max="11788" width="5.875" customWidth="1"/>
    <col min="11789" max="11789" width="13.875" customWidth="1"/>
    <col min="11790" max="11790" width="9.375" customWidth="1"/>
    <col min="12033" max="12033" width="3.25" customWidth="1"/>
    <col min="12034" max="12034" width="4.125" customWidth="1"/>
    <col min="12035" max="12035" width="18.5" customWidth="1"/>
    <col min="12036" max="12037" width="4.125" customWidth="1"/>
    <col min="12038" max="12038" width="5.625" customWidth="1"/>
    <col min="12039" max="12039" width="15" customWidth="1"/>
    <col min="12040" max="12040" width="6.125" customWidth="1"/>
    <col min="12041" max="12041" width="6.875" customWidth="1"/>
    <col min="12042" max="12042" width="9.875" customWidth="1"/>
    <col min="12043" max="12043" width="14" customWidth="1"/>
    <col min="12044" max="12044" width="5.875" customWidth="1"/>
    <col min="12045" max="12045" width="13.875" customWidth="1"/>
    <col min="12046" max="12046" width="9.375" customWidth="1"/>
    <col min="12289" max="12289" width="3.25" customWidth="1"/>
    <col min="12290" max="12290" width="4.125" customWidth="1"/>
    <col min="12291" max="12291" width="18.5" customWidth="1"/>
    <col min="12292" max="12293" width="4.125" customWidth="1"/>
    <col min="12294" max="12294" width="5.625" customWidth="1"/>
    <col min="12295" max="12295" width="15" customWidth="1"/>
    <col min="12296" max="12296" width="6.125" customWidth="1"/>
    <col min="12297" max="12297" width="6.875" customWidth="1"/>
    <col min="12298" max="12298" width="9.875" customWidth="1"/>
    <col min="12299" max="12299" width="14" customWidth="1"/>
    <col min="12300" max="12300" width="5.875" customWidth="1"/>
    <col min="12301" max="12301" width="13.875" customWidth="1"/>
    <col min="12302" max="12302" width="9.375" customWidth="1"/>
    <col min="12545" max="12545" width="3.25" customWidth="1"/>
    <col min="12546" max="12546" width="4.125" customWidth="1"/>
    <col min="12547" max="12547" width="18.5" customWidth="1"/>
    <col min="12548" max="12549" width="4.125" customWidth="1"/>
    <col min="12550" max="12550" width="5.625" customWidth="1"/>
    <col min="12551" max="12551" width="15" customWidth="1"/>
    <col min="12552" max="12552" width="6.125" customWidth="1"/>
    <col min="12553" max="12553" width="6.875" customWidth="1"/>
    <col min="12554" max="12554" width="9.875" customWidth="1"/>
    <col min="12555" max="12555" width="14" customWidth="1"/>
    <col min="12556" max="12556" width="5.875" customWidth="1"/>
    <col min="12557" max="12557" width="13.875" customWidth="1"/>
    <col min="12558" max="12558" width="9.375" customWidth="1"/>
    <col min="12801" max="12801" width="3.25" customWidth="1"/>
    <col min="12802" max="12802" width="4.125" customWidth="1"/>
    <col min="12803" max="12803" width="18.5" customWidth="1"/>
    <col min="12804" max="12805" width="4.125" customWidth="1"/>
    <col min="12806" max="12806" width="5.625" customWidth="1"/>
    <col min="12807" max="12807" width="15" customWidth="1"/>
    <col min="12808" max="12808" width="6.125" customWidth="1"/>
    <col min="12809" max="12809" width="6.875" customWidth="1"/>
    <col min="12810" max="12810" width="9.875" customWidth="1"/>
    <col min="12811" max="12811" width="14" customWidth="1"/>
    <col min="12812" max="12812" width="5.875" customWidth="1"/>
    <col min="12813" max="12813" width="13.875" customWidth="1"/>
    <col min="12814" max="12814" width="9.375" customWidth="1"/>
    <col min="13057" max="13057" width="3.25" customWidth="1"/>
    <col min="13058" max="13058" width="4.125" customWidth="1"/>
    <col min="13059" max="13059" width="18.5" customWidth="1"/>
    <col min="13060" max="13061" width="4.125" customWidth="1"/>
    <col min="13062" max="13062" width="5.625" customWidth="1"/>
    <col min="13063" max="13063" width="15" customWidth="1"/>
    <col min="13064" max="13064" width="6.125" customWidth="1"/>
    <col min="13065" max="13065" width="6.875" customWidth="1"/>
    <col min="13066" max="13066" width="9.875" customWidth="1"/>
    <col min="13067" max="13067" width="14" customWidth="1"/>
    <col min="13068" max="13068" width="5.875" customWidth="1"/>
    <col min="13069" max="13069" width="13.875" customWidth="1"/>
    <col min="13070" max="13070" width="9.375" customWidth="1"/>
    <col min="13313" max="13313" width="3.25" customWidth="1"/>
    <col min="13314" max="13314" width="4.125" customWidth="1"/>
    <col min="13315" max="13315" width="18.5" customWidth="1"/>
    <col min="13316" max="13317" width="4.125" customWidth="1"/>
    <col min="13318" max="13318" width="5.625" customWidth="1"/>
    <col min="13319" max="13319" width="15" customWidth="1"/>
    <col min="13320" max="13320" width="6.125" customWidth="1"/>
    <col min="13321" max="13321" width="6.875" customWidth="1"/>
    <col min="13322" max="13322" width="9.875" customWidth="1"/>
    <col min="13323" max="13323" width="14" customWidth="1"/>
    <col min="13324" max="13324" width="5.875" customWidth="1"/>
    <col min="13325" max="13325" width="13.875" customWidth="1"/>
    <col min="13326" max="13326" width="9.375" customWidth="1"/>
    <col min="13569" max="13569" width="3.25" customWidth="1"/>
    <col min="13570" max="13570" width="4.125" customWidth="1"/>
    <col min="13571" max="13571" width="18.5" customWidth="1"/>
    <col min="13572" max="13573" width="4.125" customWidth="1"/>
    <col min="13574" max="13574" width="5.625" customWidth="1"/>
    <col min="13575" max="13575" width="15" customWidth="1"/>
    <col min="13576" max="13576" width="6.125" customWidth="1"/>
    <col min="13577" max="13577" width="6.875" customWidth="1"/>
    <col min="13578" max="13578" width="9.875" customWidth="1"/>
    <col min="13579" max="13579" width="14" customWidth="1"/>
    <col min="13580" max="13580" width="5.875" customWidth="1"/>
    <col min="13581" max="13581" width="13.875" customWidth="1"/>
    <col min="13582" max="13582" width="9.375" customWidth="1"/>
    <col min="13825" max="13825" width="3.25" customWidth="1"/>
    <col min="13826" max="13826" width="4.125" customWidth="1"/>
    <col min="13827" max="13827" width="18.5" customWidth="1"/>
    <col min="13828" max="13829" width="4.125" customWidth="1"/>
    <col min="13830" max="13830" width="5.625" customWidth="1"/>
    <col min="13831" max="13831" width="15" customWidth="1"/>
    <col min="13832" max="13832" width="6.125" customWidth="1"/>
    <col min="13833" max="13833" width="6.875" customWidth="1"/>
    <col min="13834" max="13834" width="9.875" customWidth="1"/>
    <col min="13835" max="13835" width="14" customWidth="1"/>
    <col min="13836" max="13836" width="5.875" customWidth="1"/>
    <col min="13837" max="13837" width="13.875" customWidth="1"/>
    <col min="13838" max="13838" width="9.375" customWidth="1"/>
    <col min="14081" max="14081" width="3.25" customWidth="1"/>
    <col min="14082" max="14082" width="4.125" customWidth="1"/>
    <col min="14083" max="14083" width="18.5" customWidth="1"/>
    <col min="14084" max="14085" width="4.125" customWidth="1"/>
    <col min="14086" max="14086" width="5.625" customWidth="1"/>
    <col min="14087" max="14087" width="15" customWidth="1"/>
    <col min="14088" max="14088" width="6.125" customWidth="1"/>
    <col min="14089" max="14089" width="6.875" customWidth="1"/>
    <col min="14090" max="14090" width="9.875" customWidth="1"/>
    <col min="14091" max="14091" width="14" customWidth="1"/>
    <col min="14092" max="14092" width="5.875" customWidth="1"/>
    <col min="14093" max="14093" width="13.875" customWidth="1"/>
    <col min="14094" max="14094" width="9.375" customWidth="1"/>
    <col min="14337" max="14337" width="3.25" customWidth="1"/>
    <col min="14338" max="14338" width="4.125" customWidth="1"/>
    <col min="14339" max="14339" width="18.5" customWidth="1"/>
    <col min="14340" max="14341" width="4.125" customWidth="1"/>
    <col min="14342" max="14342" width="5.625" customWidth="1"/>
    <col min="14343" max="14343" width="15" customWidth="1"/>
    <col min="14344" max="14344" width="6.125" customWidth="1"/>
    <col min="14345" max="14345" width="6.875" customWidth="1"/>
    <col min="14346" max="14346" width="9.875" customWidth="1"/>
    <col min="14347" max="14347" width="14" customWidth="1"/>
    <col min="14348" max="14348" width="5.875" customWidth="1"/>
    <col min="14349" max="14349" width="13.875" customWidth="1"/>
    <col min="14350" max="14350" width="9.375" customWidth="1"/>
    <col min="14593" max="14593" width="3.25" customWidth="1"/>
    <col min="14594" max="14594" width="4.125" customWidth="1"/>
    <col min="14595" max="14595" width="18.5" customWidth="1"/>
    <col min="14596" max="14597" width="4.125" customWidth="1"/>
    <col min="14598" max="14598" width="5.625" customWidth="1"/>
    <col min="14599" max="14599" width="15" customWidth="1"/>
    <col min="14600" max="14600" width="6.125" customWidth="1"/>
    <col min="14601" max="14601" width="6.875" customWidth="1"/>
    <col min="14602" max="14602" width="9.875" customWidth="1"/>
    <col min="14603" max="14603" width="14" customWidth="1"/>
    <col min="14604" max="14604" width="5.875" customWidth="1"/>
    <col min="14605" max="14605" width="13.875" customWidth="1"/>
    <col min="14606" max="14606" width="9.375" customWidth="1"/>
    <col min="14849" max="14849" width="3.25" customWidth="1"/>
    <col min="14850" max="14850" width="4.125" customWidth="1"/>
    <col min="14851" max="14851" width="18.5" customWidth="1"/>
    <col min="14852" max="14853" width="4.125" customWidth="1"/>
    <col min="14854" max="14854" width="5.625" customWidth="1"/>
    <col min="14855" max="14855" width="15" customWidth="1"/>
    <col min="14856" max="14856" width="6.125" customWidth="1"/>
    <col min="14857" max="14857" width="6.875" customWidth="1"/>
    <col min="14858" max="14858" width="9.875" customWidth="1"/>
    <col min="14859" max="14859" width="14" customWidth="1"/>
    <col min="14860" max="14860" width="5.875" customWidth="1"/>
    <col min="14861" max="14861" width="13.875" customWidth="1"/>
    <col min="14862" max="14862" width="9.375" customWidth="1"/>
    <col min="15105" max="15105" width="3.25" customWidth="1"/>
    <col min="15106" max="15106" width="4.125" customWidth="1"/>
    <col min="15107" max="15107" width="18.5" customWidth="1"/>
    <col min="15108" max="15109" width="4.125" customWidth="1"/>
    <col min="15110" max="15110" width="5.625" customWidth="1"/>
    <col min="15111" max="15111" width="15" customWidth="1"/>
    <col min="15112" max="15112" width="6.125" customWidth="1"/>
    <col min="15113" max="15113" width="6.875" customWidth="1"/>
    <col min="15114" max="15114" width="9.875" customWidth="1"/>
    <col min="15115" max="15115" width="14" customWidth="1"/>
    <col min="15116" max="15116" width="5.875" customWidth="1"/>
    <col min="15117" max="15117" width="13.875" customWidth="1"/>
    <col min="15118" max="15118" width="9.375" customWidth="1"/>
    <col min="15361" max="15361" width="3.25" customWidth="1"/>
    <col min="15362" max="15362" width="4.125" customWidth="1"/>
    <col min="15363" max="15363" width="18.5" customWidth="1"/>
    <col min="15364" max="15365" width="4.125" customWidth="1"/>
    <col min="15366" max="15366" width="5.625" customWidth="1"/>
    <col min="15367" max="15367" width="15" customWidth="1"/>
    <col min="15368" max="15368" width="6.125" customWidth="1"/>
    <col min="15369" max="15369" width="6.875" customWidth="1"/>
    <col min="15370" max="15370" width="9.875" customWidth="1"/>
    <col min="15371" max="15371" width="14" customWidth="1"/>
    <col min="15372" max="15372" width="5.875" customWidth="1"/>
    <col min="15373" max="15373" width="13.875" customWidth="1"/>
    <col min="15374" max="15374" width="9.375" customWidth="1"/>
    <col min="15617" max="15617" width="3.25" customWidth="1"/>
    <col min="15618" max="15618" width="4.125" customWidth="1"/>
    <col min="15619" max="15619" width="18.5" customWidth="1"/>
    <col min="15620" max="15621" width="4.125" customWidth="1"/>
    <col min="15622" max="15622" width="5.625" customWidth="1"/>
    <col min="15623" max="15623" width="15" customWidth="1"/>
    <col min="15624" max="15624" width="6.125" customWidth="1"/>
    <col min="15625" max="15625" width="6.875" customWidth="1"/>
    <col min="15626" max="15626" width="9.875" customWidth="1"/>
    <col min="15627" max="15627" width="14" customWidth="1"/>
    <col min="15628" max="15628" width="5.875" customWidth="1"/>
    <col min="15629" max="15629" width="13.875" customWidth="1"/>
    <col min="15630" max="15630" width="9.375" customWidth="1"/>
    <col min="15873" max="15873" width="3.25" customWidth="1"/>
    <col min="15874" max="15874" width="4.125" customWidth="1"/>
    <col min="15875" max="15875" width="18.5" customWidth="1"/>
    <col min="15876" max="15877" width="4.125" customWidth="1"/>
    <col min="15878" max="15878" width="5.625" customWidth="1"/>
    <col min="15879" max="15879" width="15" customWidth="1"/>
    <col min="15880" max="15880" width="6.125" customWidth="1"/>
    <col min="15881" max="15881" width="6.875" customWidth="1"/>
    <col min="15882" max="15882" width="9.875" customWidth="1"/>
    <col min="15883" max="15883" width="14" customWidth="1"/>
    <col min="15884" max="15884" width="5.875" customWidth="1"/>
    <col min="15885" max="15885" width="13.875" customWidth="1"/>
    <col min="15886" max="15886" width="9.375" customWidth="1"/>
    <col min="16129" max="16129" width="3.25" customWidth="1"/>
    <col min="16130" max="16130" width="4.125" customWidth="1"/>
    <col min="16131" max="16131" width="18.5" customWidth="1"/>
    <col min="16132" max="16133" width="4.125" customWidth="1"/>
    <col min="16134" max="16134" width="5.625" customWidth="1"/>
    <col min="16135" max="16135" width="15" customWidth="1"/>
    <col min="16136" max="16136" width="6.125" customWidth="1"/>
    <col min="16137" max="16137" width="6.875" customWidth="1"/>
    <col min="16138" max="16138" width="9.875" customWidth="1"/>
    <col min="16139" max="16139" width="14" customWidth="1"/>
    <col min="16140" max="16140" width="5.875" customWidth="1"/>
    <col min="16141" max="16141" width="13.875" customWidth="1"/>
    <col min="16142" max="16142" width="9.375" customWidth="1"/>
  </cols>
  <sheetData>
    <row r="1" ht="25.8" spans="1:14">
      <c r="A1" s="652" t="s">
        <v>42</v>
      </c>
      <c r="B1" s="652"/>
      <c r="C1" s="652"/>
      <c r="D1" s="652"/>
      <c r="E1" s="652"/>
      <c r="F1" s="652"/>
      <c r="G1" s="652"/>
      <c r="H1" s="652"/>
      <c r="I1" s="652"/>
      <c r="J1" s="652"/>
      <c r="K1" s="652"/>
      <c r="L1" s="652"/>
      <c r="M1" s="652"/>
      <c r="N1" s="117" t="s">
        <v>88</v>
      </c>
    </row>
    <row r="3" ht="84" spans="1:14">
      <c r="A3" s="260" t="s">
        <v>2725</v>
      </c>
      <c r="B3" s="260" t="s">
        <v>2759</v>
      </c>
      <c r="C3" s="260" t="s">
        <v>2760</v>
      </c>
      <c r="D3" s="260" t="s">
        <v>2761</v>
      </c>
      <c r="E3" s="260" t="s">
        <v>2762</v>
      </c>
      <c r="F3" s="260" t="s">
        <v>2763</v>
      </c>
      <c r="G3" s="260" t="s">
        <v>2764</v>
      </c>
      <c r="H3" s="664" t="s">
        <v>2765</v>
      </c>
      <c r="I3" s="260" t="s">
        <v>2766</v>
      </c>
      <c r="J3" s="260" t="s">
        <v>2767</v>
      </c>
      <c r="K3" s="260" t="s">
        <v>2768</v>
      </c>
      <c r="L3" s="260" t="s">
        <v>2769</v>
      </c>
      <c r="M3" s="260" t="s">
        <v>2770</v>
      </c>
      <c r="N3" s="664" t="s">
        <v>2771</v>
      </c>
    </row>
    <row r="4" ht="49.5" customHeight="1" spans="1:14">
      <c r="A4" s="661"/>
      <c r="B4" s="661"/>
      <c r="C4" s="661"/>
      <c r="D4" s="353" t="s">
        <v>2772</v>
      </c>
      <c r="E4" s="353" t="s">
        <v>2773</v>
      </c>
      <c r="F4" s="338" t="s">
        <v>2774</v>
      </c>
      <c r="G4" s="228"/>
      <c r="H4" s="669"/>
      <c r="I4" s="338" t="s">
        <v>2775</v>
      </c>
      <c r="J4" s="228"/>
      <c r="K4" s="313"/>
      <c r="L4" s="671"/>
      <c r="M4" s="660"/>
      <c r="N4" s="669"/>
    </row>
    <row r="5" s="156" customFormat="1" spans="1:14">
      <c r="A5" s="228">
        <v>1</v>
      </c>
      <c r="B5" s="228" t="s">
        <v>2776</v>
      </c>
      <c r="C5" s="228" t="s">
        <v>2777</v>
      </c>
      <c r="D5" s="228">
        <v>1140</v>
      </c>
      <c r="E5" s="228">
        <v>1200</v>
      </c>
      <c r="F5" s="228">
        <f>29.72+1.2+0.22</f>
        <v>31.14</v>
      </c>
      <c r="G5" s="228">
        <f>E5-0.95*D5</f>
        <v>117</v>
      </c>
      <c r="H5" s="670" t="s">
        <v>2778</v>
      </c>
      <c r="I5" s="663">
        <f>69.67+3.4+1.75</f>
        <v>74.82</v>
      </c>
      <c r="J5" s="663">
        <f>E5-I5</f>
        <v>1125.18</v>
      </c>
      <c r="K5" s="666">
        <f>D5*POWER(0.48,0.5)</f>
        <v>789.815168251408</v>
      </c>
      <c r="L5" s="663">
        <f>0.7*D5</f>
        <v>798</v>
      </c>
      <c r="M5" s="672">
        <f>0.7*D5-I5</f>
        <v>723.18</v>
      </c>
      <c r="N5" s="228" t="s">
        <v>2778</v>
      </c>
    </row>
    <row r="6" s="156" customFormat="1" spans="1:14">
      <c r="A6" s="228">
        <v>2</v>
      </c>
      <c r="B6" s="228" t="s">
        <v>2779</v>
      </c>
      <c r="C6" s="228" t="s">
        <v>2780</v>
      </c>
      <c r="D6" s="228">
        <v>1140</v>
      </c>
      <c r="E6" s="228">
        <v>1200</v>
      </c>
      <c r="F6" s="228">
        <f>14.28+2.08+2.61</f>
        <v>18.97</v>
      </c>
      <c r="G6" s="228">
        <f>E6-0.95*D6</f>
        <v>117</v>
      </c>
      <c r="H6" s="670" t="s">
        <v>2778</v>
      </c>
      <c r="I6" s="663">
        <f>45.27+5.38+7.9</f>
        <v>58.55</v>
      </c>
      <c r="J6" s="663">
        <f>E6-I6</f>
        <v>1141.45</v>
      </c>
      <c r="K6" s="672">
        <f>D6*POWER(0.48,0.5)</f>
        <v>789.815168251408</v>
      </c>
      <c r="L6" s="663">
        <f>0.7*D6</f>
        <v>798</v>
      </c>
      <c r="M6" s="672">
        <f>0.7*D6-I6</f>
        <v>739.45</v>
      </c>
      <c r="N6" s="228" t="s">
        <v>2778</v>
      </c>
    </row>
    <row r="7" s="156" customFormat="1" spans="1:14">
      <c r="A7" s="228"/>
      <c r="B7" s="254" t="s">
        <v>2781</v>
      </c>
      <c r="C7" s="228" t="s">
        <v>2782</v>
      </c>
      <c r="D7" s="228">
        <v>3300</v>
      </c>
      <c r="E7" s="228">
        <v>3450</v>
      </c>
      <c r="F7" s="228">
        <f>62.15+0.52+15.78</f>
        <v>78.45</v>
      </c>
      <c r="G7" s="228">
        <f>E7-0.95*D7</f>
        <v>315</v>
      </c>
      <c r="H7" s="670" t="s">
        <v>2778</v>
      </c>
      <c r="I7" s="663">
        <f>142.44+47.9+1.13</f>
        <v>191.47</v>
      </c>
      <c r="J7" s="663">
        <f>E7-I7</f>
        <v>3258.53</v>
      </c>
      <c r="K7" s="672">
        <f>D7*POWER(0.48,0.5)</f>
        <v>2286.30706599092</v>
      </c>
      <c r="L7" s="663">
        <f>0.7*D7</f>
        <v>2310</v>
      </c>
      <c r="M7" s="672">
        <f>0.7*D7-I7</f>
        <v>2118.53</v>
      </c>
      <c r="N7" s="228" t="s">
        <v>2778</v>
      </c>
    </row>
    <row r="8" s="156" customFormat="1" spans="1:14">
      <c r="A8" s="228"/>
      <c r="B8" s="228"/>
      <c r="C8" s="228"/>
      <c r="D8" s="228"/>
      <c r="E8" s="228"/>
      <c r="F8" s="228"/>
      <c r="G8" s="228"/>
      <c r="H8" s="670"/>
      <c r="I8" s="663"/>
      <c r="J8" s="663"/>
      <c r="K8" s="672"/>
      <c r="L8" s="663"/>
      <c r="M8" s="672"/>
      <c r="N8" s="228"/>
    </row>
    <row r="9" s="641" customFormat="1" spans="1:14">
      <c r="A9" s="228"/>
      <c r="B9" s="228"/>
      <c r="C9" s="228"/>
      <c r="D9" s="228"/>
      <c r="E9" s="228"/>
      <c r="F9" s="228"/>
      <c r="G9" s="228"/>
      <c r="H9" s="670"/>
      <c r="I9" s="663"/>
      <c r="J9" s="663"/>
      <c r="K9" s="672"/>
      <c r="L9" s="663"/>
      <c r="M9" s="672"/>
      <c r="N9" s="228"/>
    </row>
    <row r="10" s="641" customFormat="1" spans="1:14">
      <c r="A10" s="228"/>
      <c r="B10" s="228"/>
      <c r="C10" s="228"/>
      <c r="D10" s="228"/>
      <c r="E10" s="228"/>
      <c r="F10" s="228"/>
      <c r="G10" s="228"/>
      <c r="H10" s="670"/>
      <c r="I10" s="663"/>
      <c r="J10" s="663"/>
      <c r="K10" s="672"/>
      <c r="L10" s="663"/>
      <c r="M10" s="672"/>
      <c r="N10" s="228"/>
    </row>
    <row r="11" s="641" customFormat="1" spans="1:14">
      <c r="A11" s="228"/>
      <c r="B11" s="228"/>
      <c r="C11" s="228"/>
      <c r="D11" s="228"/>
      <c r="E11" s="228"/>
      <c r="F11" s="228"/>
      <c r="G11" s="228"/>
      <c r="H11" s="670"/>
      <c r="I11" s="663"/>
      <c r="J11" s="663"/>
      <c r="K11" s="672"/>
      <c r="L11" s="663"/>
      <c r="M11" s="672"/>
      <c r="N11" s="228"/>
    </row>
    <row r="12" s="641" customFormat="1" spans="1:14">
      <c r="A12" s="228"/>
      <c r="B12" s="228"/>
      <c r="C12" s="228"/>
      <c r="D12" s="228"/>
      <c r="E12" s="228"/>
      <c r="F12" s="228"/>
      <c r="G12" s="228"/>
      <c r="H12" s="670"/>
      <c r="I12" s="663"/>
      <c r="J12" s="663"/>
      <c r="K12" s="672"/>
      <c r="L12" s="663"/>
      <c r="M12" s="672"/>
      <c r="N12" s="228"/>
    </row>
    <row r="13" spans="1:14">
      <c r="A13" s="228"/>
      <c r="B13" s="228"/>
      <c r="C13" s="228"/>
      <c r="D13" s="228"/>
      <c r="E13" s="228"/>
      <c r="F13" s="228"/>
      <c r="G13" s="228"/>
      <c r="H13" s="663"/>
      <c r="I13" s="663"/>
      <c r="J13" s="663"/>
      <c r="K13" s="672"/>
      <c r="L13" s="663"/>
      <c r="M13" s="672"/>
      <c r="N13" s="228"/>
    </row>
    <row r="14" spans="1:14">
      <c r="A14" s="228"/>
      <c r="B14" s="228"/>
      <c r="C14" s="228"/>
      <c r="D14" s="228"/>
      <c r="E14" s="228"/>
      <c r="F14" s="228"/>
      <c r="G14" s="228"/>
      <c r="H14" s="663"/>
      <c r="I14" s="663"/>
      <c r="J14" s="663"/>
      <c r="K14" s="672"/>
      <c r="L14" s="663"/>
      <c r="M14" s="672"/>
      <c r="N14" s="228"/>
    </row>
    <row r="15" spans="1:14">
      <c r="A15" s="228"/>
      <c r="B15" s="228"/>
      <c r="C15" s="228"/>
      <c r="D15" s="228"/>
      <c r="E15" s="228"/>
      <c r="F15" s="228"/>
      <c r="G15" s="228"/>
      <c r="H15" s="663"/>
      <c r="I15" s="663"/>
      <c r="J15" s="663"/>
      <c r="K15" s="672"/>
      <c r="L15" s="663"/>
      <c r="M15" s="672"/>
      <c r="N15" s="228"/>
    </row>
    <row r="16" spans="1:14">
      <c r="A16" s="228"/>
      <c r="B16" s="228"/>
      <c r="C16" s="228"/>
      <c r="D16" s="228"/>
      <c r="E16" s="228"/>
      <c r="F16" s="228"/>
      <c r="G16" s="228"/>
      <c r="H16" s="663"/>
      <c r="I16" s="663"/>
      <c r="J16" s="663"/>
      <c r="K16" s="672"/>
      <c r="L16" s="663"/>
      <c r="M16" s="672"/>
      <c r="N16" s="313"/>
    </row>
    <row r="17" spans="1:14">
      <c r="A17" s="228"/>
      <c r="B17" s="228"/>
      <c r="C17" s="228"/>
      <c r="D17" s="228"/>
      <c r="E17" s="228"/>
      <c r="F17" s="228"/>
      <c r="G17" s="228"/>
      <c r="H17" s="663"/>
      <c r="I17" s="663"/>
      <c r="J17" s="663"/>
      <c r="K17" s="672"/>
      <c r="L17" s="663"/>
      <c r="M17" s="672"/>
      <c r="N17" s="313"/>
    </row>
    <row r="18" spans="1:14">
      <c r="A18" s="228"/>
      <c r="B18" s="228"/>
      <c r="C18" s="228"/>
      <c r="D18" s="228"/>
      <c r="E18" s="228"/>
      <c r="F18" s="228"/>
      <c r="G18" s="228"/>
      <c r="H18" s="663"/>
      <c r="I18" s="663"/>
      <c r="J18" s="663"/>
      <c r="K18" s="672"/>
      <c r="L18" s="663"/>
      <c r="M18" s="672"/>
      <c r="N18" s="313"/>
    </row>
  </sheetData>
  <protectedRanges>
    <protectedRange sqref="B5:N18" name="範圍1"/>
  </protectedRanges>
  <mergeCells count="6">
    <mergeCell ref="A1:M1"/>
    <mergeCell ref="A3:A4"/>
    <mergeCell ref="B3:B4"/>
    <mergeCell ref="C3:C4"/>
    <mergeCell ref="H3:H4"/>
    <mergeCell ref="N3:N4"/>
  </mergeCells>
  <hyperlinks>
    <hyperlink ref="N1" location="目录!A1" display="目录!A1"/>
  </hyperlinks>
  <pageMargins left="0.7" right="0.7" top="0.75" bottom="0.75" header="0.3" footer="0.3"/>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4"/>
  <sheetViews>
    <sheetView workbookViewId="0">
      <selection activeCell="K7" sqref="K7"/>
    </sheetView>
  </sheetViews>
  <sheetFormatPr defaultColWidth="9" defaultRowHeight="15.6"/>
  <cols>
    <col min="1" max="1" width="5.25" customWidth="1"/>
    <col min="2" max="2" width="6.75" customWidth="1"/>
    <col min="3" max="3" width="8.875" customWidth="1"/>
    <col min="4" max="4" width="26.5" customWidth="1"/>
    <col min="5" max="5" width="6.75" customWidth="1"/>
    <col min="6" max="6" width="7.75" customWidth="1"/>
    <col min="7" max="7" width="5.5" customWidth="1"/>
    <col min="8" max="8" width="5.75" customWidth="1"/>
    <col min="9" max="9" width="6.125" customWidth="1"/>
    <col min="10" max="10" width="9.75" customWidth="1"/>
    <col min="12" max="12" width="13.25" customWidth="1"/>
    <col min="13" max="13" width="15.125" customWidth="1"/>
    <col min="14" max="14" width="28.875" customWidth="1"/>
    <col min="15" max="15" width="28.25" customWidth="1"/>
    <col min="257" max="257" width="5.25" customWidth="1"/>
    <col min="258" max="258" width="6.75" customWidth="1"/>
    <col min="259" max="259" width="8.875" customWidth="1"/>
    <col min="260" max="260" width="26.5" customWidth="1"/>
    <col min="261" max="261" width="6.75" customWidth="1"/>
    <col min="262" max="262" width="7.75" customWidth="1"/>
    <col min="263" max="263" width="5.5" customWidth="1"/>
    <col min="264" max="264" width="5.75" customWidth="1"/>
    <col min="265" max="265" width="6.125" customWidth="1"/>
    <col min="266" max="266" width="9.75" customWidth="1"/>
    <col min="268" max="268" width="13.25" customWidth="1"/>
    <col min="269" max="269" width="15.125" customWidth="1"/>
    <col min="270" max="270" width="28.875" customWidth="1"/>
    <col min="271" max="271" width="28.25" customWidth="1"/>
    <col min="513" max="513" width="5.25" customWidth="1"/>
    <col min="514" max="514" width="6.75" customWidth="1"/>
    <col min="515" max="515" width="8.875" customWidth="1"/>
    <col min="516" max="516" width="26.5" customWidth="1"/>
    <col min="517" max="517" width="6.75" customWidth="1"/>
    <col min="518" max="518" width="7.75" customWidth="1"/>
    <col min="519" max="519" width="5.5" customWidth="1"/>
    <col min="520" max="520" width="5.75" customWidth="1"/>
    <col min="521" max="521" width="6.125" customWidth="1"/>
    <col min="522" max="522" width="9.75" customWidth="1"/>
    <col min="524" max="524" width="13.25" customWidth="1"/>
    <col min="525" max="525" width="15.125" customWidth="1"/>
    <col min="526" max="526" width="28.875" customWidth="1"/>
    <col min="527" max="527" width="28.25" customWidth="1"/>
    <col min="769" max="769" width="5.25" customWidth="1"/>
    <col min="770" max="770" width="6.75" customWidth="1"/>
    <col min="771" max="771" width="8.875" customWidth="1"/>
    <col min="772" max="772" width="26.5" customWidth="1"/>
    <col min="773" max="773" width="6.75" customWidth="1"/>
    <col min="774" max="774" width="7.75" customWidth="1"/>
    <col min="775" max="775" width="5.5" customWidth="1"/>
    <col min="776" max="776" width="5.75" customWidth="1"/>
    <col min="777" max="777" width="6.125" customWidth="1"/>
    <col min="778" max="778" width="9.75" customWidth="1"/>
    <col min="780" max="780" width="13.25" customWidth="1"/>
    <col min="781" max="781" width="15.125" customWidth="1"/>
    <col min="782" max="782" width="28.875" customWidth="1"/>
    <col min="783" max="783" width="28.25" customWidth="1"/>
    <col min="1025" max="1025" width="5.25" customWidth="1"/>
    <col min="1026" max="1026" width="6.75" customWidth="1"/>
    <col min="1027" max="1027" width="8.875" customWidth="1"/>
    <col min="1028" max="1028" width="26.5" customWidth="1"/>
    <col min="1029" max="1029" width="6.75" customWidth="1"/>
    <col min="1030" max="1030" width="7.75" customWidth="1"/>
    <col min="1031" max="1031" width="5.5" customWidth="1"/>
    <col min="1032" max="1032" width="5.75" customWidth="1"/>
    <col min="1033" max="1033" width="6.125" customWidth="1"/>
    <col min="1034" max="1034" width="9.75" customWidth="1"/>
    <col min="1036" max="1036" width="13.25" customWidth="1"/>
    <col min="1037" max="1037" width="15.125" customWidth="1"/>
    <col min="1038" max="1038" width="28.875" customWidth="1"/>
    <col min="1039" max="1039" width="28.25" customWidth="1"/>
    <col min="1281" max="1281" width="5.25" customWidth="1"/>
    <col min="1282" max="1282" width="6.75" customWidth="1"/>
    <col min="1283" max="1283" width="8.875" customWidth="1"/>
    <col min="1284" max="1284" width="26.5" customWidth="1"/>
    <col min="1285" max="1285" width="6.75" customWidth="1"/>
    <col min="1286" max="1286" width="7.75" customWidth="1"/>
    <col min="1287" max="1287" width="5.5" customWidth="1"/>
    <col min="1288" max="1288" width="5.75" customWidth="1"/>
    <col min="1289" max="1289" width="6.125" customWidth="1"/>
    <col min="1290" max="1290" width="9.75" customWidth="1"/>
    <col min="1292" max="1292" width="13.25" customWidth="1"/>
    <col min="1293" max="1293" width="15.125" customWidth="1"/>
    <col min="1294" max="1294" width="28.875" customWidth="1"/>
    <col min="1295" max="1295" width="28.25" customWidth="1"/>
    <col min="1537" max="1537" width="5.25" customWidth="1"/>
    <col min="1538" max="1538" width="6.75" customWidth="1"/>
    <col min="1539" max="1539" width="8.875" customWidth="1"/>
    <col min="1540" max="1540" width="26.5" customWidth="1"/>
    <col min="1541" max="1541" width="6.75" customWidth="1"/>
    <col min="1542" max="1542" width="7.75" customWidth="1"/>
    <col min="1543" max="1543" width="5.5" customWidth="1"/>
    <col min="1544" max="1544" width="5.75" customWidth="1"/>
    <col min="1545" max="1545" width="6.125" customWidth="1"/>
    <col min="1546" max="1546" width="9.75" customWidth="1"/>
    <col min="1548" max="1548" width="13.25" customWidth="1"/>
    <col min="1549" max="1549" width="15.125" customWidth="1"/>
    <col min="1550" max="1550" width="28.875" customWidth="1"/>
    <col min="1551" max="1551" width="28.25" customWidth="1"/>
    <col min="1793" max="1793" width="5.25" customWidth="1"/>
    <col min="1794" max="1794" width="6.75" customWidth="1"/>
    <col min="1795" max="1795" width="8.875" customWidth="1"/>
    <col min="1796" max="1796" width="26.5" customWidth="1"/>
    <col min="1797" max="1797" width="6.75" customWidth="1"/>
    <col min="1798" max="1798" width="7.75" customWidth="1"/>
    <col min="1799" max="1799" width="5.5" customWidth="1"/>
    <col min="1800" max="1800" width="5.75" customWidth="1"/>
    <col min="1801" max="1801" width="6.125" customWidth="1"/>
    <col min="1802" max="1802" width="9.75" customWidth="1"/>
    <col min="1804" max="1804" width="13.25" customWidth="1"/>
    <col min="1805" max="1805" width="15.125" customWidth="1"/>
    <col min="1806" max="1806" width="28.875" customWidth="1"/>
    <col min="1807" max="1807" width="28.25" customWidth="1"/>
    <col min="2049" max="2049" width="5.25" customWidth="1"/>
    <col min="2050" max="2050" width="6.75" customWidth="1"/>
    <col min="2051" max="2051" width="8.875" customWidth="1"/>
    <col min="2052" max="2052" width="26.5" customWidth="1"/>
    <col min="2053" max="2053" width="6.75" customWidth="1"/>
    <col min="2054" max="2054" width="7.75" customWidth="1"/>
    <col min="2055" max="2055" width="5.5" customWidth="1"/>
    <col min="2056" max="2056" width="5.75" customWidth="1"/>
    <col min="2057" max="2057" width="6.125" customWidth="1"/>
    <col min="2058" max="2058" width="9.75" customWidth="1"/>
    <col min="2060" max="2060" width="13.25" customWidth="1"/>
    <col min="2061" max="2061" width="15.125" customWidth="1"/>
    <col min="2062" max="2062" width="28.875" customWidth="1"/>
    <col min="2063" max="2063" width="28.25" customWidth="1"/>
    <col min="2305" max="2305" width="5.25" customWidth="1"/>
    <col min="2306" max="2306" width="6.75" customWidth="1"/>
    <col min="2307" max="2307" width="8.875" customWidth="1"/>
    <col min="2308" max="2308" width="26.5" customWidth="1"/>
    <col min="2309" max="2309" width="6.75" customWidth="1"/>
    <col min="2310" max="2310" width="7.75" customWidth="1"/>
    <col min="2311" max="2311" width="5.5" customWidth="1"/>
    <col min="2312" max="2312" width="5.75" customWidth="1"/>
    <col min="2313" max="2313" width="6.125" customWidth="1"/>
    <col min="2314" max="2314" width="9.75" customWidth="1"/>
    <col min="2316" max="2316" width="13.25" customWidth="1"/>
    <col min="2317" max="2317" width="15.125" customWidth="1"/>
    <col min="2318" max="2318" width="28.875" customWidth="1"/>
    <col min="2319" max="2319" width="28.25" customWidth="1"/>
    <col min="2561" max="2561" width="5.25" customWidth="1"/>
    <col min="2562" max="2562" width="6.75" customWidth="1"/>
    <col min="2563" max="2563" width="8.875" customWidth="1"/>
    <col min="2564" max="2564" width="26.5" customWidth="1"/>
    <col min="2565" max="2565" width="6.75" customWidth="1"/>
    <col min="2566" max="2566" width="7.75" customWidth="1"/>
    <col min="2567" max="2567" width="5.5" customWidth="1"/>
    <col min="2568" max="2568" width="5.75" customWidth="1"/>
    <col min="2569" max="2569" width="6.125" customWidth="1"/>
    <col min="2570" max="2570" width="9.75" customWidth="1"/>
    <col min="2572" max="2572" width="13.25" customWidth="1"/>
    <col min="2573" max="2573" width="15.125" customWidth="1"/>
    <col min="2574" max="2574" width="28.875" customWidth="1"/>
    <col min="2575" max="2575" width="28.25" customWidth="1"/>
    <col min="2817" max="2817" width="5.25" customWidth="1"/>
    <col min="2818" max="2818" width="6.75" customWidth="1"/>
    <col min="2819" max="2819" width="8.875" customWidth="1"/>
    <col min="2820" max="2820" width="26.5" customWidth="1"/>
    <col min="2821" max="2821" width="6.75" customWidth="1"/>
    <col min="2822" max="2822" width="7.75" customWidth="1"/>
    <col min="2823" max="2823" width="5.5" customWidth="1"/>
    <col min="2824" max="2824" width="5.75" customWidth="1"/>
    <col min="2825" max="2825" width="6.125" customWidth="1"/>
    <col min="2826" max="2826" width="9.75" customWidth="1"/>
    <col min="2828" max="2828" width="13.25" customWidth="1"/>
    <col min="2829" max="2829" width="15.125" customWidth="1"/>
    <col min="2830" max="2830" width="28.875" customWidth="1"/>
    <col min="2831" max="2831" width="28.25" customWidth="1"/>
    <col min="3073" max="3073" width="5.25" customWidth="1"/>
    <col min="3074" max="3074" width="6.75" customWidth="1"/>
    <col min="3075" max="3075" width="8.875" customWidth="1"/>
    <col min="3076" max="3076" width="26.5" customWidth="1"/>
    <col min="3077" max="3077" width="6.75" customWidth="1"/>
    <col min="3078" max="3078" width="7.75" customWidth="1"/>
    <col min="3079" max="3079" width="5.5" customWidth="1"/>
    <col min="3080" max="3080" width="5.75" customWidth="1"/>
    <col min="3081" max="3081" width="6.125" customWidth="1"/>
    <col min="3082" max="3082" width="9.75" customWidth="1"/>
    <col min="3084" max="3084" width="13.25" customWidth="1"/>
    <col min="3085" max="3085" width="15.125" customWidth="1"/>
    <col min="3086" max="3086" width="28.875" customWidth="1"/>
    <col min="3087" max="3087" width="28.25" customWidth="1"/>
    <col min="3329" max="3329" width="5.25" customWidth="1"/>
    <col min="3330" max="3330" width="6.75" customWidth="1"/>
    <col min="3331" max="3331" width="8.875" customWidth="1"/>
    <col min="3332" max="3332" width="26.5" customWidth="1"/>
    <col min="3333" max="3333" width="6.75" customWidth="1"/>
    <col min="3334" max="3334" width="7.75" customWidth="1"/>
    <col min="3335" max="3335" width="5.5" customWidth="1"/>
    <col min="3336" max="3336" width="5.75" customWidth="1"/>
    <col min="3337" max="3337" width="6.125" customWidth="1"/>
    <col min="3338" max="3338" width="9.75" customWidth="1"/>
    <col min="3340" max="3340" width="13.25" customWidth="1"/>
    <col min="3341" max="3341" width="15.125" customWidth="1"/>
    <col min="3342" max="3342" width="28.875" customWidth="1"/>
    <col min="3343" max="3343" width="28.25" customWidth="1"/>
    <col min="3585" max="3585" width="5.25" customWidth="1"/>
    <col min="3586" max="3586" width="6.75" customWidth="1"/>
    <col min="3587" max="3587" width="8.875" customWidth="1"/>
    <col min="3588" max="3588" width="26.5" customWidth="1"/>
    <col min="3589" max="3589" width="6.75" customWidth="1"/>
    <col min="3590" max="3590" width="7.75" customWidth="1"/>
    <col min="3591" max="3591" width="5.5" customWidth="1"/>
    <col min="3592" max="3592" width="5.75" customWidth="1"/>
    <col min="3593" max="3593" width="6.125" customWidth="1"/>
    <col min="3594" max="3594" width="9.75" customWidth="1"/>
    <col min="3596" max="3596" width="13.25" customWidth="1"/>
    <col min="3597" max="3597" width="15.125" customWidth="1"/>
    <col min="3598" max="3598" width="28.875" customWidth="1"/>
    <col min="3599" max="3599" width="28.25" customWidth="1"/>
    <col min="3841" max="3841" width="5.25" customWidth="1"/>
    <col min="3842" max="3842" width="6.75" customWidth="1"/>
    <col min="3843" max="3843" width="8.875" customWidth="1"/>
    <col min="3844" max="3844" width="26.5" customWidth="1"/>
    <col min="3845" max="3845" width="6.75" customWidth="1"/>
    <col min="3846" max="3846" width="7.75" customWidth="1"/>
    <col min="3847" max="3847" width="5.5" customWidth="1"/>
    <col min="3848" max="3848" width="5.75" customWidth="1"/>
    <col min="3849" max="3849" width="6.125" customWidth="1"/>
    <col min="3850" max="3850" width="9.75" customWidth="1"/>
    <col min="3852" max="3852" width="13.25" customWidth="1"/>
    <col min="3853" max="3853" width="15.125" customWidth="1"/>
    <col min="3854" max="3854" width="28.875" customWidth="1"/>
    <col min="3855" max="3855" width="28.25" customWidth="1"/>
    <col min="4097" max="4097" width="5.25" customWidth="1"/>
    <col min="4098" max="4098" width="6.75" customWidth="1"/>
    <col min="4099" max="4099" width="8.875" customWidth="1"/>
    <col min="4100" max="4100" width="26.5" customWidth="1"/>
    <col min="4101" max="4101" width="6.75" customWidth="1"/>
    <col min="4102" max="4102" width="7.75" customWidth="1"/>
    <col min="4103" max="4103" width="5.5" customWidth="1"/>
    <col min="4104" max="4104" width="5.75" customWidth="1"/>
    <col min="4105" max="4105" width="6.125" customWidth="1"/>
    <col min="4106" max="4106" width="9.75" customWidth="1"/>
    <col min="4108" max="4108" width="13.25" customWidth="1"/>
    <col min="4109" max="4109" width="15.125" customWidth="1"/>
    <col min="4110" max="4110" width="28.875" customWidth="1"/>
    <col min="4111" max="4111" width="28.25" customWidth="1"/>
    <col min="4353" max="4353" width="5.25" customWidth="1"/>
    <col min="4354" max="4354" width="6.75" customWidth="1"/>
    <col min="4355" max="4355" width="8.875" customWidth="1"/>
    <col min="4356" max="4356" width="26.5" customWidth="1"/>
    <col min="4357" max="4357" width="6.75" customWidth="1"/>
    <col min="4358" max="4358" width="7.75" customWidth="1"/>
    <col min="4359" max="4359" width="5.5" customWidth="1"/>
    <col min="4360" max="4360" width="5.75" customWidth="1"/>
    <col min="4361" max="4361" width="6.125" customWidth="1"/>
    <col min="4362" max="4362" width="9.75" customWidth="1"/>
    <col min="4364" max="4364" width="13.25" customWidth="1"/>
    <col min="4365" max="4365" width="15.125" customWidth="1"/>
    <col min="4366" max="4366" width="28.875" customWidth="1"/>
    <col min="4367" max="4367" width="28.25" customWidth="1"/>
    <col min="4609" max="4609" width="5.25" customWidth="1"/>
    <col min="4610" max="4610" width="6.75" customWidth="1"/>
    <col min="4611" max="4611" width="8.875" customWidth="1"/>
    <col min="4612" max="4612" width="26.5" customWidth="1"/>
    <col min="4613" max="4613" width="6.75" customWidth="1"/>
    <col min="4614" max="4614" width="7.75" customWidth="1"/>
    <col min="4615" max="4615" width="5.5" customWidth="1"/>
    <col min="4616" max="4616" width="5.75" customWidth="1"/>
    <col min="4617" max="4617" width="6.125" customWidth="1"/>
    <col min="4618" max="4618" width="9.75" customWidth="1"/>
    <col min="4620" max="4620" width="13.25" customWidth="1"/>
    <col min="4621" max="4621" width="15.125" customWidth="1"/>
    <col min="4622" max="4622" width="28.875" customWidth="1"/>
    <col min="4623" max="4623" width="28.25" customWidth="1"/>
    <col min="4865" max="4865" width="5.25" customWidth="1"/>
    <col min="4866" max="4866" width="6.75" customWidth="1"/>
    <col min="4867" max="4867" width="8.875" customWidth="1"/>
    <col min="4868" max="4868" width="26.5" customWidth="1"/>
    <col min="4869" max="4869" width="6.75" customWidth="1"/>
    <col min="4870" max="4870" width="7.75" customWidth="1"/>
    <col min="4871" max="4871" width="5.5" customWidth="1"/>
    <col min="4872" max="4872" width="5.75" customWidth="1"/>
    <col min="4873" max="4873" width="6.125" customWidth="1"/>
    <col min="4874" max="4874" width="9.75" customWidth="1"/>
    <col min="4876" max="4876" width="13.25" customWidth="1"/>
    <col min="4877" max="4877" width="15.125" customWidth="1"/>
    <col min="4878" max="4878" width="28.875" customWidth="1"/>
    <col min="4879" max="4879" width="28.25" customWidth="1"/>
    <col min="5121" max="5121" width="5.25" customWidth="1"/>
    <col min="5122" max="5122" width="6.75" customWidth="1"/>
    <col min="5123" max="5123" width="8.875" customWidth="1"/>
    <col min="5124" max="5124" width="26.5" customWidth="1"/>
    <col min="5125" max="5125" width="6.75" customWidth="1"/>
    <col min="5126" max="5126" width="7.75" customWidth="1"/>
    <col min="5127" max="5127" width="5.5" customWidth="1"/>
    <col min="5128" max="5128" width="5.75" customWidth="1"/>
    <col min="5129" max="5129" width="6.125" customWidth="1"/>
    <col min="5130" max="5130" width="9.75" customWidth="1"/>
    <col min="5132" max="5132" width="13.25" customWidth="1"/>
    <col min="5133" max="5133" width="15.125" customWidth="1"/>
    <col min="5134" max="5134" width="28.875" customWidth="1"/>
    <col min="5135" max="5135" width="28.25" customWidth="1"/>
    <col min="5377" max="5377" width="5.25" customWidth="1"/>
    <col min="5378" max="5378" width="6.75" customWidth="1"/>
    <col min="5379" max="5379" width="8.875" customWidth="1"/>
    <col min="5380" max="5380" width="26.5" customWidth="1"/>
    <col min="5381" max="5381" width="6.75" customWidth="1"/>
    <col min="5382" max="5382" width="7.75" customWidth="1"/>
    <col min="5383" max="5383" width="5.5" customWidth="1"/>
    <col min="5384" max="5384" width="5.75" customWidth="1"/>
    <col min="5385" max="5385" width="6.125" customWidth="1"/>
    <col min="5386" max="5386" width="9.75" customWidth="1"/>
    <col min="5388" max="5388" width="13.25" customWidth="1"/>
    <col min="5389" max="5389" width="15.125" customWidth="1"/>
    <col min="5390" max="5390" width="28.875" customWidth="1"/>
    <col min="5391" max="5391" width="28.25" customWidth="1"/>
    <col min="5633" max="5633" width="5.25" customWidth="1"/>
    <col min="5634" max="5634" width="6.75" customWidth="1"/>
    <col min="5635" max="5635" width="8.875" customWidth="1"/>
    <col min="5636" max="5636" width="26.5" customWidth="1"/>
    <col min="5637" max="5637" width="6.75" customWidth="1"/>
    <col min="5638" max="5638" width="7.75" customWidth="1"/>
    <col min="5639" max="5639" width="5.5" customWidth="1"/>
    <col min="5640" max="5640" width="5.75" customWidth="1"/>
    <col min="5641" max="5641" width="6.125" customWidth="1"/>
    <col min="5642" max="5642" width="9.75" customWidth="1"/>
    <col min="5644" max="5644" width="13.25" customWidth="1"/>
    <col min="5645" max="5645" width="15.125" customWidth="1"/>
    <col min="5646" max="5646" width="28.875" customWidth="1"/>
    <col min="5647" max="5647" width="28.25" customWidth="1"/>
    <col min="5889" max="5889" width="5.25" customWidth="1"/>
    <col min="5890" max="5890" width="6.75" customWidth="1"/>
    <col min="5891" max="5891" width="8.875" customWidth="1"/>
    <col min="5892" max="5892" width="26.5" customWidth="1"/>
    <col min="5893" max="5893" width="6.75" customWidth="1"/>
    <col min="5894" max="5894" width="7.75" customWidth="1"/>
    <col min="5895" max="5895" width="5.5" customWidth="1"/>
    <col min="5896" max="5896" width="5.75" customWidth="1"/>
    <col min="5897" max="5897" width="6.125" customWidth="1"/>
    <col min="5898" max="5898" width="9.75" customWidth="1"/>
    <col min="5900" max="5900" width="13.25" customWidth="1"/>
    <col min="5901" max="5901" width="15.125" customWidth="1"/>
    <col min="5902" max="5902" width="28.875" customWidth="1"/>
    <col min="5903" max="5903" width="28.25" customWidth="1"/>
    <col min="6145" max="6145" width="5.25" customWidth="1"/>
    <col min="6146" max="6146" width="6.75" customWidth="1"/>
    <col min="6147" max="6147" width="8.875" customWidth="1"/>
    <col min="6148" max="6148" width="26.5" customWidth="1"/>
    <col min="6149" max="6149" width="6.75" customWidth="1"/>
    <col min="6150" max="6150" width="7.75" customWidth="1"/>
    <col min="6151" max="6151" width="5.5" customWidth="1"/>
    <col min="6152" max="6152" width="5.75" customWidth="1"/>
    <col min="6153" max="6153" width="6.125" customWidth="1"/>
    <col min="6154" max="6154" width="9.75" customWidth="1"/>
    <col min="6156" max="6156" width="13.25" customWidth="1"/>
    <col min="6157" max="6157" width="15.125" customWidth="1"/>
    <col min="6158" max="6158" width="28.875" customWidth="1"/>
    <col min="6159" max="6159" width="28.25" customWidth="1"/>
    <col min="6401" max="6401" width="5.25" customWidth="1"/>
    <col min="6402" max="6402" width="6.75" customWidth="1"/>
    <col min="6403" max="6403" width="8.875" customWidth="1"/>
    <col min="6404" max="6404" width="26.5" customWidth="1"/>
    <col min="6405" max="6405" width="6.75" customWidth="1"/>
    <col min="6406" max="6406" width="7.75" customWidth="1"/>
    <col min="6407" max="6407" width="5.5" customWidth="1"/>
    <col min="6408" max="6408" width="5.75" customWidth="1"/>
    <col min="6409" max="6409" width="6.125" customWidth="1"/>
    <col min="6410" max="6410" width="9.75" customWidth="1"/>
    <col min="6412" max="6412" width="13.25" customWidth="1"/>
    <col min="6413" max="6413" width="15.125" customWidth="1"/>
    <col min="6414" max="6414" width="28.875" customWidth="1"/>
    <col min="6415" max="6415" width="28.25" customWidth="1"/>
    <col min="6657" max="6657" width="5.25" customWidth="1"/>
    <col min="6658" max="6658" width="6.75" customWidth="1"/>
    <col min="6659" max="6659" width="8.875" customWidth="1"/>
    <col min="6660" max="6660" width="26.5" customWidth="1"/>
    <col min="6661" max="6661" width="6.75" customWidth="1"/>
    <col min="6662" max="6662" width="7.75" customWidth="1"/>
    <col min="6663" max="6663" width="5.5" customWidth="1"/>
    <col min="6664" max="6664" width="5.75" customWidth="1"/>
    <col min="6665" max="6665" width="6.125" customWidth="1"/>
    <col min="6666" max="6666" width="9.75" customWidth="1"/>
    <col min="6668" max="6668" width="13.25" customWidth="1"/>
    <col min="6669" max="6669" width="15.125" customWidth="1"/>
    <col min="6670" max="6670" width="28.875" customWidth="1"/>
    <col min="6671" max="6671" width="28.25" customWidth="1"/>
    <col min="6913" max="6913" width="5.25" customWidth="1"/>
    <col min="6914" max="6914" width="6.75" customWidth="1"/>
    <col min="6915" max="6915" width="8.875" customWidth="1"/>
    <col min="6916" max="6916" width="26.5" customWidth="1"/>
    <col min="6917" max="6917" width="6.75" customWidth="1"/>
    <col min="6918" max="6918" width="7.75" customWidth="1"/>
    <col min="6919" max="6919" width="5.5" customWidth="1"/>
    <col min="6920" max="6920" width="5.75" customWidth="1"/>
    <col min="6921" max="6921" width="6.125" customWidth="1"/>
    <col min="6922" max="6922" width="9.75" customWidth="1"/>
    <col min="6924" max="6924" width="13.25" customWidth="1"/>
    <col min="6925" max="6925" width="15.125" customWidth="1"/>
    <col min="6926" max="6926" width="28.875" customWidth="1"/>
    <col min="6927" max="6927" width="28.25" customWidth="1"/>
    <col min="7169" max="7169" width="5.25" customWidth="1"/>
    <col min="7170" max="7170" width="6.75" customWidth="1"/>
    <col min="7171" max="7171" width="8.875" customWidth="1"/>
    <col min="7172" max="7172" width="26.5" customWidth="1"/>
    <col min="7173" max="7173" width="6.75" customWidth="1"/>
    <col min="7174" max="7174" width="7.75" customWidth="1"/>
    <col min="7175" max="7175" width="5.5" customWidth="1"/>
    <col min="7176" max="7176" width="5.75" customWidth="1"/>
    <col min="7177" max="7177" width="6.125" customWidth="1"/>
    <col min="7178" max="7178" width="9.75" customWidth="1"/>
    <col min="7180" max="7180" width="13.25" customWidth="1"/>
    <col min="7181" max="7181" width="15.125" customWidth="1"/>
    <col min="7182" max="7182" width="28.875" customWidth="1"/>
    <col min="7183" max="7183" width="28.25" customWidth="1"/>
    <col min="7425" max="7425" width="5.25" customWidth="1"/>
    <col min="7426" max="7426" width="6.75" customWidth="1"/>
    <col min="7427" max="7427" width="8.875" customWidth="1"/>
    <col min="7428" max="7428" width="26.5" customWidth="1"/>
    <col min="7429" max="7429" width="6.75" customWidth="1"/>
    <col min="7430" max="7430" width="7.75" customWidth="1"/>
    <col min="7431" max="7431" width="5.5" customWidth="1"/>
    <col min="7432" max="7432" width="5.75" customWidth="1"/>
    <col min="7433" max="7433" width="6.125" customWidth="1"/>
    <col min="7434" max="7434" width="9.75" customWidth="1"/>
    <col min="7436" max="7436" width="13.25" customWidth="1"/>
    <col min="7437" max="7437" width="15.125" customWidth="1"/>
    <col min="7438" max="7438" width="28.875" customWidth="1"/>
    <col min="7439" max="7439" width="28.25" customWidth="1"/>
    <col min="7681" max="7681" width="5.25" customWidth="1"/>
    <col min="7682" max="7682" width="6.75" customWidth="1"/>
    <col min="7683" max="7683" width="8.875" customWidth="1"/>
    <col min="7684" max="7684" width="26.5" customWidth="1"/>
    <col min="7685" max="7685" width="6.75" customWidth="1"/>
    <col min="7686" max="7686" width="7.75" customWidth="1"/>
    <col min="7687" max="7687" width="5.5" customWidth="1"/>
    <col min="7688" max="7688" width="5.75" customWidth="1"/>
    <col min="7689" max="7689" width="6.125" customWidth="1"/>
    <col min="7690" max="7690" width="9.75" customWidth="1"/>
    <col min="7692" max="7692" width="13.25" customWidth="1"/>
    <col min="7693" max="7693" width="15.125" customWidth="1"/>
    <col min="7694" max="7694" width="28.875" customWidth="1"/>
    <col min="7695" max="7695" width="28.25" customWidth="1"/>
    <col min="7937" max="7937" width="5.25" customWidth="1"/>
    <col min="7938" max="7938" width="6.75" customWidth="1"/>
    <col min="7939" max="7939" width="8.875" customWidth="1"/>
    <col min="7940" max="7940" width="26.5" customWidth="1"/>
    <col min="7941" max="7941" width="6.75" customWidth="1"/>
    <col min="7942" max="7942" width="7.75" customWidth="1"/>
    <col min="7943" max="7943" width="5.5" customWidth="1"/>
    <col min="7944" max="7944" width="5.75" customWidth="1"/>
    <col min="7945" max="7945" width="6.125" customWidth="1"/>
    <col min="7946" max="7946" width="9.75" customWidth="1"/>
    <col min="7948" max="7948" width="13.25" customWidth="1"/>
    <col min="7949" max="7949" width="15.125" customWidth="1"/>
    <col min="7950" max="7950" width="28.875" customWidth="1"/>
    <col min="7951" max="7951" width="28.25" customWidth="1"/>
    <col min="8193" max="8193" width="5.25" customWidth="1"/>
    <col min="8194" max="8194" width="6.75" customWidth="1"/>
    <col min="8195" max="8195" width="8.875" customWidth="1"/>
    <col min="8196" max="8196" width="26.5" customWidth="1"/>
    <col min="8197" max="8197" width="6.75" customWidth="1"/>
    <col min="8198" max="8198" width="7.75" customWidth="1"/>
    <col min="8199" max="8199" width="5.5" customWidth="1"/>
    <col min="8200" max="8200" width="5.75" customWidth="1"/>
    <col min="8201" max="8201" width="6.125" customWidth="1"/>
    <col min="8202" max="8202" width="9.75" customWidth="1"/>
    <col min="8204" max="8204" width="13.25" customWidth="1"/>
    <col min="8205" max="8205" width="15.125" customWidth="1"/>
    <col min="8206" max="8206" width="28.875" customWidth="1"/>
    <col min="8207" max="8207" width="28.25" customWidth="1"/>
    <col min="8449" max="8449" width="5.25" customWidth="1"/>
    <col min="8450" max="8450" width="6.75" customWidth="1"/>
    <col min="8451" max="8451" width="8.875" customWidth="1"/>
    <col min="8452" max="8452" width="26.5" customWidth="1"/>
    <col min="8453" max="8453" width="6.75" customWidth="1"/>
    <col min="8454" max="8454" width="7.75" customWidth="1"/>
    <col min="8455" max="8455" width="5.5" customWidth="1"/>
    <col min="8456" max="8456" width="5.75" customWidth="1"/>
    <col min="8457" max="8457" width="6.125" customWidth="1"/>
    <col min="8458" max="8458" width="9.75" customWidth="1"/>
    <col min="8460" max="8460" width="13.25" customWidth="1"/>
    <col min="8461" max="8461" width="15.125" customWidth="1"/>
    <col min="8462" max="8462" width="28.875" customWidth="1"/>
    <col min="8463" max="8463" width="28.25" customWidth="1"/>
    <col min="8705" max="8705" width="5.25" customWidth="1"/>
    <col min="8706" max="8706" width="6.75" customWidth="1"/>
    <col min="8707" max="8707" width="8.875" customWidth="1"/>
    <col min="8708" max="8708" width="26.5" customWidth="1"/>
    <col min="8709" max="8709" width="6.75" customWidth="1"/>
    <col min="8710" max="8710" width="7.75" customWidth="1"/>
    <col min="8711" max="8711" width="5.5" customWidth="1"/>
    <col min="8712" max="8712" width="5.75" customWidth="1"/>
    <col min="8713" max="8713" width="6.125" customWidth="1"/>
    <col min="8714" max="8714" width="9.75" customWidth="1"/>
    <col min="8716" max="8716" width="13.25" customWidth="1"/>
    <col min="8717" max="8717" width="15.125" customWidth="1"/>
    <col min="8718" max="8718" width="28.875" customWidth="1"/>
    <col min="8719" max="8719" width="28.25" customWidth="1"/>
    <col min="8961" max="8961" width="5.25" customWidth="1"/>
    <col min="8962" max="8962" width="6.75" customWidth="1"/>
    <col min="8963" max="8963" width="8.875" customWidth="1"/>
    <col min="8964" max="8964" width="26.5" customWidth="1"/>
    <col min="8965" max="8965" width="6.75" customWidth="1"/>
    <col min="8966" max="8966" width="7.75" customWidth="1"/>
    <col min="8967" max="8967" width="5.5" customWidth="1"/>
    <col min="8968" max="8968" width="5.75" customWidth="1"/>
    <col min="8969" max="8969" width="6.125" customWidth="1"/>
    <col min="8970" max="8970" width="9.75" customWidth="1"/>
    <col min="8972" max="8972" width="13.25" customWidth="1"/>
    <col min="8973" max="8973" width="15.125" customWidth="1"/>
    <col min="8974" max="8974" width="28.875" customWidth="1"/>
    <col min="8975" max="8975" width="28.25" customWidth="1"/>
    <col min="9217" max="9217" width="5.25" customWidth="1"/>
    <col min="9218" max="9218" width="6.75" customWidth="1"/>
    <col min="9219" max="9219" width="8.875" customWidth="1"/>
    <col min="9220" max="9220" width="26.5" customWidth="1"/>
    <col min="9221" max="9221" width="6.75" customWidth="1"/>
    <col min="9222" max="9222" width="7.75" customWidth="1"/>
    <col min="9223" max="9223" width="5.5" customWidth="1"/>
    <col min="9224" max="9224" width="5.75" customWidth="1"/>
    <col min="9225" max="9225" width="6.125" customWidth="1"/>
    <col min="9226" max="9226" width="9.75" customWidth="1"/>
    <col min="9228" max="9228" width="13.25" customWidth="1"/>
    <col min="9229" max="9229" width="15.125" customWidth="1"/>
    <col min="9230" max="9230" width="28.875" customWidth="1"/>
    <col min="9231" max="9231" width="28.25" customWidth="1"/>
    <col min="9473" max="9473" width="5.25" customWidth="1"/>
    <col min="9474" max="9474" width="6.75" customWidth="1"/>
    <col min="9475" max="9475" width="8.875" customWidth="1"/>
    <col min="9476" max="9476" width="26.5" customWidth="1"/>
    <col min="9477" max="9477" width="6.75" customWidth="1"/>
    <col min="9478" max="9478" width="7.75" customWidth="1"/>
    <col min="9479" max="9479" width="5.5" customWidth="1"/>
    <col min="9480" max="9480" width="5.75" customWidth="1"/>
    <col min="9481" max="9481" width="6.125" customWidth="1"/>
    <col min="9482" max="9482" width="9.75" customWidth="1"/>
    <col min="9484" max="9484" width="13.25" customWidth="1"/>
    <col min="9485" max="9485" width="15.125" customWidth="1"/>
    <col min="9486" max="9486" width="28.875" customWidth="1"/>
    <col min="9487" max="9487" width="28.25" customWidth="1"/>
    <col min="9729" max="9729" width="5.25" customWidth="1"/>
    <col min="9730" max="9730" width="6.75" customWidth="1"/>
    <col min="9731" max="9731" width="8.875" customWidth="1"/>
    <col min="9732" max="9732" width="26.5" customWidth="1"/>
    <col min="9733" max="9733" width="6.75" customWidth="1"/>
    <col min="9734" max="9734" width="7.75" customWidth="1"/>
    <col min="9735" max="9735" width="5.5" customWidth="1"/>
    <col min="9736" max="9736" width="5.75" customWidth="1"/>
    <col min="9737" max="9737" width="6.125" customWidth="1"/>
    <col min="9738" max="9738" width="9.75" customWidth="1"/>
    <col min="9740" max="9740" width="13.25" customWidth="1"/>
    <col min="9741" max="9741" width="15.125" customWidth="1"/>
    <col min="9742" max="9742" width="28.875" customWidth="1"/>
    <col min="9743" max="9743" width="28.25" customWidth="1"/>
    <col min="9985" max="9985" width="5.25" customWidth="1"/>
    <col min="9986" max="9986" width="6.75" customWidth="1"/>
    <col min="9987" max="9987" width="8.875" customWidth="1"/>
    <col min="9988" max="9988" width="26.5" customWidth="1"/>
    <col min="9989" max="9989" width="6.75" customWidth="1"/>
    <col min="9990" max="9990" width="7.75" customWidth="1"/>
    <col min="9991" max="9991" width="5.5" customWidth="1"/>
    <col min="9992" max="9992" width="5.75" customWidth="1"/>
    <col min="9993" max="9993" width="6.125" customWidth="1"/>
    <col min="9994" max="9994" width="9.75" customWidth="1"/>
    <col min="9996" max="9996" width="13.25" customWidth="1"/>
    <col min="9997" max="9997" width="15.125" customWidth="1"/>
    <col min="9998" max="9998" width="28.875" customWidth="1"/>
    <col min="9999" max="9999" width="28.25" customWidth="1"/>
    <col min="10241" max="10241" width="5.25" customWidth="1"/>
    <col min="10242" max="10242" width="6.75" customWidth="1"/>
    <col min="10243" max="10243" width="8.875" customWidth="1"/>
    <col min="10244" max="10244" width="26.5" customWidth="1"/>
    <col min="10245" max="10245" width="6.75" customWidth="1"/>
    <col min="10246" max="10246" width="7.75" customWidth="1"/>
    <col min="10247" max="10247" width="5.5" customWidth="1"/>
    <col min="10248" max="10248" width="5.75" customWidth="1"/>
    <col min="10249" max="10249" width="6.125" customWidth="1"/>
    <col min="10250" max="10250" width="9.75" customWidth="1"/>
    <col min="10252" max="10252" width="13.25" customWidth="1"/>
    <col min="10253" max="10253" width="15.125" customWidth="1"/>
    <col min="10254" max="10254" width="28.875" customWidth="1"/>
    <col min="10255" max="10255" width="28.25" customWidth="1"/>
    <col min="10497" max="10497" width="5.25" customWidth="1"/>
    <col min="10498" max="10498" width="6.75" customWidth="1"/>
    <col min="10499" max="10499" width="8.875" customWidth="1"/>
    <col min="10500" max="10500" width="26.5" customWidth="1"/>
    <col min="10501" max="10501" width="6.75" customWidth="1"/>
    <col min="10502" max="10502" width="7.75" customWidth="1"/>
    <col min="10503" max="10503" width="5.5" customWidth="1"/>
    <col min="10504" max="10504" width="5.75" customWidth="1"/>
    <col min="10505" max="10505" width="6.125" customWidth="1"/>
    <col min="10506" max="10506" width="9.75" customWidth="1"/>
    <col min="10508" max="10508" width="13.25" customWidth="1"/>
    <col min="10509" max="10509" width="15.125" customWidth="1"/>
    <col min="10510" max="10510" width="28.875" customWidth="1"/>
    <col min="10511" max="10511" width="28.25" customWidth="1"/>
    <col min="10753" max="10753" width="5.25" customWidth="1"/>
    <col min="10754" max="10754" width="6.75" customWidth="1"/>
    <col min="10755" max="10755" width="8.875" customWidth="1"/>
    <col min="10756" max="10756" width="26.5" customWidth="1"/>
    <col min="10757" max="10757" width="6.75" customWidth="1"/>
    <col min="10758" max="10758" width="7.75" customWidth="1"/>
    <col min="10759" max="10759" width="5.5" customWidth="1"/>
    <col min="10760" max="10760" width="5.75" customWidth="1"/>
    <col min="10761" max="10761" width="6.125" customWidth="1"/>
    <col min="10762" max="10762" width="9.75" customWidth="1"/>
    <col min="10764" max="10764" width="13.25" customWidth="1"/>
    <col min="10765" max="10765" width="15.125" customWidth="1"/>
    <col min="10766" max="10766" width="28.875" customWidth="1"/>
    <col min="10767" max="10767" width="28.25" customWidth="1"/>
    <col min="11009" max="11009" width="5.25" customWidth="1"/>
    <col min="11010" max="11010" width="6.75" customWidth="1"/>
    <col min="11011" max="11011" width="8.875" customWidth="1"/>
    <col min="11012" max="11012" width="26.5" customWidth="1"/>
    <col min="11013" max="11013" width="6.75" customWidth="1"/>
    <col min="11014" max="11014" width="7.75" customWidth="1"/>
    <col min="11015" max="11015" width="5.5" customWidth="1"/>
    <col min="11016" max="11016" width="5.75" customWidth="1"/>
    <col min="11017" max="11017" width="6.125" customWidth="1"/>
    <col min="11018" max="11018" width="9.75" customWidth="1"/>
    <col min="11020" max="11020" width="13.25" customWidth="1"/>
    <col min="11021" max="11021" width="15.125" customWidth="1"/>
    <col min="11022" max="11022" width="28.875" customWidth="1"/>
    <col min="11023" max="11023" width="28.25" customWidth="1"/>
    <col min="11265" max="11265" width="5.25" customWidth="1"/>
    <col min="11266" max="11266" width="6.75" customWidth="1"/>
    <col min="11267" max="11267" width="8.875" customWidth="1"/>
    <col min="11268" max="11268" width="26.5" customWidth="1"/>
    <col min="11269" max="11269" width="6.75" customWidth="1"/>
    <col min="11270" max="11270" width="7.75" customWidth="1"/>
    <col min="11271" max="11271" width="5.5" customWidth="1"/>
    <col min="11272" max="11272" width="5.75" customWidth="1"/>
    <col min="11273" max="11273" width="6.125" customWidth="1"/>
    <col min="11274" max="11274" width="9.75" customWidth="1"/>
    <col min="11276" max="11276" width="13.25" customWidth="1"/>
    <col min="11277" max="11277" width="15.125" customWidth="1"/>
    <col min="11278" max="11278" width="28.875" customWidth="1"/>
    <col min="11279" max="11279" width="28.25" customWidth="1"/>
    <col min="11521" max="11521" width="5.25" customWidth="1"/>
    <col min="11522" max="11522" width="6.75" customWidth="1"/>
    <col min="11523" max="11523" width="8.875" customWidth="1"/>
    <col min="11524" max="11524" width="26.5" customWidth="1"/>
    <col min="11525" max="11525" width="6.75" customWidth="1"/>
    <col min="11526" max="11526" width="7.75" customWidth="1"/>
    <col min="11527" max="11527" width="5.5" customWidth="1"/>
    <col min="11528" max="11528" width="5.75" customWidth="1"/>
    <col min="11529" max="11529" width="6.125" customWidth="1"/>
    <col min="11530" max="11530" width="9.75" customWidth="1"/>
    <col min="11532" max="11532" width="13.25" customWidth="1"/>
    <col min="11533" max="11533" width="15.125" customWidth="1"/>
    <col min="11534" max="11534" width="28.875" customWidth="1"/>
    <col min="11535" max="11535" width="28.25" customWidth="1"/>
    <col min="11777" max="11777" width="5.25" customWidth="1"/>
    <col min="11778" max="11778" width="6.75" customWidth="1"/>
    <col min="11779" max="11779" width="8.875" customWidth="1"/>
    <col min="11780" max="11780" width="26.5" customWidth="1"/>
    <col min="11781" max="11781" width="6.75" customWidth="1"/>
    <col min="11782" max="11782" width="7.75" customWidth="1"/>
    <col min="11783" max="11783" width="5.5" customWidth="1"/>
    <col min="11784" max="11784" width="5.75" customWidth="1"/>
    <col min="11785" max="11785" width="6.125" customWidth="1"/>
    <col min="11786" max="11786" width="9.75" customWidth="1"/>
    <col min="11788" max="11788" width="13.25" customWidth="1"/>
    <col min="11789" max="11789" width="15.125" customWidth="1"/>
    <col min="11790" max="11790" width="28.875" customWidth="1"/>
    <col min="11791" max="11791" width="28.25" customWidth="1"/>
    <col min="12033" max="12033" width="5.25" customWidth="1"/>
    <col min="12034" max="12034" width="6.75" customWidth="1"/>
    <col min="12035" max="12035" width="8.875" customWidth="1"/>
    <col min="12036" max="12036" width="26.5" customWidth="1"/>
    <col min="12037" max="12037" width="6.75" customWidth="1"/>
    <col min="12038" max="12038" width="7.75" customWidth="1"/>
    <col min="12039" max="12039" width="5.5" customWidth="1"/>
    <col min="12040" max="12040" width="5.75" customWidth="1"/>
    <col min="12041" max="12041" width="6.125" customWidth="1"/>
    <col min="12042" max="12042" width="9.75" customWidth="1"/>
    <col min="12044" max="12044" width="13.25" customWidth="1"/>
    <col min="12045" max="12045" width="15.125" customWidth="1"/>
    <col min="12046" max="12046" width="28.875" customWidth="1"/>
    <col min="12047" max="12047" width="28.25" customWidth="1"/>
    <col min="12289" max="12289" width="5.25" customWidth="1"/>
    <col min="12290" max="12290" width="6.75" customWidth="1"/>
    <col min="12291" max="12291" width="8.875" customWidth="1"/>
    <col min="12292" max="12292" width="26.5" customWidth="1"/>
    <col min="12293" max="12293" width="6.75" customWidth="1"/>
    <col min="12294" max="12294" width="7.75" customWidth="1"/>
    <col min="12295" max="12295" width="5.5" customWidth="1"/>
    <col min="12296" max="12296" width="5.75" customWidth="1"/>
    <col min="12297" max="12297" width="6.125" customWidth="1"/>
    <col min="12298" max="12298" width="9.75" customWidth="1"/>
    <col min="12300" max="12300" width="13.25" customWidth="1"/>
    <col min="12301" max="12301" width="15.125" customWidth="1"/>
    <col min="12302" max="12302" width="28.875" customWidth="1"/>
    <col min="12303" max="12303" width="28.25" customWidth="1"/>
    <col min="12545" max="12545" width="5.25" customWidth="1"/>
    <col min="12546" max="12546" width="6.75" customWidth="1"/>
    <col min="12547" max="12547" width="8.875" customWidth="1"/>
    <col min="12548" max="12548" width="26.5" customWidth="1"/>
    <col min="12549" max="12549" width="6.75" customWidth="1"/>
    <col min="12550" max="12550" width="7.75" customWidth="1"/>
    <col min="12551" max="12551" width="5.5" customWidth="1"/>
    <col min="12552" max="12552" width="5.75" customWidth="1"/>
    <col min="12553" max="12553" width="6.125" customWidth="1"/>
    <col min="12554" max="12554" width="9.75" customWidth="1"/>
    <col min="12556" max="12556" width="13.25" customWidth="1"/>
    <col min="12557" max="12557" width="15.125" customWidth="1"/>
    <col min="12558" max="12558" width="28.875" customWidth="1"/>
    <col min="12559" max="12559" width="28.25" customWidth="1"/>
    <col min="12801" max="12801" width="5.25" customWidth="1"/>
    <col min="12802" max="12802" width="6.75" customWidth="1"/>
    <col min="12803" max="12803" width="8.875" customWidth="1"/>
    <col min="12804" max="12804" width="26.5" customWidth="1"/>
    <col min="12805" max="12805" width="6.75" customWidth="1"/>
    <col min="12806" max="12806" width="7.75" customWidth="1"/>
    <col min="12807" max="12807" width="5.5" customWidth="1"/>
    <col min="12808" max="12808" width="5.75" customWidth="1"/>
    <col min="12809" max="12809" width="6.125" customWidth="1"/>
    <col min="12810" max="12810" width="9.75" customWidth="1"/>
    <col min="12812" max="12812" width="13.25" customWidth="1"/>
    <col min="12813" max="12813" width="15.125" customWidth="1"/>
    <col min="12814" max="12814" width="28.875" customWidth="1"/>
    <col min="12815" max="12815" width="28.25" customWidth="1"/>
    <col min="13057" max="13057" width="5.25" customWidth="1"/>
    <col min="13058" max="13058" width="6.75" customWidth="1"/>
    <col min="13059" max="13059" width="8.875" customWidth="1"/>
    <col min="13060" max="13060" width="26.5" customWidth="1"/>
    <col min="13061" max="13061" width="6.75" customWidth="1"/>
    <col min="13062" max="13062" width="7.75" customWidth="1"/>
    <col min="13063" max="13063" width="5.5" customWidth="1"/>
    <col min="13064" max="13064" width="5.75" customWidth="1"/>
    <col min="13065" max="13065" width="6.125" customWidth="1"/>
    <col min="13066" max="13066" width="9.75" customWidth="1"/>
    <col min="13068" max="13068" width="13.25" customWidth="1"/>
    <col min="13069" max="13069" width="15.125" customWidth="1"/>
    <col min="13070" max="13070" width="28.875" customWidth="1"/>
    <col min="13071" max="13071" width="28.25" customWidth="1"/>
    <col min="13313" max="13313" width="5.25" customWidth="1"/>
    <col min="13314" max="13314" width="6.75" customWidth="1"/>
    <col min="13315" max="13315" width="8.875" customWidth="1"/>
    <col min="13316" max="13316" width="26.5" customWidth="1"/>
    <col min="13317" max="13317" width="6.75" customWidth="1"/>
    <col min="13318" max="13318" width="7.75" customWidth="1"/>
    <col min="13319" max="13319" width="5.5" customWidth="1"/>
    <col min="13320" max="13320" width="5.75" customWidth="1"/>
    <col min="13321" max="13321" width="6.125" customWidth="1"/>
    <col min="13322" max="13322" width="9.75" customWidth="1"/>
    <col min="13324" max="13324" width="13.25" customWidth="1"/>
    <col min="13325" max="13325" width="15.125" customWidth="1"/>
    <col min="13326" max="13326" width="28.875" customWidth="1"/>
    <col min="13327" max="13327" width="28.25" customWidth="1"/>
    <col min="13569" max="13569" width="5.25" customWidth="1"/>
    <col min="13570" max="13570" width="6.75" customWidth="1"/>
    <col min="13571" max="13571" width="8.875" customWidth="1"/>
    <col min="13572" max="13572" width="26.5" customWidth="1"/>
    <col min="13573" max="13573" width="6.75" customWidth="1"/>
    <col min="13574" max="13574" width="7.75" customWidth="1"/>
    <col min="13575" max="13575" width="5.5" customWidth="1"/>
    <col min="13576" max="13576" width="5.75" customWidth="1"/>
    <col min="13577" max="13577" width="6.125" customWidth="1"/>
    <col min="13578" max="13578" width="9.75" customWidth="1"/>
    <col min="13580" max="13580" width="13.25" customWidth="1"/>
    <col min="13581" max="13581" width="15.125" customWidth="1"/>
    <col min="13582" max="13582" width="28.875" customWidth="1"/>
    <col min="13583" max="13583" width="28.25" customWidth="1"/>
    <col min="13825" max="13825" width="5.25" customWidth="1"/>
    <col min="13826" max="13826" width="6.75" customWidth="1"/>
    <col min="13827" max="13827" width="8.875" customWidth="1"/>
    <col min="13828" max="13828" width="26.5" customWidth="1"/>
    <col min="13829" max="13829" width="6.75" customWidth="1"/>
    <col min="13830" max="13830" width="7.75" customWidth="1"/>
    <col min="13831" max="13831" width="5.5" customWidth="1"/>
    <col min="13832" max="13832" width="5.75" customWidth="1"/>
    <col min="13833" max="13833" width="6.125" customWidth="1"/>
    <col min="13834" max="13834" width="9.75" customWidth="1"/>
    <col min="13836" max="13836" width="13.25" customWidth="1"/>
    <col min="13837" max="13837" width="15.125" customWidth="1"/>
    <col min="13838" max="13838" width="28.875" customWidth="1"/>
    <col min="13839" max="13839" width="28.25" customWidth="1"/>
    <col min="14081" max="14081" width="5.25" customWidth="1"/>
    <col min="14082" max="14082" width="6.75" customWidth="1"/>
    <col min="14083" max="14083" width="8.875" customWidth="1"/>
    <col min="14084" max="14084" width="26.5" customWidth="1"/>
    <col min="14085" max="14085" width="6.75" customWidth="1"/>
    <col min="14086" max="14086" width="7.75" customWidth="1"/>
    <col min="14087" max="14087" width="5.5" customWidth="1"/>
    <col min="14088" max="14088" width="5.75" customWidth="1"/>
    <col min="14089" max="14089" width="6.125" customWidth="1"/>
    <col min="14090" max="14090" width="9.75" customWidth="1"/>
    <col min="14092" max="14092" width="13.25" customWidth="1"/>
    <col min="14093" max="14093" width="15.125" customWidth="1"/>
    <col min="14094" max="14094" width="28.875" customWidth="1"/>
    <col min="14095" max="14095" width="28.25" customWidth="1"/>
    <col min="14337" max="14337" width="5.25" customWidth="1"/>
    <col min="14338" max="14338" width="6.75" customWidth="1"/>
    <col min="14339" max="14339" width="8.875" customWidth="1"/>
    <col min="14340" max="14340" width="26.5" customWidth="1"/>
    <col min="14341" max="14341" width="6.75" customWidth="1"/>
    <col min="14342" max="14342" width="7.75" customWidth="1"/>
    <col min="14343" max="14343" width="5.5" customWidth="1"/>
    <col min="14344" max="14344" width="5.75" customWidth="1"/>
    <col min="14345" max="14345" width="6.125" customWidth="1"/>
    <col min="14346" max="14346" width="9.75" customWidth="1"/>
    <col min="14348" max="14348" width="13.25" customWidth="1"/>
    <col min="14349" max="14349" width="15.125" customWidth="1"/>
    <col min="14350" max="14350" width="28.875" customWidth="1"/>
    <col min="14351" max="14351" width="28.25" customWidth="1"/>
    <col min="14593" max="14593" width="5.25" customWidth="1"/>
    <col min="14594" max="14594" width="6.75" customWidth="1"/>
    <col min="14595" max="14595" width="8.875" customWidth="1"/>
    <col min="14596" max="14596" width="26.5" customWidth="1"/>
    <col min="14597" max="14597" width="6.75" customWidth="1"/>
    <col min="14598" max="14598" width="7.75" customWidth="1"/>
    <col min="14599" max="14599" width="5.5" customWidth="1"/>
    <col min="14600" max="14600" width="5.75" customWidth="1"/>
    <col min="14601" max="14601" width="6.125" customWidth="1"/>
    <col min="14602" max="14602" width="9.75" customWidth="1"/>
    <col min="14604" max="14604" width="13.25" customWidth="1"/>
    <col min="14605" max="14605" width="15.125" customWidth="1"/>
    <col min="14606" max="14606" width="28.875" customWidth="1"/>
    <col min="14607" max="14607" width="28.25" customWidth="1"/>
    <col min="14849" max="14849" width="5.25" customWidth="1"/>
    <col min="14850" max="14850" width="6.75" customWidth="1"/>
    <col min="14851" max="14851" width="8.875" customWidth="1"/>
    <col min="14852" max="14852" width="26.5" customWidth="1"/>
    <col min="14853" max="14853" width="6.75" customWidth="1"/>
    <col min="14854" max="14854" width="7.75" customWidth="1"/>
    <col min="14855" max="14855" width="5.5" customWidth="1"/>
    <col min="14856" max="14856" width="5.75" customWidth="1"/>
    <col min="14857" max="14857" width="6.125" customWidth="1"/>
    <col min="14858" max="14858" width="9.75" customWidth="1"/>
    <col min="14860" max="14860" width="13.25" customWidth="1"/>
    <col min="14861" max="14861" width="15.125" customWidth="1"/>
    <col min="14862" max="14862" width="28.875" customWidth="1"/>
    <col min="14863" max="14863" width="28.25" customWidth="1"/>
    <col min="15105" max="15105" width="5.25" customWidth="1"/>
    <col min="15106" max="15106" width="6.75" customWidth="1"/>
    <col min="15107" max="15107" width="8.875" customWidth="1"/>
    <col min="15108" max="15108" width="26.5" customWidth="1"/>
    <col min="15109" max="15109" width="6.75" customWidth="1"/>
    <col min="15110" max="15110" width="7.75" customWidth="1"/>
    <col min="15111" max="15111" width="5.5" customWidth="1"/>
    <col min="15112" max="15112" width="5.75" customWidth="1"/>
    <col min="15113" max="15113" width="6.125" customWidth="1"/>
    <col min="15114" max="15114" width="9.75" customWidth="1"/>
    <col min="15116" max="15116" width="13.25" customWidth="1"/>
    <col min="15117" max="15117" width="15.125" customWidth="1"/>
    <col min="15118" max="15118" width="28.875" customWidth="1"/>
    <col min="15119" max="15119" width="28.25" customWidth="1"/>
    <col min="15361" max="15361" width="5.25" customWidth="1"/>
    <col min="15362" max="15362" width="6.75" customWidth="1"/>
    <col min="15363" max="15363" width="8.875" customWidth="1"/>
    <col min="15364" max="15364" width="26.5" customWidth="1"/>
    <col min="15365" max="15365" width="6.75" customWidth="1"/>
    <col min="15366" max="15366" width="7.75" customWidth="1"/>
    <col min="15367" max="15367" width="5.5" customWidth="1"/>
    <col min="15368" max="15368" width="5.75" customWidth="1"/>
    <col min="15369" max="15369" width="6.125" customWidth="1"/>
    <col min="15370" max="15370" width="9.75" customWidth="1"/>
    <col min="15372" max="15372" width="13.25" customWidth="1"/>
    <col min="15373" max="15373" width="15.125" customWidth="1"/>
    <col min="15374" max="15374" width="28.875" customWidth="1"/>
    <col min="15375" max="15375" width="28.25" customWidth="1"/>
    <col min="15617" max="15617" width="5.25" customWidth="1"/>
    <col min="15618" max="15618" width="6.75" customWidth="1"/>
    <col min="15619" max="15619" width="8.875" customWidth="1"/>
    <col min="15620" max="15620" width="26.5" customWidth="1"/>
    <col min="15621" max="15621" width="6.75" customWidth="1"/>
    <col min="15622" max="15622" width="7.75" customWidth="1"/>
    <col min="15623" max="15623" width="5.5" customWidth="1"/>
    <col min="15624" max="15624" width="5.75" customWidth="1"/>
    <col min="15625" max="15625" width="6.125" customWidth="1"/>
    <col min="15626" max="15626" width="9.75" customWidth="1"/>
    <col min="15628" max="15628" width="13.25" customWidth="1"/>
    <col min="15629" max="15629" width="15.125" customWidth="1"/>
    <col min="15630" max="15630" width="28.875" customWidth="1"/>
    <col min="15631" max="15631" width="28.25" customWidth="1"/>
    <col min="15873" max="15873" width="5.25" customWidth="1"/>
    <col min="15874" max="15874" width="6.75" customWidth="1"/>
    <col min="15875" max="15875" width="8.875" customWidth="1"/>
    <col min="15876" max="15876" width="26.5" customWidth="1"/>
    <col min="15877" max="15877" width="6.75" customWidth="1"/>
    <col min="15878" max="15878" width="7.75" customWidth="1"/>
    <col min="15879" max="15879" width="5.5" customWidth="1"/>
    <col min="15880" max="15880" width="5.75" customWidth="1"/>
    <col min="15881" max="15881" width="6.125" customWidth="1"/>
    <col min="15882" max="15882" width="9.75" customWidth="1"/>
    <col min="15884" max="15884" width="13.25" customWidth="1"/>
    <col min="15885" max="15885" width="15.125" customWidth="1"/>
    <col min="15886" max="15886" width="28.875" customWidth="1"/>
    <col min="15887" max="15887" width="28.25" customWidth="1"/>
    <col min="16129" max="16129" width="5.25" customWidth="1"/>
    <col min="16130" max="16130" width="6.75" customWidth="1"/>
    <col min="16131" max="16131" width="8.875" customWidth="1"/>
    <col min="16132" max="16132" width="26.5" customWidth="1"/>
    <col min="16133" max="16133" width="6.75" customWidth="1"/>
    <col min="16134" max="16134" width="7.75" customWidth="1"/>
    <col min="16135" max="16135" width="5.5" customWidth="1"/>
    <col min="16136" max="16136" width="5.75" customWidth="1"/>
    <col min="16137" max="16137" width="6.125" customWidth="1"/>
    <col min="16138" max="16138" width="9.75" customWidth="1"/>
    <col min="16140" max="16140" width="13.25" customWidth="1"/>
    <col min="16141" max="16141" width="15.125" customWidth="1"/>
    <col min="16142" max="16142" width="28.875" customWidth="1"/>
    <col min="16143" max="16143" width="28.25" customWidth="1"/>
  </cols>
  <sheetData>
    <row r="1" ht="25.8" spans="1:15">
      <c r="A1" s="652" t="s">
        <v>73</v>
      </c>
      <c r="B1" s="652"/>
      <c r="C1" s="652"/>
      <c r="D1" s="652"/>
      <c r="E1" s="652"/>
      <c r="F1" s="652"/>
      <c r="G1" s="652"/>
      <c r="H1" s="652"/>
      <c r="I1" s="652"/>
      <c r="J1" s="652"/>
      <c r="K1" s="652"/>
      <c r="L1" s="652"/>
      <c r="M1" s="652"/>
      <c r="N1" s="652"/>
      <c r="O1" s="155" t="s">
        <v>88</v>
      </c>
    </row>
    <row r="3" ht="100.5" customHeight="1" spans="1:16">
      <c r="A3" s="260" t="s">
        <v>2725</v>
      </c>
      <c r="B3" s="260" t="s">
        <v>2783</v>
      </c>
      <c r="C3" s="260" t="s">
        <v>2784</v>
      </c>
      <c r="D3" s="260" t="s">
        <v>2785</v>
      </c>
      <c r="E3" s="660" t="s">
        <v>2786</v>
      </c>
      <c r="F3" s="660" t="s">
        <v>2787</v>
      </c>
      <c r="G3" s="660" t="s">
        <v>2788</v>
      </c>
      <c r="H3" s="260" t="s">
        <v>2789</v>
      </c>
      <c r="I3" s="260" t="s">
        <v>2790</v>
      </c>
      <c r="J3" s="260" t="s">
        <v>2737</v>
      </c>
      <c r="K3" s="260" t="s">
        <v>2791</v>
      </c>
      <c r="L3" s="664" t="s">
        <v>2792</v>
      </c>
      <c r="M3" s="664" t="s">
        <v>2793</v>
      </c>
      <c r="N3" s="664" t="s">
        <v>2794</v>
      </c>
      <c r="O3" s="665" t="s">
        <v>2795</v>
      </c>
      <c r="P3" s="21"/>
    </row>
    <row r="4" s="156" customFormat="1" ht="26.25" customHeight="1" spans="1:15">
      <c r="A4" s="661"/>
      <c r="B4" s="661"/>
      <c r="C4" s="661"/>
      <c r="D4" s="661"/>
      <c r="E4" s="660" t="s">
        <v>1707</v>
      </c>
      <c r="F4" s="660" t="s">
        <v>2796</v>
      </c>
      <c r="G4" s="660" t="s">
        <v>124</v>
      </c>
      <c r="H4" s="660" t="s">
        <v>2797</v>
      </c>
      <c r="I4" s="660" t="s">
        <v>2798</v>
      </c>
      <c r="J4" s="660" t="s">
        <v>1056</v>
      </c>
      <c r="K4" s="660" t="s">
        <v>2799</v>
      </c>
      <c r="L4" s="353" t="s">
        <v>2800</v>
      </c>
      <c r="M4" s="353" t="s">
        <v>2801</v>
      </c>
      <c r="N4" s="353" t="s">
        <v>2802</v>
      </c>
      <c r="O4" s="353" t="s">
        <v>2803</v>
      </c>
    </row>
    <row r="5" s="156" customFormat="1" spans="1:15">
      <c r="A5" s="228">
        <v>1</v>
      </c>
      <c r="B5" s="228" t="s">
        <v>2804</v>
      </c>
      <c r="C5" s="662">
        <f>0.04*100/0.63</f>
        <v>6.34920634920635</v>
      </c>
      <c r="D5" s="228">
        <v>4</v>
      </c>
      <c r="E5" s="663">
        <v>20</v>
      </c>
      <c r="F5" s="663">
        <v>20</v>
      </c>
      <c r="G5" s="663">
        <v>120</v>
      </c>
      <c r="H5" s="663">
        <v>100</v>
      </c>
      <c r="I5" s="663">
        <v>1.2</v>
      </c>
      <c r="J5" s="663">
        <v>42.5</v>
      </c>
      <c r="K5" s="666">
        <v>0.06</v>
      </c>
      <c r="L5" s="667">
        <f>F5*H5/G5/J5/POWER(I5,2)</f>
        <v>0.272331154684096</v>
      </c>
      <c r="M5" s="667">
        <f>K5*E5*H5/1000/POWER(I5,2)+C5</f>
        <v>6.43253968253968</v>
      </c>
      <c r="N5" s="667">
        <f t="shared" ref="N5:N32" si="0">POWER((POWER(L5,2)+POWER(M5,2)),0.5)</f>
        <v>6.43830187435004</v>
      </c>
      <c r="O5" s="668">
        <f t="shared" ref="O5:O32" si="1">1000*H5/(2*N5*I5)</f>
        <v>6471.68577675196</v>
      </c>
    </row>
    <row r="6" s="156" customFormat="1" spans="1:15">
      <c r="A6" s="228">
        <v>2</v>
      </c>
      <c r="B6" s="228" t="s">
        <v>2805</v>
      </c>
      <c r="C6" s="662">
        <f>0.04*100/0.63</f>
        <v>6.34920634920635</v>
      </c>
      <c r="D6" s="228" t="s">
        <v>2806</v>
      </c>
      <c r="E6" s="663">
        <f>20+20</f>
        <v>40</v>
      </c>
      <c r="F6" s="663">
        <f>20+G6/70*20</f>
        <v>54.2857142857143</v>
      </c>
      <c r="G6" s="663">
        <v>120</v>
      </c>
      <c r="H6" s="663">
        <v>100</v>
      </c>
      <c r="I6" s="663">
        <v>1.2</v>
      </c>
      <c r="J6" s="663">
        <v>42.5</v>
      </c>
      <c r="K6" s="666">
        <v>0.06</v>
      </c>
      <c r="L6" s="667">
        <f>F6*H6/G6/J6/POWER(I6,2)</f>
        <v>0.739184562713974</v>
      </c>
      <c r="M6" s="667">
        <f>K6*E6*H6/1000/POWER(I6,2)+C6</f>
        <v>6.51587301587302</v>
      </c>
      <c r="N6" s="667">
        <f t="shared" si="0"/>
        <v>6.55766688516097</v>
      </c>
      <c r="O6" s="668">
        <f t="shared" si="1"/>
        <v>6353.8858249955</v>
      </c>
    </row>
    <row r="7" s="156" customFormat="1" spans="1:15">
      <c r="A7" s="228">
        <v>3</v>
      </c>
      <c r="B7" s="228" t="s">
        <v>2807</v>
      </c>
      <c r="C7" s="662">
        <f>0.04*100/0.63</f>
        <v>6.34920634920635</v>
      </c>
      <c r="D7" s="228" t="s">
        <v>2808</v>
      </c>
      <c r="E7" s="663">
        <f>20+20</f>
        <v>40</v>
      </c>
      <c r="F7" s="663">
        <f>20+G7/70*20</f>
        <v>54.2857142857143</v>
      </c>
      <c r="G7" s="663">
        <v>120</v>
      </c>
      <c r="H7" s="663">
        <v>100</v>
      </c>
      <c r="I7" s="663">
        <v>1.2</v>
      </c>
      <c r="J7" s="663">
        <v>42.5</v>
      </c>
      <c r="K7" s="666">
        <v>0.06</v>
      </c>
      <c r="L7" s="667">
        <f>F7*H7/G7/J7/POWER(I7,2)</f>
        <v>0.739184562713974</v>
      </c>
      <c r="M7" s="667">
        <f>K7*E7*H7/1000/POWER(I7,2)+C7</f>
        <v>6.51587301587302</v>
      </c>
      <c r="N7" s="667">
        <f t="shared" si="0"/>
        <v>6.55766688516097</v>
      </c>
      <c r="O7" s="668">
        <f t="shared" si="1"/>
        <v>6353.8858249955</v>
      </c>
    </row>
    <row r="8" s="156" customFormat="1" spans="1:15">
      <c r="A8" s="228">
        <v>4</v>
      </c>
      <c r="B8" s="228" t="s">
        <v>2809</v>
      </c>
      <c r="C8" s="662">
        <f>0.04*100/0.63</f>
        <v>6.34920634920635</v>
      </c>
      <c r="D8" s="228" t="s">
        <v>2810</v>
      </c>
      <c r="E8" s="663">
        <f>20+20</f>
        <v>40</v>
      </c>
      <c r="F8" s="663">
        <f>20+G8/16*20</f>
        <v>170</v>
      </c>
      <c r="G8" s="663">
        <v>120</v>
      </c>
      <c r="H8" s="663">
        <v>100</v>
      </c>
      <c r="I8" s="663">
        <v>1.2</v>
      </c>
      <c r="J8" s="663">
        <v>42.5</v>
      </c>
      <c r="K8" s="666">
        <v>0.06</v>
      </c>
      <c r="L8" s="667">
        <f>F8*H8/G8/J8/POWER(I8,2)</f>
        <v>2.31481481481481</v>
      </c>
      <c r="M8" s="667">
        <f>K8*E8*H8/1000/POWER(I8,2)+C8</f>
        <v>6.51587301587302</v>
      </c>
      <c r="N8" s="667">
        <f t="shared" si="0"/>
        <v>6.91483685894818</v>
      </c>
      <c r="O8" s="668">
        <f t="shared" si="1"/>
        <v>6025.69048505428</v>
      </c>
    </row>
    <row r="9" s="156" customFormat="1" spans="1:15">
      <c r="A9" s="228">
        <v>5</v>
      </c>
      <c r="B9" s="228" t="s">
        <v>2811</v>
      </c>
      <c r="C9" s="662">
        <f>0.04*100/0.63</f>
        <v>6.34920634920635</v>
      </c>
      <c r="D9" s="228" t="s">
        <v>2812</v>
      </c>
      <c r="E9" s="663">
        <f>20+20</f>
        <v>40</v>
      </c>
      <c r="F9" s="663">
        <f>20+G9/16*20</f>
        <v>170</v>
      </c>
      <c r="G9" s="663">
        <v>120</v>
      </c>
      <c r="H9" s="663">
        <v>100</v>
      </c>
      <c r="I9" s="663">
        <v>1.2</v>
      </c>
      <c r="J9" s="663">
        <v>42.5</v>
      </c>
      <c r="K9" s="666">
        <v>0.06</v>
      </c>
      <c r="L9" s="667">
        <f>F9*H9/G9/J9/POWER(I9,2)</f>
        <v>2.31481481481481</v>
      </c>
      <c r="M9" s="667">
        <f>K9*E9*H9/1000/POWER(I9,2)+C9</f>
        <v>6.51587301587302</v>
      </c>
      <c r="N9" s="667">
        <f t="shared" si="0"/>
        <v>6.91483685894818</v>
      </c>
      <c r="O9" s="668">
        <f t="shared" si="1"/>
        <v>6025.69048505428</v>
      </c>
    </row>
    <row r="10" s="156" customFormat="1" spans="1:15">
      <c r="A10" s="228">
        <v>6</v>
      </c>
      <c r="B10" s="228" t="s">
        <v>2813</v>
      </c>
      <c r="C10" s="228">
        <f>0.04*100/1.6</f>
        <v>2.5</v>
      </c>
      <c r="D10" s="228">
        <v>5</v>
      </c>
      <c r="E10" s="663">
        <v>30</v>
      </c>
      <c r="F10" s="663">
        <v>30</v>
      </c>
      <c r="G10" s="663">
        <v>70</v>
      </c>
      <c r="H10" s="663">
        <v>100</v>
      </c>
      <c r="I10" s="663">
        <v>1.2</v>
      </c>
      <c r="J10" s="663">
        <v>42.5</v>
      </c>
      <c r="K10" s="666">
        <v>0.06</v>
      </c>
      <c r="L10" s="667">
        <f t="shared" ref="L10:L32" si="2">F10*H10/G10/J10/POWER(I10,2)</f>
        <v>0.700280112044818</v>
      </c>
      <c r="M10" s="667">
        <f t="shared" ref="M10:M32" si="3">K10*E10*H10/1000/POWER(I10,2)+C10</f>
        <v>2.625</v>
      </c>
      <c r="N10" s="667">
        <f t="shared" si="0"/>
        <v>2.71680275973901</v>
      </c>
      <c r="O10" s="668">
        <f t="shared" si="1"/>
        <v>15336.6550138036</v>
      </c>
    </row>
    <row r="11" s="156" customFormat="1" spans="1:15">
      <c r="A11" s="228">
        <v>7</v>
      </c>
      <c r="B11" s="228" t="s">
        <v>2814</v>
      </c>
      <c r="C11" s="228">
        <f>0.04*100/1.6</f>
        <v>2.5</v>
      </c>
      <c r="D11" s="228" t="s">
        <v>2815</v>
      </c>
      <c r="E11" s="663">
        <f>30+150+10</f>
        <v>190</v>
      </c>
      <c r="F11" s="663">
        <f>G11/70*30+150+10</f>
        <v>175</v>
      </c>
      <c r="G11" s="663">
        <v>35</v>
      </c>
      <c r="H11" s="663">
        <v>100</v>
      </c>
      <c r="I11" s="663">
        <v>1.2</v>
      </c>
      <c r="J11" s="663">
        <v>42.5</v>
      </c>
      <c r="K11" s="666">
        <v>0.06</v>
      </c>
      <c r="L11" s="667">
        <f t="shared" si="2"/>
        <v>8.16993464052288</v>
      </c>
      <c r="M11" s="667">
        <f t="shared" si="3"/>
        <v>3.29166666666667</v>
      </c>
      <c r="N11" s="667">
        <f t="shared" si="0"/>
        <v>8.80811565971179</v>
      </c>
      <c r="O11" s="668">
        <f t="shared" si="1"/>
        <v>4730.48586966784</v>
      </c>
    </row>
    <row r="12" s="156" customFormat="1" spans="1:15">
      <c r="A12" s="228">
        <v>8</v>
      </c>
      <c r="B12" s="228" t="s">
        <v>2816</v>
      </c>
      <c r="C12" s="228">
        <f>0.04*100/1.6</f>
        <v>2.5</v>
      </c>
      <c r="D12" s="228" t="s">
        <v>2817</v>
      </c>
      <c r="E12" s="663">
        <f>30+150+10</f>
        <v>190</v>
      </c>
      <c r="F12" s="663">
        <f>G12/70*30+150+10</f>
        <v>175</v>
      </c>
      <c r="G12" s="663">
        <v>35</v>
      </c>
      <c r="H12" s="663">
        <v>100</v>
      </c>
      <c r="I12" s="663">
        <v>1.2</v>
      </c>
      <c r="J12" s="663">
        <v>42.5</v>
      </c>
      <c r="K12" s="666">
        <v>0.06</v>
      </c>
      <c r="L12" s="667">
        <f t="shared" si="2"/>
        <v>8.16993464052288</v>
      </c>
      <c r="M12" s="667">
        <f t="shared" si="3"/>
        <v>3.29166666666667</v>
      </c>
      <c r="N12" s="667">
        <f t="shared" si="0"/>
        <v>8.80811565971179</v>
      </c>
      <c r="O12" s="668">
        <f t="shared" si="1"/>
        <v>4730.48586966784</v>
      </c>
    </row>
    <row r="13" s="156" customFormat="1" spans="1:15">
      <c r="A13" s="228">
        <v>9</v>
      </c>
      <c r="B13" s="228" t="s">
        <v>2818</v>
      </c>
      <c r="C13" s="228">
        <f t="shared" ref="C13:C18" si="4">0.04*100/1.6</f>
        <v>2.5</v>
      </c>
      <c r="D13" s="228">
        <v>6</v>
      </c>
      <c r="E13" s="663">
        <v>30</v>
      </c>
      <c r="F13" s="663">
        <v>30</v>
      </c>
      <c r="G13" s="663">
        <v>120</v>
      </c>
      <c r="H13" s="663">
        <v>100</v>
      </c>
      <c r="I13" s="663">
        <v>1.2</v>
      </c>
      <c r="J13" s="663">
        <v>42.5</v>
      </c>
      <c r="K13" s="666">
        <v>0.06</v>
      </c>
      <c r="L13" s="667">
        <f t="shared" si="2"/>
        <v>0.408496732026144</v>
      </c>
      <c r="M13" s="667">
        <f t="shared" si="3"/>
        <v>2.625</v>
      </c>
      <c r="N13" s="667">
        <f t="shared" si="0"/>
        <v>2.65659454566858</v>
      </c>
      <c r="O13" s="668">
        <f t="shared" si="1"/>
        <v>15684.2400864677</v>
      </c>
    </row>
    <row r="14" s="156" customFormat="1" spans="1:15">
      <c r="A14" s="228">
        <v>10</v>
      </c>
      <c r="B14" s="228" t="s">
        <v>2819</v>
      </c>
      <c r="C14" s="228">
        <f t="shared" si="4"/>
        <v>2.5</v>
      </c>
      <c r="D14" s="228" t="s">
        <v>2820</v>
      </c>
      <c r="E14" s="663">
        <f>30+30</f>
        <v>60</v>
      </c>
      <c r="F14" s="663">
        <f>30+G14/50*30</f>
        <v>102</v>
      </c>
      <c r="G14" s="663">
        <v>120</v>
      </c>
      <c r="H14" s="663">
        <v>100</v>
      </c>
      <c r="I14" s="663">
        <v>1.2</v>
      </c>
      <c r="J14" s="663">
        <v>42.5</v>
      </c>
      <c r="K14" s="666">
        <v>0.06</v>
      </c>
      <c r="L14" s="667">
        <f t="shared" si="2"/>
        <v>1.38888888888889</v>
      </c>
      <c r="M14" s="667">
        <f t="shared" si="3"/>
        <v>2.75</v>
      </c>
      <c r="N14" s="667">
        <f t="shared" si="0"/>
        <v>3.08082981446217</v>
      </c>
      <c r="O14" s="668">
        <f t="shared" si="1"/>
        <v>13524.4947549758</v>
      </c>
    </row>
    <row r="15" s="156" customFormat="1" spans="1:15">
      <c r="A15" s="228">
        <v>11</v>
      </c>
      <c r="B15" s="228" t="s">
        <v>2821</v>
      </c>
      <c r="C15" s="228">
        <f t="shared" si="4"/>
        <v>2.5</v>
      </c>
      <c r="D15" s="228" t="s">
        <v>2822</v>
      </c>
      <c r="E15" s="663">
        <f>30+30</f>
        <v>60</v>
      </c>
      <c r="F15" s="663">
        <f>30+G15/50*30</f>
        <v>102</v>
      </c>
      <c r="G15" s="663">
        <v>120</v>
      </c>
      <c r="H15" s="663">
        <v>100</v>
      </c>
      <c r="I15" s="663">
        <v>1.2</v>
      </c>
      <c r="J15" s="663">
        <v>42.5</v>
      </c>
      <c r="K15" s="666">
        <v>0.06</v>
      </c>
      <c r="L15" s="667">
        <f t="shared" si="2"/>
        <v>1.38888888888889</v>
      </c>
      <c r="M15" s="667">
        <f t="shared" si="3"/>
        <v>2.75</v>
      </c>
      <c r="N15" s="667">
        <f t="shared" si="0"/>
        <v>3.08082981446217</v>
      </c>
      <c r="O15" s="668">
        <f t="shared" si="1"/>
        <v>13524.4947549758</v>
      </c>
    </row>
    <row r="16" s="156" customFormat="1" spans="1:15">
      <c r="A16" s="228">
        <v>12</v>
      </c>
      <c r="B16" s="228" t="s">
        <v>2823</v>
      </c>
      <c r="C16" s="228">
        <f t="shared" si="4"/>
        <v>2.5</v>
      </c>
      <c r="D16" s="228" t="s">
        <v>2824</v>
      </c>
      <c r="E16" s="663">
        <f>30+30</f>
        <v>60</v>
      </c>
      <c r="F16" s="663">
        <f>30+G16/50*30</f>
        <v>102</v>
      </c>
      <c r="G16" s="663">
        <v>120</v>
      </c>
      <c r="H16" s="663">
        <v>100</v>
      </c>
      <c r="I16" s="663">
        <v>1.2</v>
      </c>
      <c r="J16" s="663">
        <v>42.5</v>
      </c>
      <c r="K16" s="666">
        <v>0.06</v>
      </c>
      <c r="L16" s="667">
        <f t="shared" si="2"/>
        <v>1.38888888888889</v>
      </c>
      <c r="M16" s="667">
        <f t="shared" si="3"/>
        <v>2.75</v>
      </c>
      <c r="N16" s="667">
        <f t="shared" si="0"/>
        <v>3.08082981446217</v>
      </c>
      <c r="O16" s="668">
        <f t="shared" si="1"/>
        <v>13524.4947549758</v>
      </c>
    </row>
    <row r="17" s="156" customFormat="1" spans="1:15">
      <c r="A17" s="228">
        <v>13</v>
      </c>
      <c r="B17" s="228" t="s">
        <v>2825</v>
      </c>
      <c r="C17" s="228">
        <f t="shared" si="4"/>
        <v>2.5</v>
      </c>
      <c r="D17" s="228" t="s">
        <v>2826</v>
      </c>
      <c r="E17" s="663">
        <f>30+30</f>
        <v>60</v>
      </c>
      <c r="F17" s="663">
        <f>30+G17/50*30</f>
        <v>102</v>
      </c>
      <c r="G17" s="663">
        <v>120</v>
      </c>
      <c r="H17" s="663">
        <v>100</v>
      </c>
      <c r="I17" s="663">
        <v>1.2</v>
      </c>
      <c r="J17" s="663">
        <v>42.5</v>
      </c>
      <c r="K17" s="666">
        <v>0.06</v>
      </c>
      <c r="L17" s="667">
        <f t="shared" si="2"/>
        <v>1.38888888888889</v>
      </c>
      <c r="M17" s="667">
        <f t="shared" si="3"/>
        <v>2.75</v>
      </c>
      <c r="N17" s="667">
        <f t="shared" si="0"/>
        <v>3.08082981446217</v>
      </c>
      <c r="O17" s="668">
        <f t="shared" si="1"/>
        <v>13524.4947549758</v>
      </c>
    </row>
    <row r="18" s="156" customFormat="1" spans="1:15">
      <c r="A18" s="228">
        <v>14</v>
      </c>
      <c r="B18" s="228" t="s">
        <v>2827</v>
      </c>
      <c r="C18" s="228">
        <f t="shared" si="4"/>
        <v>2.5</v>
      </c>
      <c r="D18" s="228" t="s">
        <v>2828</v>
      </c>
      <c r="E18" s="663">
        <f>30+30</f>
        <v>60</v>
      </c>
      <c r="F18" s="663">
        <f>30+G18/50*30</f>
        <v>102</v>
      </c>
      <c r="G18" s="663">
        <v>120</v>
      </c>
      <c r="H18" s="663">
        <v>100</v>
      </c>
      <c r="I18" s="663">
        <v>1.2</v>
      </c>
      <c r="J18" s="663">
        <v>42.5</v>
      </c>
      <c r="K18" s="666">
        <v>0.06</v>
      </c>
      <c r="L18" s="667">
        <f t="shared" si="2"/>
        <v>1.38888888888889</v>
      </c>
      <c r="M18" s="667">
        <f t="shared" si="3"/>
        <v>2.75</v>
      </c>
      <c r="N18" s="667">
        <f t="shared" si="0"/>
        <v>3.08082981446217</v>
      </c>
      <c r="O18" s="668">
        <f t="shared" si="1"/>
        <v>13524.4947549758</v>
      </c>
    </row>
    <row r="19" s="156" customFormat="1" spans="1:15">
      <c r="A19" s="228">
        <v>15</v>
      </c>
      <c r="B19" s="228" t="s">
        <v>2829</v>
      </c>
      <c r="C19" s="228">
        <f t="shared" ref="C19:C32" si="5">0.04*100/4</f>
        <v>1</v>
      </c>
      <c r="D19" s="228">
        <v>7</v>
      </c>
      <c r="E19" s="663">
        <v>20</v>
      </c>
      <c r="F19" s="663">
        <v>20</v>
      </c>
      <c r="G19" s="663">
        <v>120</v>
      </c>
      <c r="H19" s="663">
        <v>100</v>
      </c>
      <c r="I19" s="663">
        <v>3.45</v>
      </c>
      <c r="J19" s="663">
        <v>42.5</v>
      </c>
      <c r="K19" s="666">
        <v>0.06</v>
      </c>
      <c r="L19" s="667">
        <f t="shared" si="2"/>
        <v>0.0329474364835201</v>
      </c>
      <c r="M19" s="667">
        <f t="shared" si="3"/>
        <v>1.01008191556396</v>
      </c>
      <c r="N19" s="667">
        <f t="shared" si="0"/>
        <v>1.01061912198424</v>
      </c>
      <c r="O19" s="668">
        <f t="shared" si="1"/>
        <v>14340.470418503</v>
      </c>
    </row>
    <row r="20" s="156" customFormat="1" spans="1:15">
      <c r="A20" s="228">
        <v>16</v>
      </c>
      <c r="B20" s="228" t="s">
        <v>2830</v>
      </c>
      <c r="C20" s="228">
        <f t="shared" si="5"/>
        <v>1</v>
      </c>
      <c r="D20" s="228" t="s">
        <v>2831</v>
      </c>
      <c r="E20" s="663">
        <f>20+200</f>
        <v>220</v>
      </c>
      <c r="F20" s="663">
        <f>20+G20/70*200</f>
        <v>362.857142857143</v>
      </c>
      <c r="G20" s="663">
        <v>120</v>
      </c>
      <c r="H20" s="663">
        <v>100</v>
      </c>
      <c r="I20" s="663">
        <v>3.45</v>
      </c>
      <c r="J20" s="663">
        <v>42.5</v>
      </c>
      <c r="K20" s="666">
        <v>0.06</v>
      </c>
      <c r="L20" s="667">
        <f t="shared" si="2"/>
        <v>0.597760633343865</v>
      </c>
      <c r="M20" s="667">
        <f t="shared" si="3"/>
        <v>1.11090107120353</v>
      </c>
      <c r="N20" s="667">
        <f t="shared" si="0"/>
        <v>1.2615145519481</v>
      </c>
      <c r="O20" s="668">
        <f t="shared" si="1"/>
        <v>11488.3760958666</v>
      </c>
    </row>
    <row r="21" s="156" customFormat="1" spans="1:15">
      <c r="A21" s="228">
        <v>17</v>
      </c>
      <c r="B21" s="228" t="s">
        <v>2832</v>
      </c>
      <c r="C21" s="228">
        <f t="shared" si="5"/>
        <v>1</v>
      </c>
      <c r="D21" s="228" t="s">
        <v>2833</v>
      </c>
      <c r="E21" s="663">
        <f>20+200</f>
        <v>220</v>
      </c>
      <c r="F21" s="663">
        <f>20+G21/70*200</f>
        <v>362.857142857143</v>
      </c>
      <c r="G21" s="663">
        <v>120</v>
      </c>
      <c r="H21" s="663">
        <v>100</v>
      </c>
      <c r="I21" s="663">
        <v>3.45</v>
      </c>
      <c r="J21" s="663">
        <v>42.5</v>
      </c>
      <c r="K21" s="666">
        <v>0.06</v>
      </c>
      <c r="L21" s="667">
        <f t="shared" si="2"/>
        <v>0.597760633343865</v>
      </c>
      <c r="M21" s="667">
        <f t="shared" si="3"/>
        <v>1.11090107120353</v>
      </c>
      <c r="N21" s="667">
        <f t="shared" si="0"/>
        <v>1.2615145519481</v>
      </c>
      <c r="O21" s="668">
        <f t="shared" si="1"/>
        <v>11488.3760958666</v>
      </c>
    </row>
    <row r="22" s="156" customFormat="1" spans="1:15">
      <c r="A22" s="228">
        <v>18</v>
      </c>
      <c r="B22" s="228" t="s">
        <v>2834</v>
      </c>
      <c r="C22" s="228">
        <f t="shared" si="5"/>
        <v>1</v>
      </c>
      <c r="D22" s="228" t="s">
        <v>2835</v>
      </c>
      <c r="E22" s="663">
        <f>20+230</f>
        <v>250</v>
      </c>
      <c r="F22" s="663">
        <f>20+G22/50*230</f>
        <v>572</v>
      </c>
      <c r="G22" s="663">
        <v>120</v>
      </c>
      <c r="H22" s="663">
        <v>100</v>
      </c>
      <c r="I22" s="663">
        <v>3.45</v>
      </c>
      <c r="J22" s="663">
        <v>42.5</v>
      </c>
      <c r="K22" s="666">
        <v>0.06</v>
      </c>
      <c r="L22" s="667">
        <f t="shared" si="2"/>
        <v>0.942296683428675</v>
      </c>
      <c r="M22" s="667">
        <f t="shared" si="3"/>
        <v>1.12602394454946</v>
      </c>
      <c r="N22" s="667">
        <f t="shared" si="0"/>
        <v>1.46828231730121</v>
      </c>
      <c r="O22" s="668">
        <f t="shared" si="1"/>
        <v>9870.54972495135</v>
      </c>
    </row>
    <row r="23" s="156" customFormat="1" spans="1:15">
      <c r="A23" s="228">
        <v>19</v>
      </c>
      <c r="B23" s="228" t="s">
        <v>2836</v>
      </c>
      <c r="C23" s="228">
        <f t="shared" si="5"/>
        <v>1</v>
      </c>
      <c r="D23" s="228" t="s">
        <v>2837</v>
      </c>
      <c r="E23" s="663">
        <f>20+460</f>
        <v>480</v>
      </c>
      <c r="F23" s="663">
        <f>20+G23/70*460</f>
        <v>808.571428571429</v>
      </c>
      <c r="G23" s="663">
        <v>120</v>
      </c>
      <c r="H23" s="663">
        <v>100</v>
      </c>
      <c r="I23" s="663">
        <v>3.45</v>
      </c>
      <c r="J23" s="663">
        <v>42.5</v>
      </c>
      <c r="K23" s="666">
        <v>0.06</v>
      </c>
      <c r="L23" s="667">
        <f t="shared" si="2"/>
        <v>1.33201778926231</v>
      </c>
      <c r="M23" s="667">
        <f t="shared" si="3"/>
        <v>1.24196597353497</v>
      </c>
      <c r="N23" s="667">
        <f t="shared" si="0"/>
        <v>1.8211949017966</v>
      </c>
      <c r="O23" s="668">
        <f t="shared" si="1"/>
        <v>7957.82681408309</v>
      </c>
    </row>
    <row r="24" s="156" customFormat="1" spans="1:15">
      <c r="A24" s="228">
        <v>20</v>
      </c>
      <c r="B24" s="228" t="s">
        <v>2838</v>
      </c>
      <c r="C24" s="228">
        <f t="shared" si="5"/>
        <v>1</v>
      </c>
      <c r="D24" s="228">
        <v>8</v>
      </c>
      <c r="E24" s="663">
        <v>20</v>
      </c>
      <c r="F24" s="663">
        <v>20</v>
      </c>
      <c r="G24" s="663">
        <v>120</v>
      </c>
      <c r="H24" s="663">
        <v>100</v>
      </c>
      <c r="I24" s="663">
        <v>3.45</v>
      </c>
      <c r="J24" s="663">
        <v>42.5</v>
      </c>
      <c r="K24" s="666">
        <v>0.06</v>
      </c>
      <c r="L24" s="667">
        <f t="shared" si="2"/>
        <v>0.0329474364835201</v>
      </c>
      <c r="M24" s="667">
        <f t="shared" si="3"/>
        <v>1.01008191556396</v>
      </c>
      <c r="N24" s="667">
        <f t="shared" si="0"/>
        <v>1.01061912198424</v>
      </c>
      <c r="O24" s="668">
        <f t="shared" si="1"/>
        <v>14340.470418503</v>
      </c>
    </row>
    <row r="25" s="156" customFormat="1" spans="1:15">
      <c r="A25" s="228">
        <v>21</v>
      </c>
      <c r="B25" s="228" t="s">
        <v>2839</v>
      </c>
      <c r="C25" s="228">
        <f t="shared" si="5"/>
        <v>1</v>
      </c>
      <c r="D25" s="228" t="s">
        <v>2840</v>
      </c>
      <c r="E25" s="663">
        <f>20+460</f>
        <v>480</v>
      </c>
      <c r="F25" s="663">
        <f>20+G25/70*460</f>
        <v>808.571428571429</v>
      </c>
      <c r="G25" s="663">
        <v>120</v>
      </c>
      <c r="H25" s="663">
        <v>100</v>
      </c>
      <c r="I25" s="663">
        <v>3.45</v>
      </c>
      <c r="J25" s="663">
        <v>42.5</v>
      </c>
      <c r="K25" s="666">
        <v>0.06</v>
      </c>
      <c r="L25" s="667">
        <f t="shared" si="2"/>
        <v>1.33201778926231</v>
      </c>
      <c r="M25" s="667">
        <f t="shared" si="3"/>
        <v>1.24196597353497</v>
      </c>
      <c r="N25" s="667">
        <f t="shared" si="0"/>
        <v>1.8211949017966</v>
      </c>
      <c r="O25" s="668">
        <f t="shared" si="1"/>
        <v>7957.82681408309</v>
      </c>
    </row>
    <row r="26" s="156" customFormat="1" spans="1:15">
      <c r="A26" s="228">
        <v>22</v>
      </c>
      <c r="B26" s="228" t="s">
        <v>2841</v>
      </c>
      <c r="C26" s="228">
        <f t="shared" si="5"/>
        <v>1</v>
      </c>
      <c r="D26" s="228" t="s">
        <v>2842</v>
      </c>
      <c r="E26" s="663">
        <f>20+460</f>
        <v>480</v>
      </c>
      <c r="F26" s="663">
        <f>20+G26/70*460</f>
        <v>808.571428571429</v>
      </c>
      <c r="G26" s="663">
        <v>120</v>
      </c>
      <c r="H26" s="663">
        <v>100</v>
      </c>
      <c r="I26" s="663">
        <v>3.45</v>
      </c>
      <c r="J26" s="663">
        <v>42.5</v>
      </c>
      <c r="K26" s="666">
        <v>0.06</v>
      </c>
      <c r="L26" s="667">
        <f t="shared" si="2"/>
        <v>1.33201778926231</v>
      </c>
      <c r="M26" s="667">
        <f t="shared" si="3"/>
        <v>1.24196597353497</v>
      </c>
      <c r="N26" s="667">
        <f t="shared" si="0"/>
        <v>1.8211949017966</v>
      </c>
      <c r="O26" s="668">
        <f t="shared" si="1"/>
        <v>7957.82681408309</v>
      </c>
    </row>
    <row r="27" s="156" customFormat="1" spans="1:15">
      <c r="A27" s="228">
        <v>23</v>
      </c>
      <c r="B27" s="228" t="s">
        <v>2843</v>
      </c>
      <c r="C27" s="228">
        <f t="shared" si="5"/>
        <v>1</v>
      </c>
      <c r="D27" s="228" t="s">
        <v>2844</v>
      </c>
      <c r="E27" s="663">
        <f>20+250</f>
        <v>270</v>
      </c>
      <c r="F27" s="663">
        <f>20+G27/70*250</f>
        <v>448.571428571429</v>
      </c>
      <c r="G27" s="663">
        <v>120</v>
      </c>
      <c r="H27" s="663">
        <v>100</v>
      </c>
      <c r="I27" s="663">
        <v>3.45</v>
      </c>
      <c r="J27" s="663">
        <v>42.5</v>
      </c>
      <c r="K27" s="666">
        <v>0.06</v>
      </c>
      <c r="L27" s="667">
        <f t="shared" si="2"/>
        <v>0.738963932558951</v>
      </c>
      <c r="M27" s="667">
        <f t="shared" si="3"/>
        <v>1.13610586011342</v>
      </c>
      <c r="N27" s="667">
        <f t="shared" si="0"/>
        <v>1.3552875041876</v>
      </c>
      <c r="O27" s="668">
        <f t="shared" si="1"/>
        <v>10693.4901844873</v>
      </c>
    </row>
    <row r="28" s="156" customFormat="1" spans="1:15">
      <c r="A28" s="228">
        <v>24</v>
      </c>
      <c r="B28" s="228" t="s">
        <v>2845</v>
      </c>
      <c r="C28" s="228">
        <f t="shared" si="5"/>
        <v>1</v>
      </c>
      <c r="D28" s="228" t="s">
        <v>2846</v>
      </c>
      <c r="E28" s="663">
        <f>20+250</f>
        <v>270</v>
      </c>
      <c r="F28" s="663">
        <f>20+G28/70*250</f>
        <v>448.571428571429</v>
      </c>
      <c r="G28" s="663">
        <v>120</v>
      </c>
      <c r="H28" s="663">
        <v>100</v>
      </c>
      <c r="I28" s="663">
        <v>3.45</v>
      </c>
      <c r="J28" s="663">
        <v>42.5</v>
      </c>
      <c r="K28" s="666">
        <v>0.06</v>
      </c>
      <c r="L28" s="667">
        <f t="shared" si="2"/>
        <v>0.738963932558951</v>
      </c>
      <c r="M28" s="667">
        <f t="shared" si="3"/>
        <v>1.13610586011342</v>
      </c>
      <c r="N28" s="667">
        <f t="shared" si="0"/>
        <v>1.3552875041876</v>
      </c>
      <c r="O28" s="668">
        <f t="shared" si="1"/>
        <v>10693.4901844873</v>
      </c>
    </row>
    <row r="29" s="156" customFormat="1" spans="1:15">
      <c r="A29" s="228">
        <v>25</v>
      </c>
      <c r="B29" s="228" t="s">
        <v>2847</v>
      </c>
      <c r="C29" s="228">
        <f t="shared" si="5"/>
        <v>1</v>
      </c>
      <c r="D29" s="228" t="s">
        <v>2848</v>
      </c>
      <c r="E29" s="663">
        <f>20+450</f>
        <v>470</v>
      </c>
      <c r="F29" s="663">
        <f>20+G29/70*450</f>
        <v>791.428571428571</v>
      </c>
      <c r="G29" s="663">
        <v>120</v>
      </c>
      <c r="H29" s="663">
        <v>100</v>
      </c>
      <c r="I29" s="663">
        <v>3.45</v>
      </c>
      <c r="J29" s="663">
        <v>42.5</v>
      </c>
      <c r="K29" s="666">
        <v>0.06</v>
      </c>
      <c r="L29" s="667">
        <f t="shared" si="2"/>
        <v>1.3037771294193</v>
      </c>
      <c r="M29" s="667">
        <f t="shared" si="3"/>
        <v>1.23692501575299</v>
      </c>
      <c r="N29" s="667">
        <f t="shared" si="0"/>
        <v>1.79716952394379</v>
      </c>
      <c r="O29" s="668">
        <f t="shared" si="1"/>
        <v>8064.21065464366</v>
      </c>
    </row>
    <row r="30" s="156" customFormat="1" spans="1:15">
      <c r="A30" s="228">
        <v>26</v>
      </c>
      <c r="B30" s="228" t="s">
        <v>2849</v>
      </c>
      <c r="C30" s="228">
        <f t="shared" si="5"/>
        <v>1</v>
      </c>
      <c r="D30" s="228" t="s">
        <v>2850</v>
      </c>
      <c r="E30" s="663">
        <f>20+450</f>
        <v>470</v>
      </c>
      <c r="F30" s="663">
        <f>20+G30/70*450</f>
        <v>791.428571428571</v>
      </c>
      <c r="G30" s="663">
        <v>120</v>
      </c>
      <c r="H30" s="663">
        <v>100</v>
      </c>
      <c r="I30" s="663">
        <v>3.45</v>
      </c>
      <c r="J30" s="663">
        <v>42.5</v>
      </c>
      <c r="K30" s="666">
        <v>0.06</v>
      </c>
      <c r="L30" s="667">
        <f t="shared" si="2"/>
        <v>1.3037771294193</v>
      </c>
      <c r="M30" s="667">
        <f t="shared" si="3"/>
        <v>1.23692501575299</v>
      </c>
      <c r="N30" s="667">
        <f t="shared" si="0"/>
        <v>1.79716952394379</v>
      </c>
      <c r="O30" s="668">
        <f t="shared" si="1"/>
        <v>8064.21065464366</v>
      </c>
    </row>
    <row r="31" s="156" customFormat="1" spans="1:15">
      <c r="A31" s="228">
        <v>27</v>
      </c>
      <c r="B31" s="228" t="s">
        <v>2851</v>
      </c>
      <c r="C31" s="228">
        <f t="shared" si="5"/>
        <v>1</v>
      </c>
      <c r="D31" s="228" t="s">
        <v>2852</v>
      </c>
      <c r="E31" s="663">
        <f>20+240</f>
        <v>260</v>
      </c>
      <c r="F31" s="663">
        <f>20+G31/70*240</f>
        <v>431.428571428571</v>
      </c>
      <c r="G31" s="663">
        <v>120</v>
      </c>
      <c r="H31" s="663">
        <v>100</v>
      </c>
      <c r="I31" s="663">
        <v>3.45</v>
      </c>
      <c r="J31" s="663">
        <v>42.5</v>
      </c>
      <c r="K31" s="666">
        <v>0.06</v>
      </c>
      <c r="L31" s="667">
        <f t="shared" si="2"/>
        <v>0.710723272715933</v>
      </c>
      <c r="M31" s="667">
        <f t="shared" si="3"/>
        <v>1.13106490233144</v>
      </c>
      <c r="N31" s="667">
        <f t="shared" si="0"/>
        <v>1.3358276025244</v>
      </c>
      <c r="O31" s="668">
        <f t="shared" si="1"/>
        <v>10849.2694684557</v>
      </c>
    </row>
    <row r="32" s="156" customFormat="1" spans="1:15">
      <c r="A32" s="228">
        <v>28</v>
      </c>
      <c r="B32" s="228" t="s">
        <v>2853</v>
      </c>
      <c r="C32" s="228">
        <f t="shared" si="5"/>
        <v>1</v>
      </c>
      <c r="D32" s="228" t="s">
        <v>2854</v>
      </c>
      <c r="E32" s="663">
        <f>20+240</f>
        <v>260</v>
      </c>
      <c r="F32" s="663">
        <f>20+G32/70*240</f>
        <v>431.428571428571</v>
      </c>
      <c r="G32" s="663">
        <v>120</v>
      </c>
      <c r="H32" s="663">
        <v>100</v>
      </c>
      <c r="I32" s="663">
        <v>3.45</v>
      </c>
      <c r="J32" s="663">
        <v>42.5</v>
      </c>
      <c r="K32" s="666">
        <v>0.06</v>
      </c>
      <c r="L32" s="667">
        <f t="shared" si="2"/>
        <v>0.710723272715933</v>
      </c>
      <c r="M32" s="667">
        <f t="shared" si="3"/>
        <v>1.13106490233144</v>
      </c>
      <c r="N32" s="667">
        <f t="shared" si="0"/>
        <v>1.3358276025244</v>
      </c>
      <c r="O32" s="668">
        <f t="shared" si="1"/>
        <v>10849.2694684557</v>
      </c>
    </row>
    <row r="33" s="156" customFormat="1"/>
    <row r="34" s="156" customFormat="1"/>
  </sheetData>
  <protectedRanges>
    <protectedRange sqref="B5:O32" name="範圍1"/>
  </protectedRanges>
  <mergeCells count="5">
    <mergeCell ref="A1:N1"/>
    <mergeCell ref="A3:A4"/>
    <mergeCell ref="B3:B4"/>
    <mergeCell ref="C3:C4"/>
    <mergeCell ref="D3:D4"/>
  </mergeCells>
  <hyperlinks>
    <hyperlink ref="O1" location="目录!A1" display="目录!A1"/>
  </hyperlinks>
  <pageMargins left="0.7" right="0.7" top="0.75" bottom="0.75" header="0.3" footer="0.3"/>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5"/>
  <sheetViews>
    <sheetView workbookViewId="0">
      <selection activeCell="N7" sqref="N7"/>
    </sheetView>
  </sheetViews>
  <sheetFormatPr defaultColWidth="9" defaultRowHeight="15.6"/>
  <cols>
    <col min="1" max="1" width="2.875" style="156" customWidth="1"/>
    <col min="2" max="2" width="4.25" customWidth="1"/>
    <col min="3" max="3" width="11.5" customWidth="1"/>
    <col min="4" max="4" width="17.25" customWidth="1"/>
    <col min="5" max="5" width="6.625" customWidth="1"/>
    <col min="6" max="6" width="6" customWidth="1"/>
    <col min="7" max="7" width="5.125" customWidth="1"/>
    <col min="8" max="8" width="9.875" customWidth="1"/>
    <col min="9" max="9" width="6" customWidth="1"/>
    <col min="10" max="10" width="5.875" customWidth="1"/>
    <col min="11" max="11" width="6.625" customWidth="1"/>
    <col min="12" max="12" width="9.5" customWidth="1"/>
    <col min="13" max="13" width="8.625" customWidth="1"/>
    <col min="14" max="14" width="14.75" customWidth="1"/>
    <col min="15" max="15" width="6.5" customWidth="1"/>
    <col min="16" max="16" width="5.625" customWidth="1"/>
    <col min="17" max="17" width="11.375" customWidth="1"/>
    <col min="18" max="18" width="7.375" customWidth="1"/>
    <col min="19" max="19" width="10.75" customWidth="1"/>
    <col min="20" max="20" width="5.75" customWidth="1"/>
    <col min="21" max="21" width="11.875" customWidth="1"/>
    <col min="22" max="22" width="7.125" customWidth="1"/>
    <col min="257" max="257" width="2.875" customWidth="1"/>
    <col min="258" max="258" width="4.25" customWidth="1"/>
    <col min="259" max="259" width="11.5" customWidth="1"/>
    <col min="260" max="260" width="17.25" customWidth="1"/>
    <col min="261" max="261" width="6.625" customWidth="1"/>
    <col min="262" max="262" width="6" customWidth="1"/>
    <col min="263" max="263" width="5.125" customWidth="1"/>
    <col min="264" max="264" width="9.875" customWidth="1"/>
    <col min="265" max="265" width="6" customWidth="1"/>
    <col min="266" max="266" width="5.875" customWidth="1"/>
    <col min="267" max="267" width="6.625" customWidth="1"/>
    <col min="268" max="268" width="9.5" customWidth="1"/>
    <col min="269" max="269" width="8.625" customWidth="1"/>
    <col min="270" max="270" width="14.75" customWidth="1"/>
    <col min="271" max="271" width="6.5" customWidth="1"/>
    <col min="272" max="272" width="5.625" customWidth="1"/>
    <col min="273" max="273" width="11.375" customWidth="1"/>
    <col min="274" max="274" width="7.375" customWidth="1"/>
    <col min="275" max="275" width="10.75" customWidth="1"/>
    <col min="276" max="276" width="5.75" customWidth="1"/>
    <col min="277" max="277" width="11.875" customWidth="1"/>
    <col min="278" max="278" width="7.125" customWidth="1"/>
    <col min="513" max="513" width="2.875" customWidth="1"/>
    <col min="514" max="514" width="4.25" customWidth="1"/>
    <col min="515" max="515" width="11.5" customWidth="1"/>
    <col min="516" max="516" width="17.25" customWidth="1"/>
    <col min="517" max="517" width="6.625" customWidth="1"/>
    <col min="518" max="518" width="6" customWidth="1"/>
    <col min="519" max="519" width="5.125" customWidth="1"/>
    <col min="520" max="520" width="9.875" customWidth="1"/>
    <col min="521" max="521" width="6" customWidth="1"/>
    <col min="522" max="522" width="5.875" customWidth="1"/>
    <col min="523" max="523" width="6.625" customWidth="1"/>
    <col min="524" max="524" width="9.5" customWidth="1"/>
    <col min="525" max="525" width="8.625" customWidth="1"/>
    <col min="526" max="526" width="14.75" customWidth="1"/>
    <col min="527" max="527" width="6.5" customWidth="1"/>
    <col min="528" max="528" width="5.625" customWidth="1"/>
    <col min="529" max="529" width="11.375" customWidth="1"/>
    <col min="530" max="530" width="7.375" customWidth="1"/>
    <col min="531" max="531" width="10.75" customWidth="1"/>
    <col min="532" max="532" width="5.75" customWidth="1"/>
    <col min="533" max="533" width="11.875" customWidth="1"/>
    <col min="534" max="534" width="7.125" customWidth="1"/>
    <col min="769" max="769" width="2.875" customWidth="1"/>
    <col min="770" max="770" width="4.25" customWidth="1"/>
    <col min="771" max="771" width="11.5" customWidth="1"/>
    <col min="772" max="772" width="17.25" customWidth="1"/>
    <col min="773" max="773" width="6.625" customWidth="1"/>
    <col min="774" max="774" width="6" customWidth="1"/>
    <col min="775" max="775" width="5.125" customWidth="1"/>
    <col min="776" max="776" width="9.875" customWidth="1"/>
    <col min="777" max="777" width="6" customWidth="1"/>
    <col min="778" max="778" width="5.875" customWidth="1"/>
    <col min="779" max="779" width="6.625" customWidth="1"/>
    <col min="780" max="780" width="9.5" customWidth="1"/>
    <col min="781" max="781" width="8.625" customWidth="1"/>
    <col min="782" max="782" width="14.75" customWidth="1"/>
    <col min="783" max="783" width="6.5" customWidth="1"/>
    <col min="784" max="784" width="5.625" customWidth="1"/>
    <col min="785" max="785" width="11.375" customWidth="1"/>
    <col min="786" max="786" width="7.375" customWidth="1"/>
    <col min="787" max="787" width="10.75" customWidth="1"/>
    <col min="788" max="788" width="5.75" customWidth="1"/>
    <col min="789" max="789" width="11.875" customWidth="1"/>
    <col min="790" max="790" width="7.125" customWidth="1"/>
    <col min="1025" max="1025" width="2.875" customWidth="1"/>
    <col min="1026" max="1026" width="4.25" customWidth="1"/>
    <col min="1027" max="1027" width="11.5" customWidth="1"/>
    <col min="1028" max="1028" width="17.25" customWidth="1"/>
    <col min="1029" max="1029" width="6.625" customWidth="1"/>
    <col min="1030" max="1030" width="6" customWidth="1"/>
    <col min="1031" max="1031" width="5.125" customWidth="1"/>
    <col min="1032" max="1032" width="9.875" customWidth="1"/>
    <col min="1033" max="1033" width="6" customWidth="1"/>
    <col min="1034" max="1034" width="5.875" customWidth="1"/>
    <col min="1035" max="1035" width="6.625" customWidth="1"/>
    <col min="1036" max="1036" width="9.5" customWidth="1"/>
    <col min="1037" max="1037" width="8.625" customWidth="1"/>
    <col min="1038" max="1038" width="14.75" customWidth="1"/>
    <col min="1039" max="1039" width="6.5" customWidth="1"/>
    <col min="1040" max="1040" width="5.625" customWidth="1"/>
    <col min="1041" max="1041" width="11.375" customWidth="1"/>
    <col min="1042" max="1042" width="7.375" customWidth="1"/>
    <col min="1043" max="1043" width="10.75" customWidth="1"/>
    <col min="1044" max="1044" width="5.75" customWidth="1"/>
    <col min="1045" max="1045" width="11.875" customWidth="1"/>
    <col min="1046" max="1046" width="7.125" customWidth="1"/>
    <col min="1281" max="1281" width="2.875" customWidth="1"/>
    <col min="1282" max="1282" width="4.25" customWidth="1"/>
    <col min="1283" max="1283" width="11.5" customWidth="1"/>
    <col min="1284" max="1284" width="17.25" customWidth="1"/>
    <col min="1285" max="1285" width="6.625" customWidth="1"/>
    <col min="1286" max="1286" width="6" customWidth="1"/>
    <col min="1287" max="1287" width="5.125" customWidth="1"/>
    <col min="1288" max="1288" width="9.875" customWidth="1"/>
    <col min="1289" max="1289" width="6" customWidth="1"/>
    <col min="1290" max="1290" width="5.875" customWidth="1"/>
    <col min="1291" max="1291" width="6.625" customWidth="1"/>
    <col min="1292" max="1292" width="9.5" customWidth="1"/>
    <col min="1293" max="1293" width="8.625" customWidth="1"/>
    <col min="1294" max="1294" width="14.75" customWidth="1"/>
    <col min="1295" max="1295" width="6.5" customWidth="1"/>
    <col min="1296" max="1296" width="5.625" customWidth="1"/>
    <col min="1297" max="1297" width="11.375" customWidth="1"/>
    <col min="1298" max="1298" width="7.375" customWidth="1"/>
    <col min="1299" max="1299" width="10.75" customWidth="1"/>
    <col min="1300" max="1300" width="5.75" customWidth="1"/>
    <col min="1301" max="1301" width="11.875" customWidth="1"/>
    <col min="1302" max="1302" width="7.125" customWidth="1"/>
    <col min="1537" max="1537" width="2.875" customWidth="1"/>
    <col min="1538" max="1538" width="4.25" customWidth="1"/>
    <col min="1539" max="1539" width="11.5" customWidth="1"/>
    <col min="1540" max="1540" width="17.25" customWidth="1"/>
    <col min="1541" max="1541" width="6.625" customWidth="1"/>
    <col min="1542" max="1542" width="6" customWidth="1"/>
    <col min="1543" max="1543" width="5.125" customWidth="1"/>
    <col min="1544" max="1544" width="9.875" customWidth="1"/>
    <col min="1545" max="1545" width="6" customWidth="1"/>
    <col min="1546" max="1546" width="5.875" customWidth="1"/>
    <col min="1547" max="1547" width="6.625" customWidth="1"/>
    <col min="1548" max="1548" width="9.5" customWidth="1"/>
    <col min="1549" max="1549" width="8.625" customWidth="1"/>
    <col min="1550" max="1550" width="14.75" customWidth="1"/>
    <col min="1551" max="1551" width="6.5" customWidth="1"/>
    <col min="1552" max="1552" width="5.625" customWidth="1"/>
    <col min="1553" max="1553" width="11.375" customWidth="1"/>
    <col min="1554" max="1554" width="7.375" customWidth="1"/>
    <col min="1555" max="1555" width="10.75" customWidth="1"/>
    <col min="1556" max="1556" width="5.75" customWidth="1"/>
    <col min="1557" max="1557" width="11.875" customWidth="1"/>
    <col min="1558" max="1558" width="7.125" customWidth="1"/>
    <col min="1793" max="1793" width="2.875" customWidth="1"/>
    <col min="1794" max="1794" width="4.25" customWidth="1"/>
    <col min="1795" max="1795" width="11.5" customWidth="1"/>
    <col min="1796" max="1796" width="17.25" customWidth="1"/>
    <col min="1797" max="1797" width="6.625" customWidth="1"/>
    <col min="1798" max="1798" width="6" customWidth="1"/>
    <col min="1799" max="1799" width="5.125" customWidth="1"/>
    <col min="1800" max="1800" width="9.875" customWidth="1"/>
    <col min="1801" max="1801" width="6" customWidth="1"/>
    <col min="1802" max="1802" width="5.875" customWidth="1"/>
    <col min="1803" max="1803" width="6.625" customWidth="1"/>
    <col min="1804" max="1804" width="9.5" customWidth="1"/>
    <col min="1805" max="1805" width="8.625" customWidth="1"/>
    <col min="1806" max="1806" width="14.75" customWidth="1"/>
    <col min="1807" max="1807" width="6.5" customWidth="1"/>
    <col min="1808" max="1808" width="5.625" customWidth="1"/>
    <col min="1809" max="1809" width="11.375" customWidth="1"/>
    <col min="1810" max="1810" width="7.375" customWidth="1"/>
    <col min="1811" max="1811" width="10.75" customWidth="1"/>
    <col min="1812" max="1812" width="5.75" customWidth="1"/>
    <col min="1813" max="1813" width="11.875" customWidth="1"/>
    <col min="1814" max="1814" width="7.125" customWidth="1"/>
    <col min="2049" max="2049" width="2.875" customWidth="1"/>
    <col min="2050" max="2050" width="4.25" customWidth="1"/>
    <col min="2051" max="2051" width="11.5" customWidth="1"/>
    <col min="2052" max="2052" width="17.25" customWidth="1"/>
    <col min="2053" max="2053" width="6.625" customWidth="1"/>
    <col min="2054" max="2054" width="6" customWidth="1"/>
    <col min="2055" max="2055" width="5.125" customWidth="1"/>
    <col min="2056" max="2056" width="9.875" customWidth="1"/>
    <col min="2057" max="2057" width="6" customWidth="1"/>
    <col min="2058" max="2058" width="5.875" customWidth="1"/>
    <col min="2059" max="2059" width="6.625" customWidth="1"/>
    <col min="2060" max="2060" width="9.5" customWidth="1"/>
    <col min="2061" max="2061" width="8.625" customWidth="1"/>
    <col min="2062" max="2062" width="14.75" customWidth="1"/>
    <col min="2063" max="2063" width="6.5" customWidth="1"/>
    <col min="2064" max="2064" width="5.625" customWidth="1"/>
    <col min="2065" max="2065" width="11.375" customWidth="1"/>
    <col min="2066" max="2066" width="7.375" customWidth="1"/>
    <col min="2067" max="2067" width="10.75" customWidth="1"/>
    <col min="2068" max="2068" width="5.75" customWidth="1"/>
    <col min="2069" max="2069" width="11.875" customWidth="1"/>
    <col min="2070" max="2070" width="7.125" customWidth="1"/>
    <col min="2305" max="2305" width="2.875" customWidth="1"/>
    <col min="2306" max="2306" width="4.25" customWidth="1"/>
    <col min="2307" max="2307" width="11.5" customWidth="1"/>
    <col min="2308" max="2308" width="17.25" customWidth="1"/>
    <col min="2309" max="2309" width="6.625" customWidth="1"/>
    <col min="2310" max="2310" width="6" customWidth="1"/>
    <col min="2311" max="2311" width="5.125" customWidth="1"/>
    <col min="2312" max="2312" width="9.875" customWidth="1"/>
    <col min="2313" max="2313" width="6" customWidth="1"/>
    <col min="2314" max="2314" width="5.875" customWidth="1"/>
    <col min="2315" max="2315" width="6.625" customWidth="1"/>
    <col min="2316" max="2316" width="9.5" customWidth="1"/>
    <col min="2317" max="2317" width="8.625" customWidth="1"/>
    <col min="2318" max="2318" width="14.75" customWidth="1"/>
    <col min="2319" max="2319" width="6.5" customWidth="1"/>
    <col min="2320" max="2320" width="5.625" customWidth="1"/>
    <col min="2321" max="2321" width="11.375" customWidth="1"/>
    <col min="2322" max="2322" width="7.375" customWidth="1"/>
    <col min="2323" max="2323" width="10.75" customWidth="1"/>
    <col min="2324" max="2324" width="5.75" customWidth="1"/>
    <col min="2325" max="2325" width="11.875" customWidth="1"/>
    <col min="2326" max="2326" width="7.125" customWidth="1"/>
    <col min="2561" max="2561" width="2.875" customWidth="1"/>
    <col min="2562" max="2562" width="4.25" customWidth="1"/>
    <col min="2563" max="2563" width="11.5" customWidth="1"/>
    <col min="2564" max="2564" width="17.25" customWidth="1"/>
    <col min="2565" max="2565" width="6.625" customWidth="1"/>
    <col min="2566" max="2566" width="6" customWidth="1"/>
    <col min="2567" max="2567" width="5.125" customWidth="1"/>
    <col min="2568" max="2568" width="9.875" customWidth="1"/>
    <col min="2569" max="2569" width="6" customWidth="1"/>
    <col min="2570" max="2570" width="5.875" customWidth="1"/>
    <col min="2571" max="2571" width="6.625" customWidth="1"/>
    <col min="2572" max="2572" width="9.5" customWidth="1"/>
    <col min="2573" max="2573" width="8.625" customWidth="1"/>
    <col min="2574" max="2574" width="14.75" customWidth="1"/>
    <col min="2575" max="2575" width="6.5" customWidth="1"/>
    <col min="2576" max="2576" width="5.625" customWidth="1"/>
    <col min="2577" max="2577" width="11.375" customWidth="1"/>
    <col min="2578" max="2578" width="7.375" customWidth="1"/>
    <col min="2579" max="2579" width="10.75" customWidth="1"/>
    <col min="2580" max="2580" width="5.75" customWidth="1"/>
    <col min="2581" max="2581" width="11.875" customWidth="1"/>
    <col min="2582" max="2582" width="7.125" customWidth="1"/>
    <col min="2817" max="2817" width="2.875" customWidth="1"/>
    <col min="2818" max="2818" width="4.25" customWidth="1"/>
    <col min="2819" max="2819" width="11.5" customWidth="1"/>
    <col min="2820" max="2820" width="17.25" customWidth="1"/>
    <col min="2821" max="2821" width="6.625" customWidth="1"/>
    <col min="2822" max="2822" width="6" customWidth="1"/>
    <col min="2823" max="2823" width="5.125" customWidth="1"/>
    <col min="2824" max="2824" width="9.875" customWidth="1"/>
    <col min="2825" max="2825" width="6" customWidth="1"/>
    <col min="2826" max="2826" width="5.875" customWidth="1"/>
    <col min="2827" max="2827" width="6.625" customWidth="1"/>
    <col min="2828" max="2828" width="9.5" customWidth="1"/>
    <col min="2829" max="2829" width="8.625" customWidth="1"/>
    <col min="2830" max="2830" width="14.75" customWidth="1"/>
    <col min="2831" max="2831" width="6.5" customWidth="1"/>
    <col min="2832" max="2832" width="5.625" customWidth="1"/>
    <col min="2833" max="2833" width="11.375" customWidth="1"/>
    <col min="2834" max="2834" width="7.375" customWidth="1"/>
    <col min="2835" max="2835" width="10.75" customWidth="1"/>
    <col min="2836" max="2836" width="5.75" customWidth="1"/>
    <col min="2837" max="2837" width="11.875" customWidth="1"/>
    <col min="2838" max="2838" width="7.125" customWidth="1"/>
    <col min="3073" max="3073" width="2.875" customWidth="1"/>
    <col min="3074" max="3074" width="4.25" customWidth="1"/>
    <col min="3075" max="3075" width="11.5" customWidth="1"/>
    <col min="3076" max="3076" width="17.25" customWidth="1"/>
    <col min="3077" max="3077" width="6.625" customWidth="1"/>
    <col min="3078" max="3078" width="6" customWidth="1"/>
    <col min="3079" max="3079" width="5.125" customWidth="1"/>
    <col min="3080" max="3080" width="9.875" customWidth="1"/>
    <col min="3081" max="3081" width="6" customWidth="1"/>
    <col min="3082" max="3082" width="5.875" customWidth="1"/>
    <col min="3083" max="3083" width="6.625" customWidth="1"/>
    <col min="3084" max="3084" width="9.5" customWidth="1"/>
    <col min="3085" max="3085" width="8.625" customWidth="1"/>
    <col min="3086" max="3086" width="14.75" customWidth="1"/>
    <col min="3087" max="3087" width="6.5" customWidth="1"/>
    <col min="3088" max="3088" width="5.625" customWidth="1"/>
    <col min="3089" max="3089" width="11.375" customWidth="1"/>
    <col min="3090" max="3090" width="7.375" customWidth="1"/>
    <col min="3091" max="3091" width="10.75" customWidth="1"/>
    <col min="3092" max="3092" width="5.75" customWidth="1"/>
    <col min="3093" max="3093" width="11.875" customWidth="1"/>
    <col min="3094" max="3094" width="7.125" customWidth="1"/>
    <col min="3329" max="3329" width="2.875" customWidth="1"/>
    <col min="3330" max="3330" width="4.25" customWidth="1"/>
    <col min="3331" max="3331" width="11.5" customWidth="1"/>
    <col min="3332" max="3332" width="17.25" customWidth="1"/>
    <col min="3333" max="3333" width="6.625" customWidth="1"/>
    <col min="3334" max="3334" width="6" customWidth="1"/>
    <col min="3335" max="3335" width="5.125" customWidth="1"/>
    <col min="3336" max="3336" width="9.875" customWidth="1"/>
    <col min="3337" max="3337" width="6" customWidth="1"/>
    <col min="3338" max="3338" width="5.875" customWidth="1"/>
    <col min="3339" max="3339" width="6.625" customWidth="1"/>
    <col min="3340" max="3340" width="9.5" customWidth="1"/>
    <col min="3341" max="3341" width="8.625" customWidth="1"/>
    <col min="3342" max="3342" width="14.75" customWidth="1"/>
    <col min="3343" max="3343" width="6.5" customWidth="1"/>
    <col min="3344" max="3344" width="5.625" customWidth="1"/>
    <col min="3345" max="3345" width="11.375" customWidth="1"/>
    <col min="3346" max="3346" width="7.375" customWidth="1"/>
    <col min="3347" max="3347" width="10.75" customWidth="1"/>
    <col min="3348" max="3348" width="5.75" customWidth="1"/>
    <col min="3349" max="3349" width="11.875" customWidth="1"/>
    <col min="3350" max="3350" width="7.125" customWidth="1"/>
    <col min="3585" max="3585" width="2.875" customWidth="1"/>
    <col min="3586" max="3586" width="4.25" customWidth="1"/>
    <col min="3587" max="3587" width="11.5" customWidth="1"/>
    <col min="3588" max="3588" width="17.25" customWidth="1"/>
    <col min="3589" max="3589" width="6.625" customWidth="1"/>
    <col min="3590" max="3590" width="6" customWidth="1"/>
    <col min="3591" max="3591" width="5.125" customWidth="1"/>
    <col min="3592" max="3592" width="9.875" customWidth="1"/>
    <col min="3593" max="3593" width="6" customWidth="1"/>
    <col min="3594" max="3594" width="5.875" customWidth="1"/>
    <col min="3595" max="3595" width="6.625" customWidth="1"/>
    <col min="3596" max="3596" width="9.5" customWidth="1"/>
    <col min="3597" max="3597" width="8.625" customWidth="1"/>
    <col min="3598" max="3598" width="14.75" customWidth="1"/>
    <col min="3599" max="3599" width="6.5" customWidth="1"/>
    <col min="3600" max="3600" width="5.625" customWidth="1"/>
    <col min="3601" max="3601" width="11.375" customWidth="1"/>
    <col min="3602" max="3602" width="7.375" customWidth="1"/>
    <col min="3603" max="3603" width="10.75" customWidth="1"/>
    <col min="3604" max="3604" width="5.75" customWidth="1"/>
    <col min="3605" max="3605" width="11.875" customWidth="1"/>
    <col min="3606" max="3606" width="7.125" customWidth="1"/>
    <col min="3841" max="3841" width="2.875" customWidth="1"/>
    <col min="3842" max="3842" width="4.25" customWidth="1"/>
    <col min="3843" max="3843" width="11.5" customWidth="1"/>
    <col min="3844" max="3844" width="17.25" customWidth="1"/>
    <col min="3845" max="3845" width="6.625" customWidth="1"/>
    <col min="3846" max="3846" width="6" customWidth="1"/>
    <col min="3847" max="3847" width="5.125" customWidth="1"/>
    <col min="3848" max="3848" width="9.875" customWidth="1"/>
    <col min="3849" max="3849" width="6" customWidth="1"/>
    <col min="3850" max="3850" width="5.875" customWidth="1"/>
    <col min="3851" max="3851" width="6.625" customWidth="1"/>
    <col min="3852" max="3852" width="9.5" customWidth="1"/>
    <col min="3853" max="3853" width="8.625" customWidth="1"/>
    <col min="3854" max="3854" width="14.75" customWidth="1"/>
    <col min="3855" max="3855" width="6.5" customWidth="1"/>
    <col min="3856" max="3856" width="5.625" customWidth="1"/>
    <col min="3857" max="3857" width="11.375" customWidth="1"/>
    <col min="3858" max="3858" width="7.375" customWidth="1"/>
    <col min="3859" max="3859" width="10.75" customWidth="1"/>
    <col min="3860" max="3860" width="5.75" customWidth="1"/>
    <col min="3861" max="3861" width="11.875" customWidth="1"/>
    <col min="3862" max="3862" width="7.125" customWidth="1"/>
    <col min="4097" max="4097" width="2.875" customWidth="1"/>
    <col min="4098" max="4098" width="4.25" customWidth="1"/>
    <col min="4099" max="4099" width="11.5" customWidth="1"/>
    <col min="4100" max="4100" width="17.25" customWidth="1"/>
    <col min="4101" max="4101" width="6.625" customWidth="1"/>
    <col min="4102" max="4102" width="6" customWidth="1"/>
    <col min="4103" max="4103" width="5.125" customWidth="1"/>
    <col min="4104" max="4104" width="9.875" customWidth="1"/>
    <col min="4105" max="4105" width="6" customWidth="1"/>
    <col min="4106" max="4106" width="5.875" customWidth="1"/>
    <col min="4107" max="4107" width="6.625" customWidth="1"/>
    <col min="4108" max="4108" width="9.5" customWidth="1"/>
    <col min="4109" max="4109" width="8.625" customWidth="1"/>
    <col min="4110" max="4110" width="14.75" customWidth="1"/>
    <col min="4111" max="4111" width="6.5" customWidth="1"/>
    <col min="4112" max="4112" width="5.625" customWidth="1"/>
    <col min="4113" max="4113" width="11.375" customWidth="1"/>
    <col min="4114" max="4114" width="7.375" customWidth="1"/>
    <col min="4115" max="4115" width="10.75" customWidth="1"/>
    <col min="4116" max="4116" width="5.75" customWidth="1"/>
    <col min="4117" max="4117" width="11.875" customWidth="1"/>
    <col min="4118" max="4118" width="7.125" customWidth="1"/>
    <col min="4353" max="4353" width="2.875" customWidth="1"/>
    <col min="4354" max="4354" width="4.25" customWidth="1"/>
    <col min="4355" max="4355" width="11.5" customWidth="1"/>
    <col min="4356" max="4356" width="17.25" customWidth="1"/>
    <col min="4357" max="4357" width="6.625" customWidth="1"/>
    <col min="4358" max="4358" width="6" customWidth="1"/>
    <col min="4359" max="4359" width="5.125" customWidth="1"/>
    <col min="4360" max="4360" width="9.875" customWidth="1"/>
    <col min="4361" max="4361" width="6" customWidth="1"/>
    <col min="4362" max="4362" width="5.875" customWidth="1"/>
    <col min="4363" max="4363" width="6.625" customWidth="1"/>
    <col min="4364" max="4364" width="9.5" customWidth="1"/>
    <col min="4365" max="4365" width="8.625" customWidth="1"/>
    <col min="4366" max="4366" width="14.75" customWidth="1"/>
    <col min="4367" max="4367" width="6.5" customWidth="1"/>
    <col min="4368" max="4368" width="5.625" customWidth="1"/>
    <col min="4369" max="4369" width="11.375" customWidth="1"/>
    <col min="4370" max="4370" width="7.375" customWidth="1"/>
    <col min="4371" max="4371" width="10.75" customWidth="1"/>
    <col min="4372" max="4372" width="5.75" customWidth="1"/>
    <col min="4373" max="4373" width="11.875" customWidth="1"/>
    <col min="4374" max="4374" width="7.125" customWidth="1"/>
    <col min="4609" max="4609" width="2.875" customWidth="1"/>
    <col min="4610" max="4610" width="4.25" customWidth="1"/>
    <col min="4611" max="4611" width="11.5" customWidth="1"/>
    <col min="4612" max="4612" width="17.25" customWidth="1"/>
    <col min="4613" max="4613" width="6.625" customWidth="1"/>
    <col min="4614" max="4614" width="6" customWidth="1"/>
    <col min="4615" max="4615" width="5.125" customWidth="1"/>
    <col min="4616" max="4616" width="9.875" customWidth="1"/>
    <col min="4617" max="4617" width="6" customWidth="1"/>
    <col min="4618" max="4618" width="5.875" customWidth="1"/>
    <col min="4619" max="4619" width="6.625" customWidth="1"/>
    <col min="4620" max="4620" width="9.5" customWidth="1"/>
    <col min="4621" max="4621" width="8.625" customWidth="1"/>
    <col min="4622" max="4622" width="14.75" customWidth="1"/>
    <col min="4623" max="4623" width="6.5" customWidth="1"/>
    <col min="4624" max="4624" width="5.625" customWidth="1"/>
    <col min="4625" max="4625" width="11.375" customWidth="1"/>
    <col min="4626" max="4626" width="7.375" customWidth="1"/>
    <col min="4627" max="4627" width="10.75" customWidth="1"/>
    <col min="4628" max="4628" width="5.75" customWidth="1"/>
    <col min="4629" max="4629" width="11.875" customWidth="1"/>
    <col min="4630" max="4630" width="7.125" customWidth="1"/>
    <col min="4865" max="4865" width="2.875" customWidth="1"/>
    <col min="4866" max="4866" width="4.25" customWidth="1"/>
    <col min="4867" max="4867" width="11.5" customWidth="1"/>
    <col min="4868" max="4868" width="17.25" customWidth="1"/>
    <col min="4869" max="4869" width="6.625" customWidth="1"/>
    <col min="4870" max="4870" width="6" customWidth="1"/>
    <col min="4871" max="4871" width="5.125" customWidth="1"/>
    <col min="4872" max="4872" width="9.875" customWidth="1"/>
    <col min="4873" max="4873" width="6" customWidth="1"/>
    <col min="4874" max="4874" width="5.875" customWidth="1"/>
    <col min="4875" max="4875" width="6.625" customWidth="1"/>
    <col min="4876" max="4876" width="9.5" customWidth="1"/>
    <col min="4877" max="4877" width="8.625" customWidth="1"/>
    <col min="4878" max="4878" width="14.75" customWidth="1"/>
    <col min="4879" max="4879" width="6.5" customWidth="1"/>
    <col min="4880" max="4880" width="5.625" customWidth="1"/>
    <col min="4881" max="4881" width="11.375" customWidth="1"/>
    <col min="4882" max="4882" width="7.375" customWidth="1"/>
    <col min="4883" max="4883" width="10.75" customWidth="1"/>
    <col min="4884" max="4884" width="5.75" customWidth="1"/>
    <col min="4885" max="4885" width="11.875" customWidth="1"/>
    <col min="4886" max="4886" width="7.125" customWidth="1"/>
    <col min="5121" max="5121" width="2.875" customWidth="1"/>
    <col min="5122" max="5122" width="4.25" customWidth="1"/>
    <col min="5123" max="5123" width="11.5" customWidth="1"/>
    <col min="5124" max="5124" width="17.25" customWidth="1"/>
    <col min="5125" max="5125" width="6.625" customWidth="1"/>
    <col min="5126" max="5126" width="6" customWidth="1"/>
    <col min="5127" max="5127" width="5.125" customWidth="1"/>
    <col min="5128" max="5128" width="9.875" customWidth="1"/>
    <col min="5129" max="5129" width="6" customWidth="1"/>
    <col min="5130" max="5130" width="5.875" customWidth="1"/>
    <col min="5131" max="5131" width="6.625" customWidth="1"/>
    <col min="5132" max="5132" width="9.5" customWidth="1"/>
    <col min="5133" max="5133" width="8.625" customWidth="1"/>
    <col min="5134" max="5134" width="14.75" customWidth="1"/>
    <col min="5135" max="5135" width="6.5" customWidth="1"/>
    <col min="5136" max="5136" width="5.625" customWidth="1"/>
    <col min="5137" max="5137" width="11.375" customWidth="1"/>
    <col min="5138" max="5138" width="7.375" customWidth="1"/>
    <col min="5139" max="5139" width="10.75" customWidth="1"/>
    <col min="5140" max="5140" width="5.75" customWidth="1"/>
    <col min="5141" max="5141" width="11.875" customWidth="1"/>
    <col min="5142" max="5142" width="7.125" customWidth="1"/>
    <col min="5377" max="5377" width="2.875" customWidth="1"/>
    <col min="5378" max="5378" width="4.25" customWidth="1"/>
    <col min="5379" max="5379" width="11.5" customWidth="1"/>
    <col min="5380" max="5380" width="17.25" customWidth="1"/>
    <col min="5381" max="5381" width="6.625" customWidth="1"/>
    <col min="5382" max="5382" width="6" customWidth="1"/>
    <col min="5383" max="5383" width="5.125" customWidth="1"/>
    <col min="5384" max="5384" width="9.875" customWidth="1"/>
    <col min="5385" max="5385" width="6" customWidth="1"/>
    <col min="5386" max="5386" width="5.875" customWidth="1"/>
    <col min="5387" max="5387" width="6.625" customWidth="1"/>
    <col min="5388" max="5388" width="9.5" customWidth="1"/>
    <col min="5389" max="5389" width="8.625" customWidth="1"/>
    <col min="5390" max="5390" width="14.75" customWidth="1"/>
    <col min="5391" max="5391" width="6.5" customWidth="1"/>
    <col min="5392" max="5392" width="5.625" customWidth="1"/>
    <col min="5393" max="5393" width="11.375" customWidth="1"/>
    <col min="5394" max="5394" width="7.375" customWidth="1"/>
    <col min="5395" max="5395" width="10.75" customWidth="1"/>
    <col min="5396" max="5396" width="5.75" customWidth="1"/>
    <col min="5397" max="5397" width="11.875" customWidth="1"/>
    <col min="5398" max="5398" width="7.125" customWidth="1"/>
    <col min="5633" max="5633" width="2.875" customWidth="1"/>
    <col min="5634" max="5634" width="4.25" customWidth="1"/>
    <col min="5635" max="5635" width="11.5" customWidth="1"/>
    <col min="5636" max="5636" width="17.25" customWidth="1"/>
    <col min="5637" max="5637" width="6.625" customWidth="1"/>
    <col min="5638" max="5638" width="6" customWidth="1"/>
    <col min="5639" max="5639" width="5.125" customWidth="1"/>
    <col min="5640" max="5640" width="9.875" customWidth="1"/>
    <col min="5641" max="5641" width="6" customWidth="1"/>
    <col min="5642" max="5642" width="5.875" customWidth="1"/>
    <col min="5643" max="5643" width="6.625" customWidth="1"/>
    <col min="5644" max="5644" width="9.5" customWidth="1"/>
    <col min="5645" max="5645" width="8.625" customWidth="1"/>
    <col min="5646" max="5646" width="14.75" customWidth="1"/>
    <col min="5647" max="5647" width="6.5" customWidth="1"/>
    <col min="5648" max="5648" width="5.625" customWidth="1"/>
    <col min="5649" max="5649" width="11.375" customWidth="1"/>
    <col min="5650" max="5650" width="7.375" customWidth="1"/>
    <col min="5651" max="5651" width="10.75" customWidth="1"/>
    <col min="5652" max="5652" width="5.75" customWidth="1"/>
    <col min="5653" max="5653" width="11.875" customWidth="1"/>
    <col min="5654" max="5654" width="7.125" customWidth="1"/>
    <col min="5889" max="5889" width="2.875" customWidth="1"/>
    <col min="5890" max="5890" width="4.25" customWidth="1"/>
    <col min="5891" max="5891" width="11.5" customWidth="1"/>
    <col min="5892" max="5892" width="17.25" customWidth="1"/>
    <col min="5893" max="5893" width="6.625" customWidth="1"/>
    <col min="5894" max="5894" width="6" customWidth="1"/>
    <col min="5895" max="5895" width="5.125" customWidth="1"/>
    <col min="5896" max="5896" width="9.875" customWidth="1"/>
    <col min="5897" max="5897" width="6" customWidth="1"/>
    <col min="5898" max="5898" width="5.875" customWidth="1"/>
    <col min="5899" max="5899" width="6.625" customWidth="1"/>
    <col min="5900" max="5900" width="9.5" customWidth="1"/>
    <col min="5901" max="5901" width="8.625" customWidth="1"/>
    <col min="5902" max="5902" width="14.75" customWidth="1"/>
    <col min="5903" max="5903" width="6.5" customWidth="1"/>
    <col min="5904" max="5904" width="5.625" customWidth="1"/>
    <col min="5905" max="5905" width="11.375" customWidth="1"/>
    <col min="5906" max="5906" width="7.375" customWidth="1"/>
    <col min="5907" max="5907" width="10.75" customWidth="1"/>
    <col min="5908" max="5908" width="5.75" customWidth="1"/>
    <col min="5909" max="5909" width="11.875" customWidth="1"/>
    <col min="5910" max="5910" width="7.125" customWidth="1"/>
    <col min="6145" max="6145" width="2.875" customWidth="1"/>
    <col min="6146" max="6146" width="4.25" customWidth="1"/>
    <col min="6147" max="6147" width="11.5" customWidth="1"/>
    <col min="6148" max="6148" width="17.25" customWidth="1"/>
    <col min="6149" max="6149" width="6.625" customWidth="1"/>
    <col min="6150" max="6150" width="6" customWidth="1"/>
    <col min="6151" max="6151" width="5.125" customWidth="1"/>
    <col min="6152" max="6152" width="9.875" customWidth="1"/>
    <col min="6153" max="6153" width="6" customWidth="1"/>
    <col min="6154" max="6154" width="5.875" customWidth="1"/>
    <col min="6155" max="6155" width="6.625" customWidth="1"/>
    <col min="6156" max="6156" width="9.5" customWidth="1"/>
    <col min="6157" max="6157" width="8.625" customWidth="1"/>
    <col min="6158" max="6158" width="14.75" customWidth="1"/>
    <col min="6159" max="6159" width="6.5" customWidth="1"/>
    <col min="6160" max="6160" width="5.625" customWidth="1"/>
    <col min="6161" max="6161" width="11.375" customWidth="1"/>
    <col min="6162" max="6162" width="7.375" customWidth="1"/>
    <col min="6163" max="6163" width="10.75" customWidth="1"/>
    <col min="6164" max="6164" width="5.75" customWidth="1"/>
    <col min="6165" max="6165" width="11.875" customWidth="1"/>
    <col min="6166" max="6166" width="7.125" customWidth="1"/>
    <col min="6401" max="6401" width="2.875" customWidth="1"/>
    <col min="6402" max="6402" width="4.25" customWidth="1"/>
    <col min="6403" max="6403" width="11.5" customWidth="1"/>
    <col min="6404" max="6404" width="17.25" customWidth="1"/>
    <col min="6405" max="6405" width="6.625" customWidth="1"/>
    <col min="6406" max="6406" width="6" customWidth="1"/>
    <col min="6407" max="6407" width="5.125" customWidth="1"/>
    <col min="6408" max="6408" width="9.875" customWidth="1"/>
    <col min="6409" max="6409" width="6" customWidth="1"/>
    <col min="6410" max="6410" width="5.875" customWidth="1"/>
    <col min="6411" max="6411" width="6.625" customWidth="1"/>
    <col min="6412" max="6412" width="9.5" customWidth="1"/>
    <col min="6413" max="6413" width="8.625" customWidth="1"/>
    <col min="6414" max="6414" width="14.75" customWidth="1"/>
    <col min="6415" max="6415" width="6.5" customWidth="1"/>
    <col min="6416" max="6416" width="5.625" customWidth="1"/>
    <col min="6417" max="6417" width="11.375" customWidth="1"/>
    <col min="6418" max="6418" width="7.375" customWidth="1"/>
    <col min="6419" max="6419" width="10.75" customWidth="1"/>
    <col min="6420" max="6420" width="5.75" customWidth="1"/>
    <col min="6421" max="6421" width="11.875" customWidth="1"/>
    <col min="6422" max="6422" width="7.125" customWidth="1"/>
    <col min="6657" max="6657" width="2.875" customWidth="1"/>
    <col min="6658" max="6658" width="4.25" customWidth="1"/>
    <col min="6659" max="6659" width="11.5" customWidth="1"/>
    <col min="6660" max="6660" width="17.25" customWidth="1"/>
    <col min="6661" max="6661" width="6.625" customWidth="1"/>
    <col min="6662" max="6662" width="6" customWidth="1"/>
    <col min="6663" max="6663" width="5.125" customWidth="1"/>
    <col min="6664" max="6664" width="9.875" customWidth="1"/>
    <col min="6665" max="6665" width="6" customWidth="1"/>
    <col min="6666" max="6666" width="5.875" customWidth="1"/>
    <col min="6667" max="6667" width="6.625" customWidth="1"/>
    <col min="6668" max="6668" width="9.5" customWidth="1"/>
    <col min="6669" max="6669" width="8.625" customWidth="1"/>
    <col min="6670" max="6670" width="14.75" customWidth="1"/>
    <col min="6671" max="6671" width="6.5" customWidth="1"/>
    <col min="6672" max="6672" width="5.625" customWidth="1"/>
    <col min="6673" max="6673" width="11.375" customWidth="1"/>
    <col min="6674" max="6674" width="7.375" customWidth="1"/>
    <col min="6675" max="6675" width="10.75" customWidth="1"/>
    <col min="6676" max="6676" width="5.75" customWidth="1"/>
    <col min="6677" max="6677" width="11.875" customWidth="1"/>
    <col min="6678" max="6678" width="7.125" customWidth="1"/>
    <col min="6913" max="6913" width="2.875" customWidth="1"/>
    <col min="6914" max="6914" width="4.25" customWidth="1"/>
    <col min="6915" max="6915" width="11.5" customWidth="1"/>
    <col min="6916" max="6916" width="17.25" customWidth="1"/>
    <col min="6917" max="6917" width="6.625" customWidth="1"/>
    <col min="6918" max="6918" width="6" customWidth="1"/>
    <col min="6919" max="6919" width="5.125" customWidth="1"/>
    <col min="6920" max="6920" width="9.875" customWidth="1"/>
    <col min="6921" max="6921" width="6" customWidth="1"/>
    <col min="6922" max="6922" width="5.875" customWidth="1"/>
    <col min="6923" max="6923" width="6.625" customWidth="1"/>
    <col min="6924" max="6924" width="9.5" customWidth="1"/>
    <col min="6925" max="6925" width="8.625" customWidth="1"/>
    <col min="6926" max="6926" width="14.75" customWidth="1"/>
    <col min="6927" max="6927" width="6.5" customWidth="1"/>
    <col min="6928" max="6928" width="5.625" customWidth="1"/>
    <col min="6929" max="6929" width="11.375" customWidth="1"/>
    <col min="6930" max="6930" width="7.375" customWidth="1"/>
    <col min="6931" max="6931" width="10.75" customWidth="1"/>
    <col min="6932" max="6932" width="5.75" customWidth="1"/>
    <col min="6933" max="6933" width="11.875" customWidth="1"/>
    <col min="6934" max="6934" width="7.125" customWidth="1"/>
    <col min="7169" max="7169" width="2.875" customWidth="1"/>
    <col min="7170" max="7170" width="4.25" customWidth="1"/>
    <col min="7171" max="7171" width="11.5" customWidth="1"/>
    <col min="7172" max="7172" width="17.25" customWidth="1"/>
    <col min="7173" max="7173" width="6.625" customWidth="1"/>
    <col min="7174" max="7174" width="6" customWidth="1"/>
    <col min="7175" max="7175" width="5.125" customWidth="1"/>
    <col min="7176" max="7176" width="9.875" customWidth="1"/>
    <col min="7177" max="7177" width="6" customWidth="1"/>
    <col min="7178" max="7178" width="5.875" customWidth="1"/>
    <col min="7179" max="7179" width="6.625" customWidth="1"/>
    <col min="7180" max="7180" width="9.5" customWidth="1"/>
    <col min="7181" max="7181" width="8.625" customWidth="1"/>
    <col min="7182" max="7182" width="14.75" customWidth="1"/>
    <col min="7183" max="7183" width="6.5" customWidth="1"/>
    <col min="7184" max="7184" width="5.625" customWidth="1"/>
    <col min="7185" max="7185" width="11.375" customWidth="1"/>
    <col min="7186" max="7186" width="7.375" customWidth="1"/>
    <col min="7187" max="7187" width="10.75" customWidth="1"/>
    <col min="7188" max="7188" width="5.75" customWidth="1"/>
    <col min="7189" max="7189" width="11.875" customWidth="1"/>
    <col min="7190" max="7190" width="7.125" customWidth="1"/>
    <col min="7425" max="7425" width="2.875" customWidth="1"/>
    <col min="7426" max="7426" width="4.25" customWidth="1"/>
    <col min="7427" max="7427" width="11.5" customWidth="1"/>
    <col min="7428" max="7428" width="17.25" customWidth="1"/>
    <col min="7429" max="7429" width="6.625" customWidth="1"/>
    <col min="7430" max="7430" width="6" customWidth="1"/>
    <col min="7431" max="7431" width="5.125" customWidth="1"/>
    <col min="7432" max="7432" width="9.875" customWidth="1"/>
    <col min="7433" max="7433" width="6" customWidth="1"/>
    <col min="7434" max="7434" width="5.875" customWidth="1"/>
    <col min="7435" max="7435" width="6.625" customWidth="1"/>
    <col min="7436" max="7436" width="9.5" customWidth="1"/>
    <col min="7437" max="7437" width="8.625" customWidth="1"/>
    <col min="7438" max="7438" width="14.75" customWidth="1"/>
    <col min="7439" max="7439" width="6.5" customWidth="1"/>
    <col min="7440" max="7440" width="5.625" customWidth="1"/>
    <col min="7441" max="7441" width="11.375" customWidth="1"/>
    <col min="7442" max="7442" width="7.375" customWidth="1"/>
    <col min="7443" max="7443" width="10.75" customWidth="1"/>
    <col min="7444" max="7444" width="5.75" customWidth="1"/>
    <col min="7445" max="7445" width="11.875" customWidth="1"/>
    <col min="7446" max="7446" width="7.125" customWidth="1"/>
    <col min="7681" max="7681" width="2.875" customWidth="1"/>
    <col min="7682" max="7682" width="4.25" customWidth="1"/>
    <col min="7683" max="7683" width="11.5" customWidth="1"/>
    <col min="7684" max="7684" width="17.25" customWidth="1"/>
    <col min="7685" max="7685" width="6.625" customWidth="1"/>
    <col min="7686" max="7686" width="6" customWidth="1"/>
    <col min="7687" max="7687" width="5.125" customWidth="1"/>
    <col min="7688" max="7688" width="9.875" customWidth="1"/>
    <col min="7689" max="7689" width="6" customWidth="1"/>
    <col min="7690" max="7690" width="5.875" customWidth="1"/>
    <col min="7691" max="7691" width="6.625" customWidth="1"/>
    <col min="7692" max="7692" width="9.5" customWidth="1"/>
    <col min="7693" max="7693" width="8.625" customWidth="1"/>
    <col min="7694" max="7694" width="14.75" customWidth="1"/>
    <col min="7695" max="7695" width="6.5" customWidth="1"/>
    <col min="7696" max="7696" width="5.625" customWidth="1"/>
    <col min="7697" max="7697" width="11.375" customWidth="1"/>
    <col min="7698" max="7698" width="7.375" customWidth="1"/>
    <col min="7699" max="7699" width="10.75" customWidth="1"/>
    <col min="7700" max="7700" width="5.75" customWidth="1"/>
    <col min="7701" max="7701" width="11.875" customWidth="1"/>
    <col min="7702" max="7702" width="7.125" customWidth="1"/>
    <col min="7937" max="7937" width="2.875" customWidth="1"/>
    <col min="7938" max="7938" width="4.25" customWidth="1"/>
    <col min="7939" max="7939" width="11.5" customWidth="1"/>
    <col min="7940" max="7940" width="17.25" customWidth="1"/>
    <col min="7941" max="7941" width="6.625" customWidth="1"/>
    <col min="7942" max="7942" width="6" customWidth="1"/>
    <col min="7943" max="7943" width="5.125" customWidth="1"/>
    <col min="7944" max="7944" width="9.875" customWidth="1"/>
    <col min="7945" max="7945" width="6" customWidth="1"/>
    <col min="7946" max="7946" width="5.875" customWidth="1"/>
    <col min="7947" max="7947" width="6.625" customWidth="1"/>
    <col min="7948" max="7948" width="9.5" customWidth="1"/>
    <col min="7949" max="7949" width="8.625" customWidth="1"/>
    <col min="7950" max="7950" width="14.75" customWidth="1"/>
    <col min="7951" max="7951" width="6.5" customWidth="1"/>
    <col min="7952" max="7952" width="5.625" customWidth="1"/>
    <col min="7953" max="7953" width="11.375" customWidth="1"/>
    <col min="7954" max="7954" width="7.375" customWidth="1"/>
    <col min="7955" max="7955" width="10.75" customWidth="1"/>
    <col min="7956" max="7956" width="5.75" customWidth="1"/>
    <col min="7957" max="7957" width="11.875" customWidth="1"/>
    <col min="7958" max="7958" width="7.125" customWidth="1"/>
    <col min="8193" max="8193" width="2.875" customWidth="1"/>
    <col min="8194" max="8194" width="4.25" customWidth="1"/>
    <col min="8195" max="8195" width="11.5" customWidth="1"/>
    <col min="8196" max="8196" width="17.25" customWidth="1"/>
    <col min="8197" max="8197" width="6.625" customWidth="1"/>
    <col min="8198" max="8198" width="6" customWidth="1"/>
    <col min="8199" max="8199" width="5.125" customWidth="1"/>
    <col min="8200" max="8200" width="9.875" customWidth="1"/>
    <col min="8201" max="8201" width="6" customWidth="1"/>
    <col min="8202" max="8202" width="5.875" customWidth="1"/>
    <col min="8203" max="8203" width="6.625" customWidth="1"/>
    <col min="8204" max="8204" width="9.5" customWidth="1"/>
    <col min="8205" max="8205" width="8.625" customWidth="1"/>
    <col min="8206" max="8206" width="14.75" customWidth="1"/>
    <col min="8207" max="8207" width="6.5" customWidth="1"/>
    <col min="8208" max="8208" width="5.625" customWidth="1"/>
    <col min="8209" max="8209" width="11.375" customWidth="1"/>
    <col min="8210" max="8210" width="7.375" customWidth="1"/>
    <col min="8211" max="8211" width="10.75" customWidth="1"/>
    <col min="8212" max="8212" width="5.75" customWidth="1"/>
    <col min="8213" max="8213" width="11.875" customWidth="1"/>
    <col min="8214" max="8214" width="7.125" customWidth="1"/>
    <col min="8449" max="8449" width="2.875" customWidth="1"/>
    <col min="8450" max="8450" width="4.25" customWidth="1"/>
    <col min="8451" max="8451" width="11.5" customWidth="1"/>
    <col min="8452" max="8452" width="17.25" customWidth="1"/>
    <col min="8453" max="8453" width="6.625" customWidth="1"/>
    <col min="8454" max="8454" width="6" customWidth="1"/>
    <col min="8455" max="8455" width="5.125" customWidth="1"/>
    <col min="8456" max="8456" width="9.875" customWidth="1"/>
    <col min="8457" max="8457" width="6" customWidth="1"/>
    <col min="8458" max="8458" width="5.875" customWidth="1"/>
    <col min="8459" max="8459" width="6.625" customWidth="1"/>
    <col min="8460" max="8460" width="9.5" customWidth="1"/>
    <col min="8461" max="8461" width="8.625" customWidth="1"/>
    <col min="8462" max="8462" width="14.75" customWidth="1"/>
    <col min="8463" max="8463" width="6.5" customWidth="1"/>
    <col min="8464" max="8464" width="5.625" customWidth="1"/>
    <col min="8465" max="8465" width="11.375" customWidth="1"/>
    <col min="8466" max="8466" width="7.375" customWidth="1"/>
    <col min="8467" max="8467" width="10.75" customWidth="1"/>
    <col min="8468" max="8468" width="5.75" customWidth="1"/>
    <col min="8469" max="8469" width="11.875" customWidth="1"/>
    <col min="8470" max="8470" width="7.125" customWidth="1"/>
    <col min="8705" max="8705" width="2.875" customWidth="1"/>
    <col min="8706" max="8706" width="4.25" customWidth="1"/>
    <col min="8707" max="8707" width="11.5" customWidth="1"/>
    <col min="8708" max="8708" width="17.25" customWidth="1"/>
    <col min="8709" max="8709" width="6.625" customWidth="1"/>
    <col min="8710" max="8710" width="6" customWidth="1"/>
    <col min="8711" max="8711" width="5.125" customWidth="1"/>
    <col min="8712" max="8712" width="9.875" customWidth="1"/>
    <col min="8713" max="8713" width="6" customWidth="1"/>
    <col min="8714" max="8714" width="5.875" customWidth="1"/>
    <col min="8715" max="8715" width="6.625" customWidth="1"/>
    <col min="8716" max="8716" width="9.5" customWidth="1"/>
    <col min="8717" max="8717" width="8.625" customWidth="1"/>
    <col min="8718" max="8718" width="14.75" customWidth="1"/>
    <col min="8719" max="8719" width="6.5" customWidth="1"/>
    <col min="8720" max="8720" width="5.625" customWidth="1"/>
    <col min="8721" max="8721" width="11.375" customWidth="1"/>
    <col min="8722" max="8722" width="7.375" customWidth="1"/>
    <col min="8723" max="8723" width="10.75" customWidth="1"/>
    <col min="8724" max="8724" width="5.75" customWidth="1"/>
    <col min="8725" max="8725" width="11.875" customWidth="1"/>
    <col min="8726" max="8726" width="7.125" customWidth="1"/>
    <col min="8961" max="8961" width="2.875" customWidth="1"/>
    <col min="8962" max="8962" width="4.25" customWidth="1"/>
    <col min="8963" max="8963" width="11.5" customWidth="1"/>
    <col min="8964" max="8964" width="17.25" customWidth="1"/>
    <col min="8965" max="8965" width="6.625" customWidth="1"/>
    <col min="8966" max="8966" width="6" customWidth="1"/>
    <col min="8967" max="8967" width="5.125" customWidth="1"/>
    <col min="8968" max="8968" width="9.875" customWidth="1"/>
    <col min="8969" max="8969" width="6" customWidth="1"/>
    <col min="8970" max="8970" width="5.875" customWidth="1"/>
    <col min="8971" max="8971" width="6.625" customWidth="1"/>
    <col min="8972" max="8972" width="9.5" customWidth="1"/>
    <col min="8973" max="8973" width="8.625" customWidth="1"/>
    <col min="8974" max="8974" width="14.75" customWidth="1"/>
    <col min="8975" max="8975" width="6.5" customWidth="1"/>
    <col min="8976" max="8976" width="5.625" customWidth="1"/>
    <col min="8977" max="8977" width="11.375" customWidth="1"/>
    <col min="8978" max="8978" width="7.375" customWidth="1"/>
    <col min="8979" max="8979" width="10.75" customWidth="1"/>
    <col min="8980" max="8980" width="5.75" customWidth="1"/>
    <col min="8981" max="8981" width="11.875" customWidth="1"/>
    <col min="8982" max="8982" width="7.125" customWidth="1"/>
    <col min="9217" max="9217" width="2.875" customWidth="1"/>
    <col min="9218" max="9218" width="4.25" customWidth="1"/>
    <col min="9219" max="9219" width="11.5" customWidth="1"/>
    <col min="9220" max="9220" width="17.25" customWidth="1"/>
    <col min="9221" max="9221" width="6.625" customWidth="1"/>
    <col min="9222" max="9222" width="6" customWidth="1"/>
    <col min="9223" max="9223" width="5.125" customWidth="1"/>
    <col min="9224" max="9224" width="9.875" customWidth="1"/>
    <col min="9225" max="9225" width="6" customWidth="1"/>
    <col min="9226" max="9226" width="5.875" customWidth="1"/>
    <col min="9227" max="9227" width="6.625" customWidth="1"/>
    <col min="9228" max="9228" width="9.5" customWidth="1"/>
    <col min="9229" max="9229" width="8.625" customWidth="1"/>
    <col min="9230" max="9230" width="14.75" customWidth="1"/>
    <col min="9231" max="9231" width="6.5" customWidth="1"/>
    <col min="9232" max="9232" width="5.625" customWidth="1"/>
    <col min="9233" max="9233" width="11.375" customWidth="1"/>
    <col min="9234" max="9234" width="7.375" customWidth="1"/>
    <col min="9235" max="9235" width="10.75" customWidth="1"/>
    <col min="9236" max="9236" width="5.75" customWidth="1"/>
    <col min="9237" max="9237" width="11.875" customWidth="1"/>
    <col min="9238" max="9238" width="7.125" customWidth="1"/>
    <col min="9473" max="9473" width="2.875" customWidth="1"/>
    <col min="9474" max="9474" width="4.25" customWidth="1"/>
    <col min="9475" max="9475" width="11.5" customWidth="1"/>
    <col min="9476" max="9476" width="17.25" customWidth="1"/>
    <col min="9477" max="9477" width="6.625" customWidth="1"/>
    <col min="9478" max="9478" width="6" customWidth="1"/>
    <col min="9479" max="9479" width="5.125" customWidth="1"/>
    <col min="9480" max="9480" width="9.875" customWidth="1"/>
    <col min="9481" max="9481" width="6" customWidth="1"/>
    <col min="9482" max="9482" width="5.875" customWidth="1"/>
    <col min="9483" max="9483" width="6.625" customWidth="1"/>
    <col min="9484" max="9484" width="9.5" customWidth="1"/>
    <col min="9485" max="9485" width="8.625" customWidth="1"/>
    <col min="9486" max="9486" width="14.75" customWidth="1"/>
    <col min="9487" max="9487" width="6.5" customWidth="1"/>
    <col min="9488" max="9488" width="5.625" customWidth="1"/>
    <col min="9489" max="9489" width="11.375" customWidth="1"/>
    <col min="9490" max="9490" width="7.375" customWidth="1"/>
    <col min="9491" max="9491" width="10.75" customWidth="1"/>
    <col min="9492" max="9492" width="5.75" customWidth="1"/>
    <col min="9493" max="9493" width="11.875" customWidth="1"/>
    <col min="9494" max="9494" width="7.125" customWidth="1"/>
    <col min="9729" max="9729" width="2.875" customWidth="1"/>
    <col min="9730" max="9730" width="4.25" customWidth="1"/>
    <col min="9731" max="9731" width="11.5" customWidth="1"/>
    <col min="9732" max="9732" width="17.25" customWidth="1"/>
    <col min="9733" max="9733" width="6.625" customWidth="1"/>
    <col min="9734" max="9734" width="6" customWidth="1"/>
    <col min="9735" max="9735" width="5.125" customWidth="1"/>
    <col min="9736" max="9736" width="9.875" customWidth="1"/>
    <col min="9737" max="9737" width="6" customWidth="1"/>
    <col min="9738" max="9738" width="5.875" customWidth="1"/>
    <col min="9739" max="9739" width="6.625" customWidth="1"/>
    <col min="9740" max="9740" width="9.5" customWidth="1"/>
    <col min="9741" max="9741" width="8.625" customWidth="1"/>
    <col min="9742" max="9742" width="14.75" customWidth="1"/>
    <col min="9743" max="9743" width="6.5" customWidth="1"/>
    <col min="9744" max="9744" width="5.625" customWidth="1"/>
    <col min="9745" max="9745" width="11.375" customWidth="1"/>
    <col min="9746" max="9746" width="7.375" customWidth="1"/>
    <col min="9747" max="9747" width="10.75" customWidth="1"/>
    <col min="9748" max="9748" width="5.75" customWidth="1"/>
    <col min="9749" max="9749" width="11.875" customWidth="1"/>
    <col min="9750" max="9750" width="7.125" customWidth="1"/>
    <col min="9985" max="9985" width="2.875" customWidth="1"/>
    <col min="9986" max="9986" width="4.25" customWidth="1"/>
    <col min="9987" max="9987" width="11.5" customWidth="1"/>
    <col min="9988" max="9988" width="17.25" customWidth="1"/>
    <col min="9989" max="9989" width="6.625" customWidth="1"/>
    <col min="9990" max="9990" width="6" customWidth="1"/>
    <col min="9991" max="9991" width="5.125" customWidth="1"/>
    <col min="9992" max="9992" width="9.875" customWidth="1"/>
    <col min="9993" max="9993" width="6" customWidth="1"/>
    <col min="9994" max="9994" width="5.875" customWidth="1"/>
    <col min="9995" max="9995" width="6.625" customWidth="1"/>
    <col min="9996" max="9996" width="9.5" customWidth="1"/>
    <col min="9997" max="9997" width="8.625" customWidth="1"/>
    <col min="9998" max="9998" width="14.75" customWidth="1"/>
    <col min="9999" max="9999" width="6.5" customWidth="1"/>
    <col min="10000" max="10000" width="5.625" customWidth="1"/>
    <col min="10001" max="10001" width="11.375" customWidth="1"/>
    <col min="10002" max="10002" width="7.375" customWidth="1"/>
    <col min="10003" max="10003" width="10.75" customWidth="1"/>
    <col min="10004" max="10004" width="5.75" customWidth="1"/>
    <col min="10005" max="10005" width="11.875" customWidth="1"/>
    <col min="10006" max="10006" width="7.125" customWidth="1"/>
    <col min="10241" max="10241" width="2.875" customWidth="1"/>
    <col min="10242" max="10242" width="4.25" customWidth="1"/>
    <col min="10243" max="10243" width="11.5" customWidth="1"/>
    <col min="10244" max="10244" width="17.25" customWidth="1"/>
    <col min="10245" max="10245" width="6.625" customWidth="1"/>
    <col min="10246" max="10246" width="6" customWidth="1"/>
    <col min="10247" max="10247" width="5.125" customWidth="1"/>
    <col min="10248" max="10248" width="9.875" customWidth="1"/>
    <col min="10249" max="10249" width="6" customWidth="1"/>
    <col min="10250" max="10250" width="5.875" customWidth="1"/>
    <col min="10251" max="10251" width="6.625" customWidth="1"/>
    <col min="10252" max="10252" width="9.5" customWidth="1"/>
    <col min="10253" max="10253" width="8.625" customWidth="1"/>
    <col min="10254" max="10254" width="14.75" customWidth="1"/>
    <col min="10255" max="10255" width="6.5" customWidth="1"/>
    <col min="10256" max="10256" width="5.625" customWidth="1"/>
    <col min="10257" max="10257" width="11.375" customWidth="1"/>
    <col min="10258" max="10258" width="7.375" customWidth="1"/>
    <col min="10259" max="10259" width="10.75" customWidth="1"/>
    <col min="10260" max="10260" width="5.75" customWidth="1"/>
    <col min="10261" max="10261" width="11.875" customWidth="1"/>
    <col min="10262" max="10262" width="7.125" customWidth="1"/>
    <col min="10497" max="10497" width="2.875" customWidth="1"/>
    <col min="10498" max="10498" width="4.25" customWidth="1"/>
    <col min="10499" max="10499" width="11.5" customWidth="1"/>
    <col min="10500" max="10500" width="17.25" customWidth="1"/>
    <col min="10501" max="10501" width="6.625" customWidth="1"/>
    <col min="10502" max="10502" width="6" customWidth="1"/>
    <col min="10503" max="10503" width="5.125" customWidth="1"/>
    <col min="10504" max="10504" width="9.875" customWidth="1"/>
    <col min="10505" max="10505" width="6" customWidth="1"/>
    <col min="10506" max="10506" width="5.875" customWidth="1"/>
    <col min="10507" max="10507" width="6.625" customWidth="1"/>
    <col min="10508" max="10508" width="9.5" customWidth="1"/>
    <col min="10509" max="10509" width="8.625" customWidth="1"/>
    <col min="10510" max="10510" width="14.75" customWidth="1"/>
    <col min="10511" max="10511" width="6.5" customWidth="1"/>
    <col min="10512" max="10512" width="5.625" customWidth="1"/>
    <col min="10513" max="10513" width="11.375" customWidth="1"/>
    <col min="10514" max="10514" width="7.375" customWidth="1"/>
    <col min="10515" max="10515" width="10.75" customWidth="1"/>
    <col min="10516" max="10516" width="5.75" customWidth="1"/>
    <col min="10517" max="10517" width="11.875" customWidth="1"/>
    <col min="10518" max="10518" width="7.125" customWidth="1"/>
    <col min="10753" max="10753" width="2.875" customWidth="1"/>
    <col min="10754" max="10754" width="4.25" customWidth="1"/>
    <col min="10755" max="10755" width="11.5" customWidth="1"/>
    <col min="10756" max="10756" width="17.25" customWidth="1"/>
    <col min="10757" max="10757" width="6.625" customWidth="1"/>
    <col min="10758" max="10758" width="6" customWidth="1"/>
    <col min="10759" max="10759" width="5.125" customWidth="1"/>
    <col min="10760" max="10760" width="9.875" customWidth="1"/>
    <col min="10761" max="10761" width="6" customWidth="1"/>
    <col min="10762" max="10762" width="5.875" customWidth="1"/>
    <col min="10763" max="10763" width="6.625" customWidth="1"/>
    <col min="10764" max="10764" width="9.5" customWidth="1"/>
    <col min="10765" max="10765" width="8.625" customWidth="1"/>
    <col min="10766" max="10766" width="14.75" customWidth="1"/>
    <col min="10767" max="10767" width="6.5" customWidth="1"/>
    <col min="10768" max="10768" width="5.625" customWidth="1"/>
    <col min="10769" max="10769" width="11.375" customWidth="1"/>
    <col min="10770" max="10770" width="7.375" customWidth="1"/>
    <col min="10771" max="10771" width="10.75" customWidth="1"/>
    <col min="10772" max="10772" width="5.75" customWidth="1"/>
    <col min="10773" max="10773" width="11.875" customWidth="1"/>
    <col min="10774" max="10774" width="7.125" customWidth="1"/>
    <col min="11009" max="11009" width="2.875" customWidth="1"/>
    <col min="11010" max="11010" width="4.25" customWidth="1"/>
    <col min="11011" max="11011" width="11.5" customWidth="1"/>
    <col min="11012" max="11012" width="17.25" customWidth="1"/>
    <col min="11013" max="11013" width="6.625" customWidth="1"/>
    <col min="11014" max="11014" width="6" customWidth="1"/>
    <col min="11015" max="11015" width="5.125" customWidth="1"/>
    <col min="11016" max="11016" width="9.875" customWidth="1"/>
    <col min="11017" max="11017" width="6" customWidth="1"/>
    <col min="11018" max="11018" width="5.875" customWidth="1"/>
    <col min="11019" max="11019" width="6.625" customWidth="1"/>
    <col min="11020" max="11020" width="9.5" customWidth="1"/>
    <col min="11021" max="11021" width="8.625" customWidth="1"/>
    <col min="11022" max="11022" width="14.75" customWidth="1"/>
    <col min="11023" max="11023" width="6.5" customWidth="1"/>
    <col min="11024" max="11024" width="5.625" customWidth="1"/>
    <col min="11025" max="11025" width="11.375" customWidth="1"/>
    <col min="11026" max="11026" width="7.375" customWidth="1"/>
    <col min="11027" max="11027" width="10.75" customWidth="1"/>
    <col min="11028" max="11028" width="5.75" customWidth="1"/>
    <col min="11029" max="11029" width="11.875" customWidth="1"/>
    <col min="11030" max="11030" width="7.125" customWidth="1"/>
    <col min="11265" max="11265" width="2.875" customWidth="1"/>
    <col min="11266" max="11266" width="4.25" customWidth="1"/>
    <col min="11267" max="11267" width="11.5" customWidth="1"/>
    <col min="11268" max="11268" width="17.25" customWidth="1"/>
    <col min="11269" max="11269" width="6.625" customWidth="1"/>
    <col min="11270" max="11270" width="6" customWidth="1"/>
    <col min="11271" max="11271" width="5.125" customWidth="1"/>
    <col min="11272" max="11272" width="9.875" customWidth="1"/>
    <col min="11273" max="11273" width="6" customWidth="1"/>
    <col min="11274" max="11274" width="5.875" customWidth="1"/>
    <col min="11275" max="11275" width="6.625" customWidth="1"/>
    <col min="11276" max="11276" width="9.5" customWidth="1"/>
    <col min="11277" max="11277" width="8.625" customWidth="1"/>
    <col min="11278" max="11278" width="14.75" customWidth="1"/>
    <col min="11279" max="11279" width="6.5" customWidth="1"/>
    <col min="11280" max="11280" width="5.625" customWidth="1"/>
    <col min="11281" max="11281" width="11.375" customWidth="1"/>
    <col min="11282" max="11282" width="7.375" customWidth="1"/>
    <col min="11283" max="11283" width="10.75" customWidth="1"/>
    <col min="11284" max="11284" width="5.75" customWidth="1"/>
    <col min="11285" max="11285" width="11.875" customWidth="1"/>
    <col min="11286" max="11286" width="7.125" customWidth="1"/>
    <col min="11521" max="11521" width="2.875" customWidth="1"/>
    <col min="11522" max="11522" width="4.25" customWidth="1"/>
    <col min="11523" max="11523" width="11.5" customWidth="1"/>
    <col min="11524" max="11524" width="17.25" customWidth="1"/>
    <col min="11525" max="11525" width="6.625" customWidth="1"/>
    <col min="11526" max="11526" width="6" customWidth="1"/>
    <col min="11527" max="11527" width="5.125" customWidth="1"/>
    <col min="11528" max="11528" width="9.875" customWidth="1"/>
    <col min="11529" max="11529" width="6" customWidth="1"/>
    <col min="11530" max="11530" width="5.875" customWidth="1"/>
    <col min="11531" max="11531" width="6.625" customWidth="1"/>
    <col min="11532" max="11532" width="9.5" customWidth="1"/>
    <col min="11533" max="11533" width="8.625" customWidth="1"/>
    <col min="11534" max="11534" width="14.75" customWidth="1"/>
    <col min="11535" max="11535" width="6.5" customWidth="1"/>
    <col min="11536" max="11536" width="5.625" customWidth="1"/>
    <col min="11537" max="11537" width="11.375" customWidth="1"/>
    <col min="11538" max="11538" width="7.375" customWidth="1"/>
    <col min="11539" max="11539" width="10.75" customWidth="1"/>
    <col min="11540" max="11540" width="5.75" customWidth="1"/>
    <col min="11541" max="11541" width="11.875" customWidth="1"/>
    <col min="11542" max="11542" width="7.125" customWidth="1"/>
    <col min="11777" max="11777" width="2.875" customWidth="1"/>
    <col min="11778" max="11778" width="4.25" customWidth="1"/>
    <col min="11779" max="11779" width="11.5" customWidth="1"/>
    <col min="11780" max="11780" width="17.25" customWidth="1"/>
    <col min="11781" max="11781" width="6.625" customWidth="1"/>
    <col min="11782" max="11782" width="6" customWidth="1"/>
    <col min="11783" max="11783" width="5.125" customWidth="1"/>
    <col min="11784" max="11784" width="9.875" customWidth="1"/>
    <col min="11785" max="11785" width="6" customWidth="1"/>
    <col min="11786" max="11786" width="5.875" customWidth="1"/>
    <col min="11787" max="11787" width="6.625" customWidth="1"/>
    <col min="11788" max="11788" width="9.5" customWidth="1"/>
    <col min="11789" max="11789" width="8.625" customWidth="1"/>
    <col min="11790" max="11790" width="14.75" customWidth="1"/>
    <col min="11791" max="11791" width="6.5" customWidth="1"/>
    <col min="11792" max="11792" width="5.625" customWidth="1"/>
    <col min="11793" max="11793" width="11.375" customWidth="1"/>
    <col min="11794" max="11794" width="7.375" customWidth="1"/>
    <col min="11795" max="11795" width="10.75" customWidth="1"/>
    <col min="11796" max="11796" width="5.75" customWidth="1"/>
    <col min="11797" max="11797" width="11.875" customWidth="1"/>
    <col min="11798" max="11798" width="7.125" customWidth="1"/>
    <col min="12033" max="12033" width="2.875" customWidth="1"/>
    <col min="12034" max="12034" width="4.25" customWidth="1"/>
    <col min="12035" max="12035" width="11.5" customWidth="1"/>
    <col min="12036" max="12036" width="17.25" customWidth="1"/>
    <col min="12037" max="12037" width="6.625" customWidth="1"/>
    <col min="12038" max="12038" width="6" customWidth="1"/>
    <col min="12039" max="12039" width="5.125" customWidth="1"/>
    <col min="12040" max="12040" width="9.875" customWidth="1"/>
    <col min="12041" max="12041" width="6" customWidth="1"/>
    <col min="12042" max="12042" width="5.875" customWidth="1"/>
    <col min="12043" max="12043" width="6.625" customWidth="1"/>
    <col min="12044" max="12044" width="9.5" customWidth="1"/>
    <col min="12045" max="12045" width="8.625" customWidth="1"/>
    <col min="12046" max="12046" width="14.75" customWidth="1"/>
    <col min="12047" max="12047" width="6.5" customWidth="1"/>
    <col min="12048" max="12048" width="5.625" customWidth="1"/>
    <col min="12049" max="12049" width="11.375" customWidth="1"/>
    <col min="12050" max="12050" width="7.375" customWidth="1"/>
    <col min="12051" max="12051" width="10.75" customWidth="1"/>
    <col min="12052" max="12052" width="5.75" customWidth="1"/>
    <col min="12053" max="12053" width="11.875" customWidth="1"/>
    <col min="12054" max="12054" width="7.125" customWidth="1"/>
    <col min="12289" max="12289" width="2.875" customWidth="1"/>
    <col min="12290" max="12290" width="4.25" customWidth="1"/>
    <col min="12291" max="12291" width="11.5" customWidth="1"/>
    <col min="12292" max="12292" width="17.25" customWidth="1"/>
    <col min="12293" max="12293" width="6.625" customWidth="1"/>
    <col min="12294" max="12294" width="6" customWidth="1"/>
    <col min="12295" max="12295" width="5.125" customWidth="1"/>
    <col min="12296" max="12296" width="9.875" customWidth="1"/>
    <col min="12297" max="12297" width="6" customWidth="1"/>
    <col min="12298" max="12298" width="5.875" customWidth="1"/>
    <col min="12299" max="12299" width="6.625" customWidth="1"/>
    <col min="12300" max="12300" width="9.5" customWidth="1"/>
    <col min="12301" max="12301" width="8.625" customWidth="1"/>
    <col min="12302" max="12302" width="14.75" customWidth="1"/>
    <col min="12303" max="12303" width="6.5" customWidth="1"/>
    <col min="12304" max="12304" width="5.625" customWidth="1"/>
    <col min="12305" max="12305" width="11.375" customWidth="1"/>
    <col min="12306" max="12306" width="7.375" customWidth="1"/>
    <col min="12307" max="12307" width="10.75" customWidth="1"/>
    <col min="12308" max="12308" width="5.75" customWidth="1"/>
    <col min="12309" max="12309" width="11.875" customWidth="1"/>
    <col min="12310" max="12310" width="7.125" customWidth="1"/>
    <col min="12545" max="12545" width="2.875" customWidth="1"/>
    <col min="12546" max="12546" width="4.25" customWidth="1"/>
    <col min="12547" max="12547" width="11.5" customWidth="1"/>
    <col min="12548" max="12548" width="17.25" customWidth="1"/>
    <col min="12549" max="12549" width="6.625" customWidth="1"/>
    <col min="12550" max="12550" width="6" customWidth="1"/>
    <col min="12551" max="12551" width="5.125" customWidth="1"/>
    <col min="12552" max="12552" width="9.875" customWidth="1"/>
    <col min="12553" max="12553" width="6" customWidth="1"/>
    <col min="12554" max="12554" width="5.875" customWidth="1"/>
    <col min="12555" max="12555" width="6.625" customWidth="1"/>
    <col min="12556" max="12556" width="9.5" customWidth="1"/>
    <col min="12557" max="12557" width="8.625" customWidth="1"/>
    <col min="12558" max="12558" width="14.75" customWidth="1"/>
    <col min="12559" max="12559" width="6.5" customWidth="1"/>
    <col min="12560" max="12560" width="5.625" customWidth="1"/>
    <col min="12561" max="12561" width="11.375" customWidth="1"/>
    <col min="12562" max="12562" width="7.375" customWidth="1"/>
    <col min="12563" max="12563" width="10.75" customWidth="1"/>
    <col min="12564" max="12564" width="5.75" customWidth="1"/>
    <col min="12565" max="12565" width="11.875" customWidth="1"/>
    <col min="12566" max="12566" width="7.125" customWidth="1"/>
    <col min="12801" max="12801" width="2.875" customWidth="1"/>
    <col min="12802" max="12802" width="4.25" customWidth="1"/>
    <col min="12803" max="12803" width="11.5" customWidth="1"/>
    <col min="12804" max="12804" width="17.25" customWidth="1"/>
    <col min="12805" max="12805" width="6.625" customWidth="1"/>
    <col min="12806" max="12806" width="6" customWidth="1"/>
    <col min="12807" max="12807" width="5.125" customWidth="1"/>
    <col min="12808" max="12808" width="9.875" customWidth="1"/>
    <col min="12809" max="12809" width="6" customWidth="1"/>
    <col min="12810" max="12810" width="5.875" customWidth="1"/>
    <col min="12811" max="12811" width="6.625" customWidth="1"/>
    <col min="12812" max="12812" width="9.5" customWidth="1"/>
    <col min="12813" max="12813" width="8.625" customWidth="1"/>
    <col min="12814" max="12814" width="14.75" customWidth="1"/>
    <col min="12815" max="12815" width="6.5" customWidth="1"/>
    <col min="12816" max="12816" width="5.625" customWidth="1"/>
    <col min="12817" max="12817" width="11.375" customWidth="1"/>
    <col min="12818" max="12818" width="7.375" customWidth="1"/>
    <col min="12819" max="12819" width="10.75" customWidth="1"/>
    <col min="12820" max="12820" width="5.75" customWidth="1"/>
    <col min="12821" max="12821" width="11.875" customWidth="1"/>
    <col min="12822" max="12822" width="7.125" customWidth="1"/>
    <col min="13057" max="13057" width="2.875" customWidth="1"/>
    <col min="13058" max="13058" width="4.25" customWidth="1"/>
    <col min="13059" max="13059" width="11.5" customWidth="1"/>
    <col min="13060" max="13060" width="17.25" customWidth="1"/>
    <col min="13061" max="13061" width="6.625" customWidth="1"/>
    <col min="13062" max="13062" width="6" customWidth="1"/>
    <col min="13063" max="13063" width="5.125" customWidth="1"/>
    <col min="13064" max="13064" width="9.875" customWidth="1"/>
    <col min="13065" max="13065" width="6" customWidth="1"/>
    <col min="13066" max="13066" width="5.875" customWidth="1"/>
    <col min="13067" max="13067" width="6.625" customWidth="1"/>
    <col min="13068" max="13068" width="9.5" customWidth="1"/>
    <col min="13069" max="13069" width="8.625" customWidth="1"/>
    <col min="13070" max="13070" width="14.75" customWidth="1"/>
    <col min="13071" max="13071" width="6.5" customWidth="1"/>
    <col min="13072" max="13072" width="5.625" customWidth="1"/>
    <col min="13073" max="13073" width="11.375" customWidth="1"/>
    <col min="13074" max="13074" width="7.375" customWidth="1"/>
    <col min="13075" max="13075" width="10.75" customWidth="1"/>
    <col min="13076" max="13076" width="5.75" customWidth="1"/>
    <col min="13077" max="13077" width="11.875" customWidth="1"/>
    <col min="13078" max="13078" width="7.125" customWidth="1"/>
    <col min="13313" max="13313" width="2.875" customWidth="1"/>
    <col min="13314" max="13314" width="4.25" customWidth="1"/>
    <col min="13315" max="13315" width="11.5" customWidth="1"/>
    <col min="13316" max="13316" width="17.25" customWidth="1"/>
    <col min="13317" max="13317" width="6.625" customWidth="1"/>
    <col min="13318" max="13318" width="6" customWidth="1"/>
    <col min="13319" max="13319" width="5.125" customWidth="1"/>
    <col min="13320" max="13320" width="9.875" customWidth="1"/>
    <col min="13321" max="13321" width="6" customWidth="1"/>
    <col min="13322" max="13322" width="5.875" customWidth="1"/>
    <col min="13323" max="13323" width="6.625" customWidth="1"/>
    <col min="13324" max="13324" width="9.5" customWidth="1"/>
    <col min="13325" max="13325" width="8.625" customWidth="1"/>
    <col min="13326" max="13326" width="14.75" customWidth="1"/>
    <col min="13327" max="13327" width="6.5" customWidth="1"/>
    <col min="13328" max="13328" width="5.625" customWidth="1"/>
    <col min="13329" max="13329" width="11.375" customWidth="1"/>
    <col min="13330" max="13330" width="7.375" customWidth="1"/>
    <col min="13331" max="13331" width="10.75" customWidth="1"/>
    <col min="13332" max="13332" width="5.75" customWidth="1"/>
    <col min="13333" max="13333" width="11.875" customWidth="1"/>
    <col min="13334" max="13334" width="7.125" customWidth="1"/>
    <col min="13569" max="13569" width="2.875" customWidth="1"/>
    <col min="13570" max="13570" width="4.25" customWidth="1"/>
    <col min="13571" max="13571" width="11.5" customWidth="1"/>
    <col min="13572" max="13572" width="17.25" customWidth="1"/>
    <col min="13573" max="13573" width="6.625" customWidth="1"/>
    <col min="13574" max="13574" width="6" customWidth="1"/>
    <col min="13575" max="13575" width="5.125" customWidth="1"/>
    <col min="13576" max="13576" width="9.875" customWidth="1"/>
    <col min="13577" max="13577" width="6" customWidth="1"/>
    <col min="13578" max="13578" width="5.875" customWidth="1"/>
    <col min="13579" max="13579" width="6.625" customWidth="1"/>
    <col min="13580" max="13580" width="9.5" customWidth="1"/>
    <col min="13581" max="13581" width="8.625" customWidth="1"/>
    <col min="13582" max="13582" width="14.75" customWidth="1"/>
    <col min="13583" max="13583" width="6.5" customWidth="1"/>
    <col min="13584" max="13584" width="5.625" customWidth="1"/>
    <col min="13585" max="13585" width="11.375" customWidth="1"/>
    <col min="13586" max="13586" width="7.375" customWidth="1"/>
    <col min="13587" max="13587" width="10.75" customWidth="1"/>
    <col min="13588" max="13588" width="5.75" customWidth="1"/>
    <col min="13589" max="13589" width="11.875" customWidth="1"/>
    <col min="13590" max="13590" width="7.125" customWidth="1"/>
    <col min="13825" max="13825" width="2.875" customWidth="1"/>
    <col min="13826" max="13826" width="4.25" customWidth="1"/>
    <col min="13827" max="13827" width="11.5" customWidth="1"/>
    <col min="13828" max="13828" width="17.25" customWidth="1"/>
    <col min="13829" max="13829" width="6.625" customWidth="1"/>
    <col min="13830" max="13830" width="6" customWidth="1"/>
    <col min="13831" max="13831" width="5.125" customWidth="1"/>
    <col min="13832" max="13832" width="9.875" customWidth="1"/>
    <col min="13833" max="13833" width="6" customWidth="1"/>
    <col min="13834" max="13834" width="5.875" customWidth="1"/>
    <col min="13835" max="13835" width="6.625" customWidth="1"/>
    <col min="13836" max="13836" width="9.5" customWidth="1"/>
    <col min="13837" max="13837" width="8.625" customWidth="1"/>
    <col min="13838" max="13838" width="14.75" customWidth="1"/>
    <col min="13839" max="13839" width="6.5" customWidth="1"/>
    <col min="13840" max="13840" width="5.625" customWidth="1"/>
    <col min="13841" max="13841" width="11.375" customWidth="1"/>
    <col min="13842" max="13842" width="7.375" customWidth="1"/>
    <col min="13843" max="13843" width="10.75" customWidth="1"/>
    <col min="13844" max="13844" width="5.75" customWidth="1"/>
    <col min="13845" max="13845" width="11.875" customWidth="1"/>
    <col min="13846" max="13846" width="7.125" customWidth="1"/>
    <col min="14081" max="14081" width="2.875" customWidth="1"/>
    <col min="14082" max="14082" width="4.25" customWidth="1"/>
    <col min="14083" max="14083" width="11.5" customWidth="1"/>
    <col min="14084" max="14084" width="17.25" customWidth="1"/>
    <col min="14085" max="14085" width="6.625" customWidth="1"/>
    <col min="14086" max="14086" width="6" customWidth="1"/>
    <col min="14087" max="14087" width="5.125" customWidth="1"/>
    <col min="14088" max="14088" width="9.875" customWidth="1"/>
    <col min="14089" max="14089" width="6" customWidth="1"/>
    <col min="14090" max="14090" width="5.875" customWidth="1"/>
    <col min="14091" max="14091" width="6.625" customWidth="1"/>
    <col min="14092" max="14092" width="9.5" customWidth="1"/>
    <col min="14093" max="14093" width="8.625" customWidth="1"/>
    <col min="14094" max="14094" width="14.75" customWidth="1"/>
    <col min="14095" max="14095" width="6.5" customWidth="1"/>
    <col min="14096" max="14096" width="5.625" customWidth="1"/>
    <col min="14097" max="14097" width="11.375" customWidth="1"/>
    <col min="14098" max="14098" width="7.375" customWidth="1"/>
    <col min="14099" max="14099" width="10.75" customWidth="1"/>
    <col min="14100" max="14100" width="5.75" customWidth="1"/>
    <col min="14101" max="14101" width="11.875" customWidth="1"/>
    <col min="14102" max="14102" width="7.125" customWidth="1"/>
    <col min="14337" max="14337" width="2.875" customWidth="1"/>
    <col min="14338" max="14338" width="4.25" customWidth="1"/>
    <col min="14339" max="14339" width="11.5" customWidth="1"/>
    <col min="14340" max="14340" width="17.25" customWidth="1"/>
    <col min="14341" max="14341" width="6.625" customWidth="1"/>
    <col min="14342" max="14342" width="6" customWidth="1"/>
    <col min="14343" max="14343" width="5.125" customWidth="1"/>
    <col min="14344" max="14344" width="9.875" customWidth="1"/>
    <col min="14345" max="14345" width="6" customWidth="1"/>
    <col min="14346" max="14346" width="5.875" customWidth="1"/>
    <col min="14347" max="14347" width="6.625" customWidth="1"/>
    <col min="14348" max="14348" width="9.5" customWidth="1"/>
    <col min="14349" max="14349" width="8.625" customWidth="1"/>
    <col min="14350" max="14350" width="14.75" customWidth="1"/>
    <col min="14351" max="14351" width="6.5" customWidth="1"/>
    <col min="14352" max="14352" width="5.625" customWidth="1"/>
    <col min="14353" max="14353" width="11.375" customWidth="1"/>
    <col min="14354" max="14354" width="7.375" customWidth="1"/>
    <col min="14355" max="14355" width="10.75" customWidth="1"/>
    <col min="14356" max="14356" width="5.75" customWidth="1"/>
    <col min="14357" max="14357" width="11.875" customWidth="1"/>
    <col min="14358" max="14358" width="7.125" customWidth="1"/>
    <col min="14593" max="14593" width="2.875" customWidth="1"/>
    <col min="14594" max="14594" width="4.25" customWidth="1"/>
    <col min="14595" max="14595" width="11.5" customWidth="1"/>
    <col min="14596" max="14596" width="17.25" customWidth="1"/>
    <col min="14597" max="14597" width="6.625" customWidth="1"/>
    <col min="14598" max="14598" width="6" customWidth="1"/>
    <col min="14599" max="14599" width="5.125" customWidth="1"/>
    <col min="14600" max="14600" width="9.875" customWidth="1"/>
    <col min="14601" max="14601" width="6" customWidth="1"/>
    <col min="14602" max="14602" width="5.875" customWidth="1"/>
    <col min="14603" max="14603" width="6.625" customWidth="1"/>
    <col min="14604" max="14604" width="9.5" customWidth="1"/>
    <col min="14605" max="14605" width="8.625" customWidth="1"/>
    <col min="14606" max="14606" width="14.75" customWidth="1"/>
    <col min="14607" max="14607" width="6.5" customWidth="1"/>
    <col min="14608" max="14608" width="5.625" customWidth="1"/>
    <col min="14609" max="14609" width="11.375" customWidth="1"/>
    <col min="14610" max="14610" width="7.375" customWidth="1"/>
    <col min="14611" max="14611" width="10.75" customWidth="1"/>
    <col min="14612" max="14612" width="5.75" customWidth="1"/>
    <col min="14613" max="14613" width="11.875" customWidth="1"/>
    <col min="14614" max="14614" width="7.125" customWidth="1"/>
    <col min="14849" max="14849" width="2.875" customWidth="1"/>
    <col min="14850" max="14850" width="4.25" customWidth="1"/>
    <col min="14851" max="14851" width="11.5" customWidth="1"/>
    <col min="14852" max="14852" width="17.25" customWidth="1"/>
    <col min="14853" max="14853" width="6.625" customWidth="1"/>
    <col min="14854" max="14854" width="6" customWidth="1"/>
    <col min="14855" max="14855" width="5.125" customWidth="1"/>
    <col min="14856" max="14856" width="9.875" customWidth="1"/>
    <col min="14857" max="14857" width="6" customWidth="1"/>
    <col min="14858" max="14858" width="5.875" customWidth="1"/>
    <col min="14859" max="14859" width="6.625" customWidth="1"/>
    <col min="14860" max="14860" width="9.5" customWidth="1"/>
    <col min="14861" max="14861" width="8.625" customWidth="1"/>
    <col min="14862" max="14862" width="14.75" customWidth="1"/>
    <col min="14863" max="14863" width="6.5" customWidth="1"/>
    <col min="14864" max="14864" width="5.625" customWidth="1"/>
    <col min="14865" max="14865" width="11.375" customWidth="1"/>
    <col min="14866" max="14866" width="7.375" customWidth="1"/>
    <col min="14867" max="14867" width="10.75" customWidth="1"/>
    <col min="14868" max="14868" width="5.75" customWidth="1"/>
    <col min="14869" max="14869" width="11.875" customWidth="1"/>
    <col min="14870" max="14870" width="7.125" customWidth="1"/>
    <col min="15105" max="15105" width="2.875" customWidth="1"/>
    <col min="15106" max="15106" width="4.25" customWidth="1"/>
    <col min="15107" max="15107" width="11.5" customWidth="1"/>
    <col min="15108" max="15108" width="17.25" customWidth="1"/>
    <col min="15109" max="15109" width="6.625" customWidth="1"/>
    <col min="15110" max="15110" width="6" customWidth="1"/>
    <col min="15111" max="15111" width="5.125" customWidth="1"/>
    <col min="15112" max="15112" width="9.875" customWidth="1"/>
    <col min="15113" max="15113" width="6" customWidth="1"/>
    <col min="15114" max="15114" width="5.875" customWidth="1"/>
    <col min="15115" max="15115" width="6.625" customWidth="1"/>
    <col min="15116" max="15116" width="9.5" customWidth="1"/>
    <col min="15117" max="15117" width="8.625" customWidth="1"/>
    <col min="15118" max="15118" width="14.75" customWidth="1"/>
    <col min="15119" max="15119" width="6.5" customWidth="1"/>
    <col min="15120" max="15120" width="5.625" customWidth="1"/>
    <col min="15121" max="15121" width="11.375" customWidth="1"/>
    <col min="15122" max="15122" width="7.375" customWidth="1"/>
    <col min="15123" max="15123" width="10.75" customWidth="1"/>
    <col min="15124" max="15124" width="5.75" customWidth="1"/>
    <col min="15125" max="15125" width="11.875" customWidth="1"/>
    <col min="15126" max="15126" width="7.125" customWidth="1"/>
    <col min="15361" max="15361" width="2.875" customWidth="1"/>
    <col min="15362" max="15362" width="4.25" customWidth="1"/>
    <col min="15363" max="15363" width="11.5" customWidth="1"/>
    <col min="15364" max="15364" width="17.25" customWidth="1"/>
    <col min="15365" max="15365" width="6.625" customWidth="1"/>
    <col min="15366" max="15366" width="6" customWidth="1"/>
    <col min="15367" max="15367" width="5.125" customWidth="1"/>
    <col min="15368" max="15368" width="9.875" customWidth="1"/>
    <col min="15369" max="15369" width="6" customWidth="1"/>
    <col min="15370" max="15370" width="5.875" customWidth="1"/>
    <col min="15371" max="15371" width="6.625" customWidth="1"/>
    <col min="15372" max="15372" width="9.5" customWidth="1"/>
    <col min="15373" max="15373" width="8.625" customWidth="1"/>
    <col min="15374" max="15374" width="14.75" customWidth="1"/>
    <col min="15375" max="15375" width="6.5" customWidth="1"/>
    <col min="15376" max="15376" width="5.625" customWidth="1"/>
    <col min="15377" max="15377" width="11.375" customWidth="1"/>
    <col min="15378" max="15378" width="7.375" customWidth="1"/>
    <col min="15379" max="15379" width="10.75" customWidth="1"/>
    <col min="15380" max="15380" width="5.75" customWidth="1"/>
    <col min="15381" max="15381" width="11.875" customWidth="1"/>
    <col min="15382" max="15382" width="7.125" customWidth="1"/>
    <col min="15617" max="15617" width="2.875" customWidth="1"/>
    <col min="15618" max="15618" width="4.25" customWidth="1"/>
    <col min="15619" max="15619" width="11.5" customWidth="1"/>
    <col min="15620" max="15620" width="17.25" customWidth="1"/>
    <col min="15621" max="15621" width="6.625" customWidth="1"/>
    <col min="15622" max="15622" width="6" customWidth="1"/>
    <col min="15623" max="15623" width="5.125" customWidth="1"/>
    <col min="15624" max="15624" width="9.875" customWidth="1"/>
    <col min="15625" max="15625" width="6" customWidth="1"/>
    <col min="15626" max="15626" width="5.875" customWidth="1"/>
    <col min="15627" max="15627" width="6.625" customWidth="1"/>
    <col min="15628" max="15628" width="9.5" customWidth="1"/>
    <col min="15629" max="15629" width="8.625" customWidth="1"/>
    <col min="15630" max="15630" width="14.75" customWidth="1"/>
    <col min="15631" max="15631" width="6.5" customWidth="1"/>
    <col min="15632" max="15632" width="5.625" customWidth="1"/>
    <col min="15633" max="15633" width="11.375" customWidth="1"/>
    <col min="15634" max="15634" width="7.375" customWidth="1"/>
    <col min="15635" max="15635" width="10.75" customWidth="1"/>
    <col min="15636" max="15636" width="5.75" customWidth="1"/>
    <col min="15637" max="15637" width="11.875" customWidth="1"/>
    <col min="15638" max="15638" width="7.125" customWidth="1"/>
    <col min="15873" max="15873" width="2.875" customWidth="1"/>
    <col min="15874" max="15874" width="4.25" customWidth="1"/>
    <col min="15875" max="15875" width="11.5" customWidth="1"/>
    <col min="15876" max="15876" width="17.25" customWidth="1"/>
    <col min="15877" max="15877" width="6.625" customWidth="1"/>
    <col min="15878" max="15878" width="6" customWidth="1"/>
    <col min="15879" max="15879" width="5.125" customWidth="1"/>
    <col min="15880" max="15880" width="9.875" customWidth="1"/>
    <col min="15881" max="15881" width="6" customWidth="1"/>
    <col min="15882" max="15882" width="5.875" customWidth="1"/>
    <col min="15883" max="15883" width="6.625" customWidth="1"/>
    <col min="15884" max="15884" width="9.5" customWidth="1"/>
    <col min="15885" max="15885" width="8.625" customWidth="1"/>
    <col min="15886" max="15886" width="14.75" customWidth="1"/>
    <col min="15887" max="15887" width="6.5" customWidth="1"/>
    <col min="15888" max="15888" width="5.625" customWidth="1"/>
    <col min="15889" max="15889" width="11.375" customWidth="1"/>
    <col min="15890" max="15890" width="7.375" customWidth="1"/>
    <col min="15891" max="15891" width="10.75" customWidth="1"/>
    <col min="15892" max="15892" width="5.75" customWidth="1"/>
    <col min="15893" max="15893" width="11.875" customWidth="1"/>
    <col min="15894" max="15894" width="7.125" customWidth="1"/>
    <col min="16129" max="16129" width="2.875" customWidth="1"/>
    <col min="16130" max="16130" width="4.25" customWidth="1"/>
    <col min="16131" max="16131" width="11.5" customWidth="1"/>
    <col min="16132" max="16132" width="17.25" customWidth="1"/>
    <col min="16133" max="16133" width="6.625" customWidth="1"/>
    <col min="16134" max="16134" width="6" customWidth="1"/>
    <col min="16135" max="16135" width="5.125" customWidth="1"/>
    <col min="16136" max="16136" width="9.875" customWidth="1"/>
    <col min="16137" max="16137" width="6" customWidth="1"/>
    <col min="16138" max="16138" width="5.875" customWidth="1"/>
    <col min="16139" max="16139" width="6.625" customWidth="1"/>
    <col min="16140" max="16140" width="9.5" customWidth="1"/>
    <col min="16141" max="16141" width="8.625" customWidth="1"/>
    <col min="16142" max="16142" width="14.75" customWidth="1"/>
    <col min="16143" max="16143" width="6.5" customWidth="1"/>
    <col min="16144" max="16144" width="5.625" customWidth="1"/>
    <col min="16145" max="16145" width="11.375" customWidth="1"/>
    <col min="16146" max="16146" width="7.375" customWidth="1"/>
    <col min="16147" max="16147" width="10.75" customWidth="1"/>
    <col min="16148" max="16148" width="5.75" customWidth="1"/>
    <col min="16149" max="16149" width="11.875" customWidth="1"/>
    <col min="16150" max="16150" width="7.125" customWidth="1"/>
  </cols>
  <sheetData>
    <row r="1" ht="25.8" spans="1:22">
      <c r="A1" s="652" t="s">
        <v>33</v>
      </c>
      <c r="B1" s="652"/>
      <c r="C1" s="652"/>
      <c r="D1" s="652"/>
      <c r="E1" s="652"/>
      <c r="F1" s="652"/>
      <c r="G1" s="652"/>
      <c r="H1" s="652"/>
      <c r="I1" s="652"/>
      <c r="J1" s="652"/>
      <c r="K1" s="652"/>
      <c r="L1" s="652"/>
      <c r="M1" s="652"/>
      <c r="N1" s="652"/>
      <c r="O1" s="652"/>
      <c r="P1" s="652"/>
      <c r="Q1" s="652"/>
      <c r="R1" s="652"/>
      <c r="S1" s="652"/>
      <c r="T1" s="652"/>
      <c r="U1" s="155" t="s">
        <v>88</v>
      </c>
      <c r="V1" s="155"/>
    </row>
    <row r="2" spans="1:21">
      <c r="A2" s="630"/>
      <c r="B2" s="289"/>
      <c r="C2" s="289"/>
      <c r="D2" s="289"/>
      <c r="E2" s="289"/>
      <c r="F2" s="289"/>
      <c r="G2" s="289"/>
      <c r="H2" s="289"/>
      <c r="I2" s="289"/>
      <c r="J2" s="289"/>
      <c r="K2" s="289"/>
      <c r="L2" s="289"/>
      <c r="M2" s="289"/>
      <c r="N2" s="289"/>
      <c r="O2" s="289"/>
      <c r="P2" s="289"/>
      <c r="Q2" s="289"/>
      <c r="R2" s="289"/>
      <c r="S2" s="289"/>
      <c r="T2" s="289"/>
      <c r="U2" s="289"/>
    </row>
    <row r="3" ht="93.6" spans="1:22">
      <c r="A3" s="353" t="s">
        <v>2725</v>
      </c>
      <c r="B3" s="203" t="s">
        <v>2855</v>
      </c>
      <c r="C3" s="204" t="s">
        <v>2856</v>
      </c>
      <c r="D3" s="653" t="s">
        <v>2857</v>
      </c>
      <c r="E3" s="203" t="s">
        <v>2858</v>
      </c>
      <c r="F3" s="203" t="s">
        <v>2859</v>
      </c>
      <c r="G3" s="203" t="s">
        <v>2860</v>
      </c>
      <c r="H3" s="203" t="s">
        <v>2861</v>
      </c>
      <c r="I3" s="203" t="s">
        <v>2862</v>
      </c>
      <c r="J3" s="203" t="s">
        <v>2863</v>
      </c>
      <c r="K3" s="203" t="s">
        <v>2864</v>
      </c>
      <c r="L3" s="203" t="s">
        <v>2865</v>
      </c>
      <c r="M3" s="203" t="s">
        <v>2866</v>
      </c>
      <c r="N3" s="203" t="s">
        <v>2867</v>
      </c>
      <c r="O3" s="203" t="s">
        <v>2868</v>
      </c>
      <c r="P3" s="203" t="s">
        <v>2869</v>
      </c>
      <c r="Q3" s="657" t="s">
        <v>2870</v>
      </c>
      <c r="R3" s="203" t="s">
        <v>2871</v>
      </c>
      <c r="S3" s="657" t="s">
        <v>2872</v>
      </c>
      <c r="T3" s="203" t="s">
        <v>2869</v>
      </c>
      <c r="U3" s="658" t="s">
        <v>2870</v>
      </c>
      <c r="V3" s="203" t="s">
        <v>2871</v>
      </c>
    </row>
    <row r="4" spans="1:22">
      <c r="A4" s="353"/>
      <c r="B4" s="203"/>
      <c r="C4" s="204"/>
      <c r="D4" s="654"/>
      <c r="E4" s="203"/>
      <c r="F4" s="203"/>
      <c r="G4" s="203" t="s">
        <v>2873</v>
      </c>
      <c r="H4" s="203" t="s">
        <v>2874</v>
      </c>
      <c r="I4" s="203" t="s">
        <v>2746</v>
      </c>
      <c r="J4" s="203" t="s">
        <v>2875</v>
      </c>
      <c r="K4" s="203" t="s">
        <v>2876</v>
      </c>
      <c r="L4" s="203" t="s">
        <v>2747</v>
      </c>
      <c r="M4" s="204" t="s">
        <v>2877</v>
      </c>
      <c r="N4" s="204"/>
      <c r="O4" s="204"/>
      <c r="P4" s="204"/>
      <c r="Q4" s="204"/>
      <c r="R4" s="203"/>
      <c r="S4" s="204"/>
      <c r="T4" s="204"/>
      <c r="U4" s="204"/>
      <c r="V4" s="203"/>
    </row>
    <row r="5" s="156" customFormat="1" spans="1:22">
      <c r="A5" s="338">
        <v>1</v>
      </c>
      <c r="B5" s="338" t="s">
        <v>2878</v>
      </c>
      <c r="C5" s="338" t="s">
        <v>2879</v>
      </c>
      <c r="D5" s="338" t="s">
        <v>2880</v>
      </c>
      <c r="E5" s="338">
        <v>10000</v>
      </c>
      <c r="F5" s="338">
        <v>100</v>
      </c>
      <c r="G5" s="338"/>
      <c r="H5" s="338"/>
      <c r="I5" s="338">
        <v>250</v>
      </c>
      <c r="J5" s="635">
        <f>I5*0.67/8.3</f>
        <v>20.1807228915663</v>
      </c>
      <c r="K5" s="338">
        <f t="shared" ref="K5:K10" si="0">J5*4</f>
        <v>80.722891566265</v>
      </c>
      <c r="L5" s="338">
        <v>250</v>
      </c>
      <c r="M5" s="635">
        <f>L5*0.67/E5*1200</f>
        <v>20.1</v>
      </c>
      <c r="N5" s="635">
        <f t="shared" ref="N5:N11" si="1">K5+M5</f>
        <v>100.822891566265</v>
      </c>
      <c r="O5" s="338">
        <v>160</v>
      </c>
      <c r="P5" s="338">
        <f>6026/E5*1200</f>
        <v>723.12</v>
      </c>
      <c r="Q5" s="651">
        <f t="shared" ref="Q5:Q11" si="2">P5/O5</f>
        <v>4.5195</v>
      </c>
      <c r="R5" s="651" t="s">
        <v>2881</v>
      </c>
      <c r="S5" s="338"/>
      <c r="T5" s="338"/>
      <c r="U5" s="659"/>
      <c r="V5" s="338"/>
    </row>
    <row r="6" s="156" customFormat="1" spans="1:22">
      <c r="A6" s="338">
        <v>2</v>
      </c>
      <c r="B6" s="338" t="s">
        <v>2882</v>
      </c>
      <c r="C6" s="338" t="s">
        <v>2879</v>
      </c>
      <c r="D6" s="338" t="s">
        <v>2883</v>
      </c>
      <c r="E6" s="338">
        <v>10000</v>
      </c>
      <c r="F6" s="338">
        <v>210</v>
      </c>
      <c r="G6" s="338"/>
      <c r="H6" s="338"/>
      <c r="I6" s="338">
        <v>250</v>
      </c>
      <c r="J6" s="635">
        <f>I6*0.67/8.3</f>
        <v>20.1807228915663</v>
      </c>
      <c r="K6" s="338">
        <f t="shared" si="0"/>
        <v>80.722891566265</v>
      </c>
      <c r="L6" s="338">
        <f>250+132+90</f>
        <v>472</v>
      </c>
      <c r="M6" s="635">
        <f>L6*0.67/E6*1200</f>
        <v>37.9488</v>
      </c>
      <c r="N6" s="635">
        <f t="shared" si="1"/>
        <v>118.671691566265</v>
      </c>
      <c r="O6" s="338">
        <v>336</v>
      </c>
      <c r="P6" s="338">
        <f>13524/E6*1200</f>
        <v>1622.88</v>
      </c>
      <c r="Q6" s="651">
        <f t="shared" si="2"/>
        <v>4.83</v>
      </c>
      <c r="R6" s="651" t="s">
        <v>2881</v>
      </c>
      <c r="S6" s="338"/>
      <c r="T6" s="338"/>
      <c r="U6" s="659"/>
      <c r="V6" s="338"/>
    </row>
    <row r="7" s="156" customFormat="1" spans="1:22">
      <c r="A7" s="338">
        <v>3</v>
      </c>
      <c r="B7" s="338" t="s">
        <v>2884</v>
      </c>
      <c r="C7" s="338" t="s">
        <v>2879</v>
      </c>
      <c r="D7" s="338" t="s">
        <v>2885</v>
      </c>
      <c r="E7" s="338">
        <v>10000</v>
      </c>
      <c r="F7" s="338">
        <v>400</v>
      </c>
      <c r="G7" s="338"/>
      <c r="H7" s="338"/>
      <c r="I7" s="338">
        <v>400</v>
      </c>
      <c r="J7" s="635">
        <f>I7*0.67/8.3</f>
        <v>32.289156626506</v>
      </c>
      <c r="K7" s="338">
        <f t="shared" si="0"/>
        <v>129.156626506024</v>
      </c>
      <c r="L7" s="338">
        <f>250+930+1600</f>
        <v>2780</v>
      </c>
      <c r="M7" s="635">
        <f>L7*0.67/E7*1200</f>
        <v>223.512</v>
      </c>
      <c r="N7" s="635">
        <f t="shared" si="1"/>
        <v>352.668626506024</v>
      </c>
      <c r="O7" s="338">
        <v>640</v>
      </c>
      <c r="P7" s="338">
        <f>7958/E7*3300</f>
        <v>2626.14</v>
      </c>
      <c r="Q7" s="651">
        <f t="shared" si="2"/>
        <v>4.10334375</v>
      </c>
      <c r="R7" s="651" t="s">
        <v>2881</v>
      </c>
      <c r="S7" s="338"/>
      <c r="T7" s="338"/>
      <c r="U7" s="659"/>
      <c r="V7" s="338"/>
    </row>
    <row r="8" s="156" customFormat="1" spans="1:22">
      <c r="A8" s="338">
        <v>4</v>
      </c>
      <c r="B8" s="338" t="s">
        <v>2886</v>
      </c>
      <c r="C8" s="338" t="s">
        <v>2887</v>
      </c>
      <c r="D8" s="338" t="s">
        <v>2888</v>
      </c>
      <c r="E8" s="338">
        <v>1140</v>
      </c>
      <c r="F8" s="338">
        <v>630</v>
      </c>
      <c r="G8" s="338"/>
      <c r="H8" s="338"/>
      <c r="I8" s="338">
        <v>250</v>
      </c>
      <c r="J8" s="635">
        <f>I8*0.67</f>
        <v>167.5</v>
      </c>
      <c r="K8" s="338">
        <f t="shared" si="0"/>
        <v>670</v>
      </c>
      <c r="L8" s="338">
        <v>250</v>
      </c>
      <c r="M8" s="635">
        <f>L8*0.67</f>
        <v>167.5</v>
      </c>
      <c r="N8" s="635">
        <f t="shared" si="1"/>
        <v>837.5</v>
      </c>
      <c r="O8" s="338">
        <v>850</v>
      </c>
      <c r="P8" s="338">
        <v>6026</v>
      </c>
      <c r="Q8" s="651">
        <f t="shared" si="2"/>
        <v>7.08941176470588</v>
      </c>
      <c r="R8" s="651" t="s">
        <v>2881</v>
      </c>
      <c r="S8" s="338"/>
      <c r="T8" s="338"/>
      <c r="U8" s="659"/>
      <c r="V8" s="338"/>
    </row>
    <row r="9" s="156" customFormat="1" spans="1:22">
      <c r="A9" s="338">
        <v>5</v>
      </c>
      <c r="B9" s="338" t="s">
        <v>2889</v>
      </c>
      <c r="C9" s="338" t="s">
        <v>2887</v>
      </c>
      <c r="D9" s="338" t="s">
        <v>2890</v>
      </c>
      <c r="E9" s="338">
        <v>1140</v>
      </c>
      <c r="F9" s="338">
        <v>1200</v>
      </c>
      <c r="G9" s="338"/>
      <c r="H9" s="338"/>
      <c r="I9" s="338">
        <v>250</v>
      </c>
      <c r="J9" s="635">
        <f>I9*0.67</f>
        <v>167.5</v>
      </c>
      <c r="K9" s="338">
        <f t="shared" si="0"/>
        <v>670</v>
      </c>
      <c r="L9" s="338">
        <f>250+132+90</f>
        <v>472</v>
      </c>
      <c r="M9" s="635">
        <f>L9*0.67</f>
        <v>316.24</v>
      </c>
      <c r="N9" s="635">
        <f t="shared" si="1"/>
        <v>986.24</v>
      </c>
      <c r="O9" s="338">
        <v>1000</v>
      </c>
      <c r="P9" s="338">
        <v>4730</v>
      </c>
      <c r="Q9" s="651">
        <f t="shared" si="2"/>
        <v>4.73</v>
      </c>
      <c r="R9" s="651" t="s">
        <v>2881</v>
      </c>
      <c r="S9" s="338"/>
      <c r="T9" s="338"/>
      <c r="U9" s="659"/>
      <c r="V9" s="338"/>
    </row>
    <row r="10" s="156" customFormat="1" spans="1:22">
      <c r="A10" s="338">
        <v>6</v>
      </c>
      <c r="B10" s="338" t="s">
        <v>2891</v>
      </c>
      <c r="C10" s="338" t="s">
        <v>2887</v>
      </c>
      <c r="D10" s="338" t="s">
        <v>2892</v>
      </c>
      <c r="E10" s="338">
        <v>3300</v>
      </c>
      <c r="F10" s="338">
        <v>800</v>
      </c>
      <c r="G10" s="338"/>
      <c r="H10" s="338"/>
      <c r="I10" s="338">
        <v>400</v>
      </c>
      <c r="J10" s="635">
        <f>I10*0.67/2.75</f>
        <v>97.4545454545455</v>
      </c>
      <c r="K10" s="338">
        <f t="shared" si="0"/>
        <v>389.818181818182</v>
      </c>
      <c r="L10" s="338">
        <f>250+930+1600</f>
        <v>2780</v>
      </c>
      <c r="M10" s="635">
        <f>L10*0.67/E10*1200</f>
        <v>677.309090909091</v>
      </c>
      <c r="N10" s="635">
        <f t="shared" si="1"/>
        <v>1067.12727272727</v>
      </c>
      <c r="O10" s="338">
        <v>1100</v>
      </c>
      <c r="P10" s="338">
        <v>7958</v>
      </c>
      <c r="Q10" s="651">
        <f t="shared" si="2"/>
        <v>7.23454545454545</v>
      </c>
      <c r="R10" s="651" t="s">
        <v>2881</v>
      </c>
      <c r="S10" s="338"/>
      <c r="T10" s="338"/>
      <c r="U10" s="659"/>
      <c r="V10" s="338"/>
    </row>
    <row r="11" s="156" customFormat="1" spans="1:22">
      <c r="A11" s="338">
        <v>7</v>
      </c>
      <c r="B11" s="338">
        <v>5</v>
      </c>
      <c r="C11" s="338" t="s">
        <v>2887</v>
      </c>
      <c r="D11" s="413" t="s">
        <v>2893</v>
      </c>
      <c r="E11" s="413">
        <v>1140</v>
      </c>
      <c r="F11" s="338">
        <v>400</v>
      </c>
      <c r="G11" s="338"/>
      <c r="H11" s="338"/>
      <c r="I11" s="338">
        <v>45</v>
      </c>
      <c r="J11" s="635">
        <f>I11*0.67</f>
        <v>30.15</v>
      </c>
      <c r="K11" s="338">
        <f>J11*6</f>
        <v>180.9</v>
      </c>
      <c r="L11" s="338">
        <v>45</v>
      </c>
      <c r="M11" s="635">
        <f>L11*0.67</f>
        <v>30.15</v>
      </c>
      <c r="N11" s="635">
        <f t="shared" si="1"/>
        <v>211.05</v>
      </c>
      <c r="O11" s="338">
        <v>220</v>
      </c>
      <c r="P11" s="338">
        <v>4730</v>
      </c>
      <c r="Q11" s="651">
        <f t="shared" si="2"/>
        <v>21.5</v>
      </c>
      <c r="R11" s="651" t="s">
        <v>2881</v>
      </c>
      <c r="S11" s="338"/>
      <c r="T11" s="338"/>
      <c r="U11" s="659"/>
      <c r="V11" s="338"/>
    </row>
    <row r="12" s="156" customFormat="1" spans="1:22">
      <c r="A12" s="338">
        <v>8</v>
      </c>
      <c r="B12" s="338">
        <v>1</v>
      </c>
      <c r="C12" s="413" t="s">
        <v>2894</v>
      </c>
      <c r="D12" s="413" t="s">
        <v>2895</v>
      </c>
      <c r="E12" s="413">
        <v>1140</v>
      </c>
      <c r="F12" s="338">
        <v>400</v>
      </c>
      <c r="G12" s="338">
        <v>250</v>
      </c>
      <c r="H12" s="651">
        <v>148</v>
      </c>
      <c r="I12" s="338"/>
      <c r="J12" s="635"/>
      <c r="K12" s="338"/>
      <c r="L12" s="338"/>
      <c r="M12" s="635"/>
      <c r="N12" s="635"/>
      <c r="O12" s="338"/>
      <c r="P12" s="338"/>
      <c r="Q12" s="651"/>
      <c r="R12" s="651"/>
      <c r="S12" s="338">
        <v>148</v>
      </c>
      <c r="T12" s="338">
        <v>6354</v>
      </c>
      <c r="U12" s="659">
        <f t="shared" ref="U12:U34" si="3">T12/(8*S12)</f>
        <v>5.36655405405405</v>
      </c>
      <c r="V12" s="338" t="s">
        <v>2881</v>
      </c>
    </row>
    <row r="13" s="156" customFormat="1" spans="1:22">
      <c r="A13" s="338">
        <v>9</v>
      </c>
      <c r="B13" s="338">
        <v>2</v>
      </c>
      <c r="C13" s="645"/>
      <c r="D13" s="645"/>
      <c r="E13" s="645"/>
      <c r="F13" s="338">
        <v>400</v>
      </c>
      <c r="G13" s="338">
        <v>250</v>
      </c>
      <c r="H13" s="651">
        <v>148</v>
      </c>
      <c r="I13" s="338"/>
      <c r="J13" s="635"/>
      <c r="K13" s="338"/>
      <c r="L13" s="338"/>
      <c r="M13" s="635"/>
      <c r="N13" s="635"/>
      <c r="O13" s="338"/>
      <c r="P13" s="338"/>
      <c r="Q13" s="651"/>
      <c r="R13" s="651"/>
      <c r="S13" s="338">
        <v>148</v>
      </c>
      <c r="T13" s="338">
        <v>6354</v>
      </c>
      <c r="U13" s="659">
        <f t="shared" si="3"/>
        <v>5.36655405405405</v>
      </c>
      <c r="V13" s="338" t="s">
        <v>2881</v>
      </c>
    </row>
    <row r="14" s="156" customFormat="1" spans="1:22">
      <c r="A14" s="338">
        <v>10</v>
      </c>
      <c r="B14" s="338">
        <v>3</v>
      </c>
      <c r="C14" s="645"/>
      <c r="D14" s="645"/>
      <c r="E14" s="645"/>
      <c r="F14" s="338">
        <v>400</v>
      </c>
      <c r="G14" s="338">
        <v>7.5</v>
      </c>
      <c r="H14" s="651">
        <f>0.67*G14</f>
        <v>5.025</v>
      </c>
      <c r="I14" s="338"/>
      <c r="J14" s="635"/>
      <c r="K14" s="338"/>
      <c r="L14" s="338"/>
      <c r="M14" s="635"/>
      <c r="N14" s="635"/>
      <c r="O14" s="338"/>
      <c r="P14" s="338"/>
      <c r="Q14" s="651"/>
      <c r="R14" s="651"/>
      <c r="S14" s="338">
        <v>5</v>
      </c>
      <c r="T14" s="338">
        <v>6026</v>
      </c>
      <c r="U14" s="659">
        <f t="shared" si="3"/>
        <v>150.65</v>
      </c>
      <c r="V14" s="338" t="s">
        <v>2881</v>
      </c>
    </row>
    <row r="15" s="156" customFormat="1" spans="1:22">
      <c r="A15" s="338">
        <v>11</v>
      </c>
      <c r="B15" s="338">
        <v>4</v>
      </c>
      <c r="C15" s="416"/>
      <c r="D15" s="416"/>
      <c r="E15" s="416"/>
      <c r="F15" s="338">
        <v>400</v>
      </c>
      <c r="G15" s="338">
        <v>7.5</v>
      </c>
      <c r="H15" s="651">
        <f>0.67*G15</f>
        <v>5.025</v>
      </c>
      <c r="I15" s="338"/>
      <c r="J15" s="635"/>
      <c r="K15" s="338"/>
      <c r="L15" s="338"/>
      <c r="M15" s="635"/>
      <c r="N15" s="635"/>
      <c r="O15" s="338"/>
      <c r="P15" s="338"/>
      <c r="Q15" s="651"/>
      <c r="R15" s="651"/>
      <c r="S15" s="338">
        <v>5</v>
      </c>
      <c r="T15" s="338">
        <v>6026</v>
      </c>
      <c r="U15" s="659">
        <f t="shared" si="3"/>
        <v>150.65</v>
      </c>
      <c r="V15" s="338" t="s">
        <v>2881</v>
      </c>
    </row>
    <row r="16" s="156" customFormat="1" spans="1:22">
      <c r="A16" s="338">
        <v>12</v>
      </c>
      <c r="B16" s="338">
        <v>6</v>
      </c>
      <c r="C16" s="338" t="s">
        <v>2896</v>
      </c>
      <c r="D16" s="338" t="s">
        <v>2897</v>
      </c>
      <c r="E16" s="338">
        <v>1140</v>
      </c>
      <c r="F16" s="338">
        <v>120</v>
      </c>
      <c r="G16" s="338">
        <v>45</v>
      </c>
      <c r="H16" s="651">
        <f>0.67*G16</f>
        <v>30.15</v>
      </c>
      <c r="I16" s="338"/>
      <c r="J16" s="635"/>
      <c r="K16" s="338"/>
      <c r="L16" s="338"/>
      <c r="M16" s="635"/>
      <c r="N16" s="635"/>
      <c r="O16" s="338"/>
      <c r="P16" s="338"/>
      <c r="Q16" s="651"/>
      <c r="R16" s="651"/>
      <c r="S16" s="338">
        <v>30</v>
      </c>
      <c r="T16" s="338">
        <v>4730</v>
      </c>
      <c r="U16" s="659">
        <f t="shared" si="3"/>
        <v>19.7083333333333</v>
      </c>
      <c r="V16" s="338" t="s">
        <v>2881</v>
      </c>
    </row>
    <row r="17" s="156" customFormat="1" spans="1:22">
      <c r="A17" s="338">
        <v>13</v>
      </c>
      <c r="B17" s="338">
        <v>7</v>
      </c>
      <c r="C17" s="338" t="s">
        <v>2896</v>
      </c>
      <c r="D17" s="338" t="s">
        <v>2897</v>
      </c>
      <c r="E17" s="338">
        <v>1140</v>
      </c>
      <c r="F17" s="338">
        <v>120</v>
      </c>
      <c r="G17" s="338">
        <v>45</v>
      </c>
      <c r="H17" s="651">
        <f>0.67*G17</f>
        <v>30.15</v>
      </c>
      <c r="I17" s="338"/>
      <c r="J17" s="635"/>
      <c r="K17" s="338"/>
      <c r="L17" s="338"/>
      <c r="M17" s="635"/>
      <c r="N17" s="635"/>
      <c r="O17" s="338"/>
      <c r="P17" s="338"/>
      <c r="Q17" s="651"/>
      <c r="R17" s="651"/>
      <c r="S17" s="338">
        <v>30</v>
      </c>
      <c r="T17" s="338">
        <v>4730</v>
      </c>
      <c r="U17" s="659">
        <f t="shared" si="3"/>
        <v>19.7083333333333</v>
      </c>
      <c r="V17" s="338" t="s">
        <v>2881</v>
      </c>
    </row>
    <row r="18" s="156" customFormat="1" spans="1:22">
      <c r="A18" s="338">
        <v>14</v>
      </c>
      <c r="B18" s="338">
        <v>8</v>
      </c>
      <c r="C18" s="413" t="s">
        <v>2894</v>
      </c>
      <c r="D18" s="413" t="s">
        <v>2895</v>
      </c>
      <c r="E18" s="413">
        <v>1140</v>
      </c>
      <c r="F18" s="338">
        <v>400</v>
      </c>
      <c r="G18" s="338">
        <v>250</v>
      </c>
      <c r="H18" s="651">
        <v>148</v>
      </c>
      <c r="I18" s="338"/>
      <c r="J18" s="635"/>
      <c r="K18" s="338"/>
      <c r="L18" s="338"/>
      <c r="M18" s="635"/>
      <c r="N18" s="635"/>
      <c r="O18" s="338"/>
      <c r="P18" s="338"/>
      <c r="Q18" s="651"/>
      <c r="R18" s="651"/>
      <c r="S18" s="338">
        <v>148</v>
      </c>
      <c r="T18" s="338">
        <v>13524</v>
      </c>
      <c r="U18" s="659">
        <f t="shared" si="3"/>
        <v>11.4222972972973</v>
      </c>
      <c r="V18" s="338" t="s">
        <v>2881</v>
      </c>
    </row>
    <row r="19" s="156" customFormat="1" spans="1:22">
      <c r="A19" s="338">
        <v>15</v>
      </c>
      <c r="B19" s="338">
        <v>9</v>
      </c>
      <c r="C19" s="645"/>
      <c r="D19" s="645"/>
      <c r="E19" s="645"/>
      <c r="F19" s="338">
        <v>400</v>
      </c>
      <c r="G19" s="338">
        <v>132</v>
      </c>
      <c r="H19" s="651">
        <v>80</v>
      </c>
      <c r="I19" s="338"/>
      <c r="J19" s="635"/>
      <c r="K19" s="338"/>
      <c r="L19" s="338"/>
      <c r="M19" s="635"/>
      <c r="N19" s="635"/>
      <c r="O19" s="338"/>
      <c r="P19" s="338"/>
      <c r="Q19" s="651"/>
      <c r="R19" s="651"/>
      <c r="S19" s="338">
        <v>80</v>
      </c>
      <c r="T19" s="338">
        <v>13524</v>
      </c>
      <c r="U19" s="659">
        <f t="shared" si="3"/>
        <v>21.13125</v>
      </c>
      <c r="V19" s="338" t="s">
        <v>2881</v>
      </c>
    </row>
    <row r="20" s="156" customFormat="1" spans="1:22">
      <c r="A20" s="338">
        <v>16</v>
      </c>
      <c r="B20" s="338">
        <v>10</v>
      </c>
      <c r="C20" s="645"/>
      <c r="D20" s="645"/>
      <c r="E20" s="645"/>
      <c r="F20" s="338">
        <v>400</v>
      </c>
      <c r="G20" s="338">
        <v>250</v>
      </c>
      <c r="H20" s="651">
        <v>148</v>
      </c>
      <c r="I20" s="338"/>
      <c r="J20" s="635"/>
      <c r="K20" s="338"/>
      <c r="L20" s="338"/>
      <c r="M20" s="635"/>
      <c r="N20" s="635"/>
      <c r="O20" s="338"/>
      <c r="P20" s="338"/>
      <c r="Q20" s="651"/>
      <c r="R20" s="651"/>
      <c r="S20" s="338">
        <v>148</v>
      </c>
      <c r="T20" s="338">
        <v>13524</v>
      </c>
      <c r="U20" s="659">
        <f t="shared" si="3"/>
        <v>11.4222972972973</v>
      </c>
      <c r="V20" s="338" t="s">
        <v>2881</v>
      </c>
    </row>
    <row r="21" s="156" customFormat="1" spans="1:22">
      <c r="A21" s="338">
        <v>17</v>
      </c>
      <c r="B21" s="338">
        <v>11</v>
      </c>
      <c r="C21" s="645"/>
      <c r="D21" s="645"/>
      <c r="E21" s="645"/>
      <c r="F21" s="338">
        <v>400</v>
      </c>
      <c r="G21" s="338">
        <v>132</v>
      </c>
      <c r="H21" s="651">
        <v>80</v>
      </c>
      <c r="I21" s="338"/>
      <c r="J21" s="635"/>
      <c r="K21" s="338"/>
      <c r="L21" s="338"/>
      <c r="M21" s="635"/>
      <c r="N21" s="635"/>
      <c r="O21" s="338"/>
      <c r="P21" s="338"/>
      <c r="Q21" s="651"/>
      <c r="R21" s="651"/>
      <c r="S21" s="338">
        <v>90</v>
      </c>
      <c r="T21" s="338">
        <v>13524</v>
      </c>
      <c r="U21" s="659">
        <f t="shared" si="3"/>
        <v>18.7833333333333</v>
      </c>
      <c r="V21" s="338" t="s">
        <v>2881</v>
      </c>
    </row>
    <row r="22" s="156" customFormat="1" spans="1:22">
      <c r="A22" s="338">
        <v>18</v>
      </c>
      <c r="B22" s="338">
        <v>12</v>
      </c>
      <c r="C22" s="416"/>
      <c r="D22" s="416"/>
      <c r="E22" s="416"/>
      <c r="F22" s="338">
        <v>400</v>
      </c>
      <c r="G22" s="338">
        <v>250</v>
      </c>
      <c r="H22" s="651">
        <v>148</v>
      </c>
      <c r="I22" s="338"/>
      <c r="J22" s="635"/>
      <c r="K22" s="338"/>
      <c r="L22" s="338"/>
      <c r="M22" s="635"/>
      <c r="N22" s="635"/>
      <c r="O22" s="338"/>
      <c r="P22" s="338"/>
      <c r="Q22" s="651"/>
      <c r="R22" s="651"/>
      <c r="S22" s="338">
        <v>148</v>
      </c>
      <c r="T22" s="338">
        <v>13524</v>
      </c>
      <c r="U22" s="659">
        <f t="shared" si="3"/>
        <v>11.4222972972973</v>
      </c>
      <c r="V22" s="338" t="s">
        <v>2881</v>
      </c>
    </row>
    <row r="23" s="156" customFormat="1" spans="1:22">
      <c r="A23" s="338">
        <v>19</v>
      </c>
      <c r="B23" s="338">
        <v>13</v>
      </c>
      <c r="C23" s="413" t="s">
        <v>2894</v>
      </c>
      <c r="D23" s="413" t="s">
        <v>2898</v>
      </c>
      <c r="E23" s="413">
        <v>3300</v>
      </c>
      <c r="F23" s="338">
        <v>400</v>
      </c>
      <c r="G23" s="338">
        <v>200</v>
      </c>
      <c r="H23" s="651">
        <v>58</v>
      </c>
      <c r="I23" s="338"/>
      <c r="J23" s="635"/>
      <c r="K23" s="338"/>
      <c r="L23" s="338"/>
      <c r="M23" s="635"/>
      <c r="N23" s="635"/>
      <c r="O23" s="338"/>
      <c r="P23" s="338"/>
      <c r="Q23" s="651"/>
      <c r="R23" s="651"/>
      <c r="S23" s="338">
        <v>58</v>
      </c>
      <c r="T23" s="338">
        <v>11488</v>
      </c>
      <c r="U23" s="659">
        <f t="shared" si="3"/>
        <v>24.7586206896552</v>
      </c>
      <c r="V23" s="338" t="s">
        <v>2881</v>
      </c>
    </row>
    <row r="24" s="156" customFormat="1" spans="1:22">
      <c r="A24" s="338">
        <v>20</v>
      </c>
      <c r="B24" s="338">
        <v>14</v>
      </c>
      <c r="C24" s="645"/>
      <c r="D24" s="645"/>
      <c r="E24" s="645"/>
      <c r="F24" s="338">
        <v>400</v>
      </c>
      <c r="G24" s="338">
        <v>400</v>
      </c>
      <c r="H24" s="651">
        <v>87</v>
      </c>
      <c r="I24" s="338"/>
      <c r="J24" s="635"/>
      <c r="K24" s="338"/>
      <c r="L24" s="338"/>
      <c r="M24" s="635"/>
      <c r="N24" s="635"/>
      <c r="O24" s="338"/>
      <c r="P24" s="338"/>
      <c r="Q24" s="651"/>
      <c r="R24" s="651"/>
      <c r="S24" s="338">
        <v>87</v>
      </c>
      <c r="T24" s="338">
        <v>11488</v>
      </c>
      <c r="U24" s="659">
        <f t="shared" si="3"/>
        <v>16.5057471264368</v>
      </c>
      <c r="V24" s="338" t="s">
        <v>2881</v>
      </c>
    </row>
    <row r="25" s="156" customFormat="1" spans="1:22">
      <c r="A25" s="338">
        <v>21</v>
      </c>
      <c r="B25" s="338">
        <v>15</v>
      </c>
      <c r="C25" s="645"/>
      <c r="D25" s="645"/>
      <c r="E25" s="645"/>
      <c r="F25" s="338">
        <v>400</v>
      </c>
      <c r="G25" s="338">
        <v>250</v>
      </c>
      <c r="H25" s="651">
        <v>54</v>
      </c>
      <c r="I25" s="338"/>
      <c r="J25" s="635"/>
      <c r="K25" s="338"/>
      <c r="L25" s="338"/>
      <c r="M25" s="635"/>
      <c r="N25" s="635"/>
      <c r="O25" s="338"/>
      <c r="P25" s="338"/>
      <c r="Q25" s="651"/>
      <c r="R25" s="651"/>
      <c r="S25" s="338">
        <v>54</v>
      </c>
      <c r="T25" s="338">
        <v>9871</v>
      </c>
      <c r="U25" s="659">
        <f t="shared" si="3"/>
        <v>22.849537037037</v>
      </c>
      <c r="V25" s="338" t="s">
        <v>2881</v>
      </c>
    </row>
    <row r="26" s="156" customFormat="1" spans="1:22">
      <c r="A26" s="338">
        <v>22</v>
      </c>
      <c r="B26" s="338">
        <v>16</v>
      </c>
      <c r="C26" s="416"/>
      <c r="D26" s="416"/>
      <c r="E26" s="416"/>
      <c r="F26" s="338">
        <v>400</v>
      </c>
      <c r="G26" s="338">
        <v>930</v>
      </c>
      <c r="H26" s="651">
        <v>153</v>
      </c>
      <c r="I26" s="338"/>
      <c r="J26" s="635"/>
      <c r="K26" s="338"/>
      <c r="L26" s="338"/>
      <c r="M26" s="635"/>
      <c r="N26" s="635"/>
      <c r="O26" s="338"/>
      <c r="P26" s="338"/>
      <c r="Q26" s="651"/>
      <c r="R26" s="651"/>
      <c r="S26" s="338">
        <v>160</v>
      </c>
      <c r="T26" s="338">
        <v>7958</v>
      </c>
      <c r="U26" s="659">
        <f t="shared" si="3"/>
        <v>6.2171875</v>
      </c>
      <c r="V26" s="338" t="s">
        <v>2881</v>
      </c>
    </row>
    <row r="27" s="156" customFormat="1" spans="1:22">
      <c r="A27" s="338">
        <v>23</v>
      </c>
      <c r="B27" s="338">
        <v>17</v>
      </c>
      <c r="C27" s="413" t="s">
        <v>2894</v>
      </c>
      <c r="D27" s="413" t="s">
        <v>2899</v>
      </c>
      <c r="E27" s="413">
        <v>3300</v>
      </c>
      <c r="F27" s="338">
        <v>400</v>
      </c>
      <c r="G27" s="338">
        <v>200</v>
      </c>
      <c r="H27" s="651">
        <v>58</v>
      </c>
      <c r="I27" s="338"/>
      <c r="J27" s="635"/>
      <c r="K27" s="338"/>
      <c r="L27" s="338"/>
      <c r="M27" s="635"/>
      <c r="N27" s="635"/>
      <c r="O27" s="338"/>
      <c r="P27" s="338"/>
      <c r="Q27" s="651"/>
      <c r="R27" s="651"/>
      <c r="S27" s="338">
        <v>58</v>
      </c>
      <c r="T27" s="338">
        <v>7958</v>
      </c>
      <c r="U27" s="659">
        <f t="shared" si="3"/>
        <v>17.1508620689655</v>
      </c>
      <c r="V27" s="338" t="s">
        <v>2881</v>
      </c>
    </row>
    <row r="28" s="156" customFormat="1" spans="1:22">
      <c r="A28" s="338">
        <v>24</v>
      </c>
      <c r="B28" s="338">
        <v>18</v>
      </c>
      <c r="C28" s="655"/>
      <c r="D28" s="645"/>
      <c r="E28" s="645"/>
      <c r="F28" s="338">
        <v>400</v>
      </c>
      <c r="G28" s="338">
        <v>400</v>
      </c>
      <c r="H28" s="651">
        <v>87</v>
      </c>
      <c r="I28" s="338"/>
      <c r="J28" s="635"/>
      <c r="K28" s="338"/>
      <c r="L28" s="338"/>
      <c r="M28" s="635"/>
      <c r="N28" s="635"/>
      <c r="O28" s="338"/>
      <c r="P28" s="338"/>
      <c r="Q28" s="651"/>
      <c r="R28" s="651"/>
      <c r="S28" s="338">
        <v>87</v>
      </c>
      <c r="T28" s="338">
        <v>7958</v>
      </c>
      <c r="U28" s="659">
        <f t="shared" si="3"/>
        <v>11.433908045977</v>
      </c>
      <c r="V28" s="338" t="s">
        <v>2881</v>
      </c>
    </row>
    <row r="29" s="156" customFormat="1" spans="1:22">
      <c r="A29" s="338">
        <v>25</v>
      </c>
      <c r="B29" s="338">
        <v>19</v>
      </c>
      <c r="C29" s="655"/>
      <c r="D29" s="645"/>
      <c r="E29" s="645"/>
      <c r="F29" s="338">
        <v>400</v>
      </c>
      <c r="G29" s="338">
        <v>200</v>
      </c>
      <c r="H29" s="651">
        <v>58</v>
      </c>
      <c r="I29" s="338"/>
      <c r="J29" s="635"/>
      <c r="K29" s="338"/>
      <c r="L29" s="338"/>
      <c r="M29" s="635"/>
      <c r="N29" s="635"/>
      <c r="O29" s="338"/>
      <c r="P29" s="338"/>
      <c r="Q29" s="651"/>
      <c r="R29" s="651"/>
      <c r="S29" s="338">
        <v>58</v>
      </c>
      <c r="T29" s="338">
        <v>10693</v>
      </c>
      <c r="U29" s="659">
        <f t="shared" si="3"/>
        <v>23.0452586206897</v>
      </c>
      <c r="V29" s="338" t="s">
        <v>2881</v>
      </c>
    </row>
    <row r="30" s="156" customFormat="1" spans="1:22">
      <c r="A30" s="338">
        <v>26</v>
      </c>
      <c r="B30" s="338">
        <v>20</v>
      </c>
      <c r="C30" s="655"/>
      <c r="D30" s="645"/>
      <c r="E30" s="645"/>
      <c r="F30" s="338">
        <v>400</v>
      </c>
      <c r="G30" s="338">
        <v>400</v>
      </c>
      <c r="H30" s="651">
        <v>87</v>
      </c>
      <c r="I30" s="338"/>
      <c r="J30" s="635"/>
      <c r="K30" s="338"/>
      <c r="L30" s="338"/>
      <c r="M30" s="635"/>
      <c r="N30" s="635"/>
      <c r="O30" s="338"/>
      <c r="P30" s="338"/>
      <c r="Q30" s="651"/>
      <c r="R30" s="651"/>
      <c r="S30" s="338">
        <v>87</v>
      </c>
      <c r="T30" s="338">
        <v>10693</v>
      </c>
      <c r="U30" s="659">
        <f t="shared" si="3"/>
        <v>15.3635057471264</v>
      </c>
      <c r="V30" s="338" t="s">
        <v>2881</v>
      </c>
    </row>
    <row r="31" s="156" customFormat="1" spans="1:22">
      <c r="A31" s="338">
        <v>27</v>
      </c>
      <c r="B31" s="338">
        <v>21</v>
      </c>
      <c r="C31" s="655"/>
      <c r="D31" s="645"/>
      <c r="E31" s="645"/>
      <c r="F31" s="338">
        <v>400</v>
      </c>
      <c r="G31" s="338">
        <v>200</v>
      </c>
      <c r="H31" s="651">
        <v>58</v>
      </c>
      <c r="I31" s="338"/>
      <c r="J31" s="635"/>
      <c r="K31" s="338"/>
      <c r="L31" s="338"/>
      <c r="M31" s="635"/>
      <c r="N31" s="635"/>
      <c r="O31" s="338"/>
      <c r="P31" s="338"/>
      <c r="Q31" s="651"/>
      <c r="R31" s="651"/>
      <c r="S31" s="338">
        <v>58</v>
      </c>
      <c r="T31" s="338">
        <v>8064</v>
      </c>
      <c r="U31" s="659">
        <f t="shared" si="3"/>
        <v>17.3793103448276</v>
      </c>
      <c r="V31" s="338" t="s">
        <v>2881</v>
      </c>
    </row>
    <row r="32" s="156" customFormat="1" spans="1:22">
      <c r="A32" s="338">
        <v>28</v>
      </c>
      <c r="B32" s="338">
        <v>22</v>
      </c>
      <c r="C32" s="655"/>
      <c r="D32" s="645"/>
      <c r="E32" s="645"/>
      <c r="F32" s="338">
        <v>400</v>
      </c>
      <c r="G32" s="338">
        <v>400</v>
      </c>
      <c r="H32" s="651">
        <v>87</v>
      </c>
      <c r="I32" s="338"/>
      <c r="J32" s="635"/>
      <c r="K32" s="338"/>
      <c r="L32" s="338"/>
      <c r="M32" s="635"/>
      <c r="N32" s="635"/>
      <c r="O32" s="338"/>
      <c r="P32" s="338"/>
      <c r="Q32" s="651"/>
      <c r="R32" s="651"/>
      <c r="S32" s="338">
        <v>87</v>
      </c>
      <c r="T32" s="338">
        <v>8064</v>
      </c>
      <c r="U32" s="659">
        <f t="shared" si="3"/>
        <v>11.5862068965517</v>
      </c>
      <c r="V32" s="338" t="s">
        <v>2881</v>
      </c>
    </row>
    <row r="33" s="156" customFormat="1" spans="1:22">
      <c r="A33" s="338">
        <v>29</v>
      </c>
      <c r="B33" s="338">
        <v>23</v>
      </c>
      <c r="C33" s="655"/>
      <c r="D33" s="645"/>
      <c r="E33" s="645"/>
      <c r="F33" s="338">
        <v>400</v>
      </c>
      <c r="G33" s="338">
        <v>200</v>
      </c>
      <c r="H33" s="651">
        <v>58</v>
      </c>
      <c r="I33" s="338"/>
      <c r="J33" s="635"/>
      <c r="K33" s="338"/>
      <c r="L33" s="338"/>
      <c r="M33" s="635"/>
      <c r="N33" s="635"/>
      <c r="O33" s="338"/>
      <c r="P33" s="338"/>
      <c r="Q33" s="651"/>
      <c r="R33" s="651"/>
      <c r="S33" s="338">
        <v>58</v>
      </c>
      <c r="T33" s="338">
        <v>10849</v>
      </c>
      <c r="U33" s="659">
        <f t="shared" si="3"/>
        <v>23.3814655172414</v>
      </c>
      <c r="V33" s="338" t="s">
        <v>2881</v>
      </c>
    </row>
    <row r="34" s="156" customFormat="1" spans="1:22">
      <c r="A34" s="338">
        <v>30</v>
      </c>
      <c r="B34" s="338">
        <v>24</v>
      </c>
      <c r="C34" s="656"/>
      <c r="D34" s="416"/>
      <c r="E34" s="416"/>
      <c r="F34" s="338">
        <v>400</v>
      </c>
      <c r="G34" s="338">
        <v>400</v>
      </c>
      <c r="H34" s="651">
        <v>87</v>
      </c>
      <c r="I34" s="338"/>
      <c r="J34" s="635"/>
      <c r="K34" s="338"/>
      <c r="L34" s="338"/>
      <c r="M34" s="635"/>
      <c r="N34" s="635"/>
      <c r="O34" s="338"/>
      <c r="P34" s="338"/>
      <c r="Q34" s="651"/>
      <c r="R34" s="651"/>
      <c r="S34" s="338">
        <v>87</v>
      </c>
      <c r="T34" s="338">
        <v>10849</v>
      </c>
      <c r="U34" s="659">
        <f t="shared" si="3"/>
        <v>15.5876436781609</v>
      </c>
      <c r="V34" s="338" t="s">
        <v>2881</v>
      </c>
    </row>
    <row r="35" s="156" customFormat="1"/>
  </sheetData>
  <protectedRanges>
    <protectedRange sqref="B5:V34" name="範圍1"/>
  </protectedRanges>
  <mergeCells count="22">
    <mergeCell ref="A1:T1"/>
    <mergeCell ref="U1:V1"/>
    <mergeCell ref="A3:A4"/>
    <mergeCell ref="B3:B4"/>
    <mergeCell ref="C3:C4"/>
    <mergeCell ref="C12:C15"/>
    <mergeCell ref="C18:C22"/>
    <mergeCell ref="C23:C26"/>
    <mergeCell ref="C27:C34"/>
    <mergeCell ref="D3:D4"/>
    <mergeCell ref="D12:D15"/>
    <mergeCell ref="D18:D22"/>
    <mergeCell ref="D23:D26"/>
    <mergeCell ref="D27:D34"/>
    <mergeCell ref="E3:E4"/>
    <mergeCell ref="E12:E15"/>
    <mergeCell ref="E18:E22"/>
    <mergeCell ref="E23:E26"/>
    <mergeCell ref="E27:E34"/>
    <mergeCell ref="F3:F4"/>
    <mergeCell ref="R3:R4"/>
    <mergeCell ref="V3:V4"/>
  </mergeCells>
  <hyperlinks>
    <hyperlink ref="U1:V1" location="目录!A1" display="目录!A1"/>
  </hyperlinks>
  <pageMargins left="0.7" right="0.7" top="0.75" bottom="0.75" header="0.3" footer="0.3"/>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3"/>
  <sheetViews>
    <sheetView topLeftCell="A5" workbookViewId="0">
      <selection activeCell="Q10" sqref="Q10"/>
    </sheetView>
  </sheetViews>
  <sheetFormatPr defaultColWidth="9" defaultRowHeight="15.6"/>
  <cols>
    <col min="1" max="1" width="4" customWidth="1"/>
    <col min="2" max="2" width="6.625" customWidth="1"/>
    <col min="3" max="4" width="4.625" customWidth="1"/>
    <col min="5" max="5" width="7.625" customWidth="1"/>
    <col min="6" max="7" width="4.625" customWidth="1"/>
    <col min="8" max="8" width="6.625" customWidth="1"/>
    <col min="9" max="10" width="4.625" customWidth="1"/>
    <col min="11" max="11" width="8.625" customWidth="1"/>
    <col min="12" max="12" width="7.625" customWidth="1"/>
    <col min="13" max="13" width="6.25" customWidth="1"/>
    <col min="257" max="257" width="4" customWidth="1"/>
    <col min="258" max="258" width="6.625" customWidth="1"/>
    <col min="259" max="260" width="4.625" customWidth="1"/>
    <col min="261" max="261" width="7.625" customWidth="1"/>
    <col min="262" max="263" width="4.625" customWidth="1"/>
    <col min="264" max="264" width="6.625" customWidth="1"/>
    <col min="265" max="266" width="4.625" customWidth="1"/>
    <col min="267" max="267" width="8.625" customWidth="1"/>
    <col min="268" max="268" width="7.625" customWidth="1"/>
    <col min="269" max="269" width="6.25" customWidth="1"/>
    <col min="513" max="513" width="4" customWidth="1"/>
    <col min="514" max="514" width="6.625" customWidth="1"/>
    <col min="515" max="516" width="4.625" customWidth="1"/>
    <col min="517" max="517" width="7.625" customWidth="1"/>
    <col min="518" max="519" width="4.625" customWidth="1"/>
    <col min="520" max="520" width="6.625" customWidth="1"/>
    <col min="521" max="522" width="4.625" customWidth="1"/>
    <col min="523" max="523" width="8.625" customWidth="1"/>
    <col min="524" max="524" width="7.625" customWidth="1"/>
    <col min="525" max="525" width="6.25" customWidth="1"/>
    <col min="769" max="769" width="4" customWidth="1"/>
    <col min="770" max="770" width="6.625" customWidth="1"/>
    <col min="771" max="772" width="4.625" customWidth="1"/>
    <col min="773" max="773" width="7.625" customWidth="1"/>
    <col min="774" max="775" width="4.625" customWidth="1"/>
    <col min="776" max="776" width="6.625" customWidth="1"/>
    <col min="777" max="778" width="4.625" customWidth="1"/>
    <col min="779" max="779" width="8.625" customWidth="1"/>
    <col min="780" max="780" width="7.625" customWidth="1"/>
    <col min="781" max="781" width="6.25" customWidth="1"/>
    <col min="1025" max="1025" width="4" customWidth="1"/>
    <col min="1026" max="1026" width="6.625" customWidth="1"/>
    <col min="1027" max="1028" width="4.625" customWidth="1"/>
    <col min="1029" max="1029" width="7.625" customWidth="1"/>
    <col min="1030" max="1031" width="4.625" customWidth="1"/>
    <col min="1032" max="1032" width="6.625" customWidth="1"/>
    <col min="1033" max="1034" width="4.625" customWidth="1"/>
    <col min="1035" max="1035" width="8.625" customWidth="1"/>
    <col min="1036" max="1036" width="7.625" customWidth="1"/>
    <col min="1037" max="1037" width="6.25" customWidth="1"/>
    <col min="1281" max="1281" width="4" customWidth="1"/>
    <col min="1282" max="1282" width="6.625" customWidth="1"/>
    <col min="1283" max="1284" width="4.625" customWidth="1"/>
    <col min="1285" max="1285" width="7.625" customWidth="1"/>
    <col min="1286" max="1287" width="4.625" customWidth="1"/>
    <col min="1288" max="1288" width="6.625" customWidth="1"/>
    <col min="1289" max="1290" width="4.625" customWidth="1"/>
    <col min="1291" max="1291" width="8.625" customWidth="1"/>
    <col min="1292" max="1292" width="7.625" customWidth="1"/>
    <col min="1293" max="1293" width="6.25" customWidth="1"/>
    <col min="1537" max="1537" width="4" customWidth="1"/>
    <col min="1538" max="1538" width="6.625" customWidth="1"/>
    <col min="1539" max="1540" width="4.625" customWidth="1"/>
    <col min="1541" max="1541" width="7.625" customWidth="1"/>
    <col min="1542" max="1543" width="4.625" customWidth="1"/>
    <col min="1544" max="1544" width="6.625" customWidth="1"/>
    <col min="1545" max="1546" width="4.625" customWidth="1"/>
    <col min="1547" max="1547" width="8.625" customWidth="1"/>
    <col min="1548" max="1548" width="7.625" customWidth="1"/>
    <col min="1549" max="1549" width="6.25" customWidth="1"/>
    <col min="1793" max="1793" width="4" customWidth="1"/>
    <col min="1794" max="1794" width="6.625" customWidth="1"/>
    <col min="1795" max="1796" width="4.625" customWidth="1"/>
    <col min="1797" max="1797" width="7.625" customWidth="1"/>
    <col min="1798" max="1799" width="4.625" customWidth="1"/>
    <col min="1800" max="1800" width="6.625" customWidth="1"/>
    <col min="1801" max="1802" width="4.625" customWidth="1"/>
    <col min="1803" max="1803" width="8.625" customWidth="1"/>
    <col min="1804" max="1804" width="7.625" customWidth="1"/>
    <col min="1805" max="1805" width="6.25" customWidth="1"/>
    <col min="2049" max="2049" width="4" customWidth="1"/>
    <col min="2050" max="2050" width="6.625" customWidth="1"/>
    <col min="2051" max="2052" width="4.625" customWidth="1"/>
    <col min="2053" max="2053" width="7.625" customWidth="1"/>
    <col min="2054" max="2055" width="4.625" customWidth="1"/>
    <col min="2056" max="2056" width="6.625" customWidth="1"/>
    <col min="2057" max="2058" width="4.625" customWidth="1"/>
    <col min="2059" max="2059" width="8.625" customWidth="1"/>
    <col min="2060" max="2060" width="7.625" customWidth="1"/>
    <col min="2061" max="2061" width="6.25" customWidth="1"/>
    <col min="2305" max="2305" width="4" customWidth="1"/>
    <col min="2306" max="2306" width="6.625" customWidth="1"/>
    <col min="2307" max="2308" width="4.625" customWidth="1"/>
    <col min="2309" max="2309" width="7.625" customWidth="1"/>
    <col min="2310" max="2311" width="4.625" customWidth="1"/>
    <col min="2312" max="2312" width="6.625" customWidth="1"/>
    <col min="2313" max="2314" width="4.625" customWidth="1"/>
    <col min="2315" max="2315" width="8.625" customWidth="1"/>
    <col min="2316" max="2316" width="7.625" customWidth="1"/>
    <col min="2317" max="2317" width="6.25" customWidth="1"/>
    <col min="2561" max="2561" width="4" customWidth="1"/>
    <col min="2562" max="2562" width="6.625" customWidth="1"/>
    <col min="2563" max="2564" width="4.625" customWidth="1"/>
    <col min="2565" max="2565" width="7.625" customWidth="1"/>
    <col min="2566" max="2567" width="4.625" customWidth="1"/>
    <col min="2568" max="2568" width="6.625" customWidth="1"/>
    <col min="2569" max="2570" width="4.625" customWidth="1"/>
    <col min="2571" max="2571" width="8.625" customWidth="1"/>
    <col min="2572" max="2572" width="7.625" customWidth="1"/>
    <col min="2573" max="2573" width="6.25" customWidth="1"/>
    <col min="2817" max="2817" width="4" customWidth="1"/>
    <col min="2818" max="2818" width="6.625" customWidth="1"/>
    <col min="2819" max="2820" width="4.625" customWidth="1"/>
    <col min="2821" max="2821" width="7.625" customWidth="1"/>
    <col min="2822" max="2823" width="4.625" customWidth="1"/>
    <col min="2824" max="2824" width="6.625" customWidth="1"/>
    <col min="2825" max="2826" width="4.625" customWidth="1"/>
    <col min="2827" max="2827" width="8.625" customWidth="1"/>
    <col min="2828" max="2828" width="7.625" customWidth="1"/>
    <col min="2829" max="2829" width="6.25" customWidth="1"/>
    <col min="3073" max="3073" width="4" customWidth="1"/>
    <col min="3074" max="3074" width="6.625" customWidth="1"/>
    <col min="3075" max="3076" width="4.625" customWidth="1"/>
    <col min="3077" max="3077" width="7.625" customWidth="1"/>
    <col min="3078" max="3079" width="4.625" customWidth="1"/>
    <col min="3080" max="3080" width="6.625" customWidth="1"/>
    <col min="3081" max="3082" width="4.625" customWidth="1"/>
    <col min="3083" max="3083" width="8.625" customWidth="1"/>
    <col min="3084" max="3084" width="7.625" customWidth="1"/>
    <col min="3085" max="3085" width="6.25" customWidth="1"/>
    <col min="3329" max="3329" width="4" customWidth="1"/>
    <col min="3330" max="3330" width="6.625" customWidth="1"/>
    <col min="3331" max="3332" width="4.625" customWidth="1"/>
    <col min="3333" max="3333" width="7.625" customWidth="1"/>
    <col min="3334" max="3335" width="4.625" customWidth="1"/>
    <col min="3336" max="3336" width="6.625" customWidth="1"/>
    <col min="3337" max="3338" width="4.625" customWidth="1"/>
    <col min="3339" max="3339" width="8.625" customWidth="1"/>
    <col min="3340" max="3340" width="7.625" customWidth="1"/>
    <col min="3341" max="3341" width="6.25" customWidth="1"/>
    <col min="3585" max="3585" width="4" customWidth="1"/>
    <col min="3586" max="3586" width="6.625" customWidth="1"/>
    <col min="3587" max="3588" width="4.625" customWidth="1"/>
    <col min="3589" max="3589" width="7.625" customWidth="1"/>
    <col min="3590" max="3591" width="4.625" customWidth="1"/>
    <col min="3592" max="3592" width="6.625" customWidth="1"/>
    <col min="3593" max="3594" width="4.625" customWidth="1"/>
    <col min="3595" max="3595" width="8.625" customWidth="1"/>
    <col min="3596" max="3596" width="7.625" customWidth="1"/>
    <col min="3597" max="3597" width="6.25" customWidth="1"/>
    <col min="3841" max="3841" width="4" customWidth="1"/>
    <col min="3842" max="3842" width="6.625" customWidth="1"/>
    <col min="3843" max="3844" width="4.625" customWidth="1"/>
    <col min="3845" max="3845" width="7.625" customWidth="1"/>
    <col min="3846" max="3847" width="4.625" customWidth="1"/>
    <col min="3848" max="3848" width="6.625" customWidth="1"/>
    <col min="3849" max="3850" width="4.625" customWidth="1"/>
    <col min="3851" max="3851" width="8.625" customWidth="1"/>
    <col min="3852" max="3852" width="7.625" customWidth="1"/>
    <col min="3853" max="3853" width="6.25" customWidth="1"/>
    <col min="4097" max="4097" width="4" customWidth="1"/>
    <col min="4098" max="4098" width="6.625" customWidth="1"/>
    <col min="4099" max="4100" width="4.625" customWidth="1"/>
    <col min="4101" max="4101" width="7.625" customWidth="1"/>
    <col min="4102" max="4103" width="4.625" customWidth="1"/>
    <col min="4104" max="4104" width="6.625" customWidth="1"/>
    <col min="4105" max="4106" width="4.625" customWidth="1"/>
    <col min="4107" max="4107" width="8.625" customWidth="1"/>
    <col min="4108" max="4108" width="7.625" customWidth="1"/>
    <col min="4109" max="4109" width="6.25" customWidth="1"/>
    <col min="4353" max="4353" width="4" customWidth="1"/>
    <col min="4354" max="4354" width="6.625" customWidth="1"/>
    <col min="4355" max="4356" width="4.625" customWidth="1"/>
    <col min="4357" max="4357" width="7.625" customWidth="1"/>
    <col min="4358" max="4359" width="4.625" customWidth="1"/>
    <col min="4360" max="4360" width="6.625" customWidth="1"/>
    <col min="4361" max="4362" width="4.625" customWidth="1"/>
    <col min="4363" max="4363" width="8.625" customWidth="1"/>
    <col min="4364" max="4364" width="7.625" customWidth="1"/>
    <col min="4365" max="4365" width="6.25" customWidth="1"/>
    <col min="4609" max="4609" width="4" customWidth="1"/>
    <col min="4610" max="4610" width="6.625" customWidth="1"/>
    <col min="4611" max="4612" width="4.625" customWidth="1"/>
    <col min="4613" max="4613" width="7.625" customWidth="1"/>
    <col min="4614" max="4615" width="4.625" customWidth="1"/>
    <col min="4616" max="4616" width="6.625" customWidth="1"/>
    <col min="4617" max="4618" width="4.625" customWidth="1"/>
    <col min="4619" max="4619" width="8.625" customWidth="1"/>
    <col min="4620" max="4620" width="7.625" customWidth="1"/>
    <col min="4621" max="4621" width="6.25" customWidth="1"/>
    <col min="4865" max="4865" width="4" customWidth="1"/>
    <col min="4866" max="4866" width="6.625" customWidth="1"/>
    <col min="4867" max="4868" width="4.625" customWidth="1"/>
    <col min="4869" max="4869" width="7.625" customWidth="1"/>
    <col min="4870" max="4871" width="4.625" customWidth="1"/>
    <col min="4872" max="4872" width="6.625" customWidth="1"/>
    <col min="4873" max="4874" width="4.625" customWidth="1"/>
    <col min="4875" max="4875" width="8.625" customWidth="1"/>
    <col min="4876" max="4876" width="7.625" customWidth="1"/>
    <col min="4877" max="4877" width="6.25" customWidth="1"/>
    <col min="5121" max="5121" width="4" customWidth="1"/>
    <col min="5122" max="5122" width="6.625" customWidth="1"/>
    <col min="5123" max="5124" width="4.625" customWidth="1"/>
    <col min="5125" max="5125" width="7.625" customWidth="1"/>
    <col min="5126" max="5127" width="4.625" customWidth="1"/>
    <col min="5128" max="5128" width="6.625" customWidth="1"/>
    <col min="5129" max="5130" width="4.625" customWidth="1"/>
    <col min="5131" max="5131" width="8.625" customWidth="1"/>
    <col min="5132" max="5132" width="7.625" customWidth="1"/>
    <col min="5133" max="5133" width="6.25" customWidth="1"/>
    <col min="5377" max="5377" width="4" customWidth="1"/>
    <col min="5378" max="5378" width="6.625" customWidth="1"/>
    <col min="5379" max="5380" width="4.625" customWidth="1"/>
    <col min="5381" max="5381" width="7.625" customWidth="1"/>
    <col min="5382" max="5383" width="4.625" customWidth="1"/>
    <col min="5384" max="5384" width="6.625" customWidth="1"/>
    <col min="5385" max="5386" width="4.625" customWidth="1"/>
    <col min="5387" max="5387" width="8.625" customWidth="1"/>
    <col min="5388" max="5388" width="7.625" customWidth="1"/>
    <col min="5389" max="5389" width="6.25" customWidth="1"/>
    <col min="5633" max="5633" width="4" customWidth="1"/>
    <col min="5634" max="5634" width="6.625" customWidth="1"/>
    <col min="5635" max="5636" width="4.625" customWidth="1"/>
    <col min="5637" max="5637" width="7.625" customWidth="1"/>
    <col min="5638" max="5639" width="4.625" customWidth="1"/>
    <col min="5640" max="5640" width="6.625" customWidth="1"/>
    <col min="5641" max="5642" width="4.625" customWidth="1"/>
    <col min="5643" max="5643" width="8.625" customWidth="1"/>
    <col min="5644" max="5644" width="7.625" customWidth="1"/>
    <col min="5645" max="5645" width="6.25" customWidth="1"/>
    <col min="5889" max="5889" width="4" customWidth="1"/>
    <col min="5890" max="5890" width="6.625" customWidth="1"/>
    <col min="5891" max="5892" width="4.625" customWidth="1"/>
    <col min="5893" max="5893" width="7.625" customWidth="1"/>
    <col min="5894" max="5895" width="4.625" customWidth="1"/>
    <col min="5896" max="5896" width="6.625" customWidth="1"/>
    <col min="5897" max="5898" width="4.625" customWidth="1"/>
    <col min="5899" max="5899" width="8.625" customWidth="1"/>
    <col min="5900" max="5900" width="7.625" customWidth="1"/>
    <col min="5901" max="5901" width="6.25" customWidth="1"/>
    <col min="6145" max="6145" width="4" customWidth="1"/>
    <col min="6146" max="6146" width="6.625" customWidth="1"/>
    <col min="6147" max="6148" width="4.625" customWidth="1"/>
    <col min="6149" max="6149" width="7.625" customWidth="1"/>
    <col min="6150" max="6151" width="4.625" customWidth="1"/>
    <col min="6152" max="6152" width="6.625" customWidth="1"/>
    <col min="6153" max="6154" width="4.625" customWidth="1"/>
    <col min="6155" max="6155" width="8.625" customWidth="1"/>
    <col min="6156" max="6156" width="7.625" customWidth="1"/>
    <col min="6157" max="6157" width="6.25" customWidth="1"/>
    <col min="6401" max="6401" width="4" customWidth="1"/>
    <col min="6402" max="6402" width="6.625" customWidth="1"/>
    <col min="6403" max="6404" width="4.625" customWidth="1"/>
    <col min="6405" max="6405" width="7.625" customWidth="1"/>
    <col min="6406" max="6407" width="4.625" customWidth="1"/>
    <col min="6408" max="6408" width="6.625" customWidth="1"/>
    <col min="6409" max="6410" width="4.625" customWidth="1"/>
    <col min="6411" max="6411" width="8.625" customWidth="1"/>
    <col min="6412" max="6412" width="7.625" customWidth="1"/>
    <col min="6413" max="6413" width="6.25" customWidth="1"/>
    <col min="6657" max="6657" width="4" customWidth="1"/>
    <col min="6658" max="6658" width="6.625" customWidth="1"/>
    <col min="6659" max="6660" width="4.625" customWidth="1"/>
    <col min="6661" max="6661" width="7.625" customWidth="1"/>
    <col min="6662" max="6663" width="4.625" customWidth="1"/>
    <col min="6664" max="6664" width="6.625" customWidth="1"/>
    <col min="6665" max="6666" width="4.625" customWidth="1"/>
    <col min="6667" max="6667" width="8.625" customWidth="1"/>
    <col min="6668" max="6668" width="7.625" customWidth="1"/>
    <col min="6669" max="6669" width="6.25" customWidth="1"/>
    <col min="6913" max="6913" width="4" customWidth="1"/>
    <col min="6914" max="6914" width="6.625" customWidth="1"/>
    <col min="6915" max="6916" width="4.625" customWidth="1"/>
    <col min="6917" max="6917" width="7.625" customWidth="1"/>
    <col min="6918" max="6919" width="4.625" customWidth="1"/>
    <col min="6920" max="6920" width="6.625" customWidth="1"/>
    <col min="6921" max="6922" width="4.625" customWidth="1"/>
    <col min="6923" max="6923" width="8.625" customWidth="1"/>
    <col min="6924" max="6924" width="7.625" customWidth="1"/>
    <col min="6925" max="6925" width="6.25" customWidth="1"/>
    <col min="7169" max="7169" width="4" customWidth="1"/>
    <col min="7170" max="7170" width="6.625" customWidth="1"/>
    <col min="7171" max="7172" width="4.625" customWidth="1"/>
    <col min="7173" max="7173" width="7.625" customWidth="1"/>
    <col min="7174" max="7175" width="4.625" customWidth="1"/>
    <col min="7176" max="7176" width="6.625" customWidth="1"/>
    <col min="7177" max="7178" width="4.625" customWidth="1"/>
    <col min="7179" max="7179" width="8.625" customWidth="1"/>
    <col min="7180" max="7180" width="7.625" customWidth="1"/>
    <col min="7181" max="7181" width="6.25" customWidth="1"/>
    <col min="7425" max="7425" width="4" customWidth="1"/>
    <col min="7426" max="7426" width="6.625" customWidth="1"/>
    <col min="7427" max="7428" width="4.625" customWidth="1"/>
    <col min="7429" max="7429" width="7.625" customWidth="1"/>
    <col min="7430" max="7431" width="4.625" customWidth="1"/>
    <col min="7432" max="7432" width="6.625" customWidth="1"/>
    <col min="7433" max="7434" width="4.625" customWidth="1"/>
    <col min="7435" max="7435" width="8.625" customWidth="1"/>
    <col min="7436" max="7436" width="7.625" customWidth="1"/>
    <col min="7437" max="7437" width="6.25" customWidth="1"/>
    <col min="7681" max="7681" width="4" customWidth="1"/>
    <col min="7682" max="7682" width="6.625" customWidth="1"/>
    <col min="7683" max="7684" width="4.625" customWidth="1"/>
    <col min="7685" max="7685" width="7.625" customWidth="1"/>
    <col min="7686" max="7687" width="4.625" customWidth="1"/>
    <col min="7688" max="7688" width="6.625" customWidth="1"/>
    <col min="7689" max="7690" width="4.625" customWidth="1"/>
    <col min="7691" max="7691" width="8.625" customWidth="1"/>
    <col min="7692" max="7692" width="7.625" customWidth="1"/>
    <col min="7693" max="7693" width="6.25" customWidth="1"/>
    <col min="7937" max="7937" width="4" customWidth="1"/>
    <col min="7938" max="7938" width="6.625" customWidth="1"/>
    <col min="7939" max="7940" width="4.625" customWidth="1"/>
    <col min="7941" max="7941" width="7.625" customWidth="1"/>
    <col min="7942" max="7943" width="4.625" customWidth="1"/>
    <col min="7944" max="7944" width="6.625" customWidth="1"/>
    <col min="7945" max="7946" width="4.625" customWidth="1"/>
    <col min="7947" max="7947" width="8.625" customWidth="1"/>
    <col min="7948" max="7948" width="7.625" customWidth="1"/>
    <col min="7949" max="7949" width="6.25" customWidth="1"/>
    <col min="8193" max="8193" width="4" customWidth="1"/>
    <col min="8194" max="8194" width="6.625" customWidth="1"/>
    <col min="8195" max="8196" width="4.625" customWidth="1"/>
    <col min="8197" max="8197" width="7.625" customWidth="1"/>
    <col min="8198" max="8199" width="4.625" customWidth="1"/>
    <col min="8200" max="8200" width="6.625" customWidth="1"/>
    <col min="8201" max="8202" width="4.625" customWidth="1"/>
    <col min="8203" max="8203" width="8.625" customWidth="1"/>
    <col min="8204" max="8204" width="7.625" customWidth="1"/>
    <col min="8205" max="8205" width="6.25" customWidth="1"/>
    <col min="8449" max="8449" width="4" customWidth="1"/>
    <col min="8450" max="8450" width="6.625" customWidth="1"/>
    <col min="8451" max="8452" width="4.625" customWidth="1"/>
    <col min="8453" max="8453" width="7.625" customWidth="1"/>
    <col min="8454" max="8455" width="4.625" customWidth="1"/>
    <col min="8456" max="8456" width="6.625" customWidth="1"/>
    <col min="8457" max="8458" width="4.625" customWidth="1"/>
    <col min="8459" max="8459" width="8.625" customWidth="1"/>
    <col min="8460" max="8460" width="7.625" customWidth="1"/>
    <col min="8461" max="8461" width="6.25" customWidth="1"/>
    <col min="8705" max="8705" width="4" customWidth="1"/>
    <col min="8706" max="8706" width="6.625" customWidth="1"/>
    <col min="8707" max="8708" width="4.625" customWidth="1"/>
    <col min="8709" max="8709" width="7.625" customWidth="1"/>
    <col min="8710" max="8711" width="4.625" customWidth="1"/>
    <col min="8712" max="8712" width="6.625" customWidth="1"/>
    <col min="8713" max="8714" width="4.625" customWidth="1"/>
    <col min="8715" max="8715" width="8.625" customWidth="1"/>
    <col min="8716" max="8716" width="7.625" customWidth="1"/>
    <col min="8717" max="8717" width="6.25" customWidth="1"/>
    <col min="8961" max="8961" width="4" customWidth="1"/>
    <col min="8962" max="8962" width="6.625" customWidth="1"/>
    <col min="8963" max="8964" width="4.625" customWidth="1"/>
    <col min="8965" max="8965" width="7.625" customWidth="1"/>
    <col min="8966" max="8967" width="4.625" customWidth="1"/>
    <col min="8968" max="8968" width="6.625" customWidth="1"/>
    <col min="8969" max="8970" width="4.625" customWidth="1"/>
    <col min="8971" max="8971" width="8.625" customWidth="1"/>
    <col min="8972" max="8972" width="7.625" customWidth="1"/>
    <col min="8973" max="8973" width="6.25" customWidth="1"/>
    <col min="9217" max="9217" width="4" customWidth="1"/>
    <col min="9218" max="9218" width="6.625" customWidth="1"/>
    <col min="9219" max="9220" width="4.625" customWidth="1"/>
    <col min="9221" max="9221" width="7.625" customWidth="1"/>
    <col min="9222" max="9223" width="4.625" customWidth="1"/>
    <col min="9224" max="9224" width="6.625" customWidth="1"/>
    <col min="9225" max="9226" width="4.625" customWidth="1"/>
    <col min="9227" max="9227" width="8.625" customWidth="1"/>
    <col min="9228" max="9228" width="7.625" customWidth="1"/>
    <col min="9229" max="9229" width="6.25" customWidth="1"/>
    <col min="9473" max="9473" width="4" customWidth="1"/>
    <col min="9474" max="9474" width="6.625" customWidth="1"/>
    <col min="9475" max="9476" width="4.625" customWidth="1"/>
    <col min="9477" max="9477" width="7.625" customWidth="1"/>
    <col min="9478" max="9479" width="4.625" customWidth="1"/>
    <col min="9480" max="9480" width="6.625" customWidth="1"/>
    <col min="9481" max="9482" width="4.625" customWidth="1"/>
    <col min="9483" max="9483" width="8.625" customWidth="1"/>
    <col min="9484" max="9484" width="7.625" customWidth="1"/>
    <col min="9485" max="9485" width="6.25" customWidth="1"/>
    <col min="9729" max="9729" width="4" customWidth="1"/>
    <col min="9730" max="9730" width="6.625" customWidth="1"/>
    <col min="9731" max="9732" width="4.625" customWidth="1"/>
    <col min="9733" max="9733" width="7.625" customWidth="1"/>
    <col min="9734" max="9735" width="4.625" customWidth="1"/>
    <col min="9736" max="9736" width="6.625" customWidth="1"/>
    <col min="9737" max="9738" width="4.625" customWidth="1"/>
    <col min="9739" max="9739" width="8.625" customWidth="1"/>
    <col min="9740" max="9740" width="7.625" customWidth="1"/>
    <col min="9741" max="9741" width="6.25" customWidth="1"/>
    <col min="9985" max="9985" width="4" customWidth="1"/>
    <col min="9986" max="9986" width="6.625" customWidth="1"/>
    <col min="9987" max="9988" width="4.625" customWidth="1"/>
    <col min="9989" max="9989" width="7.625" customWidth="1"/>
    <col min="9990" max="9991" width="4.625" customWidth="1"/>
    <col min="9992" max="9992" width="6.625" customWidth="1"/>
    <col min="9993" max="9994" width="4.625" customWidth="1"/>
    <col min="9995" max="9995" width="8.625" customWidth="1"/>
    <col min="9996" max="9996" width="7.625" customWidth="1"/>
    <col min="9997" max="9997" width="6.25" customWidth="1"/>
    <col min="10241" max="10241" width="4" customWidth="1"/>
    <col min="10242" max="10242" width="6.625" customWidth="1"/>
    <col min="10243" max="10244" width="4.625" customWidth="1"/>
    <col min="10245" max="10245" width="7.625" customWidth="1"/>
    <col min="10246" max="10247" width="4.625" customWidth="1"/>
    <col min="10248" max="10248" width="6.625" customWidth="1"/>
    <col min="10249" max="10250" width="4.625" customWidth="1"/>
    <col min="10251" max="10251" width="8.625" customWidth="1"/>
    <col min="10252" max="10252" width="7.625" customWidth="1"/>
    <col min="10253" max="10253" width="6.25" customWidth="1"/>
    <col min="10497" max="10497" width="4" customWidth="1"/>
    <col min="10498" max="10498" width="6.625" customWidth="1"/>
    <col min="10499" max="10500" width="4.625" customWidth="1"/>
    <col min="10501" max="10501" width="7.625" customWidth="1"/>
    <col min="10502" max="10503" width="4.625" customWidth="1"/>
    <col min="10504" max="10504" width="6.625" customWidth="1"/>
    <col min="10505" max="10506" width="4.625" customWidth="1"/>
    <col min="10507" max="10507" width="8.625" customWidth="1"/>
    <col min="10508" max="10508" width="7.625" customWidth="1"/>
    <col min="10509" max="10509" width="6.25" customWidth="1"/>
    <col min="10753" max="10753" width="4" customWidth="1"/>
    <col min="10754" max="10754" width="6.625" customWidth="1"/>
    <col min="10755" max="10756" width="4.625" customWidth="1"/>
    <col min="10757" max="10757" width="7.625" customWidth="1"/>
    <col min="10758" max="10759" width="4.625" customWidth="1"/>
    <col min="10760" max="10760" width="6.625" customWidth="1"/>
    <col min="10761" max="10762" width="4.625" customWidth="1"/>
    <col min="10763" max="10763" width="8.625" customWidth="1"/>
    <col min="10764" max="10764" width="7.625" customWidth="1"/>
    <col min="10765" max="10765" width="6.25" customWidth="1"/>
    <col min="11009" max="11009" width="4" customWidth="1"/>
    <col min="11010" max="11010" width="6.625" customWidth="1"/>
    <col min="11011" max="11012" width="4.625" customWidth="1"/>
    <col min="11013" max="11013" width="7.625" customWidth="1"/>
    <col min="11014" max="11015" width="4.625" customWidth="1"/>
    <col min="11016" max="11016" width="6.625" customWidth="1"/>
    <col min="11017" max="11018" width="4.625" customWidth="1"/>
    <col min="11019" max="11019" width="8.625" customWidth="1"/>
    <col min="11020" max="11020" width="7.625" customWidth="1"/>
    <col min="11021" max="11021" width="6.25" customWidth="1"/>
    <col min="11265" max="11265" width="4" customWidth="1"/>
    <col min="11266" max="11266" width="6.625" customWidth="1"/>
    <col min="11267" max="11268" width="4.625" customWidth="1"/>
    <col min="11269" max="11269" width="7.625" customWidth="1"/>
    <col min="11270" max="11271" width="4.625" customWidth="1"/>
    <col min="11272" max="11272" width="6.625" customWidth="1"/>
    <col min="11273" max="11274" width="4.625" customWidth="1"/>
    <col min="11275" max="11275" width="8.625" customWidth="1"/>
    <col min="11276" max="11276" width="7.625" customWidth="1"/>
    <col min="11277" max="11277" width="6.25" customWidth="1"/>
    <col min="11521" max="11521" width="4" customWidth="1"/>
    <col min="11522" max="11522" width="6.625" customWidth="1"/>
    <col min="11523" max="11524" width="4.625" customWidth="1"/>
    <col min="11525" max="11525" width="7.625" customWidth="1"/>
    <col min="11526" max="11527" width="4.625" customWidth="1"/>
    <col min="11528" max="11528" width="6.625" customWidth="1"/>
    <col min="11529" max="11530" width="4.625" customWidth="1"/>
    <col min="11531" max="11531" width="8.625" customWidth="1"/>
    <col min="11532" max="11532" width="7.625" customWidth="1"/>
    <col min="11533" max="11533" width="6.25" customWidth="1"/>
    <col min="11777" max="11777" width="4" customWidth="1"/>
    <col min="11778" max="11778" width="6.625" customWidth="1"/>
    <col min="11779" max="11780" width="4.625" customWidth="1"/>
    <col min="11781" max="11781" width="7.625" customWidth="1"/>
    <col min="11782" max="11783" width="4.625" customWidth="1"/>
    <col min="11784" max="11784" width="6.625" customWidth="1"/>
    <col min="11785" max="11786" width="4.625" customWidth="1"/>
    <col min="11787" max="11787" width="8.625" customWidth="1"/>
    <col min="11788" max="11788" width="7.625" customWidth="1"/>
    <col min="11789" max="11789" width="6.25" customWidth="1"/>
    <col min="12033" max="12033" width="4" customWidth="1"/>
    <col min="12034" max="12034" width="6.625" customWidth="1"/>
    <col min="12035" max="12036" width="4.625" customWidth="1"/>
    <col min="12037" max="12037" width="7.625" customWidth="1"/>
    <col min="12038" max="12039" width="4.625" customWidth="1"/>
    <col min="12040" max="12040" width="6.625" customWidth="1"/>
    <col min="12041" max="12042" width="4.625" customWidth="1"/>
    <col min="12043" max="12043" width="8.625" customWidth="1"/>
    <col min="12044" max="12044" width="7.625" customWidth="1"/>
    <col min="12045" max="12045" width="6.25" customWidth="1"/>
    <col min="12289" max="12289" width="4" customWidth="1"/>
    <col min="12290" max="12290" width="6.625" customWidth="1"/>
    <col min="12291" max="12292" width="4.625" customWidth="1"/>
    <col min="12293" max="12293" width="7.625" customWidth="1"/>
    <col min="12294" max="12295" width="4.625" customWidth="1"/>
    <col min="12296" max="12296" width="6.625" customWidth="1"/>
    <col min="12297" max="12298" width="4.625" customWidth="1"/>
    <col min="12299" max="12299" width="8.625" customWidth="1"/>
    <col min="12300" max="12300" width="7.625" customWidth="1"/>
    <col min="12301" max="12301" width="6.25" customWidth="1"/>
    <col min="12545" max="12545" width="4" customWidth="1"/>
    <col min="12546" max="12546" width="6.625" customWidth="1"/>
    <col min="12547" max="12548" width="4.625" customWidth="1"/>
    <col min="12549" max="12549" width="7.625" customWidth="1"/>
    <col min="12550" max="12551" width="4.625" customWidth="1"/>
    <col min="12552" max="12552" width="6.625" customWidth="1"/>
    <col min="12553" max="12554" width="4.625" customWidth="1"/>
    <col min="12555" max="12555" width="8.625" customWidth="1"/>
    <col min="12556" max="12556" width="7.625" customWidth="1"/>
    <col min="12557" max="12557" width="6.25" customWidth="1"/>
    <col min="12801" max="12801" width="4" customWidth="1"/>
    <col min="12802" max="12802" width="6.625" customWidth="1"/>
    <col min="12803" max="12804" width="4.625" customWidth="1"/>
    <col min="12805" max="12805" width="7.625" customWidth="1"/>
    <col min="12806" max="12807" width="4.625" customWidth="1"/>
    <col min="12808" max="12808" width="6.625" customWidth="1"/>
    <col min="12809" max="12810" width="4.625" customWidth="1"/>
    <col min="12811" max="12811" width="8.625" customWidth="1"/>
    <col min="12812" max="12812" width="7.625" customWidth="1"/>
    <col min="12813" max="12813" width="6.25" customWidth="1"/>
    <col min="13057" max="13057" width="4" customWidth="1"/>
    <col min="13058" max="13058" width="6.625" customWidth="1"/>
    <col min="13059" max="13060" width="4.625" customWidth="1"/>
    <col min="13061" max="13061" width="7.625" customWidth="1"/>
    <col min="13062" max="13063" width="4.625" customWidth="1"/>
    <col min="13064" max="13064" width="6.625" customWidth="1"/>
    <col min="13065" max="13066" width="4.625" customWidth="1"/>
    <col min="13067" max="13067" width="8.625" customWidth="1"/>
    <col min="13068" max="13068" width="7.625" customWidth="1"/>
    <col min="13069" max="13069" width="6.25" customWidth="1"/>
    <col min="13313" max="13313" width="4" customWidth="1"/>
    <col min="13314" max="13314" width="6.625" customWidth="1"/>
    <col min="13315" max="13316" width="4.625" customWidth="1"/>
    <col min="13317" max="13317" width="7.625" customWidth="1"/>
    <col min="13318" max="13319" width="4.625" customWidth="1"/>
    <col min="13320" max="13320" width="6.625" customWidth="1"/>
    <col min="13321" max="13322" width="4.625" customWidth="1"/>
    <col min="13323" max="13323" width="8.625" customWidth="1"/>
    <col min="13324" max="13324" width="7.625" customWidth="1"/>
    <col min="13325" max="13325" width="6.25" customWidth="1"/>
    <col min="13569" max="13569" width="4" customWidth="1"/>
    <col min="13570" max="13570" width="6.625" customWidth="1"/>
    <col min="13571" max="13572" width="4.625" customWidth="1"/>
    <col min="13573" max="13573" width="7.625" customWidth="1"/>
    <col min="13574" max="13575" width="4.625" customWidth="1"/>
    <col min="13576" max="13576" width="6.625" customWidth="1"/>
    <col min="13577" max="13578" width="4.625" customWidth="1"/>
    <col min="13579" max="13579" width="8.625" customWidth="1"/>
    <col min="13580" max="13580" width="7.625" customWidth="1"/>
    <col min="13581" max="13581" width="6.25" customWidth="1"/>
    <col min="13825" max="13825" width="4" customWidth="1"/>
    <col min="13826" max="13826" width="6.625" customWidth="1"/>
    <col min="13827" max="13828" width="4.625" customWidth="1"/>
    <col min="13829" max="13829" width="7.625" customWidth="1"/>
    <col min="13830" max="13831" width="4.625" customWidth="1"/>
    <col min="13832" max="13832" width="6.625" customWidth="1"/>
    <col min="13833" max="13834" width="4.625" customWidth="1"/>
    <col min="13835" max="13835" width="8.625" customWidth="1"/>
    <col min="13836" max="13836" width="7.625" customWidth="1"/>
    <col min="13837" max="13837" width="6.25" customWidth="1"/>
    <col min="14081" max="14081" width="4" customWidth="1"/>
    <col min="14082" max="14082" width="6.625" customWidth="1"/>
    <col min="14083" max="14084" width="4.625" customWidth="1"/>
    <col min="14085" max="14085" width="7.625" customWidth="1"/>
    <col min="14086" max="14087" width="4.625" customWidth="1"/>
    <col min="14088" max="14088" width="6.625" customWidth="1"/>
    <col min="14089" max="14090" width="4.625" customWidth="1"/>
    <col min="14091" max="14091" width="8.625" customWidth="1"/>
    <col min="14092" max="14092" width="7.625" customWidth="1"/>
    <col min="14093" max="14093" width="6.25" customWidth="1"/>
    <col min="14337" max="14337" width="4" customWidth="1"/>
    <col min="14338" max="14338" width="6.625" customWidth="1"/>
    <col min="14339" max="14340" width="4.625" customWidth="1"/>
    <col min="14341" max="14341" width="7.625" customWidth="1"/>
    <col min="14342" max="14343" width="4.625" customWidth="1"/>
    <col min="14344" max="14344" width="6.625" customWidth="1"/>
    <col min="14345" max="14346" width="4.625" customWidth="1"/>
    <col min="14347" max="14347" width="8.625" customWidth="1"/>
    <col min="14348" max="14348" width="7.625" customWidth="1"/>
    <col min="14349" max="14349" width="6.25" customWidth="1"/>
    <col min="14593" max="14593" width="4" customWidth="1"/>
    <col min="14594" max="14594" width="6.625" customWidth="1"/>
    <col min="14595" max="14596" width="4.625" customWidth="1"/>
    <col min="14597" max="14597" width="7.625" customWidth="1"/>
    <col min="14598" max="14599" width="4.625" customWidth="1"/>
    <col min="14600" max="14600" width="6.625" customWidth="1"/>
    <col min="14601" max="14602" width="4.625" customWidth="1"/>
    <col min="14603" max="14603" width="8.625" customWidth="1"/>
    <col min="14604" max="14604" width="7.625" customWidth="1"/>
    <col min="14605" max="14605" width="6.25" customWidth="1"/>
    <col min="14849" max="14849" width="4" customWidth="1"/>
    <col min="14850" max="14850" width="6.625" customWidth="1"/>
    <col min="14851" max="14852" width="4.625" customWidth="1"/>
    <col min="14853" max="14853" width="7.625" customWidth="1"/>
    <col min="14854" max="14855" width="4.625" customWidth="1"/>
    <col min="14856" max="14856" width="6.625" customWidth="1"/>
    <col min="14857" max="14858" width="4.625" customWidth="1"/>
    <col min="14859" max="14859" width="8.625" customWidth="1"/>
    <col min="14860" max="14860" width="7.625" customWidth="1"/>
    <col min="14861" max="14861" width="6.25" customWidth="1"/>
    <col min="15105" max="15105" width="4" customWidth="1"/>
    <col min="15106" max="15106" width="6.625" customWidth="1"/>
    <col min="15107" max="15108" width="4.625" customWidth="1"/>
    <col min="15109" max="15109" width="7.625" customWidth="1"/>
    <col min="15110" max="15111" width="4.625" customWidth="1"/>
    <col min="15112" max="15112" width="6.625" customWidth="1"/>
    <col min="15113" max="15114" width="4.625" customWidth="1"/>
    <col min="15115" max="15115" width="8.625" customWidth="1"/>
    <col min="15116" max="15116" width="7.625" customWidth="1"/>
    <col min="15117" max="15117" width="6.25" customWidth="1"/>
    <col min="15361" max="15361" width="4" customWidth="1"/>
    <col min="15362" max="15362" width="6.625" customWidth="1"/>
    <col min="15363" max="15364" width="4.625" customWidth="1"/>
    <col min="15365" max="15365" width="7.625" customWidth="1"/>
    <col min="15366" max="15367" width="4.625" customWidth="1"/>
    <col min="15368" max="15368" width="6.625" customWidth="1"/>
    <col min="15369" max="15370" width="4.625" customWidth="1"/>
    <col min="15371" max="15371" width="8.625" customWidth="1"/>
    <col min="15372" max="15372" width="7.625" customWidth="1"/>
    <col min="15373" max="15373" width="6.25" customWidth="1"/>
    <col min="15617" max="15617" width="4" customWidth="1"/>
    <col min="15618" max="15618" width="6.625" customWidth="1"/>
    <col min="15619" max="15620" width="4.625" customWidth="1"/>
    <col min="15621" max="15621" width="7.625" customWidth="1"/>
    <col min="15622" max="15623" width="4.625" customWidth="1"/>
    <col min="15624" max="15624" width="6.625" customWidth="1"/>
    <col min="15625" max="15626" width="4.625" customWidth="1"/>
    <col min="15627" max="15627" width="8.625" customWidth="1"/>
    <col min="15628" max="15628" width="7.625" customWidth="1"/>
    <col min="15629" max="15629" width="6.25" customWidth="1"/>
    <col min="15873" max="15873" width="4" customWidth="1"/>
    <col min="15874" max="15874" width="6.625" customWidth="1"/>
    <col min="15875" max="15876" width="4.625" customWidth="1"/>
    <col min="15877" max="15877" width="7.625" customWidth="1"/>
    <col min="15878" max="15879" width="4.625" customWidth="1"/>
    <col min="15880" max="15880" width="6.625" customWidth="1"/>
    <col min="15881" max="15882" width="4.625" customWidth="1"/>
    <col min="15883" max="15883" width="8.625" customWidth="1"/>
    <col min="15884" max="15884" width="7.625" customWidth="1"/>
    <col min="15885" max="15885" width="6.25" customWidth="1"/>
    <col min="16129" max="16129" width="4" customWidth="1"/>
    <col min="16130" max="16130" width="6.625" customWidth="1"/>
    <col min="16131" max="16132" width="4.625" customWidth="1"/>
    <col min="16133" max="16133" width="7.625" customWidth="1"/>
    <col min="16134" max="16135" width="4.625" customWidth="1"/>
    <col min="16136" max="16136" width="6.625" customWidth="1"/>
    <col min="16137" max="16138" width="4.625" customWidth="1"/>
    <col min="16139" max="16139" width="8.625" customWidth="1"/>
    <col min="16140" max="16140" width="7.625" customWidth="1"/>
    <col min="16141" max="16141" width="6.25" customWidth="1"/>
  </cols>
  <sheetData>
    <row r="1" ht="25.8" spans="1:13">
      <c r="A1" s="648" t="s">
        <v>71</v>
      </c>
      <c r="B1" s="648"/>
      <c r="C1" s="648"/>
      <c r="D1" s="648"/>
      <c r="E1" s="648"/>
      <c r="F1" s="648"/>
      <c r="G1" s="648"/>
      <c r="H1" s="648"/>
      <c r="I1" s="648"/>
      <c r="J1" s="648"/>
      <c r="K1" s="648"/>
      <c r="L1" s="648"/>
      <c r="M1" s="117" t="s">
        <v>88</v>
      </c>
    </row>
    <row r="2" spans="1:13">
      <c r="A2" s="644" t="s">
        <v>2855</v>
      </c>
      <c r="B2" s="644" t="s">
        <v>2900</v>
      </c>
      <c r="C2" s="644"/>
      <c r="D2" s="644"/>
      <c r="E2" s="644" t="s">
        <v>2901</v>
      </c>
      <c r="F2" s="644"/>
      <c r="G2" s="644"/>
      <c r="H2" s="644" t="s">
        <v>2902</v>
      </c>
      <c r="I2" s="644"/>
      <c r="J2" s="644"/>
      <c r="K2" s="644" t="s">
        <v>2903</v>
      </c>
      <c r="L2" s="649" t="s">
        <v>2904</v>
      </c>
      <c r="M2" s="203" t="s">
        <v>2905</v>
      </c>
    </row>
    <row r="3" ht="62.4" spans="1:13">
      <c r="A3" s="644"/>
      <c r="B3" s="644" t="s">
        <v>2906</v>
      </c>
      <c r="C3" s="644" t="s">
        <v>2907</v>
      </c>
      <c r="D3" s="644" t="s">
        <v>2908</v>
      </c>
      <c r="E3" s="644" t="s">
        <v>2906</v>
      </c>
      <c r="F3" s="644" t="s">
        <v>2909</v>
      </c>
      <c r="G3" s="644" t="s">
        <v>2908</v>
      </c>
      <c r="H3" s="644" t="s">
        <v>2906</v>
      </c>
      <c r="I3" s="644" t="s">
        <v>2909</v>
      </c>
      <c r="J3" s="644" t="s">
        <v>2908</v>
      </c>
      <c r="K3" s="644"/>
      <c r="L3" s="650"/>
      <c r="M3" s="204"/>
    </row>
    <row r="4" s="641" customFormat="1" spans="1:13">
      <c r="A4" s="338" t="s">
        <v>2878</v>
      </c>
      <c r="B4" s="644"/>
      <c r="C4" s="644"/>
      <c r="D4" s="338"/>
      <c r="E4" s="338">
        <v>160</v>
      </c>
      <c r="F4" s="644"/>
      <c r="G4" s="644"/>
      <c r="H4" s="644"/>
      <c r="I4" s="644"/>
      <c r="J4" s="644"/>
      <c r="K4" s="635">
        <f>[3]开关整定值计算表!P5</f>
        <v>723.12</v>
      </c>
      <c r="L4" s="651">
        <f t="shared" ref="L4:L10" si="0">K4/E4</f>
        <v>4.5195</v>
      </c>
      <c r="M4" s="338" t="s">
        <v>2778</v>
      </c>
    </row>
    <row r="5" s="641" customFormat="1" spans="1:13">
      <c r="A5" s="338" t="s">
        <v>2882</v>
      </c>
      <c r="B5" s="644"/>
      <c r="C5" s="644"/>
      <c r="D5" s="338"/>
      <c r="E5" s="338">
        <v>336</v>
      </c>
      <c r="F5" s="644"/>
      <c r="G5" s="644"/>
      <c r="H5" s="644"/>
      <c r="I5" s="644"/>
      <c r="J5" s="644"/>
      <c r="K5" s="635">
        <f>[3]开关整定值计算表!P6</f>
        <v>1622.88</v>
      </c>
      <c r="L5" s="651">
        <f t="shared" si="0"/>
        <v>4.83</v>
      </c>
      <c r="M5" s="338" t="s">
        <v>2778</v>
      </c>
    </row>
    <row r="6" s="641" customFormat="1" spans="1:13">
      <c r="A6" s="338" t="s">
        <v>2884</v>
      </c>
      <c r="B6" s="644"/>
      <c r="C6" s="644"/>
      <c r="D6" s="338"/>
      <c r="E6" s="338">
        <v>640</v>
      </c>
      <c r="F6" s="644"/>
      <c r="G6" s="644"/>
      <c r="H6" s="644"/>
      <c r="I6" s="644"/>
      <c r="J6" s="644"/>
      <c r="K6" s="635">
        <f>[3]开关整定值计算表!P7</f>
        <v>2626.14</v>
      </c>
      <c r="L6" s="651">
        <f t="shared" si="0"/>
        <v>4.10334375</v>
      </c>
      <c r="M6" s="338" t="s">
        <v>2778</v>
      </c>
    </row>
    <row r="7" s="641" customFormat="1" spans="1:13">
      <c r="A7" s="338" t="s">
        <v>2886</v>
      </c>
      <c r="B7" s="644"/>
      <c r="C7" s="644"/>
      <c r="D7" s="338"/>
      <c r="E7" s="338">
        <v>850</v>
      </c>
      <c r="F7" s="644"/>
      <c r="G7" s="644"/>
      <c r="H7" s="644"/>
      <c r="I7" s="644"/>
      <c r="J7" s="644"/>
      <c r="K7" s="338">
        <v>6026</v>
      </c>
      <c r="L7" s="651">
        <f t="shared" si="0"/>
        <v>7.08941176470588</v>
      </c>
      <c r="M7" s="338" t="s">
        <v>2778</v>
      </c>
    </row>
    <row r="8" s="641" customFormat="1" spans="1:13">
      <c r="A8" s="338" t="s">
        <v>2889</v>
      </c>
      <c r="B8" s="644"/>
      <c r="C8" s="644"/>
      <c r="D8" s="338"/>
      <c r="E8" s="338">
        <v>1000</v>
      </c>
      <c r="F8" s="644"/>
      <c r="G8" s="644"/>
      <c r="H8" s="644"/>
      <c r="I8" s="644"/>
      <c r="J8" s="644"/>
      <c r="K8" s="338">
        <v>4730</v>
      </c>
      <c r="L8" s="651">
        <f t="shared" si="0"/>
        <v>4.73</v>
      </c>
      <c r="M8" s="338" t="s">
        <v>2778</v>
      </c>
    </row>
    <row r="9" s="641" customFormat="1" spans="1:13">
      <c r="A9" s="338" t="s">
        <v>2891</v>
      </c>
      <c r="B9" s="644"/>
      <c r="C9" s="644"/>
      <c r="D9" s="338"/>
      <c r="E9" s="338">
        <v>1100</v>
      </c>
      <c r="F9" s="644"/>
      <c r="G9" s="644"/>
      <c r="H9" s="644"/>
      <c r="I9" s="644"/>
      <c r="J9" s="644"/>
      <c r="K9" s="338">
        <v>7958</v>
      </c>
      <c r="L9" s="651">
        <f t="shared" si="0"/>
        <v>7.23454545454545</v>
      </c>
      <c r="M9" s="338" t="s">
        <v>2778</v>
      </c>
    </row>
    <row r="10" s="641" customFormat="1" spans="1:13">
      <c r="A10" s="338">
        <v>5</v>
      </c>
      <c r="B10" s="644"/>
      <c r="C10" s="644"/>
      <c r="D10" s="338"/>
      <c r="E10" s="338">
        <v>220</v>
      </c>
      <c r="F10" s="644"/>
      <c r="G10" s="644"/>
      <c r="H10" s="644"/>
      <c r="I10" s="644"/>
      <c r="J10" s="644"/>
      <c r="K10" s="338">
        <v>4730</v>
      </c>
      <c r="L10" s="651">
        <f t="shared" si="0"/>
        <v>21.5</v>
      </c>
      <c r="M10" s="338" t="s">
        <v>2778</v>
      </c>
    </row>
    <row r="11" s="641" customFormat="1" spans="1:13">
      <c r="A11" s="338">
        <v>1</v>
      </c>
      <c r="B11" s="644"/>
      <c r="C11" s="644"/>
      <c r="D11" s="338">
        <v>148</v>
      </c>
      <c r="E11" s="338"/>
      <c r="F11" s="644"/>
      <c r="G11" s="644"/>
      <c r="H11" s="644"/>
      <c r="I11" s="644"/>
      <c r="J11" s="644"/>
      <c r="K11" s="338">
        <v>6354</v>
      </c>
      <c r="L11" s="651">
        <f t="shared" ref="L11:L27" si="1">K11/(8*D11)</f>
        <v>5.36655405405405</v>
      </c>
      <c r="M11" s="338" t="s">
        <v>2778</v>
      </c>
    </row>
    <row r="12" s="641" customFormat="1" spans="1:13">
      <c r="A12" s="338">
        <v>2</v>
      </c>
      <c r="B12" s="644"/>
      <c r="C12" s="644"/>
      <c r="D12" s="338">
        <v>148</v>
      </c>
      <c r="E12" s="338"/>
      <c r="F12" s="644"/>
      <c r="G12" s="644"/>
      <c r="H12" s="644"/>
      <c r="I12" s="644"/>
      <c r="J12" s="644"/>
      <c r="K12" s="338">
        <v>6354</v>
      </c>
      <c r="L12" s="651">
        <f t="shared" si="1"/>
        <v>5.36655405405405</v>
      </c>
      <c r="M12" s="338" t="s">
        <v>2778</v>
      </c>
    </row>
    <row r="13" s="641" customFormat="1" spans="1:13">
      <c r="A13" s="338">
        <v>3</v>
      </c>
      <c r="B13" s="644"/>
      <c r="C13" s="644"/>
      <c r="D13" s="338">
        <v>5</v>
      </c>
      <c r="E13" s="338"/>
      <c r="F13" s="644"/>
      <c r="G13" s="644"/>
      <c r="H13" s="644"/>
      <c r="I13" s="644"/>
      <c r="J13" s="644"/>
      <c r="K13" s="338">
        <v>6026</v>
      </c>
      <c r="L13" s="651">
        <f t="shared" si="1"/>
        <v>150.65</v>
      </c>
      <c r="M13" s="338" t="s">
        <v>2778</v>
      </c>
    </row>
    <row r="14" s="641" customFormat="1" spans="1:13">
      <c r="A14" s="338">
        <v>4</v>
      </c>
      <c r="B14" s="644"/>
      <c r="C14" s="644"/>
      <c r="D14" s="338">
        <v>5</v>
      </c>
      <c r="E14" s="338"/>
      <c r="F14" s="644"/>
      <c r="G14" s="644"/>
      <c r="H14" s="644"/>
      <c r="I14" s="644"/>
      <c r="J14" s="644"/>
      <c r="K14" s="338">
        <v>6026</v>
      </c>
      <c r="L14" s="651">
        <f t="shared" si="1"/>
        <v>150.65</v>
      </c>
      <c r="M14" s="338" t="s">
        <v>2778</v>
      </c>
    </row>
    <row r="15" s="641" customFormat="1" spans="1:13">
      <c r="A15" s="338">
        <v>6</v>
      </c>
      <c r="B15" s="644"/>
      <c r="C15" s="644"/>
      <c r="D15" s="338">
        <v>30</v>
      </c>
      <c r="E15" s="338"/>
      <c r="F15" s="644"/>
      <c r="G15" s="644"/>
      <c r="H15" s="644"/>
      <c r="I15" s="644"/>
      <c r="J15" s="644"/>
      <c r="K15" s="338">
        <v>4730</v>
      </c>
      <c r="L15" s="651">
        <f t="shared" si="1"/>
        <v>19.7083333333333</v>
      </c>
      <c r="M15" s="338" t="s">
        <v>2778</v>
      </c>
    </row>
    <row r="16" s="641" customFormat="1" spans="1:13">
      <c r="A16" s="338">
        <v>7</v>
      </c>
      <c r="B16" s="644"/>
      <c r="C16" s="644"/>
      <c r="D16" s="338">
        <v>30</v>
      </c>
      <c r="E16" s="338"/>
      <c r="F16" s="644"/>
      <c r="G16" s="644"/>
      <c r="H16" s="644"/>
      <c r="I16" s="644"/>
      <c r="J16" s="644"/>
      <c r="K16" s="338">
        <v>4730</v>
      </c>
      <c r="L16" s="651">
        <f t="shared" si="1"/>
        <v>19.7083333333333</v>
      </c>
      <c r="M16" s="338" t="s">
        <v>2778</v>
      </c>
    </row>
    <row r="17" s="641" customFormat="1" spans="1:13">
      <c r="A17" s="338">
        <v>8</v>
      </c>
      <c r="B17" s="644"/>
      <c r="C17" s="644"/>
      <c r="D17" s="338">
        <v>148</v>
      </c>
      <c r="E17" s="338"/>
      <c r="F17" s="644"/>
      <c r="G17" s="644"/>
      <c r="H17" s="644"/>
      <c r="I17" s="644"/>
      <c r="J17" s="644"/>
      <c r="K17" s="338">
        <v>13524</v>
      </c>
      <c r="L17" s="651">
        <f t="shared" si="1"/>
        <v>11.4222972972973</v>
      </c>
      <c r="M17" s="338" t="s">
        <v>2778</v>
      </c>
    </row>
    <row r="18" s="641" customFormat="1" spans="1:13">
      <c r="A18" s="338">
        <v>9</v>
      </c>
      <c r="B18" s="644"/>
      <c r="C18" s="644"/>
      <c r="D18" s="338">
        <v>80</v>
      </c>
      <c r="E18" s="338"/>
      <c r="F18" s="644"/>
      <c r="G18" s="644"/>
      <c r="H18" s="644"/>
      <c r="I18" s="644"/>
      <c r="J18" s="644"/>
      <c r="K18" s="338">
        <v>13524</v>
      </c>
      <c r="L18" s="651">
        <f t="shared" si="1"/>
        <v>21.13125</v>
      </c>
      <c r="M18" s="338" t="s">
        <v>2778</v>
      </c>
    </row>
    <row r="19" s="641" customFormat="1" spans="1:13">
      <c r="A19" s="338">
        <v>10</v>
      </c>
      <c r="B19" s="644"/>
      <c r="C19" s="644"/>
      <c r="D19" s="338">
        <v>148</v>
      </c>
      <c r="E19" s="338"/>
      <c r="F19" s="644"/>
      <c r="G19" s="644"/>
      <c r="H19" s="644"/>
      <c r="I19" s="644"/>
      <c r="J19" s="644"/>
      <c r="K19" s="338">
        <v>13524</v>
      </c>
      <c r="L19" s="651">
        <f t="shared" si="1"/>
        <v>11.4222972972973</v>
      </c>
      <c r="M19" s="338" t="s">
        <v>2778</v>
      </c>
    </row>
    <row r="20" s="641" customFormat="1" spans="1:13">
      <c r="A20" s="338">
        <v>11</v>
      </c>
      <c r="B20" s="644"/>
      <c r="C20" s="644"/>
      <c r="D20" s="338">
        <v>90</v>
      </c>
      <c r="E20" s="338"/>
      <c r="F20" s="644"/>
      <c r="G20" s="644"/>
      <c r="H20" s="644"/>
      <c r="I20" s="644"/>
      <c r="J20" s="644"/>
      <c r="K20" s="338">
        <v>13524</v>
      </c>
      <c r="L20" s="651">
        <f t="shared" si="1"/>
        <v>18.7833333333333</v>
      </c>
      <c r="M20" s="338" t="s">
        <v>2778</v>
      </c>
    </row>
    <row r="21" s="641" customFormat="1" spans="1:13">
      <c r="A21" s="338">
        <v>12</v>
      </c>
      <c r="B21" s="644"/>
      <c r="C21" s="644"/>
      <c r="D21" s="338">
        <v>148</v>
      </c>
      <c r="E21" s="338"/>
      <c r="F21" s="644"/>
      <c r="G21" s="644"/>
      <c r="H21" s="644"/>
      <c r="I21" s="644"/>
      <c r="J21" s="644"/>
      <c r="K21" s="338">
        <v>13524</v>
      </c>
      <c r="L21" s="651">
        <f t="shared" si="1"/>
        <v>11.4222972972973</v>
      </c>
      <c r="M21" s="338" t="s">
        <v>2778</v>
      </c>
    </row>
    <row r="22" s="641" customFormat="1" spans="1:13">
      <c r="A22" s="338">
        <v>13</v>
      </c>
      <c r="B22" s="644"/>
      <c r="C22" s="644"/>
      <c r="D22" s="338">
        <v>58</v>
      </c>
      <c r="E22" s="338"/>
      <c r="F22" s="644"/>
      <c r="G22" s="644"/>
      <c r="H22" s="644"/>
      <c r="I22" s="644"/>
      <c r="J22" s="644"/>
      <c r="K22" s="338">
        <v>11488</v>
      </c>
      <c r="L22" s="651">
        <f t="shared" si="1"/>
        <v>24.7586206896552</v>
      </c>
      <c r="M22" s="338" t="s">
        <v>2778</v>
      </c>
    </row>
    <row r="23" s="641" customFormat="1" spans="1:13">
      <c r="A23" s="338">
        <v>14</v>
      </c>
      <c r="B23" s="644"/>
      <c r="C23" s="644"/>
      <c r="D23" s="338">
        <v>87</v>
      </c>
      <c r="E23" s="338"/>
      <c r="F23" s="644"/>
      <c r="G23" s="644"/>
      <c r="H23" s="644"/>
      <c r="I23" s="644"/>
      <c r="J23" s="644"/>
      <c r="K23" s="338">
        <v>11488</v>
      </c>
      <c r="L23" s="651">
        <f t="shared" si="1"/>
        <v>16.5057471264368</v>
      </c>
      <c r="M23" s="338" t="s">
        <v>2778</v>
      </c>
    </row>
    <row r="24" s="641" customFormat="1" spans="1:13">
      <c r="A24" s="338">
        <v>15</v>
      </c>
      <c r="B24" s="644"/>
      <c r="C24" s="644"/>
      <c r="D24" s="338">
        <v>54</v>
      </c>
      <c r="E24" s="338"/>
      <c r="F24" s="644"/>
      <c r="G24" s="644"/>
      <c r="H24" s="644"/>
      <c r="I24" s="644"/>
      <c r="J24" s="644"/>
      <c r="K24" s="338">
        <v>9871</v>
      </c>
      <c r="L24" s="651">
        <f t="shared" si="1"/>
        <v>22.849537037037</v>
      </c>
      <c r="M24" s="338" t="s">
        <v>2778</v>
      </c>
    </row>
    <row r="25" s="641" customFormat="1" spans="1:13">
      <c r="A25" s="338">
        <v>16</v>
      </c>
      <c r="B25" s="644"/>
      <c r="C25" s="644"/>
      <c r="D25" s="338">
        <v>160</v>
      </c>
      <c r="E25" s="338"/>
      <c r="F25" s="644"/>
      <c r="G25" s="644"/>
      <c r="H25" s="644"/>
      <c r="I25" s="644"/>
      <c r="J25" s="644"/>
      <c r="K25" s="338">
        <v>7958</v>
      </c>
      <c r="L25" s="651">
        <f t="shared" si="1"/>
        <v>6.2171875</v>
      </c>
      <c r="M25" s="338" t="s">
        <v>2778</v>
      </c>
    </row>
    <row r="26" s="641" customFormat="1" spans="1:13">
      <c r="A26" s="338">
        <v>17</v>
      </c>
      <c r="B26" s="644"/>
      <c r="C26" s="644"/>
      <c r="D26" s="338">
        <v>58</v>
      </c>
      <c r="E26" s="338"/>
      <c r="F26" s="644"/>
      <c r="G26" s="644"/>
      <c r="H26" s="644"/>
      <c r="I26" s="644"/>
      <c r="J26" s="644"/>
      <c r="K26" s="338">
        <v>7958</v>
      </c>
      <c r="L26" s="651">
        <f t="shared" si="1"/>
        <v>17.1508620689655</v>
      </c>
      <c r="M26" s="338" t="s">
        <v>2778</v>
      </c>
    </row>
    <row r="27" spans="1:13">
      <c r="A27" s="338">
        <v>18</v>
      </c>
      <c r="B27" s="644"/>
      <c r="C27" s="644"/>
      <c r="D27" s="338">
        <v>87</v>
      </c>
      <c r="E27" s="204"/>
      <c r="F27" s="644"/>
      <c r="G27" s="644"/>
      <c r="H27" s="644"/>
      <c r="I27" s="644"/>
      <c r="J27" s="644"/>
      <c r="K27" s="338">
        <v>7958</v>
      </c>
      <c r="L27" s="651">
        <f t="shared" si="1"/>
        <v>11.433908045977</v>
      </c>
      <c r="M27" s="338" t="s">
        <v>2778</v>
      </c>
    </row>
    <row r="28" spans="1:13">
      <c r="A28" s="338">
        <v>19</v>
      </c>
      <c r="B28" s="644"/>
      <c r="C28" s="644"/>
      <c r="D28" s="338">
        <v>58</v>
      </c>
      <c r="E28" s="204"/>
      <c r="F28" s="644"/>
      <c r="G28" s="644"/>
      <c r="H28" s="644"/>
      <c r="I28" s="644"/>
      <c r="J28" s="644"/>
      <c r="K28" s="338">
        <v>10693</v>
      </c>
      <c r="L28" s="651">
        <f t="shared" ref="L28:L33" si="2">K28/(8*D28)</f>
        <v>23.0452586206897</v>
      </c>
      <c r="M28" s="338" t="s">
        <v>2778</v>
      </c>
    </row>
    <row r="29" spans="1:13">
      <c r="A29" s="338">
        <v>20</v>
      </c>
      <c r="B29" s="644"/>
      <c r="C29" s="644"/>
      <c r="D29" s="338">
        <v>87</v>
      </c>
      <c r="E29" s="204"/>
      <c r="F29" s="644"/>
      <c r="G29" s="644"/>
      <c r="H29" s="644"/>
      <c r="I29" s="644"/>
      <c r="J29" s="644"/>
      <c r="K29" s="338">
        <v>10693</v>
      </c>
      <c r="L29" s="651">
        <f t="shared" si="2"/>
        <v>15.3635057471264</v>
      </c>
      <c r="M29" s="338" t="s">
        <v>2778</v>
      </c>
    </row>
    <row r="30" spans="1:13">
      <c r="A30" s="338">
        <v>21</v>
      </c>
      <c r="B30" s="644"/>
      <c r="C30" s="644"/>
      <c r="D30" s="338">
        <v>58</v>
      </c>
      <c r="E30" s="204"/>
      <c r="F30" s="644"/>
      <c r="G30" s="644"/>
      <c r="H30" s="644"/>
      <c r="I30" s="644"/>
      <c r="J30" s="644"/>
      <c r="K30" s="338">
        <v>8064</v>
      </c>
      <c r="L30" s="651">
        <f t="shared" si="2"/>
        <v>17.3793103448276</v>
      </c>
      <c r="M30" s="338" t="s">
        <v>2778</v>
      </c>
    </row>
    <row r="31" spans="1:13">
      <c r="A31" s="338">
        <v>22</v>
      </c>
      <c r="B31" s="644"/>
      <c r="C31" s="644"/>
      <c r="D31" s="338">
        <v>87</v>
      </c>
      <c r="E31" s="204"/>
      <c r="F31" s="644"/>
      <c r="G31" s="644"/>
      <c r="H31" s="644"/>
      <c r="I31" s="644"/>
      <c r="J31" s="644"/>
      <c r="K31" s="338">
        <v>8064</v>
      </c>
      <c r="L31" s="651">
        <f t="shared" si="2"/>
        <v>11.5862068965517</v>
      </c>
      <c r="M31" s="338" t="s">
        <v>2778</v>
      </c>
    </row>
    <row r="32" spans="1:13">
      <c r="A32" s="338">
        <v>23</v>
      </c>
      <c r="B32" s="644"/>
      <c r="C32" s="644"/>
      <c r="D32" s="338">
        <v>58</v>
      </c>
      <c r="E32" s="204"/>
      <c r="F32" s="644"/>
      <c r="G32" s="644"/>
      <c r="H32" s="644"/>
      <c r="I32" s="644"/>
      <c r="J32" s="644"/>
      <c r="K32" s="338">
        <v>10849</v>
      </c>
      <c r="L32" s="651">
        <f t="shared" si="2"/>
        <v>23.3814655172414</v>
      </c>
      <c r="M32" s="338" t="s">
        <v>2778</v>
      </c>
    </row>
    <row r="33" spans="1:13">
      <c r="A33" s="338">
        <v>24</v>
      </c>
      <c r="B33" s="644"/>
      <c r="C33" s="644"/>
      <c r="D33" s="338">
        <v>87</v>
      </c>
      <c r="E33" s="204"/>
      <c r="F33" s="644"/>
      <c r="G33" s="644"/>
      <c r="H33" s="644"/>
      <c r="I33" s="644"/>
      <c r="J33" s="644"/>
      <c r="K33" s="338">
        <v>10849</v>
      </c>
      <c r="L33" s="651">
        <f t="shared" si="2"/>
        <v>15.5876436781609</v>
      </c>
      <c r="M33" s="338" t="s">
        <v>2778</v>
      </c>
    </row>
  </sheetData>
  <protectedRanges>
    <protectedRange sqref="A4:M33" name="範圍1"/>
  </protectedRanges>
  <mergeCells count="8">
    <mergeCell ref="A1:L1"/>
    <mergeCell ref="B2:D2"/>
    <mergeCell ref="E2:G2"/>
    <mergeCell ref="H2:J2"/>
    <mergeCell ref="A2:A3"/>
    <mergeCell ref="K2:K3"/>
    <mergeCell ref="L2:L3"/>
    <mergeCell ref="M2:M3"/>
  </mergeCells>
  <hyperlinks>
    <hyperlink ref="M1" location="目录!A1" display="目录!A1"/>
  </hyperlinks>
  <pageMargins left="0.7" right="0.7" top="0.75" bottom="0.75" header="0.3" footer="0.3"/>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5"/>
  <sheetViews>
    <sheetView topLeftCell="A6" workbookViewId="0">
      <selection activeCell="N10" sqref="N10"/>
    </sheetView>
  </sheetViews>
  <sheetFormatPr defaultColWidth="9" defaultRowHeight="15.6"/>
  <cols>
    <col min="1" max="1" width="3.375" customWidth="1"/>
    <col min="2" max="2" width="17.125" customWidth="1"/>
    <col min="3" max="3" width="5.75" customWidth="1"/>
    <col min="4" max="4" width="4.625" customWidth="1"/>
    <col min="5" max="5" width="9.125" customWidth="1"/>
    <col min="6" max="6" width="4.625" customWidth="1"/>
    <col min="7" max="7" width="3.75" customWidth="1"/>
    <col min="8" max="8" width="4.875" customWidth="1"/>
    <col min="9" max="9" width="8.625" customWidth="1"/>
    <col min="10" max="10" width="6.875" customWidth="1"/>
    <col min="11" max="11" width="5.125" customWidth="1"/>
    <col min="257" max="257" width="3.375" customWidth="1"/>
    <col min="258" max="258" width="17.125" customWidth="1"/>
    <col min="259" max="259" width="5.75" customWidth="1"/>
    <col min="260" max="260" width="4.625" customWidth="1"/>
    <col min="261" max="261" width="9.125" customWidth="1"/>
    <col min="262" max="262" width="4.625" customWidth="1"/>
    <col min="263" max="263" width="3.75" customWidth="1"/>
    <col min="264" max="264" width="4.875" customWidth="1"/>
    <col min="265" max="265" width="8.625" customWidth="1"/>
    <col min="266" max="266" width="6.875" customWidth="1"/>
    <col min="267" max="267" width="5.125" customWidth="1"/>
    <col min="513" max="513" width="3.375" customWidth="1"/>
    <col min="514" max="514" width="17.125" customWidth="1"/>
    <col min="515" max="515" width="5.75" customWidth="1"/>
    <col min="516" max="516" width="4.625" customWidth="1"/>
    <col min="517" max="517" width="9.125" customWidth="1"/>
    <col min="518" max="518" width="4.625" customWidth="1"/>
    <col min="519" max="519" width="3.75" customWidth="1"/>
    <col min="520" max="520" width="4.875" customWidth="1"/>
    <col min="521" max="521" width="8.625" customWidth="1"/>
    <col min="522" max="522" width="6.875" customWidth="1"/>
    <col min="523" max="523" width="5.125" customWidth="1"/>
    <col min="769" max="769" width="3.375" customWidth="1"/>
    <col min="770" max="770" width="17.125" customWidth="1"/>
    <col min="771" max="771" width="5.75" customWidth="1"/>
    <col min="772" max="772" width="4.625" customWidth="1"/>
    <col min="773" max="773" width="9.125" customWidth="1"/>
    <col min="774" max="774" width="4.625" customWidth="1"/>
    <col min="775" max="775" width="3.75" customWidth="1"/>
    <col min="776" max="776" width="4.875" customWidth="1"/>
    <col min="777" max="777" width="8.625" customWidth="1"/>
    <col min="778" max="778" width="6.875" customWidth="1"/>
    <col min="779" max="779" width="5.125" customWidth="1"/>
    <col min="1025" max="1025" width="3.375" customWidth="1"/>
    <col min="1026" max="1026" width="17.125" customWidth="1"/>
    <col min="1027" max="1027" width="5.75" customWidth="1"/>
    <col min="1028" max="1028" width="4.625" customWidth="1"/>
    <col min="1029" max="1029" width="9.125" customWidth="1"/>
    <col min="1030" max="1030" width="4.625" customWidth="1"/>
    <col min="1031" max="1031" width="3.75" customWidth="1"/>
    <col min="1032" max="1032" width="4.875" customWidth="1"/>
    <col min="1033" max="1033" width="8.625" customWidth="1"/>
    <col min="1034" max="1034" width="6.875" customWidth="1"/>
    <col min="1035" max="1035" width="5.125" customWidth="1"/>
    <col min="1281" max="1281" width="3.375" customWidth="1"/>
    <col min="1282" max="1282" width="17.125" customWidth="1"/>
    <col min="1283" max="1283" width="5.75" customWidth="1"/>
    <col min="1284" max="1284" width="4.625" customWidth="1"/>
    <col min="1285" max="1285" width="9.125" customWidth="1"/>
    <col min="1286" max="1286" width="4.625" customWidth="1"/>
    <col min="1287" max="1287" width="3.75" customWidth="1"/>
    <col min="1288" max="1288" width="4.875" customWidth="1"/>
    <col min="1289" max="1289" width="8.625" customWidth="1"/>
    <col min="1290" max="1290" width="6.875" customWidth="1"/>
    <col min="1291" max="1291" width="5.125" customWidth="1"/>
    <col min="1537" max="1537" width="3.375" customWidth="1"/>
    <col min="1538" max="1538" width="17.125" customWidth="1"/>
    <col min="1539" max="1539" width="5.75" customWidth="1"/>
    <col min="1540" max="1540" width="4.625" customWidth="1"/>
    <col min="1541" max="1541" width="9.125" customWidth="1"/>
    <col min="1542" max="1542" width="4.625" customWidth="1"/>
    <col min="1543" max="1543" width="3.75" customWidth="1"/>
    <col min="1544" max="1544" width="4.875" customWidth="1"/>
    <col min="1545" max="1545" width="8.625" customWidth="1"/>
    <col min="1546" max="1546" width="6.875" customWidth="1"/>
    <col min="1547" max="1547" width="5.125" customWidth="1"/>
    <col min="1793" max="1793" width="3.375" customWidth="1"/>
    <col min="1794" max="1794" width="17.125" customWidth="1"/>
    <col min="1795" max="1795" width="5.75" customWidth="1"/>
    <col min="1796" max="1796" width="4.625" customWidth="1"/>
    <col min="1797" max="1797" width="9.125" customWidth="1"/>
    <col min="1798" max="1798" width="4.625" customWidth="1"/>
    <col min="1799" max="1799" width="3.75" customWidth="1"/>
    <col min="1800" max="1800" width="4.875" customWidth="1"/>
    <col min="1801" max="1801" width="8.625" customWidth="1"/>
    <col min="1802" max="1802" width="6.875" customWidth="1"/>
    <col min="1803" max="1803" width="5.125" customWidth="1"/>
    <col min="2049" max="2049" width="3.375" customWidth="1"/>
    <col min="2050" max="2050" width="17.125" customWidth="1"/>
    <col min="2051" max="2051" width="5.75" customWidth="1"/>
    <col min="2052" max="2052" width="4.625" customWidth="1"/>
    <col min="2053" max="2053" width="9.125" customWidth="1"/>
    <col min="2054" max="2054" width="4.625" customWidth="1"/>
    <col min="2055" max="2055" width="3.75" customWidth="1"/>
    <col min="2056" max="2056" width="4.875" customWidth="1"/>
    <col min="2057" max="2057" width="8.625" customWidth="1"/>
    <col min="2058" max="2058" width="6.875" customWidth="1"/>
    <col min="2059" max="2059" width="5.125" customWidth="1"/>
    <col min="2305" max="2305" width="3.375" customWidth="1"/>
    <col min="2306" max="2306" width="17.125" customWidth="1"/>
    <col min="2307" max="2307" width="5.75" customWidth="1"/>
    <col min="2308" max="2308" width="4.625" customWidth="1"/>
    <col min="2309" max="2309" width="9.125" customWidth="1"/>
    <col min="2310" max="2310" width="4.625" customWidth="1"/>
    <col min="2311" max="2311" width="3.75" customWidth="1"/>
    <col min="2312" max="2312" width="4.875" customWidth="1"/>
    <col min="2313" max="2313" width="8.625" customWidth="1"/>
    <col min="2314" max="2314" width="6.875" customWidth="1"/>
    <col min="2315" max="2315" width="5.125" customWidth="1"/>
    <col min="2561" max="2561" width="3.375" customWidth="1"/>
    <col min="2562" max="2562" width="17.125" customWidth="1"/>
    <col min="2563" max="2563" width="5.75" customWidth="1"/>
    <col min="2564" max="2564" width="4.625" customWidth="1"/>
    <col min="2565" max="2565" width="9.125" customWidth="1"/>
    <col min="2566" max="2566" width="4.625" customWidth="1"/>
    <col min="2567" max="2567" width="3.75" customWidth="1"/>
    <col min="2568" max="2568" width="4.875" customWidth="1"/>
    <col min="2569" max="2569" width="8.625" customWidth="1"/>
    <col min="2570" max="2570" width="6.875" customWidth="1"/>
    <col min="2571" max="2571" width="5.125" customWidth="1"/>
    <col min="2817" max="2817" width="3.375" customWidth="1"/>
    <col min="2818" max="2818" width="17.125" customWidth="1"/>
    <col min="2819" max="2819" width="5.75" customWidth="1"/>
    <col min="2820" max="2820" width="4.625" customWidth="1"/>
    <col min="2821" max="2821" width="9.125" customWidth="1"/>
    <col min="2822" max="2822" width="4.625" customWidth="1"/>
    <col min="2823" max="2823" width="3.75" customWidth="1"/>
    <col min="2824" max="2824" width="4.875" customWidth="1"/>
    <col min="2825" max="2825" width="8.625" customWidth="1"/>
    <col min="2826" max="2826" width="6.875" customWidth="1"/>
    <col min="2827" max="2827" width="5.125" customWidth="1"/>
    <col min="3073" max="3073" width="3.375" customWidth="1"/>
    <col min="3074" max="3074" width="17.125" customWidth="1"/>
    <col min="3075" max="3075" width="5.75" customWidth="1"/>
    <col min="3076" max="3076" width="4.625" customWidth="1"/>
    <col min="3077" max="3077" width="9.125" customWidth="1"/>
    <col min="3078" max="3078" width="4.625" customWidth="1"/>
    <col min="3079" max="3079" width="3.75" customWidth="1"/>
    <col min="3080" max="3080" width="4.875" customWidth="1"/>
    <col min="3081" max="3081" width="8.625" customWidth="1"/>
    <col min="3082" max="3082" width="6.875" customWidth="1"/>
    <col min="3083" max="3083" width="5.125" customWidth="1"/>
    <col min="3329" max="3329" width="3.375" customWidth="1"/>
    <col min="3330" max="3330" width="17.125" customWidth="1"/>
    <col min="3331" max="3331" width="5.75" customWidth="1"/>
    <col min="3332" max="3332" width="4.625" customWidth="1"/>
    <col min="3333" max="3333" width="9.125" customWidth="1"/>
    <col min="3334" max="3334" width="4.625" customWidth="1"/>
    <col min="3335" max="3335" width="3.75" customWidth="1"/>
    <col min="3336" max="3336" width="4.875" customWidth="1"/>
    <col min="3337" max="3337" width="8.625" customWidth="1"/>
    <col min="3338" max="3338" width="6.875" customWidth="1"/>
    <col min="3339" max="3339" width="5.125" customWidth="1"/>
    <col min="3585" max="3585" width="3.375" customWidth="1"/>
    <col min="3586" max="3586" width="17.125" customWidth="1"/>
    <col min="3587" max="3587" width="5.75" customWidth="1"/>
    <col min="3588" max="3588" width="4.625" customWidth="1"/>
    <col min="3589" max="3589" width="9.125" customWidth="1"/>
    <col min="3590" max="3590" width="4.625" customWidth="1"/>
    <col min="3591" max="3591" width="3.75" customWidth="1"/>
    <col min="3592" max="3592" width="4.875" customWidth="1"/>
    <col min="3593" max="3593" width="8.625" customWidth="1"/>
    <col min="3594" max="3594" width="6.875" customWidth="1"/>
    <col min="3595" max="3595" width="5.125" customWidth="1"/>
    <col min="3841" max="3841" width="3.375" customWidth="1"/>
    <col min="3842" max="3842" width="17.125" customWidth="1"/>
    <col min="3843" max="3843" width="5.75" customWidth="1"/>
    <col min="3844" max="3844" width="4.625" customWidth="1"/>
    <col min="3845" max="3845" width="9.125" customWidth="1"/>
    <col min="3846" max="3846" width="4.625" customWidth="1"/>
    <col min="3847" max="3847" width="3.75" customWidth="1"/>
    <col min="3848" max="3848" width="4.875" customWidth="1"/>
    <col min="3849" max="3849" width="8.625" customWidth="1"/>
    <col min="3850" max="3850" width="6.875" customWidth="1"/>
    <col min="3851" max="3851" width="5.125" customWidth="1"/>
    <col min="4097" max="4097" width="3.375" customWidth="1"/>
    <col min="4098" max="4098" width="17.125" customWidth="1"/>
    <col min="4099" max="4099" width="5.75" customWidth="1"/>
    <col min="4100" max="4100" width="4.625" customWidth="1"/>
    <col min="4101" max="4101" width="9.125" customWidth="1"/>
    <col min="4102" max="4102" width="4.625" customWidth="1"/>
    <col min="4103" max="4103" width="3.75" customWidth="1"/>
    <col min="4104" max="4104" width="4.875" customWidth="1"/>
    <col min="4105" max="4105" width="8.625" customWidth="1"/>
    <col min="4106" max="4106" width="6.875" customWidth="1"/>
    <col min="4107" max="4107" width="5.125" customWidth="1"/>
    <col min="4353" max="4353" width="3.375" customWidth="1"/>
    <col min="4354" max="4354" width="17.125" customWidth="1"/>
    <col min="4355" max="4355" width="5.75" customWidth="1"/>
    <col min="4356" max="4356" width="4.625" customWidth="1"/>
    <col min="4357" max="4357" width="9.125" customWidth="1"/>
    <col min="4358" max="4358" width="4.625" customWidth="1"/>
    <col min="4359" max="4359" width="3.75" customWidth="1"/>
    <col min="4360" max="4360" width="4.875" customWidth="1"/>
    <col min="4361" max="4361" width="8.625" customWidth="1"/>
    <col min="4362" max="4362" width="6.875" customWidth="1"/>
    <col min="4363" max="4363" width="5.125" customWidth="1"/>
    <col min="4609" max="4609" width="3.375" customWidth="1"/>
    <col min="4610" max="4610" width="17.125" customWidth="1"/>
    <col min="4611" max="4611" width="5.75" customWidth="1"/>
    <col min="4612" max="4612" width="4.625" customWidth="1"/>
    <col min="4613" max="4613" width="9.125" customWidth="1"/>
    <col min="4614" max="4614" width="4.625" customWidth="1"/>
    <col min="4615" max="4615" width="3.75" customWidth="1"/>
    <col min="4616" max="4616" width="4.875" customWidth="1"/>
    <col min="4617" max="4617" width="8.625" customWidth="1"/>
    <col min="4618" max="4618" width="6.875" customWidth="1"/>
    <col min="4619" max="4619" width="5.125" customWidth="1"/>
    <col min="4865" max="4865" width="3.375" customWidth="1"/>
    <col min="4866" max="4866" width="17.125" customWidth="1"/>
    <col min="4867" max="4867" width="5.75" customWidth="1"/>
    <col min="4868" max="4868" width="4.625" customWidth="1"/>
    <col min="4869" max="4869" width="9.125" customWidth="1"/>
    <col min="4870" max="4870" width="4.625" customWidth="1"/>
    <col min="4871" max="4871" width="3.75" customWidth="1"/>
    <col min="4872" max="4872" width="4.875" customWidth="1"/>
    <col min="4873" max="4873" width="8.625" customWidth="1"/>
    <col min="4874" max="4874" width="6.875" customWidth="1"/>
    <col min="4875" max="4875" width="5.125" customWidth="1"/>
    <col min="5121" max="5121" width="3.375" customWidth="1"/>
    <col min="5122" max="5122" width="17.125" customWidth="1"/>
    <col min="5123" max="5123" width="5.75" customWidth="1"/>
    <col min="5124" max="5124" width="4.625" customWidth="1"/>
    <col min="5125" max="5125" width="9.125" customWidth="1"/>
    <col min="5126" max="5126" width="4.625" customWidth="1"/>
    <col min="5127" max="5127" width="3.75" customWidth="1"/>
    <col min="5128" max="5128" width="4.875" customWidth="1"/>
    <col min="5129" max="5129" width="8.625" customWidth="1"/>
    <col min="5130" max="5130" width="6.875" customWidth="1"/>
    <col min="5131" max="5131" width="5.125" customWidth="1"/>
    <col min="5377" max="5377" width="3.375" customWidth="1"/>
    <col min="5378" max="5378" width="17.125" customWidth="1"/>
    <col min="5379" max="5379" width="5.75" customWidth="1"/>
    <col min="5380" max="5380" width="4.625" customWidth="1"/>
    <col min="5381" max="5381" width="9.125" customWidth="1"/>
    <col min="5382" max="5382" width="4.625" customWidth="1"/>
    <col min="5383" max="5383" width="3.75" customWidth="1"/>
    <col min="5384" max="5384" width="4.875" customWidth="1"/>
    <col min="5385" max="5385" width="8.625" customWidth="1"/>
    <col min="5386" max="5386" width="6.875" customWidth="1"/>
    <col min="5387" max="5387" width="5.125" customWidth="1"/>
    <col min="5633" max="5633" width="3.375" customWidth="1"/>
    <col min="5634" max="5634" width="17.125" customWidth="1"/>
    <col min="5635" max="5635" width="5.75" customWidth="1"/>
    <col min="5636" max="5636" width="4.625" customWidth="1"/>
    <col min="5637" max="5637" width="9.125" customWidth="1"/>
    <col min="5638" max="5638" width="4.625" customWidth="1"/>
    <col min="5639" max="5639" width="3.75" customWidth="1"/>
    <col min="5640" max="5640" width="4.875" customWidth="1"/>
    <col min="5641" max="5641" width="8.625" customWidth="1"/>
    <col min="5642" max="5642" width="6.875" customWidth="1"/>
    <col min="5643" max="5643" width="5.125" customWidth="1"/>
    <col min="5889" max="5889" width="3.375" customWidth="1"/>
    <col min="5890" max="5890" width="17.125" customWidth="1"/>
    <col min="5891" max="5891" width="5.75" customWidth="1"/>
    <col min="5892" max="5892" width="4.625" customWidth="1"/>
    <col min="5893" max="5893" width="9.125" customWidth="1"/>
    <col min="5894" max="5894" width="4.625" customWidth="1"/>
    <col min="5895" max="5895" width="3.75" customWidth="1"/>
    <col min="5896" max="5896" width="4.875" customWidth="1"/>
    <col min="5897" max="5897" width="8.625" customWidth="1"/>
    <col min="5898" max="5898" width="6.875" customWidth="1"/>
    <col min="5899" max="5899" width="5.125" customWidth="1"/>
    <col min="6145" max="6145" width="3.375" customWidth="1"/>
    <col min="6146" max="6146" width="17.125" customWidth="1"/>
    <col min="6147" max="6147" width="5.75" customWidth="1"/>
    <col min="6148" max="6148" width="4.625" customWidth="1"/>
    <col min="6149" max="6149" width="9.125" customWidth="1"/>
    <col min="6150" max="6150" width="4.625" customWidth="1"/>
    <col min="6151" max="6151" width="3.75" customWidth="1"/>
    <col min="6152" max="6152" width="4.875" customWidth="1"/>
    <col min="6153" max="6153" width="8.625" customWidth="1"/>
    <col min="6154" max="6154" width="6.875" customWidth="1"/>
    <col min="6155" max="6155" width="5.125" customWidth="1"/>
    <col min="6401" max="6401" width="3.375" customWidth="1"/>
    <col min="6402" max="6402" width="17.125" customWidth="1"/>
    <col min="6403" max="6403" width="5.75" customWidth="1"/>
    <col min="6404" max="6404" width="4.625" customWidth="1"/>
    <col min="6405" max="6405" width="9.125" customWidth="1"/>
    <col min="6406" max="6406" width="4.625" customWidth="1"/>
    <col min="6407" max="6407" width="3.75" customWidth="1"/>
    <col min="6408" max="6408" width="4.875" customWidth="1"/>
    <col min="6409" max="6409" width="8.625" customWidth="1"/>
    <col min="6410" max="6410" width="6.875" customWidth="1"/>
    <col min="6411" max="6411" width="5.125" customWidth="1"/>
    <col min="6657" max="6657" width="3.375" customWidth="1"/>
    <col min="6658" max="6658" width="17.125" customWidth="1"/>
    <col min="6659" max="6659" width="5.75" customWidth="1"/>
    <col min="6660" max="6660" width="4.625" customWidth="1"/>
    <col min="6661" max="6661" width="9.125" customWidth="1"/>
    <col min="6662" max="6662" width="4.625" customWidth="1"/>
    <col min="6663" max="6663" width="3.75" customWidth="1"/>
    <col min="6664" max="6664" width="4.875" customWidth="1"/>
    <col min="6665" max="6665" width="8.625" customWidth="1"/>
    <col min="6666" max="6666" width="6.875" customWidth="1"/>
    <col min="6667" max="6667" width="5.125" customWidth="1"/>
    <col min="6913" max="6913" width="3.375" customWidth="1"/>
    <col min="6914" max="6914" width="17.125" customWidth="1"/>
    <col min="6915" max="6915" width="5.75" customWidth="1"/>
    <col min="6916" max="6916" width="4.625" customWidth="1"/>
    <col min="6917" max="6917" width="9.125" customWidth="1"/>
    <col min="6918" max="6918" width="4.625" customWidth="1"/>
    <col min="6919" max="6919" width="3.75" customWidth="1"/>
    <col min="6920" max="6920" width="4.875" customWidth="1"/>
    <col min="6921" max="6921" width="8.625" customWidth="1"/>
    <col min="6922" max="6922" width="6.875" customWidth="1"/>
    <col min="6923" max="6923" width="5.125" customWidth="1"/>
    <col min="7169" max="7169" width="3.375" customWidth="1"/>
    <col min="7170" max="7170" width="17.125" customWidth="1"/>
    <col min="7171" max="7171" width="5.75" customWidth="1"/>
    <col min="7172" max="7172" width="4.625" customWidth="1"/>
    <col min="7173" max="7173" width="9.125" customWidth="1"/>
    <col min="7174" max="7174" width="4.625" customWidth="1"/>
    <col min="7175" max="7175" width="3.75" customWidth="1"/>
    <col min="7176" max="7176" width="4.875" customWidth="1"/>
    <col min="7177" max="7177" width="8.625" customWidth="1"/>
    <col min="7178" max="7178" width="6.875" customWidth="1"/>
    <col min="7179" max="7179" width="5.125" customWidth="1"/>
    <col min="7425" max="7425" width="3.375" customWidth="1"/>
    <col min="7426" max="7426" width="17.125" customWidth="1"/>
    <col min="7427" max="7427" width="5.75" customWidth="1"/>
    <col min="7428" max="7428" width="4.625" customWidth="1"/>
    <col min="7429" max="7429" width="9.125" customWidth="1"/>
    <col min="7430" max="7430" width="4.625" customWidth="1"/>
    <col min="7431" max="7431" width="3.75" customWidth="1"/>
    <col min="7432" max="7432" width="4.875" customWidth="1"/>
    <col min="7433" max="7433" width="8.625" customWidth="1"/>
    <col min="7434" max="7434" width="6.875" customWidth="1"/>
    <col min="7435" max="7435" width="5.125" customWidth="1"/>
    <col min="7681" max="7681" width="3.375" customWidth="1"/>
    <col min="7682" max="7682" width="17.125" customWidth="1"/>
    <col min="7683" max="7683" width="5.75" customWidth="1"/>
    <col min="7684" max="7684" width="4.625" customWidth="1"/>
    <col min="7685" max="7685" width="9.125" customWidth="1"/>
    <col min="7686" max="7686" width="4.625" customWidth="1"/>
    <col min="7687" max="7687" width="3.75" customWidth="1"/>
    <col min="7688" max="7688" width="4.875" customWidth="1"/>
    <col min="7689" max="7689" width="8.625" customWidth="1"/>
    <col min="7690" max="7690" width="6.875" customWidth="1"/>
    <col min="7691" max="7691" width="5.125" customWidth="1"/>
    <col min="7937" max="7937" width="3.375" customWidth="1"/>
    <col min="7938" max="7938" width="17.125" customWidth="1"/>
    <col min="7939" max="7939" width="5.75" customWidth="1"/>
    <col min="7940" max="7940" width="4.625" customWidth="1"/>
    <col min="7941" max="7941" width="9.125" customWidth="1"/>
    <col min="7942" max="7942" width="4.625" customWidth="1"/>
    <col min="7943" max="7943" width="3.75" customWidth="1"/>
    <col min="7944" max="7944" width="4.875" customWidth="1"/>
    <col min="7945" max="7945" width="8.625" customWidth="1"/>
    <col min="7946" max="7946" width="6.875" customWidth="1"/>
    <col min="7947" max="7947" width="5.125" customWidth="1"/>
    <col min="8193" max="8193" width="3.375" customWidth="1"/>
    <col min="8194" max="8194" width="17.125" customWidth="1"/>
    <col min="8195" max="8195" width="5.75" customWidth="1"/>
    <col min="8196" max="8196" width="4.625" customWidth="1"/>
    <col min="8197" max="8197" width="9.125" customWidth="1"/>
    <col min="8198" max="8198" width="4.625" customWidth="1"/>
    <col min="8199" max="8199" width="3.75" customWidth="1"/>
    <col min="8200" max="8200" width="4.875" customWidth="1"/>
    <col min="8201" max="8201" width="8.625" customWidth="1"/>
    <col min="8202" max="8202" width="6.875" customWidth="1"/>
    <col min="8203" max="8203" width="5.125" customWidth="1"/>
    <col min="8449" max="8449" width="3.375" customWidth="1"/>
    <col min="8450" max="8450" width="17.125" customWidth="1"/>
    <col min="8451" max="8451" width="5.75" customWidth="1"/>
    <col min="8452" max="8452" width="4.625" customWidth="1"/>
    <col min="8453" max="8453" width="9.125" customWidth="1"/>
    <col min="8454" max="8454" width="4.625" customWidth="1"/>
    <col min="8455" max="8455" width="3.75" customWidth="1"/>
    <col min="8456" max="8456" width="4.875" customWidth="1"/>
    <col min="8457" max="8457" width="8.625" customWidth="1"/>
    <col min="8458" max="8458" width="6.875" customWidth="1"/>
    <col min="8459" max="8459" width="5.125" customWidth="1"/>
    <col min="8705" max="8705" width="3.375" customWidth="1"/>
    <col min="8706" max="8706" width="17.125" customWidth="1"/>
    <col min="8707" max="8707" width="5.75" customWidth="1"/>
    <col min="8708" max="8708" width="4.625" customWidth="1"/>
    <col min="8709" max="8709" width="9.125" customWidth="1"/>
    <col min="8710" max="8710" width="4.625" customWidth="1"/>
    <col min="8711" max="8711" width="3.75" customWidth="1"/>
    <col min="8712" max="8712" width="4.875" customWidth="1"/>
    <col min="8713" max="8713" width="8.625" customWidth="1"/>
    <col min="8714" max="8714" width="6.875" customWidth="1"/>
    <col min="8715" max="8715" width="5.125" customWidth="1"/>
    <col min="8961" max="8961" width="3.375" customWidth="1"/>
    <col min="8962" max="8962" width="17.125" customWidth="1"/>
    <col min="8963" max="8963" width="5.75" customWidth="1"/>
    <col min="8964" max="8964" width="4.625" customWidth="1"/>
    <col min="8965" max="8965" width="9.125" customWidth="1"/>
    <col min="8966" max="8966" width="4.625" customWidth="1"/>
    <col min="8967" max="8967" width="3.75" customWidth="1"/>
    <col min="8968" max="8968" width="4.875" customWidth="1"/>
    <col min="8969" max="8969" width="8.625" customWidth="1"/>
    <col min="8970" max="8970" width="6.875" customWidth="1"/>
    <col min="8971" max="8971" width="5.125" customWidth="1"/>
    <col min="9217" max="9217" width="3.375" customWidth="1"/>
    <col min="9218" max="9218" width="17.125" customWidth="1"/>
    <col min="9219" max="9219" width="5.75" customWidth="1"/>
    <col min="9220" max="9220" width="4.625" customWidth="1"/>
    <col min="9221" max="9221" width="9.125" customWidth="1"/>
    <col min="9222" max="9222" width="4.625" customWidth="1"/>
    <col min="9223" max="9223" width="3.75" customWidth="1"/>
    <col min="9224" max="9224" width="4.875" customWidth="1"/>
    <col min="9225" max="9225" width="8.625" customWidth="1"/>
    <col min="9226" max="9226" width="6.875" customWidth="1"/>
    <col min="9227" max="9227" width="5.125" customWidth="1"/>
    <col min="9473" max="9473" width="3.375" customWidth="1"/>
    <col min="9474" max="9474" width="17.125" customWidth="1"/>
    <col min="9475" max="9475" width="5.75" customWidth="1"/>
    <col min="9476" max="9476" width="4.625" customWidth="1"/>
    <col min="9477" max="9477" width="9.125" customWidth="1"/>
    <col min="9478" max="9478" width="4.625" customWidth="1"/>
    <col min="9479" max="9479" width="3.75" customWidth="1"/>
    <col min="9480" max="9480" width="4.875" customWidth="1"/>
    <col min="9481" max="9481" width="8.625" customWidth="1"/>
    <col min="9482" max="9482" width="6.875" customWidth="1"/>
    <col min="9483" max="9483" width="5.125" customWidth="1"/>
    <col min="9729" max="9729" width="3.375" customWidth="1"/>
    <col min="9730" max="9730" width="17.125" customWidth="1"/>
    <col min="9731" max="9731" width="5.75" customWidth="1"/>
    <col min="9732" max="9732" width="4.625" customWidth="1"/>
    <col min="9733" max="9733" width="9.125" customWidth="1"/>
    <col min="9734" max="9734" width="4.625" customWidth="1"/>
    <col min="9735" max="9735" width="3.75" customWidth="1"/>
    <col min="9736" max="9736" width="4.875" customWidth="1"/>
    <col min="9737" max="9737" width="8.625" customWidth="1"/>
    <col min="9738" max="9738" width="6.875" customWidth="1"/>
    <col min="9739" max="9739" width="5.125" customWidth="1"/>
    <col min="9985" max="9985" width="3.375" customWidth="1"/>
    <col min="9986" max="9986" width="17.125" customWidth="1"/>
    <col min="9987" max="9987" width="5.75" customWidth="1"/>
    <col min="9988" max="9988" width="4.625" customWidth="1"/>
    <col min="9989" max="9989" width="9.125" customWidth="1"/>
    <col min="9990" max="9990" width="4.625" customWidth="1"/>
    <col min="9991" max="9991" width="3.75" customWidth="1"/>
    <col min="9992" max="9992" width="4.875" customWidth="1"/>
    <col min="9993" max="9993" width="8.625" customWidth="1"/>
    <col min="9994" max="9994" width="6.875" customWidth="1"/>
    <col min="9995" max="9995" width="5.125" customWidth="1"/>
    <col min="10241" max="10241" width="3.375" customWidth="1"/>
    <col min="10242" max="10242" width="17.125" customWidth="1"/>
    <col min="10243" max="10243" width="5.75" customWidth="1"/>
    <col min="10244" max="10244" width="4.625" customWidth="1"/>
    <col min="10245" max="10245" width="9.125" customWidth="1"/>
    <col min="10246" max="10246" width="4.625" customWidth="1"/>
    <col min="10247" max="10247" width="3.75" customWidth="1"/>
    <col min="10248" max="10248" width="4.875" customWidth="1"/>
    <col min="10249" max="10249" width="8.625" customWidth="1"/>
    <col min="10250" max="10250" width="6.875" customWidth="1"/>
    <col min="10251" max="10251" width="5.125" customWidth="1"/>
    <col min="10497" max="10497" width="3.375" customWidth="1"/>
    <col min="10498" max="10498" width="17.125" customWidth="1"/>
    <col min="10499" max="10499" width="5.75" customWidth="1"/>
    <col min="10500" max="10500" width="4.625" customWidth="1"/>
    <col min="10501" max="10501" width="9.125" customWidth="1"/>
    <col min="10502" max="10502" width="4.625" customWidth="1"/>
    <col min="10503" max="10503" width="3.75" customWidth="1"/>
    <col min="10504" max="10504" width="4.875" customWidth="1"/>
    <col min="10505" max="10505" width="8.625" customWidth="1"/>
    <col min="10506" max="10506" width="6.875" customWidth="1"/>
    <col min="10507" max="10507" width="5.125" customWidth="1"/>
    <col min="10753" max="10753" width="3.375" customWidth="1"/>
    <col min="10754" max="10754" width="17.125" customWidth="1"/>
    <col min="10755" max="10755" width="5.75" customWidth="1"/>
    <col min="10756" max="10756" width="4.625" customWidth="1"/>
    <col min="10757" max="10757" width="9.125" customWidth="1"/>
    <col min="10758" max="10758" width="4.625" customWidth="1"/>
    <col min="10759" max="10759" width="3.75" customWidth="1"/>
    <col min="10760" max="10760" width="4.875" customWidth="1"/>
    <col min="10761" max="10761" width="8.625" customWidth="1"/>
    <col min="10762" max="10762" width="6.875" customWidth="1"/>
    <col min="10763" max="10763" width="5.125" customWidth="1"/>
    <col min="11009" max="11009" width="3.375" customWidth="1"/>
    <col min="11010" max="11010" width="17.125" customWidth="1"/>
    <col min="11011" max="11011" width="5.75" customWidth="1"/>
    <col min="11012" max="11012" width="4.625" customWidth="1"/>
    <col min="11013" max="11013" width="9.125" customWidth="1"/>
    <col min="11014" max="11014" width="4.625" customWidth="1"/>
    <col min="11015" max="11015" width="3.75" customWidth="1"/>
    <col min="11016" max="11016" width="4.875" customWidth="1"/>
    <col min="11017" max="11017" width="8.625" customWidth="1"/>
    <col min="11018" max="11018" width="6.875" customWidth="1"/>
    <col min="11019" max="11019" width="5.125" customWidth="1"/>
    <col min="11265" max="11265" width="3.375" customWidth="1"/>
    <col min="11266" max="11266" width="17.125" customWidth="1"/>
    <col min="11267" max="11267" width="5.75" customWidth="1"/>
    <col min="11268" max="11268" width="4.625" customWidth="1"/>
    <col min="11269" max="11269" width="9.125" customWidth="1"/>
    <col min="11270" max="11270" width="4.625" customWidth="1"/>
    <col min="11271" max="11271" width="3.75" customWidth="1"/>
    <col min="11272" max="11272" width="4.875" customWidth="1"/>
    <col min="11273" max="11273" width="8.625" customWidth="1"/>
    <col min="11274" max="11274" width="6.875" customWidth="1"/>
    <col min="11275" max="11275" width="5.125" customWidth="1"/>
    <col min="11521" max="11521" width="3.375" customWidth="1"/>
    <col min="11522" max="11522" width="17.125" customWidth="1"/>
    <col min="11523" max="11523" width="5.75" customWidth="1"/>
    <col min="11524" max="11524" width="4.625" customWidth="1"/>
    <col min="11525" max="11525" width="9.125" customWidth="1"/>
    <col min="11526" max="11526" width="4.625" customWidth="1"/>
    <col min="11527" max="11527" width="3.75" customWidth="1"/>
    <col min="11528" max="11528" width="4.875" customWidth="1"/>
    <col min="11529" max="11529" width="8.625" customWidth="1"/>
    <col min="11530" max="11530" width="6.875" customWidth="1"/>
    <col min="11531" max="11531" width="5.125" customWidth="1"/>
    <col min="11777" max="11777" width="3.375" customWidth="1"/>
    <col min="11778" max="11778" width="17.125" customWidth="1"/>
    <col min="11779" max="11779" width="5.75" customWidth="1"/>
    <col min="11780" max="11780" width="4.625" customWidth="1"/>
    <col min="11781" max="11781" width="9.125" customWidth="1"/>
    <col min="11782" max="11782" width="4.625" customWidth="1"/>
    <col min="11783" max="11783" width="3.75" customWidth="1"/>
    <col min="11784" max="11784" width="4.875" customWidth="1"/>
    <col min="11785" max="11785" width="8.625" customWidth="1"/>
    <col min="11786" max="11786" width="6.875" customWidth="1"/>
    <col min="11787" max="11787" width="5.125" customWidth="1"/>
    <col min="12033" max="12033" width="3.375" customWidth="1"/>
    <col min="12034" max="12034" width="17.125" customWidth="1"/>
    <col min="12035" max="12035" width="5.75" customWidth="1"/>
    <col min="12036" max="12036" width="4.625" customWidth="1"/>
    <col min="12037" max="12037" width="9.125" customWidth="1"/>
    <col min="12038" max="12038" width="4.625" customWidth="1"/>
    <col min="12039" max="12039" width="3.75" customWidth="1"/>
    <col min="12040" max="12040" width="4.875" customWidth="1"/>
    <col min="12041" max="12041" width="8.625" customWidth="1"/>
    <col min="12042" max="12042" width="6.875" customWidth="1"/>
    <col min="12043" max="12043" width="5.125" customWidth="1"/>
    <col min="12289" max="12289" width="3.375" customWidth="1"/>
    <col min="12290" max="12290" width="17.125" customWidth="1"/>
    <col min="12291" max="12291" width="5.75" customWidth="1"/>
    <col min="12292" max="12292" width="4.625" customWidth="1"/>
    <col min="12293" max="12293" width="9.125" customWidth="1"/>
    <col min="12294" max="12294" width="4.625" customWidth="1"/>
    <col min="12295" max="12295" width="3.75" customWidth="1"/>
    <col min="12296" max="12296" width="4.875" customWidth="1"/>
    <col min="12297" max="12297" width="8.625" customWidth="1"/>
    <col min="12298" max="12298" width="6.875" customWidth="1"/>
    <col min="12299" max="12299" width="5.125" customWidth="1"/>
    <col min="12545" max="12545" width="3.375" customWidth="1"/>
    <col min="12546" max="12546" width="17.125" customWidth="1"/>
    <col min="12547" max="12547" width="5.75" customWidth="1"/>
    <col min="12548" max="12548" width="4.625" customWidth="1"/>
    <col min="12549" max="12549" width="9.125" customWidth="1"/>
    <col min="12550" max="12550" width="4.625" customWidth="1"/>
    <col min="12551" max="12551" width="3.75" customWidth="1"/>
    <col min="12552" max="12552" width="4.875" customWidth="1"/>
    <col min="12553" max="12553" width="8.625" customWidth="1"/>
    <col min="12554" max="12554" width="6.875" customWidth="1"/>
    <col min="12555" max="12555" width="5.125" customWidth="1"/>
    <col min="12801" max="12801" width="3.375" customWidth="1"/>
    <col min="12802" max="12802" width="17.125" customWidth="1"/>
    <col min="12803" max="12803" width="5.75" customWidth="1"/>
    <col min="12804" max="12804" width="4.625" customWidth="1"/>
    <col min="12805" max="12805" width="9.125" customWidth="1"/>
    <col min="12806" max="12806" width="4.625" customWidth="1"/>
    <col min="12807" max="12807" width="3.75" customWidth="1"/>
    <col min="12808" max="12808" width="4.875" customWidth="1"/>
    <col min="12809" max="12809" width="8.625" customWidth="1"/>
    <col min="12810" max="12810" width="6.875" customWidth="1"/>
    <col min="12811" max="12811" width="5.125" customWidth="1"/>
    <col min="13057" max="13057" width="3.375" customWidth="1"/>
    <col min="13058" max="13058" width="17.125" customWidth="1"/>
    <col min="13059" max="13059" width="5.75" customWidth="1"/>
    <col min="13060" max="13060" width="4.625" customWidth="1"/>
    <col min="13061" max="13061" width="9.125" customWidth="1"/>
    <col min="13062" max="13062" width="4.625" customWidth="1"/>
    <col min="13063" max="13063" width="3.75" customWidth="1"/>
    <col min="13064" max="13064" width="4.875" customWidth="1"/>
    <col min="13065" max="13065" width="8.625" customWidth="1"/>
    <col min="13066" max="13066" width="6.875" customWidth="1"/>
    <col min="13067" max="13067" width="5.125" customWidth="1"/>
    <col min="13313" max="13313" width="3.375" customWidth="1"/>
    <col min="13314" max="13314" width="17.125" customWidth="1"/>
    <col min="13315" max="13315" width="5.75" customWidth="1"/>
    <col min="13316" max="13316" width="4.625" customWidth="1"/>
    <col min="13317" max="13317" width="9.125" customWidth="1"/>
    <col min="13318" max="13318" width="4.625" customWidth="1"/>
    <col min="13319" max="13319" width="3.75" customWidth="1"/>
    <col min="13320" max="13320" width="4.875" customWidth="1"/>
    <col min="13321" max="13321" width="8.625" customWidth="1"/>
    <col min="13322" max="13322" width="6.875" customWidth="1"/>
    <col min="13323" max="13323" width="5.125" customWidth="1"/>
    <col min="13569" max="13569" width="3.375" customWidth="1"/>
    <col min="13570" max="13570" width="17.125" customWidth="1"/>
    <col min="13571" max="13571" width="5.75" customWidth="1"/>
    <col min="13572" max="13572" width="4.625" customWidth="1"/>
    <col min="13573" max="13573" width="9.125" customWidth="1"/>
    <col min="13574" max="13574" width="4.625" customWidth="1"/>
    <col min="13575" max="13575" width="3.75" customWidth="1"/>
    <col min="13576" max="13576" width="4.875" customWidth="1"/>
    <col min="13577" max="13577" width="8.625" customWidth="1"/>
    <col min="13578" max="13578" width="6.875" customWidth="1"/>
    <col min="13579" max="13579" width="5.125" customWidth="1"/>
    <col min="13825" max="13825" width="3.375" customWidth="1"/>
    <col min="13826" max="13826" width="17.125" customWidth="1"/>
    <col min="13827" max="13827" width="5.75" customWidth="1"/>
    <col min="13828" max="13828" width="4.625" customWidth="1"/>
    <col min="13829" max="13829" width="9.125" customWidth="1"/>
    <col min="13830" max="13830" width="4.625" customWidth="1"/>
    <col min="13831" max="13831" width="3.75" customWidth="1"/>
    <col min="13832" max="13832" width="4.875" customWidth="1"/>
    <col min="13833" max="13833" width="8.625" customWidth="1"/>
    <col min="13834" max="13834" width="6.875" customWidth="1"/>
    <col min="13835" max="13835" width="5.125" customWidth="1"/>
    <col min="14081" max="14081" width="3.375" customWidth="1"/>
    <col min="14082" max="14082" width="17.125" customWidth="1"/>
    <col min="14083" max="14083" width="5.75" customWidth="1"/>
    <col min="14084" max="14084" width="4.625" customWidth="1"/>
    <col min="14085" max="14085" width="9.125" customWidth="1"/>
    <col min="14086" max="14086" width="4.625" customWidth="1"/>
    <col min="14087" max="14087" width="3.75" customWidth="1"/>
    <col min="14088" max="14088" width="4.875" customWidth="1"/>
    <col min="14089" max="14089" width="8.625" customWidth="1"/>
    <col min="14090" max="14090" width="6.875" customWidth="1"/>
    <col min="14091" max="14091" width="5.125" customWidth="1"/>
    <col min="14337" max="14337" width="3.375" customWidth="1"/>
    <col min="14338" max="14338" width="17.125" customWidth="1"/>
    <col min="14339" max="14339" width="5.75" customWidth="1"/>
    <col min="14340" max="14340" width="4.625" customWidth="1"/>
    <col min="14341" max="14341" width="9.125" customWidth="1"/>
    <col min="14342" max="14342" width="4.625" customWidth="1"/>
    <col min="14343" max="14343" width="3.75" customWidth="1"/>
    <col min="14344" max="14344" width="4.875" customWidth="1"/>
    <col min="14345" max="14345" width="8.625" customWidth="1"/>
    <col min="14346" max="14346" width="6.875" customWidth="1"/>
    <col min="14347" max="14347" width="5.125" customWidth="1"/>
    <col min="14593" max="14593" width="3.375" customWidth="1"/>
    <col min="14594" max="14594" width="17.125" customWidth="1"/>
    <col min="14595" max="14595" width="5.75" customWidth="1"/>
    <col min="14596" max="14596" width="4.625" customWidth="1"/>
    <col min="14597" max="14597" width="9.125" customWidth="1"/>
    <col min="14598" max="14598" width="4.625" customWidth="1"/>
    <col min="14599" max="14599" width="3.75" customWidth="1"/>
    <col min="14600" max="14600" width="4.875" customWidth="1"/>
    <col min="14601" max="14601" width="8.625" customWidth="1"/>
    <col min="14602" max="14602" width="6.875" customWidth="1"/>
    <col min="14603" max="14603" width="5.125" customWidth="1"/>
    <col min="14849" max="14849" width="3.375" customWidth="1"/>
    <col min="14850" max="14850" width="17.125" customWidth="1"/>
    <col min="14851" max="14851" width="5.75" customWidth="1"/>
    <col min="14852" max="14852" width="4.625" customWidth="1"/>
    <col min="14853" max="14853" width="9.125" customWidth="1"/>
    <col min="14854" max="14854" width="4.625" customWidth="1"/>
    <col min="14855" max="14855" width="3.75" customWidth="1"/>
    <col min="14856" max="14856" width="4.875" customWidth="1"/>
    <col min="14857" max="14857" width="8.625" customWidth="1"/>
    <col min="14858" max="14858" width="6.875" customWidth="1"/>
    <col min="14859" max="14859" width="5.125" customWidth="1"/>
    <col min="15105" max="15105" width="3.375" customWidth="1"/>
    <col min="15106" max="15106" width="17.125" customWidth="1"/>
    <col min="15107" max="15107" width="5.75" customWidth="1"/>
    <col min="15108" max="15108" width="4.625" customWidth="1"/>
    <col min="15109" max="15109" width="9.125" customWidth="1"/>
    <col min="15110" max="15110" width="4.625" customWidth="1"/>
    <col min="15111" max="15111" width="3.75" customWidth="1"/>
    <col min="15112" max="15112" width="4.875" customWidth="1"/>
    <col min="15113" max="15113" width="8.625" customWidth="1"/>
    <col min="15114" max="15114" width="6.875" customWidth="1"/>
    <col min="15115" max="15115" width="5.125" customWidth="1"/>
    <col min="15361" max="15361" width="3.375" customWidth="1"/>
    <col min="15362" max="15362" width="17.125" customWidth="1"/>
    <col min="15363" max="15363" width="5.75" customWidth="1"/>
    <col min="15364" max="15364" width="4.625" customWidth="1"/>
    <col min="15365" max="15365" width="9.125" customWidth="1"/>
    <col min="15366" max="15366" width="4.625" customWidth="1"/>
    <col min="15367" max="15367" width="3.75" customWidth="1"/>
    <col min="15368" max="15368" width="4.875" customWidth="1"/>
    <col min="15369" max="15369" width="8.625" customWidth="1"/>
    <col min="15370" max="15370" width="6.875" customWidth="1"/>
    <col min="15371" max="15371" width="5.125" customWidth="1"/>
    <col min="15617" max="15617" width="3.375" customWidth="1"/>
    <col min="15618" max="15618" width="17.125" customWidth="1"/>
    <col min="15619" max="15619" width="5.75" customWidth="1"/>
    <col min="15620" max="15620" width="4.625" customWidth="1"/>
    <col min="15621" max="15621" width="9.125" customWidth="1"/>
    <col min="15622" max="15622" width="4.625" customWidth="1"/>
    <col min="15623" max="15623" width="3.75" customWidth="1"/>
    <col min="15624" max="15624" width="4.875" customWidth="1"/>
    <col min="15625" max="15625" width="8.625" customWidth="1"/>
    <col min="15626" max="15626" width="6.875" customWidth="1"/>
    <col min="15627" max="15627" width="5.125" customWidth="1"/>
    <col min="15873" max="15873" width="3.375" customWidth="1"/>
    <col min="15874" max="15874" width="17.125" customWidth="1"/>
    <col min="15875" max="15875" width="5.75" customWidth="1"/>
    <col min="15876" max="15876" width="4.625" customWidth="1"/>
    <col min="15877" max="15877" width="9.125" customWidth="1"/>
    <col min="15878" max="15878" width="4.625" customWidth="1"/>
    <col min="15879" max="15879" width="3.75" customWidth="1"/>
    <col min="15880" max="15880" width="4.875" customWidth="1"/>
    <col min="15881" max="15881" width="8.625" customWidth="1"/>
    <col min="15882" max="15882" width="6.875" customWidth="1"/>
    <col min="15883" max="15883" width="5.125" customWidth="1"/>
    <col min="16129" max="16129" width="3.375" customWidth="1"/>
    <col min="16130" max="16130" width="17.125" customWidth="1"/>
    <col min="16131" max="16131" width="5.75" customWidth="1"/>
    <col min="16132" max="16132" width="4.625" customWidth="1"/>
    <col min="16133" max="16133" width="9.125" customWidth="1"/>
    <col min="16134" max="16134" width="4.625" customWidth="1"/>
    <col min="16135" max="16135" width="3.75" customWidth="1"/>
    <col min="16136" max="16136" width="4.875" customWidth="1"/>
    <col min="16137" max="16137" width="8.625" customWidth="1"/>
    <col min="16138" max="16138" width="6.875" customWidth="1"/>
    <col min="16139" max="16139" width="5.125" customWidth="1"/>
  </cols>
  <sheetData>
    <row r="1" ht="20.4" spans="1:11">
      <c r="A1" s="642" t="s">
        <v>37</v>
      </c>
      <c r="B1" s="642"/>
      <c r="C1" s="642"/>
      <c r="D1" s="642"/>
      <c r="E1" s="642"/>
      <c r="F1" s="642"/>
      <c r="G1" s="642"/>
      <c r="H1" s="642"/>
      <c r="I1" s="642"/>
      <c r="J1" s="646" t="s">
        <v>88</v>
      </c>
      <c r="K1" s="646"/>
    </row>
    <row r="2" spans="1:11">
      <c r="A2" s="353" t="s">
        <v>2910</v>
      </c>
      <c r="B2" s="353" t="s">
        <v>2911</v>
      </c>
      <c r="C2" s="353" t="s">
        <v>2912</v>
      </c>
      <c r="D2" s="353" t="s">
        <v>2913</v>
      </c>
      <c r="E2" s="353" t="s">
        <v>2914</v>
      </c>
      <c r="F2" s="353"/>
      <c r="G2" s="353"/>
      <c r="H2" s="353"/>
      <c r="I2" s="353" t="s">
        <v>2915</v>
      </c>
      <c r="J2" s="353" t="s">
        <v>2916</v>
      </c>
      <c r="K2" s="353" t="s">
        <v>2917</v>
      </c>
    </row>
    <row r="3" spans="1:11">
      <c r="A3" s="353"/>
      <c r="B3" s="353"/>
      <c r="C3" s="353"/>
      <c r="D3" s="353"/>
      <c r="E3" s="353"/>
      <c r="F3" s="353"/>
      <c r="G3" s="353"/>
      <c r="H3" s="353"/>
      <c r="I3" s="353"/>
      <c r="J3" s="353"/>
      <c r="K3" s="338"/>
    </row>
    <row r="4" ht="46.8" spans="1:11">
      <c r="A4" s="353"/>
      <c r="B4" s="353"/>
      <c r="C4" s="353"/>
      <c r="D4" s="353"/>
      <c r="E4" s="353" t="s">
        <v>2906</v>
      </c>
      <c r="F4" s="353" t="s">
        <v>2918</v>
      </c>
      <c r="G4" s="353" t="s">
        <v>2909</v>
      </c>
      <c r="H4" s="353" t="s">
        <v>2908</v>
      </c>
      <c r="I4" s="353"/>
      <c r="J4" s="353"/>
      <c r="K4" s="338"/>
    </row>
    <row r="5" s="641" customFormat="1" ht="17.4" spans="1:11">
      <c r="A5" s="338" t="s">
        <v>2878</v>
      </c>
      <c r="B5" s="338" t="s">
        <v>2880</v>
      </c>
      <c r="C5" s="338">
        <v>500</v>
      </c>
      <c r="D5" s="643"/>
      <c r="E5" s="338">
        <v>160</v>
      </c>
      <c r="F5" s="643"/>
      <c r="G5" s="353"/>
      <c r="H5" s="353"/>
      <c r="I5" s="635">
        <f>[3]开关整定值计算表!P5</f>
        <v>723.12</v>
      </c>
      <c r="J5" s="647">
        <f t="shared" ref="J5:J11" si="0">I5/E5</f>
        <v>4.5195</v>
      </c>
      <c r="K5" s="338" t="s">
        <v>2881</v>
      </c>
    </row>
    <row r="6" s="641" customFormat="1" ht="17.4" spans="1:11">
      <c r="A6" s="338" t="s">
        <v>2882</v>
      </c>
      <c r="B6" s="338" t="s">
        <v>2883</v>
      </c>
      <c r="C6" s="338">
        <f>500+132+90</f>
        <v>722</v>
      </c>
      <c r="D6" s="643"/>
      <c r="E6" s="338">
        <v>336</v>
      </c>
      <c r="F6" s="643"/>
      <c r="G6" s="353"/>
      <c r="H6" s="353"/>
      <c r="I6" s="635">
        <f>[3]开关整定值计算表!P6</f>
        <v>1622.88</v>
      </c>
      <c r="J6" s="647">
        <f t="shared" si="0"/>
        <v>4.83</v>
      </c>
      <c r="K6" s="338" t="s">
        <v>2881</v>
      </c>
    </row>
    <row r="7" ht="17.4" spans="1:11">
      <c r="A7" s="338" t="s">
        <v>2884</v>
      </c>
      <c r="B7" s="338" t="s">
        <v>2885</v>
      </c>
      <c r="C7" s="338">
        <f>400+250+930+1600</f>
        <v>3180</v>
      </c>
      <c r="D7" s="643"/>
      <c r="E7" s="338">
        <v>640</v>
      </c>
      <c r="F7" s="643"/>
      <c r="G7" s="353"/>
      <c r="H7" s="353"/>
      <c r="I7" s="635">
        <f>[3]开关整定值计算表!P7</f>
        <v>2626.14</v>
      </c>
      <c r="J7" s="647">
        <f t="shared" si="0"/>
        <v>4.10334375</v>
      </c>
      <c r="K7" s="338" t="s">
        <v>2881</v>
      </c>
    </row>
    <row r="8" ht="17.4" spans="1:11">
      <c r="A8" s="338" t="s">
        <v>2886</v>
      </c>
      <c r="B8" s="338" t="s">
        <v>2888</v>
      </c>
      <c r="C8" s="338">
        <v>500</v>
      </c>
      <c r="D8" s="643"/>
      <c r="E8" s="338">
        <v>850</v>
      </c>
      <c r="F8" s="643"/>
      <c r="G8" s="316"/>
      <c r="H8" s="316"/>
      <c r="I8" s="338">
        <v>6026</v>
      </c>
      <c r="J8" s="647">
        <f t="shared" si="0"/>
        <v>7.08941176470588</v>
      </c>
      <c r="K8" s="338" t="s">
        <v>2881</v>
      </c>
    </row>
    <row r="9" ht="17.4" spans="1:11">
      <c r="A9" s="338" t="s">
        <v>2889</v>
      </c>
      <c r="B9" s="338" t="s">
        <v>2890</v>
      </c>
      <c r="C9" s="338">
        <f>500+132+90</f>
        <v>722</v>
      </c>
      <c r="D9" s="643"/>
      <c r="E9" s="338">
        <v>1000</v>
      </c>
      <c r="F9" s="643"/>
      <c r="G9" s="316"/>
      <c r="H9" s="338"/>
      <c r="I9" s="338">
        <v>4730</v>
      </c>
      <c r="J9" s="647">
        <f t="shared" si="0"/>
        <v>4.73</v>
      </c>
      <c r="K9" s="338" t="s">
        <v>2881</v>
      </c>
    </row>
    <row r="10" ht="17.4" spans="1:11">
      <c r="A10" s="338" t="s">
        <v>2891</v>
      </c>
      <c r="B10" s="338" t="s">
        <v>2892</v>
      </c>
      <c r="C10" s="338">
        <f>400+250+930+1600</f>
        <v>3180</v>
      </c>
      <c r="D10" s="643"/>
      <c r="E10" s="338">
        <v>1100</v>
      </c>
      <c r="F10" s="643"/>
      <c r="G10" s="644"/>
      <c r="H10" s="338"/>
      <c r="I10" s="338">
        <v>7958</v>
      </c>
      <c r="J10" s="647">
        <f t="shared" si="0"/>
        <v>7.23454545454545</v>
      </c>
      <c r="K10" s="338" t="s">
        <v>2881</v>
      </c>
    </row>
    <row r="11" ht="17.4" spans="1:11">
      <c r="A11" s="338">
        <v>5</v>
      </c>
      <c r="B11" s="413" t="s">
        <v>2893</v>
      </c>
      <c r="C11" s="289">
        <v>90</v>
      </c>
      <c r="D11" s="643"/>
      <c r="E11" s="338">
        <v>220</v>
      </c>
      <c r="F11" s="643"/>
      <c r="G11" s="644"/>
      <c r="H11" s="338"/>
      <c r="I11" s="338">
        <v>4730</v>
      </c>
      <c r="J11" s="647">
        <f t="shared" si="0"/>
        <v>21.5</v>
      </c>
      <c r="K11" s="338" t="s">
        <v>2881</v>
      </c>
    </row>
    <row r="12" ht="17.4" spans="1:11">
      <c r="A12" s="338">
        <v>1</v>
      </c>
      <c r="B12" s="413" t="s">
        <v>2895</v>
      </c>
      <c r="C12" s="338">
        <v>250</v>
      </c>
      <c r="D12" s="643"/>
      <c r="E12" s="338"/>
      <c r="F12" s="643"/>
      <c r="G12" s="644"/>
      <c r="H12" s="338">
        <v>148</v>
      </c>
      <c r="I12" s="338">
        <v>6354</v>
      </c>
      <c r="J12" s="647">
        <f t="shared" ref="J12:J34" si="1">I12/(8*H12)</f>
        <v>5.36655405405405</v>
      </c>
      <c r="K12" s="338" t="s">
        <v>2881</v>
      </c>
    </row>
    <row r="13" ht="17.4" spans="1:11">
      <c r="A13" s="338">
        <v>2</v>
      </c>
      <c r="B13" s="645"/>
      <c r="C13" s="338">
        <v>250</v>
      </c>
      <c r="D13" s="643"/>
      <c r="E13" s="338"/>
      <c r="F13" s="643"/>
      <c r="G13" s="644"/>
      <c r="H13" s="338">
        <v>148</v>
      </c>
      <c r="I13" s="338">
        <v>6354</v>
      </c>
      <c r="J13" s="647">
        <f t="shared" si="1"/>
        <v>5.36655405405405</v>
      </c>
      <c r="K13" s="338" t="s">
        <v>2881</v>
      </c>
    </row>
    <row r="14" ht="17.4" spans="1:11">
      <c r="A14" s="338">
        <v>3</v>
      </c>
      <c r="B14" s="645"/>
      <c r="C14" s="338">
        <v>7.5</v>
      </c>
      <c r="D14" s="643"/>
      <c r="E14" s="338"/>
      <c r="F14" s="643"/>
      <c r="G14" s="644"/>
      <c r="H14" s="338">
        <v>5</v>
      </c>
      <c r="I14" s="338">
        <v>6026</v>
      </c>
      <c r="J14" s="647">
        <f t="shared" si="1"/>
        <v>150.65</v>
      </c>
      <c r="K14" s="338" t="s">
        <v>2881</v>
      </c>
    </row>
    <row r="15" ht="17.4" spans="1:11">
      <c r="A15" s="338">
        <v>4</v>
      </c>
      <c r="B15" s="416"/>
      <c r="C15" s="338">
        <v>7.5</v>
      </c>
      <c r="D15" s="643"/>
      <c r="E15" s="338"/>
      <c r="F15" s="643"/>
      <c r="G15" s="644"/>
      <c r="H15" s="338">
        <v>5</v>
      </c>
      <c r="I15" s="338">
        <v>6026</v>
      </c>
      <c r="J15" s="647">
        <f t="shared" si="1"/>
        <v>150.65</v>
      </c>
      <c r="K15" s="338" t="s">
        <v>2881</v>
      </c>
    </row>
    <row r="16" ht="17.4" spans="1:11">
      <c r="A16" s="338">
        <v>6</v>
      </c>
      <c r="B16" s="338" t="s">
        <v>2897</v>
      </c>
      <c r="C16" s="338">
        <v>45</v>
      </c>
      <c r="D16" s="643"/>
      <c r="E16" s="338"/>
      <c r="F16" s="643"/>
      <c r="G16" s="644"/>
      <c r="H16" s="338">
        <v>30</v>
      </c>
      <c r="I16" s="338">
        <v>4730</v>
      </c>
      <c r="J16" s="647">
        <f t="shared" si="1"/>
        <v>19.7083333333333</v>
      </c>
      <c r="K16" s="338" t="s">
        <v>2881</v>
      </c>
    </row>
    <row r="17" ht="17.4" spans="1:11">
      <c r="A17" s="338">
        <v>7</v>
      </c>
      <c r="B17" s="338" t="s">
        <v>2897</v>
      </c>
      <c r="C17" s="338">
        <v>45</v>
      </c>
      <c r="D17" s="643"/>
      <c r="E17" s="338"/>
      <c r="F17" s="643"/>
      <c r="G17" s="644"/>
      <c r="H17" s="338">
        <v>30</v>
      </c>
      <c r="I17" s="338">
        <v>4730</v>
      </c>
      <c r="J17" s="647">
        <f t="shared" si="1"/>
        <v>19.7083333333333</v>
      </c>
      <c r="K17" s="338" t="s">
        <v>2881</v>
      </c>
    </row>
    <row r="18" ht="17.4" spans="1:11">
      <c r="A18" s="338">
        <v>8</v>
      </c>
      <c r="B18" s="413" t="s">
        <v>2895</v>
      </c>
      <c r="C18" s="338">
        <v>250</v>
      </c>
      <c r="D18" s="643"/>
      <c r="E18" s="338"/>
      <c r="F18" s="643"/>
      <c r="G18" s="644"/>
      <c r="H18" s="338">
        <v>148</v>
      </c>
      <c r="I18" s="338">
        <v>13524</v>
      </c>
      <c r="J18" s="647">
        <f t="shared" si="1"/>
        <v>11.4222972972973</v>
      </c>
      <c r="K18" s="338" t="s">
        <v>2881</v>
      </c>
    </row>
    <row r="19" s="641" customFormat="1" ht="17.4" spans="1:11">
      <c r="A19" s="338">
        <v>9</v>
      </c>
      <c r="B19" s="645"/>
      <c r="C19" s="338">
        <v>132</v>
      </c>
      <c r="D19" s="643"/>
      <c r="E19" s="338"/>
      <c r="F19" s="643"/>
      <c r="G19" s="644"/>
      <c r="H19" s="338">
        <v>80</v>
      </c>
      <c r="I19" s="338">
        <v>13524</v>
      </c>
      <c r="J19" s="647">
        <f t="shared" si="1"/>
        <v>21.13125</v>
      </c>
      <c r="K19" s="338" t="s">
        <v>2881</v>
      </c>
    </row>
    <row r="20" s="641" customFormat="1" ht="17.4" spans="1:11">
      <c r="A20" s="338">
        <v>10</v>
      </c>
      <c r="B20" s="645"/>
      <c r="C20" s="338">
        <v>250</v>
      </c>
      <c r="D20" s="643"/>
      <c r="E20" s="338"/>
      <c r="F20" s="643"/>
      <c r="G20" s="644"/>
      <c r="H20" s="338">
        <v>148</v>
      </c>
      <c r="I20" s="338">
        <v>13524</v>
      </c>
      <c r="J20" s="647">
        <f t="shared" si="1"/>
        <v>11.4222972972973</v>
      </c>
      <c r="K20" s="338" t="s">
        <v>2881</v>
      </c>
    </row>
    <row r="21" s="641" customFormat="1" ht="17.4" spans="1:11">
      <c r="A21" s="338">
        <v>11</v>
      </c>
      <c r="B21" s="645"/>
      <c r="C21" s="338">
        <v>132</v>
      </c>
      <c r="D21" s="643"/>
      <c r="E21" s="338"/>
      <c r="F21" s="643"/>
      <c r="G21" s="644"/>
      <c r="H21" s="338">
        <v>90</v>
      </c>
      <c r="I21" s="338">
        <v>13524</v>
      </c>
      <c r="J21" s="647">
        <f t="shared" si="1"/>
        <v>18.7833333333333</v>
      </c>
      <c r="K21" s="338" t="s">
        <v>2881</v>
      </c>
    </row>
    <row r="22" s="641" customFormat="1" ht="17.4" spans="1:11">
      <c r="A22" s="338">
        <v>12</v>
      </c>
      <c r="B22" s="416"/>
      <c r="C22" s="338">
        <v>250</v>
      </c>
      <c r="D22" s="643"/>
      <c r="E22" s="338"/>
      <c r="F22" s="643"/>
      <c r="G22" s="644"/>
      <c r="H22" s="338">
        <v>148</v>
      </c>
      <c r="I22" s="338">
        <v>13524</v>
      </c>
      <c r="J22" s="647">
        <f t="shared" si="1"/>
        <v>11.4222972972973</v>
      </c>
      <c r="K22" s="338" t="s">
        <v>2881</v>
      </c>
    </row>
    <row r="23" ht="17.4" spans="1:11">
      <c r="A23" s="338">
        <v>13</v>
      </c>
      <c r="B23" s="413" t="s">
        <v>2898</v>
      </c>
      <c r="C23" s="338">
        <v>200</v>
      </c>
      <c r="D23" s="643"/>
      <c r="E23" s="338"/>
      <c r="F23" s="643"/>
      <c r="G23" s="644"/>
      <c r="H23" s="338">
        <v>58</v>
      </c>
      <c r="I23" s="338">
        <v>11488</v>
      </c>
      <c r="J23" s="647">
        <f t="shared" si="1"/>
        <v>24.7586206896552</v>
      </c>
      <c r="K23" s="338" t="s">
        <v>2881</v>
      </c>
    </row>
    <row r="24" ht="17.4" spans="1:11">
      <c r="A24" s="338">
        <v>14</v>
      </c>
      <c r="B24" s="645"/>
      <c r="C24" s="338">
        <v>400</v>
      </c>
      <c r="D24" s="643"/>
      <c r="E24" s="338"/>
      <c r="F24" s="643"/>
      <c r="G24" s="644"/>
      <c r="H24" s="338">
        <v>87</v>
      </c>
      <c r="I24" s="338">
        <v>11488</v>
      </c>
      <c r="J24" s="647">
        <f t="shared" si="1"/>
        <v>16.5057471264368</v>
      </c>
      <c r="K24" s="338" t="s">
        <v>2881</v>
      </c>
    </row>
    <row r="25" ht="17.4" spans="1:11">
      <c r="A25" s="338">
        <v>15</v>
      </c>
      <c r="B25" s="645"/>
      <c r="C25" s="338">
        <v>250</v>
      </c>
      <c r="D25" s="643"/>
      <c r="E25" s="338"/>
      <c r="F25" s="643"/>
      <c r="G25" s="644"/>
      <c r="H25" s="338">
        <v>54</v>
      </c>
      <c r="I25" s="338">
        <v>9871</v>
      </c>
      <c r="J25" s="647">
        <f t="shared" si="1"/>
        <v>22.849537037037</v>
      </c>
      <c r="K25" s="338" t="s">
        <v>2881</v>
      </c>
    </row>
    <row r="26" ht="17.4" spans="1:11">
      <c r="A26" s="338">
        <v>16</v>
      </c>
      <c r="B26" s="416"/>
      <c r="C26" s="338">
        <v>930</v>
      </c>
      <c r="D26" s="643"/>
      <c r="E26" s="338"/>
      <c r="F26" s="643"/>
      <c r="G26" s="644"/>
      <c r="H26" s="338">
        <v>160</v>
      </c>
      <c r="I26" s="338">
        <v>7958</v>
      </c>
      <c r="J26" s="647">
        <f t="shared" si="1"/>
        <v>6.2171875</v>
      </c>
      <c r="K26" s="338" t="s">
        <v>2881</v>
      </c>
    </row>
    <row r="27" ht="17.4" spans="1:11">
      <c r="A27" s="338">
        <v>17</v>
      </c>
      <c r="B27" s="413" t="s">
        <v>2899</v>
      </c>
      <c r="C27" s="338">
        <v>200</v>
      </c>
      <c r="D27" s="643"/>
      <c r="E27" s="204"/>
      <c r="F27" s="643"/>
      <c r="G27" s="644"/>
      <c r="H27" s="338">
        <v>58</v>
      </c>
      <c r="I27" s="338">
        <v>7958</v>
      </c>
      <c r="J27" s="647">
        <f t="shared" si="1"/>
        <v>17.1508620689655</v>
      </c>
      <c r="K27" s="338" t="s">
        <v>2881</v>
      </c>
    </row>
    <row r="28" ht="17.4" spans="1:11">
      <c r="A28" s="338">
        <v>18</v>
      </c>
      <c r="B28" s="645"/>
      <c r="C28" s="338">
        <v>400</v>
      </c>
      <c r="D28" s="643"/>
      <c r="E28" s="204"/>
      <c r="F28" s="643"/>
      <c r="G28" s="644"/>
      <c r="H28" s="338">
        <v>87</v>
      </c>
      <c r="I28" s="338">
        <v>7958</v>
      </c>
      <c r="J28" s="647">
        <f t="shared" si="1"/>
        <v>11.433908045977</v>
      </c>
      <c r="K28" s="338" t="s">
        <v>2881</v>
      </c>
    </row>
    <row r="29" ht="17.4" spans="1:11">
      <c r="A29" s="338">
        <v>19</v>
      </c>
      <c r="B29" s="645"/>
      <c r="C29" s="338">
        <v>200</v>
      </c>
      <c r="D29" s="643"/>
      <c r="E29" s="204"/>
      <c r="F29" s="643"/>
      <c r="G29" s="353"/>
      <c r="H29" s="338">
        <v>58</v>
      </c>
      <c r="I29" s="338">
        <v>10693</v>
      </c>
      <c r="J29" s="647">
        <f t="shared" si="1"/>
        <v>23.0452586206897</v>
      </c>
      <c r="K29" s="338" t="s">
        <v>2881</v>
      </c>
    </row>
    <row r="30" ht="17.4" spans="1:11">
      <c r="A30" s="338">
        <v>20</v>
      </c>
      <c r="B30" s="645"/>
      <c r="C30" s="338">
        <v>400</v>
      </c>
      <c r="D30" s="643"/>
      <c r="E30" s="204"/>
      <c r="F30" s="643"/>
      <c r="G30" s="353"/>
      <c r="H30" s="338">
        <v>87</v>
      </c>
      <c r="I30" s="338">
        <v>10693</v>
      </c>
      <c r="J30" s="647">
        <f t="shared" si="1"/>
        <v>15.3635057471264</v>
      </c>
      <c r="K30" s="338" t="s">
        <v>2881</v>
      </c>
    </row>
    <row r="31" ht="17.4" spans="1:11">
      <c r="A31" s="338">
        <v>21</v>
      </c>
      <c r="B31" s="645"/>
      <c r="C31" s="338">
        <v>200</v>
      </c>
      <c r="D31" s="643"/>
      <c r="E31" s="204"/>
      <c r="F31" s="643"/>
      <c r="G31" s="353"/>
      <c r="H31" s="338">
        <v>58</v>
      </c>
      <c r="I31" s="338">
        <v>8064</v>
      </c>
      <c r="J31" s="647">
        <f t="shared" si="1"/>
        <v>17.3793103448276</v>
      </c>
      <c r="K31" s="338" t="s">
        <v>2881</v>
      </c>
    </row>
    <row r="32" ht="17.4" spans="1:11">
      <c r="A32" s="338">
        <v>22</v>
      </c>
      <c r="B32" s="645"/>
      <c r="C32" s="338">
        <v>400</v>
      </c>
      <c r="D32" s="643"/>
      <c r="E32" s="204"/>
      <c r="F32" s="643"/>
      <c r="G32" s="353"/>
      <c r="H32" s="338">
        <v>87</v>
      </c>
      <c r="I32" s="338">
        <v>8064</v>
      </c>
      <c r="J32" s="647">
        <f t="shared" si="1"/>
        <v>11.5862068965517</v>
      </c>
      <c r="K32" s="338" t="s">
        <v>2881</v>
      </c>
    </row>
    <row r="33" ht="17.4" spans="1:11">
      <c r="A33" s="338">
        <v>23</v>
      </c>
      <c r="B33" s="645"/>
      <c r="C33" s="338">
        <v>200</v>
      </c>
      <c r="D33" s="643"/>
      <c r="E33" s="204"/>
      <c r="F33" s="643"/>
      <c r="G33" s="353"/>
      <c r="H33" s="338">
        <v>58</v>
      </c>
      <c r="I33" s="338">
        <v>10849</v>
      </c>
      <c r="J33" s="647">
        <f t="shared" si="1"/>
        <v>23.3814655172414</v>
      </c>
      <c r="K33" s="338" t="s">
        <v>2881</v>
      </c>
    </row>
    <row r="34" ht="17.4" spans="1:11">
      <c r="A34" s="338">
        <v>24</v>
      </c>
      <c r="B34" s="416"/>
      <c r="C34" s="338">
        <v>400</v>
      </c>
      <c r="D34" s="643"/>
      <c r="E34" s="204"/>
      <c r="F34" s="643"/>
      <c r="G34" s="353"/>
      <c r="H34" s="338">
        <v>87</v>
      </c>
      <c r="I34" s="338">
        <v>10849</v>
      </c>
      <c r="J34" s="647">
        <f t="shared" si="1"/>
        <v>15.5876436781609</v>
      </c>
      <c r="K34" s="338" t="s">
        <v>2881</v>
      </c>
    </row>
    <row r="35" spans="3:3">
      <c r="C35" s="21"/>
    </row>
  </sheetData>
  <protectedRanges>
    <protectedRange sqref="A5:K34" name="範圍1"/>
  </protectedRanges>
  <mergeCells count="14">
    <mergeCell ref="A1:I1"/>
    <mergeCell ref="J1:K1"/>
    <mergeCell ref="A2:A4"/>
    <mergeCell ref="B2:B4"/>
    <mergeCell ref="B12:B15"/>
    <mergeCell ref="B18:B22"/>
    <mergeCell ref="B23:B26"/>
    <mergeCell ref="B27:B34"/>
    <mergeCell ref="C2:C4"/>
    <mergeCell ref="D2:D4"/>
    <mergeCell ref="I2:I4"/>
    <mergeCell ref="J2:J4"/>
    <mergeCell ref="K2:K4"/>
    <mergeCell ref="E2:H3"/>
  </mergeCells>
  <hyperlinks>
    <hyperlink ref="J1:K1" location="目录!A1" display="目录!A1"/>
  </hyperlinks>
  <pageMargins left="0.7" right="0.7" top="0.75" bottom="0.75" header="0.3" footer="0.3"/>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
  <sheetViews>
    <sheetView topLeftCell="A36" workbookViewId="0">
      <selection activeCell="I21" sqref="I21"/>
    </sheetView>
  </sheetViews>
  <sheetFormatPr defaultColWidth="9" defaultRowHeight="15.6"/>
  <cols>
    <col min="1" max="1" width="11.375" style="168" customWidth="1"/>
    <col min="2" max="2" width="12.5" style="168" customWidth="1"/>
    <col min="3" max="4" width="13.375" style="168" customWidth="1"/>
    <col min="5" max="256" width="9" style="168"/>
    <col min="257" max="257" width="11.375" style="168" customWidth="1"/>
    <col min="258" max="258" width="12.5" style="168" customWidth="1"/>
    <col min="259" max="260" width="13.375" style="168" customWidth="1"/>
    <col min="261" max="512" width="9" style="168"/>
    <col min="513" max="513" width="11.375" style="168" customWidth="1"/>
    <col min="514" max="514" width="12.5" style="168" customWidth="1"/>
    <col min="515" max="516" width="13.375" style="168" customWidth="1"/>
    <col min="517" max="768" width="9" style="168"/>
    <col min="769" max="769" width="11.375" style="168" customWidth="1"/>
    <col min="770" max="770" width="12.5" style="168" customWidth="1"/>
    <col min="771" max="772" width="13.375" style="168" customWidth="1"/>
    <col min="773" max="1024" width="9" style="168"/>
    <col min="1025" max="1025" width="11.375" style="168" customWidth="1"/>
    <col min="1026" max="1026" width="12.5" style="168" customWidth="1"/>
    <col min="1027" max="1028" width="13.375" style="168" customWidth="1"/>
    <col min="1029" max="1280" width="9" style="168"/>
    <col min="1281" max="1281" width="11.375" style="168" customWidth="1"/>
    <col min="1282" max="1282" width="12.5" style="168" customWidth="1"/>
    <col min="1283" max="1284" width="13.375" style="168" customWidth="1"/>
    <col min="1285" max="1536" width="9" style="168"/>
    <col min="1537" max="1537" width="11.375" style="168" customWidth="1"/>
    <col min="1538" max="1538" width="12.5" style="168" customWidth="1"/>
    <col min="1539" max="1540" width="13.375" style="168" customWidth="1"/>
    <col min="1541" max="1792" width="9" style="168"/>
    <col min="1793" max="1793" width="11.375" style="168" customWidth="1"/>
    <col min="1794" max="1794" width="12.5" style="168" customWidth="1"/>
    <col min="1795" max="1796" width="13.375" style="168" customWidth="1"/>
    <col min="1797" max="2048" width="9" style="168"/>
    <col min="2049" max="2049" width="11.375" style="168" customWidth="1"/>
    <col min="2050" max="2050" width="12.5" style="168" customWidth="1"/>
    <col min="2051" max="2052" width="13.375" style="168" customWidth="1"/>
    <col min="2053" max="2304" width="9" style="168"/>
    <col min="2305" max="2305" width="11.375" style="168" customWidth="1"/>
    <col min="2306" max="2306" width="12.5" style="168" customWidth="1"/>
    <col min="2307" max="2308" width="13.375" style="168" customWidth="1"/>
    <col min="2309" max="2560" width="9" style="168"/>
    <col min="2561" max="2561" width="11.375" style="168" customWidth="1"/>
    <col min="2562" max="2562" width="12.5" style="168" customWidth="1"/>
    <col min="2563" max="2564" width="13.375" style="168" customWidth="1"/>
    <col min="2565" max="2816" width="9" style="168"/>
    <col min="2817" max="2817" width="11.375" style="168" customWidth="1"/>
    <col min="2818" max="2818" width="12.5" style="168" customWidth="1"/>
    <col min="2819" max="2820" width="13.375" style="168" customWidth="1"/>
    <col min="2821" max="3072" width="9" style="168"/>
    <col min="3073" max="3073" width="11.375" style="168" customWidth="1"/>
    <col min="3074" max="3074" width="12.5" style="168" customWidth="1"/>
    <col min="3075" max="3076" width="13.375" style="168" customWidth="1"/>
    <col min="3077" max="3328" width="9" style="168"/>
    <col min="3329" max="3329" width="11.375" style="168" customWidth="1"/>
    <col min="3330" max="3330" width="12.5" style="168" customWidth="1"/>
    <col min="3331" max="3332" width="13.375" style="168" customWidth="1"/>
    <col min="3333" max="3584" width="9" style="168"/>
    <col min="3585" max="3585" width="11.375" style="168" customWidth="1"/>
    <col min="3586" max="3586" width="12.5" style="168" customWidth="1"/>
    <col min="3587" max="3588" width="13.375" style="168" customWidth="1"/>
    <col min="3589" max="3840" width="9" style="168"/>
    <col min="3841" max="3841" width="11.375" style="168" customWidth="1"/>
    <col min="3842" max="3842" width="12.5" style="168" customWidth="1"/>
    <col min="3843" max="3844" width="13.375" style="168" customWidth="1"/>
    <col min="3845" max="4096" width="9" style="168"/>
    <col min="4097" max="4097" width="11.375" style="168" customWidth="1"/>
    <col min="4098" max="4098" width="12.5" style="168" customWidth="1"/>
    <col min="4099" max="4100" width="13.375" style="168" customWidth="1"/>
    <col min="4101" max="4352" width="9" style="168"/>
    <col min="4353" max="4353" width="11.375" style="168" customWidth="1"/>
    <col min="4354" max="4354" width="12.5" style="168" customWidth="1"/>
    <col min="4355" max="4356" width="13.375" style="168" customWidth="1"/>
    <col min="4357" max="4608" width="9" style="168"/>
    <col min="4609" max="4609" width="11.375" style="168" customWidth="1"/>
    <col min="4610" max="4610" width="12.5" style="168" customWidth="1"/>
    <col min="4611" max="4612" width="13.375" style="168" customWidth="1"/>
    <col min="4613" max="4864" width="9" style="168"/>
    <col min="4865" max="4865" width="11.375" style="168" customWidth="1"/>
    <col min="4866" max="4866" width="12.5" style="168" customWidth="1"/>
    <col min="4867" max="4868" width="13.375" style="168" customWidth="1"/>
    <col min="4869" max="5120" width="9" style="168"/>
    <col min="5121" max="5121" width="11.375" style="168" customWidth="1"/>
    <col min="5122" max="5122" width="12.5" style="168" customWidth="1"/>
    <col min="5123" max="5124" width="13.375" style="168" customWidth="1"/>
    <col min="5125" max="5376" width="9" style="168"/>
    <col min="5377" max="5377" width="11.375" style="168" customWidth="1"/>
    <col min="5378" max="5378" width="12.5" style="168" customWidth="1"/>
    <col min="5379" max="5380" width="13.375" style="168" customWidth="1"/>
    <col min="5381" max="5632" width="9" style="168"/>
    <col min="5633" max="5633" width="11.375" style="168" customWidth="1"/>
    <col min="5634" max="5634" width="12.5" style="168" customWidth="1"/>
    <col min="5635" max="5636" width="13.375" style="168" customWidth="1"/>
    <col min="5637" max="5888" width="9" style="168"/>
    <col min="5889" max="5889" width="11.375" style="168" customWidth="1"/>
    <col min="5890" max="5890" width="12.5" style="168" customWidth="1"/>
    <col min="5891" max="5892" width="13.375" style="168" customWidth="1"/>
    <col min="5893" max="6144" width="9" style="168"/>
    <col min="6145" max="6145" width="11.375" style="168" customWidth="1"/>
    <col min="6146" max="6146" width="12.5" style="168" customWidth="1"/>
    <col min="6147" max="6148" width="13.375" style="168" customWidth="1"/>
    <col min="6149" max="6400" width="9" style="168"/>
    <col min="6401" max="6401" width="11.375" style="168" customWidth="1"/>
    <col min="6402" max="6402" width="12.5" style="168" customWidth="1"/>
    <col min="6403" max="6404" width="13.375" style="168" customWidth="1"/>
    <col min="6405" max="6656" width="9" style="168"/>
    <col min="6657" max="6657" width="11.375" style="168" customWidth="1"/>
    <col min="6658" max="6658" width="12.5" style="168" customWidth="1"/>
    <col min="6659" max="6660" width="13.375" style="168" customWidth="1"/>
    <col min="6661" max="6912" width="9" style="168"/>
    <col min="6913" max="6913" width="11.375" style="168" customWidth="1"/>
    <col min="6914" max="6914" width="12.5" style="168" customWidth="1"/>
    <col min="6915" max="6916" width="13.375" style="168" customWidth="1"/>
    <col min="6917" max="7168" width="9" style="168"/>
    <col min="7169" max="7169" width="11.375" style="168" customWidth="1"/>
    <col min="7170" max="7170" width="12.5" style="168" customWidth="1"/>
    <col min="7171" max="7172" width="13.375" style="168" customWidth="1"/>
    <col min="7173" max="7424" width="9" style="168"/>
    <col min="7425" max="7425" width="11.375" style="168" customWidth="1"/>
    <col min="7426" max="7426" width="12.5" style="168" customWidth="1"/>
    <col min="7427" max="7428" width="13.375" style="168" customWidth="1"/>
    <col min="7429" max="7680" width="9" style="168"/>
    <col min="7681" max="7681" width="11.375" style="168" customWidth="1"/>
    <col min="7682" max="7682" width="12.5" style="168" customWidth="1"/>
    <col min="7683" max="7684" width="13.375" style="168" customWidth="1"/>
    <col min="7685" max="7936" width="9" style="168"/>
    <col min="7937" max="7937" width="11.375" style="168" customWidth="1"/>
    <col min="7938" max="7938" width="12.5" style="168" customWidth="1"/>
    <col min="7939" max="7940" width="13.375" style="168" customWidth="1"/>
    <col min="7941" max="8192" width="9" style="168"/>
    <col min="8193" max="8193" width="11.375" style="168" customWidth="1"/>
    <col min="8194" max="8194" width="12.5" style="168" customWidth="1"/>
    <col min="8195" max="8196" width="13.375" style="168" customWidth="1"/>
    <col min="8197" max="8448" width="9" style="168"/>
    <col min="8449" max="8449" width="11.375" style="168" customWidth="1"/>
    <col min="8450" max="8450" width="12.5" style="168" customWidth="1"/>
    <col min="8451" max="8452" width="13.375" style="168" customWidth="1"/>
    <col min="8453" max="8704" width="9" style="168"/>
    <col min="8705" max="8705" width="11.375" style="168" customWidth="1"/>
    <col min="8706" max="8706" width="12.5" style="168" customWidth="1"/>
    <col min="8707" max="8708" width="13.375" style="168" customWidth="1"/>
    <col min="8709" max="8960" width="9" style="168"/>
    <col min="8961" max="8961" width="11.375" style="168" customWidth="1"/>
    <col min="8962" max="8962" width="12.5" style="168" customWidth="1"/>
    <col min="8963" max="8964" width="13.375" style="168" customWidth="1"/>
    <col min="8965" max="9216" width="9" style="168"/>
    <col min="9217" max="9217" width="11.375" style="168" customWidth="1"/>
    <col min="9218" max="9218" width="12.5" style="168" customWidth="1"/>
    <col min="9219" max="9220" width="13.375" style="168" customWidth="1"/>
    <col min="9221" max="9472" width="9" style="168"/>
    <col min="9473" max="9473" width="11.375" style="168" customWidth="1"/>
    <col min="9474" max="9474" width="12.5" style="168" customWidth="1"/>
    <col min="9475" max="9476" width="13.375" style="168" customWidth="1"/>
    <col min="9477" max="9728" width="9" style="168"/>
    <col min="9729" max="9729" width="11.375" style="168" customWidth="1"/>
    <col min="9730" max="9730" width="12.5" style="168" customWidth="1"/>
    <col min="9731" max="9732" width="13.375" style="168" customWidth="1"/>
    <col min="9733" max="9984" width="9" style="168"/>
    <col min="9985" max="9985" width="11.375" style="168" customWidth="1"/>
    <col min="9986" max="9986" width="12.5" style="168" customWidth="1"/>
    <col min="9987" max="9988" width="13.375" style="168" customWidth="1"/>
    <col min="9989" max="10240" width="9" style="168"/>
    <col min="10241" max="10241" width="11.375" style="168" customWidth="1"/>
    <col min="10242" max="10242" width="12.5" style="168" customWidth="1"/>
    <col min="10243" max="10244" width="13.375" style="168" customWidth="1"/>
    <col min="10245" max="10496" width="9" style="168"/>
    <col min="10497" max="10497" width="11.375" style="168" customWidth="1"/>
    <col min="10498" max="10498" width="12.5" style="168" customWidth="1"/>
    <col min="10499" max="10500" width="13.375" style="168" customWidth="1"/>
    <col min="10501" max="10752" width="9" style="168"/>
    <col min="10753" max="10753" width="11.375" style="168" customWidth="1"/>
    <col min="10754" max="10754" width="12.5" style="168" customWidth="1"/>
    <col min="10755" max="10756" width="13.375" style="168" customWidth="1"/>
    <col min="10757" max="11008" width="9" style="168"/>
    <col min="11009" max="11009" width="11.375" style="168" customWidth="1"/>
    <col min="11010" max="11010" width="12.5" style="168" customWidth="1"/>
    <col min="11011" max="11012" width="13.375" style="168" customWidth="1"/>
    <col min="11013" max="11264" width="9" style="168"/>
    <col min="11265" max="11265" width="11.375" style="168" customWidth="1"/>
    <col min="11266" max="11266" width="12.5" style="168" customWidth="1"/>
    <col min="11267" max="11268" width="13.375" style="168" customWidth="1"/>
    <col min="11269" max="11520" width="9" style="168"/>
    <col min="11521" max="11521" width="11.375" style="168" customWidth="1"/>
    <col min="11522" max="11522" width="12.5" style="168" customWidth="1"/>
    <col min="11523" max="11524" width="13.375" style="168" customWidth="1"/>
    <col min="11525" max="11776" width="9" style="168"/>
    <col min="11777" max="11777" width="11.375" style="168" customWidth="1"/>
    <col min="11778" max="11778" width="12.5" style="168" customWidth="1"/>
    <col min="11779" max="11780" width="13.375" style="168" customWidth="1"/>
    <col min="11781" max="12032" width="9" style="168"/>
    <col min="12033" max="12033" width="11.375" style="168" customWidth="1"/>
    <col min="12034" max="12034" width="12.5" style="168" customWidth="1"/>
    <col min="12035" max="12036" width="13.375" style="168" customWidth="1"/>
    <col min="12037" max="12288" width="9" style="168"/>
    <col min="12289" max="12289" width="11.375" style="168" customWidth="1"/>
    <col min="12290" max="12290" width="12.5" style="168" customWidth="1"/>
    <col min="12291" max="12292" width="13.375" style="168" customWidth="1"/>
    <col min="12293" max="12544" width="9" style="168"/>
    <col min="12545" max="12545" width="11.375" style="168" customWidth="1"/>
    <col min="12546" max="12546" width="12.5" style="168" customWidth="1"/>
    <col min="12547" max="12548" width="13.375" style="168" customWidth="1"/>
    <col min="12549" max="12800" width="9" style="168"/>
    <col min="12801" max="12801" width="11.375" style="168" customWidth="1"/>
    <col min="12802" max="12802" width="12.5" style="168" customWidth="1"/>
    <col min="12803" max="12804" width="13.375" style="168" customWidth="1"/>
    <col min="12805" max="13056" width="9" style="168"/>
    <col min="13057" max="13057" width="11.375" style="168" customWidth="1"/>
    <col min="13058" max="13058" width="12.5" style="168" customWidth="1"/>
    <col min="13059" max="13060" width="13.375" style="168" customWidth="1"/>
    <col min="13061" max="13312" width="9" style="168"/>
    <col min="13313" max="13313" width="11.375" style="168" customWidth="1"/>
    <col min="13314" max="13314" width="12.5" style="168" customWidth="1"/>
    <col min="13315" max="13316" width="13.375" style="168" customWidth="1"/>
    <col min="13317" max="13568" width="9" style="168"/>
    <col min="13569" max="13569" width="11.375" style="168" customWidth="1"/>
    <col min="13570" max="13570" width="12.5" style="168" customWidth="1"/>
    <col min="13571" max="13572" width="13.375" style="168" customWidth="1"/>
    <col min="13573" max="13824" width="9" style="168"/>
    <col min="13825" max="13825" width="11.375" style="168" customWidth="1"/>
    <col min="13826" max="13826" width="12.5" style="168" customWidth="1"/>
    <col min="13827" max="13828" width="13.375" style="168" customWidth="1"/>
    <col min="13829" max="14080" width="9" style="168"/>
    <col min="14081" max="14081" width="11.375" style="168" customWidth="1"/>
    <col min="14082" max="14082" width="12.5" style="168" customWidth="1"/>
    <col min="14083" max="14084" width="13.375" style="168" customWidth="1"/>
    <col min="14085" max="14336" width="9" style="168"/>
    <col min="14337" max="14337" width="11.375" style="168" customWidth="1"/>
    <col min="14338" max="14338" width="12.5" style="168" customWidth="1"/>
    <col min="14339" max="14340" width="13.375" style="168" customWidth="1"/>
    <col min="14341" max="14592" width="9" style="168"/>
    <col min="14593" max="14593" width="11.375" style="168" customWidth="1"/>
    <col min="14594" max="14594" width="12.5" style="168" customWidth="1"/>
    <col min="14595" max="14596" width="13.375" style="168" customWidth="1"/>
    <col min="14597" max="14848" width="9" style="168"/>
    <col min="14849" max="14849" width="11.375" style="168" customWidth="1"/>
    <col min="14850" max="14850" width="12.5" style="168" customWidth="1"/>
    <col min="14851" max="14852" width="13.375" style="168" customWidth="1"/>
    <col min="14853" max="15104" width="9" style="168"/>
    <col min="15105" max="15105" width="11.375" style="168" customWidth="1"/>
    <col min="15106" max="15106" width="12.5" style="168" customWidth="1"/>
    <col min="15107" max="15108" width="13.375" style="168" customWidth="1"/>
    <col min="15109" max="15360" width="9" style="168"/>
    <col min="15361" max="15361" width="11.375" style="168" customWidth="1"/>
    <col min="15362" max="15362" width="12.5" style="168" customWidth="1"/>
    <col min="15363" max="15364" width="13.375" style="168" customWidth="1"/>
    <col min="15365" max="15616" width="9" style="168"/>
    <col min="15617" max="15617" width="11.375" style="168" customWidth="1"/>
    <col min="15618" max="15618" width="12.5" style="168" customWidth="1"/>
    <col min="15619" max="15620" width="13.375" style="168" customWidth="1"/>
    <col min="15621" max="15872" width="9" style="168"/>
    <col min="15873" max="15873" width="11.375" style="168" customWidth="1"/>
    <col min="15874" max="15874" width="12.5" style="168" customWidth="1"/>
    <col min="15875" max="15876" width="13.375" style="168" customWidth="1"/>
    <col min="15877" max="16128" width="9" style="168"/>
    <col min="16129" max="16129" width="11.375" style="168" customWidth="1"/>
    <col min="16130" max="16130" width="12.5" style="168" customWidth="1"/>
    <col min="16131" max="16132" width="13.375" style="168" customWidth="1"/>
    <col min="16133" max="16384" width="9" style="168"/>
  </cols>
  <sheetData>
    <row r="1" spans="1:11">
      <c r="A1" s="626" t="s">
        <v>2919</v>
      </c>
      <c r="B1" s="626" t="s">
        <v>2920</v>
      </c>
      <c r="C1" s="626" t="s">
        <v>2921</v>
      </c>
      <c r="D1" s="627" t="s">
        <v>88</v>
      </c>
      <c r="E1" s="628" t="s">
        <v>2922</v>
      </c>
      <c r="F1" s="628"/>
      <c r="G1" s="628"/>
      <c r="H1" s="628"/>
      <c r="I1" s="628"/>
      <c r="J1" s="628"/>
      <c r="K1" s="628" t="s">
        <v>2923</v>
      </c>
    </row>
    <row r="2" spans="1:11">
      <c r="A2" s="204">
        <v>150</v>
      </c>
      <c r="B2" s="204">
        <v>380</v>
      </c>
      <c r="C2" s="629">
        <f>A2*1000/SQRT(3)/B2/0.8</f>
        <v>284.876777560671</v>
      </c>
      <c r="D2" s="627"/>
      <c r="E2" s="630"/>
      <c r="F2" s="631">
        <v>1800</v>
      </c>
      <c r="G2" s="631">
        <v>900</v>
      </c>
      <c r="H2" s="631">
        <v>1120</v>
      </c>
      <c r="I2" s="639" t="e">
        <f t="shared" ref="I2:I18" si="0">3.1416*(F2-G2-2*J2)/(2*E2)*INT(0.95*H2/E2)*(G2+(INT((F2-G2-2*J2)/(2*E2)))*E2)/1000</f>
        <v>#DIV/0!</v>
      </c>
      <c r="J2" s="631">
        <v>60</v>
      </c>
      <c r="K2" s="640" t="e">
        <f t="shared" ref="K2:K18" si="1">1000/I2</f>
        <v>#DIV/0!</v>
      </c>
    </row>
    <row r="3" spans="1:11">
      <c r="A3" s="204">
        <v>10</v>
      </c>
      <c r="B3" s="204">
        <v>380</v>
      </c>
      <c r="C3" s="629">
        <f>A3*1000/SQRT(3)/B3/0.8</f>
        <v>18.9917851707114</v>
      </c>
      <c r="D3" s="632"/>
      <c r="E3" s="633"/>
      <c r="F3" s="631">
        <v>1800</v>
      </c>
      <c r="G3" s="631">
        <v>900</v>
      </c>
      <c r="H3" s="631">
        <v>1120</v>
      </c>
      <c r="I3" s="639" t="e">
        <f t="shared" si="0"/>
        <v>#DIV/0!</v>
      </c>
      <c r="J3" s="631">
        <v>60</v>
      </c>
      <c r="K3" s="640" t="e">
        <f t="shared" si="1"/>
        <v>#DIV/0!</v>
      </c>
    </row>
    <row r="4" spans="1:11">
      <c r="A4" s="204">
        <v>5</v>
      </c>
      <c r="B4" s="204">
        <v>380</v>
      </c>
      <c r="C4" s="629">
        <f>A4*1000/SQRT(3)/B4/0.8</f>
        <v>9.49589258535569</v>
      </c>
      <c r="D4" s="632"/>
      <c r="E4" s="630"/>
      <c r="F4" s="631">
        <v>1800</v>
      </c>
      <c r="G4" s="631">
        <v>900</v>
      </c>
      <c r="H4" s="631">
        <v>1120</v>
      </c>
      <c r="I4" s="639" t="e">
        <f t="shared" si="0"/>
        <v>#DIV/0!</v>
      </c>
      <c r="J4" s="631">
        <v>60</v>
      </c>
      <c r="K4" s="640" t="e">
        <f t="shared" si="1"/>
        <v>#DIV/0!</v>
      </c>
    </row>
    <row r="5" spans="1:11">
      <c r="A5" s="204">
        <v>40</v>
      </c>
      <c r="B5" s="204">
        <v>380</v>
      </c>
      <c r="C5" s="629">
        <f>A5*1000/SQRT(3)/B5/0.8</f>
        <v>75.9671406828455</v>
      </c>
      <c r="D5" s="632"/>
      <c r="E5" s="630"/>
      <c r="F5" s="631">
        <v>1800</v>
      </c>
      <c r="G5" s="631">
        <v>900</v>
      </c>
      <c r="H5" s="631">
        <v>1120</v>
      </c>
      <c r="I5" s="639" t="e">
        <f t="shared" si="0"/>
        <v>#DIV/0!</v>
      </c>
      <c r="J5" s="631">
        <v>60</v>
      </c>
      <c r="K5" s="640" t="e">
        <f t="shared" si="1"/>
        <v>#DIV/0!</v>
      </c>
    </row>
    <row r="6" spans="1:11">
      <c r="A6" s="204">
        <v>200</v>
      </c>
      <c r="B6" s="204">
        <v>380</v>
      </c>
      <c r="C6" s="629">
        <f>A6*1000/SQRT(3)/B6/0.8</f>
        <v>379.835703414228</v>
      </c>
      <c r="D6" s="632"/>
      <c r="E6" s="630"/>
      <c r="F6" s="631">
        <v>1800</v>
      </c>
      <c r="G6" s="631">
        <v>900</v>
      </c>
      <c r="H6" s="631">
        <v>1120</v>
      </c>
      <c r="I6" s="639" t="e">
        <f t="shared" si="0"/>
        <v>#DIV/0!</v>
      </c>
      <c r="J6" s="631">
        <v>60</v>
      </c>
      <c r="K6" s="640" t="e">
        <f t="shared" si="1"/>
        <v>#DIV/0!</v>
      </c>
    </row>
    <row r="7" spans="1:11">
      <c r="A7" s="204">
        <v>125</v>
      </c>
      <c r="B7" s="204">
        <v>380</v>
      </c>
      <c r="C7" s="629">
        <f>A7*1000/SQRT(3)/B7/0.85</f>
        <v>223.432766714251</v>
      </c>
      <c r="D7" s="632"/>
      <c r="E7" s="630"/>
      <c r="F7" s="631">
        <v>1800</v>
      </c>
      <c r="G7" s="631">
        <v>900</v>
      </c>
      <c r="H7" s="631">
        <v>1120</v>
      </c>
      <c r="I7" s="639" t="e">
        <f t="shared" si="0"/>
        <v>#DIV/0!</v>
      </c>
      <c r="J7" s="631">
        <v>60</v>
      </c>
      <c r="K7" s="640" t="e">
        <f t="shared" si="1"/>
        <v>#DIV/0!</v>
      </c>
    </row>
    <row r="8" spans="1:11">
      <c r="A8" s="204">
        <v>125</v>
      </c>
      <c r="B8" s="204">
        <v>6000</v>
      </c>
      <c r="C8" s="629">
        <f>A8*1000/SQRT(3)/B8/0.8</f>
        <v>15.0351632601465</v>
      </c>
      <c r="D8" s="632"/>
      <c r="E8" s="630"/>
      <c r="F8" s="631">
        <v>1800</v>
      </c>
      <c r="G8" s="631">
        <v>900</v>
      </c>
      <c r="H8" s="631">
        <v>1120</v>
      </c>
      <c r="I8" s="639" t="e">
        <f t="shared" si="0"/>
        <v>#DIV/0!</v>
      </c>
      <c r="J8" s="631">
        <v>60</v>
      </c>
      <c r="K8" s="640" t="e">
        <f t="shared" si="1"/>
        <v>#DIV/0!</v>
      </c>
    </row>
    <row r="9" spans="1:11">
      <c r="A9" s="204">
        <v>37</v>
      </c>
      <c r="B9" s="204">
        <v>380</v>
      </c>
      <c r="C9" s="629">
        <f t="shared" ref="C9:C15" si="2">A9*1000/SQRT(3)/B9/0.8</f>
        <v>70.2696051316321</v>
      </c>
      <c r="D9" s="632"/>
      <c r="E9" s="630"/>
      <c r="F9" s="631">
        <v>1800</v>
      </c>
      <c r="G9" s="631">
        <v>900</v>
      </c>
      <c r="H9" s="631">
        <v>1120</v>
      </c>
      <c r="I9" s="639" t="e">
        <f t="shared" si="0"/>
        <v>#DIV/0!</v>
      </c>
      <c r="J9" s="631">
        <v>60</v>
      </c>
      <c r="K9" s="640" t="e">
        <f t="shared" si="1"/>
        <v>#DIV/0!</v>
      </c>
    </row>
    <row r="10" spans="1:11">
      <c r="A10" s="204">
        <v>55</v>
      </c>
      <c r="B10" s="204">
        <v>380</v>
      </c>
      <c r="C10" s="629">
        <f t="shared" si="2"/>
        <v>104.454818438913</v>
      </c>
      <c r="D10" s="632"/>
      <c r="E10" s="630"/>
      <c r="F10" s="631">
        <v>1800</v>
      </c>
      <c r="G10" s="631">
        <v>900</v>
      </c>
      <c r="H10" s="631">
        <v>1120</v>
      </c>
      <c r="I10" s="639" t="e">
        <f t="shared" si="0"/>
        <v>#DIV/0!</v>
      </c>
      <c r="J10" s="631">
        <v>60</v>
      </c>
      <c r="K10" s="640" t="e">
        <f t="shared" si="1"/>
        <v>#DIV/0!</v>
      </c>
    </row>
    <row r="11" spans="1:11">
      <c r="A11" s="204">
        <v>200</v>
      </c>
      <c r="B11" s="204">
        <v>380</v>
      </c>
      <c r="C11" s="629">
        <f t="shared" si="2"/>
        <v>379.835703414228</v>
      </c>
      <c r="D11" s="632"/>
      <c r="E11" s="630"/>
      <c r="F11" s="631">
        <v>1800</v>
      </c>
      <c r="G11" s="631">
        <v>900</v>
      </c>
      <c r="H11" s="631">
        <v>1120</v>
      </c>
      <c r="I11" s="639" t="e">
        <f t="shared" si="0"/>
        <v>#DIV/0!</v>
      </c>
      <c r="J11" s="631">
        <v>60</v>
      </c>
      <c r="K11" s="640" t="e">
        <f t="shared" si="1"/>
        <v>#DIV/0!</v>
      </c>
    </row>
    <row r="12" spans="1:11">
      <c r="A12" s="204">
        <v>160</v>
      </c>
      <c r="B12" s="204">
        <v>380</v>
      </c>
      <c r="C12" s="629">
        <f t="shared" si="2"/>
        <v>303.868562731382</v>
      </c>
      <c r="E12" s="630"/>
      <c r="F12" s="631">
        <v>1800</v>
      </c>
      <c r="G12" s="631">
        <v>900</v>
      </c>
      <c r="H12" s="631">
        <v>1120</v>
      </c>
      <c r="I12" s="639" t="e">
        <f t="shared" si="0"/>
        <v>#DIV/0!</v>
      </c>
      <c r="J12" s="631">
        <v>60</v>
      </c>
      <c r="K12" s="640" t="e">
        <f t="shared" si="1"/>
        <v>#DIV/0!</v>
      </c>
    </row>
    <row r="13" spans="1:11">
      <c r="A13" s="204">
        <v>11</v>
      </c>
      <c r="B13" s="204">
        <v>380</v>
      </c>
      <c r="C13" s="629">
        <f t="shared" si="2"/>
        <v>20.8909636877825</v>
      </c>
      <c r="D13" s="632"/>
      <c r="E13" s="630"/>
      <c r="F13" s="631">
        <v>1800</v>
      </c>
      <c r="G13" s="631">
        <v>900</v>
      </c>
      <c r="H13" s="631">
        <v>1120</v>
      </c>
      <c r="I13" s="639" t="e">
        <f t="shared" si="0"/>
        <v>#DIV/0!</v>
      </c>
      <c r="J13" s="631">
        <v>60</v>
      </c>
      <c r="K13" s="640" t="e">
        <f t="shared" si="1"/>
        <v>#DIV/0!</v>
      </c>
    </row>
    <row r="14" spans="1:11">
      <c r="A14" s="204">
        <v>15</v>
      </c>
      <c r="B14" s="204">
        <v>380</v>
      </c>
      <c r="C14" s="629">
        <f t="shared" si="2"/>
        <v>28.4876777560671</v>
      </c>
      <c r="E14" s="630"/>
      <c r="F14" s="631">
        <v>1800</v>
      </c>
      <c r="G14" s="631">
        <v>900</v>
      </c>
      <c r="H14" s="631">
        <v>1120</v>
      </c>
      <c r="I14" s="639" t="e">
        <f t="shared" si="0"/>
        <v>#DIV/0!</v>
      </c>
      <c r="J14" s="631">
        <v>60</v>
      </c>
      <c r="K14" s="640" t="e">
        <f t="shared" si="1"/>
        <v>#DIV/0!</v>
      </c>
    </row>
    <row r="15" spans="1:11">
      <c r="A15" s="204">
        <v>18.5</v>
      </c>
      <c r="B15" s="204">
        <v>380</v>
      </c>
      <c r="C15" s="629">
        <f t="shared" si="2"/>
        <v>35.134802565816</v>
      </c>
      <c r="E15" s="630"/>
      <c r="F15" s="631">
        <v>1800</v>
      </c>
      <c r="G15" s="631">
        <v>900</v>
      </c>
      <c r="H15" s="631">
        <v>1120</v>
      </c>
      <c r="I15" s="639" t="e">
        <f t="shared" si="0"/>
        <v>#DIV/0!</v>
      </c>
      <c r="J15" s="631">
        <v>60</v>
      </c>
      <c r="K15" s="640" t="e">
        <f t="shared" si="1"/>
        <v>#DIV/0!</v>
      </c>
    </row>
    <row r="16" spans="1:11">
      <c r="A16" s="204">
        <v>5519</v>
      </c>
      <c r="B16" s="204">
        <v>10000</v>
      </c>
      <c r="C16" s="629">
        <f>A16*1000/SQRT(3)/B16/0.85</f>
        <v>374.87013360677</v>
      </c>
      <c r="E16" s="630"/>
      <c r="F16" s="631">
        <v>1800</v>
      </c>
      <c r="G16" s="631">
        <v>900</v>
      </c>
      <c r="H16" s="631">
        <v>1120</v>
      </c>
      <c r="I16" s="639" t="e">
        <f t="shared" si="0"/>
        <v>#DIV/0!</v>
      </c>
      <c r="J16" s="631">
        <v>60</v>
      </c>
      <c r="K16" s="640" t="e">
        <f t="shared" si="1"/>
        <v>#DIV/0!</v>
      </c>
    </row>
    <row r="17" spans="1:11">
      <c r="A17" s="338">
        <v>4415</v>
      </c>
      <c r="B17" s="204">
        <v>10000</v>
      </c>
      <c r="C17" s="629">
        <f>A17*1000/SQRT(3)/B17/0.85</f>
        <v>299.8825221732</v>
      </c>
      <c r="E17" s="630"/>
      <c r="F17" s="631">
        <v>1800</v>
      </c>
      <c r="G17" s="631">
        <v>900</v>
      </c>
      <c r="H17" s="631">
        <v>1120</v>
      </c>
      <c r="I17" s="639" t="e">
        <f t="shared" si="0"/>
        <v>#DIV/0!</v>
      </c>
      <c r="J17" s="631">
        <v>60</v>
      </c>
      <c r="K17" s="640" t="e">
        <f t="shared" si="1"/>
        <v>#DIV/0!</v>
      </c>
    </row>
    <row r="18" spans="1:11">
      <c r="A18" s="204"/>
      <c r="B18" s="204">
        <v>380</v>
      </c>
      <c r="C18" s="629">
        <f>A18*1000/SQRT(3)/B18/0.85</f>
        <v>0</v>
      </c>
      <c r="E18" s="630"/>
      <c r="F18" s="631">
        <v>1800</v>
      </c>
      <c r="G18" s="631">
        <v>900</v>
      </c>
      <c r="H18" s="631">
        <v>1120</v>
      </c>
      <c r="I18" s="639" t="e">
        <f t="shared" si="0"/>
        <v>#DIV/0!</v>
      </c>
      <c r="J18" s="631">
        <v>60</v>
      </c>
      <c r="K18" s="640" t="e">
        <f t="shared" si="1"/>
        <v>#DIV/0!</v>
      </c>
    </row>
    <row r="19" spans="1:3">
      <c r="A19" s="634"/>
      <c r="B19" s="634"/>
      <c r="C19" s="632"/>
    </row>
    <row r="20" ht="18.6" spans="1:3">
      <c r="A20" s="338" t="s">
        <v>2924</v>
      </c>
      <c r="B20" s="204"/>
      <c r="C20" s="632"/>
    </row>
    <row r="21" ht="18.6" spans="1:3">
      <c r="A21" s="635" t="s">
        <v>2925</v>
      </c>
      <c r="B21" s="338" t="s">
        <v>2926</v>
      </c>
      <c r="C21" s="632"/>
    </row>
    <row r="22" spans="1:3">
      <c r="A22" s="338" t="s">
        <v>2344</v>
      </c>
      <c r="B22" s="338" t="s">
        <v>2927</v>
      </c>
      <c r="C22" s="632"/>
    </row>
    <row r="24" spans="1:1">
      <c r="A24" s="636" t="s">
        <v>2928</v>
      </c>
    </row>
    <row r="25" ht="18.6" spans="1:2">
      <c r="A25" s="636" t="s">
        <v>2929</v>
      </c>
      <c r="B25" s="636" t="s">
        <v>2930</v>
      </c>
    </row>
    <row r="26" ht="18.6" spans="1:2">
      <c r="A26" s="636" t="s">
        <v>2931</v>
      </c>
      <c r="B26" s="636" t="s">
        <v>2930</v>
      </c>
    </row>
    <row r="27" ht="19.2" spans="1:2">
      <c r="A27" s="637" t="s">
        <v>2932</v>
      </c>
      <c r="B27" s="636" t="s">
        <v>2933</v>
      </c>
    </row>
    <row r="28" ht="19.2" spans="1:2">
      <c r="A28" s="637" t="s">
        <v>2934</v>
      </c>
      <c r="B28" s="636" t="s">
        <v>2933</v>
      </c>
    </row>
    <row r="29" spans="1:1">
      <c r="A29" s="638" t="s">
        <v>2935</v>
      </c>
    </row>
  </sheetData>
  <protectedRanges>
    <protectedRange sqref="F2:K18" name="範圍1"/>
  </protectedRanges>
  <mergeCells count="1">
    <mergeCell ref="D1:D2"/>
  </mergeCells>
  <hyperlinks>
    <hyperlink ref="D1:D2" location="目录!A1" display="目录!A1"/>
  </hyperlinks>
  <pageMargins left="0.7" right="0.7" top="0.75" bottom="0.75" header="0.3" footer="0.3"/>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5"/>
  <sheetViews>
    <sheetView topLeftCell="A55" workbookViewId="0">
      <selection activeCell="B61" sqref="B61"/>
    </sheetView>
  </sheetViews>
  <sheetFormatPr defaultColWidth="9" defaultRowHeight="15.6"/>
  <cols>
    <col min="1" max="1" width="4" customWidth="1"/>
    <col min="2" max="2" width="4.125" customWidth="1"/>
    <col min="3" max="3" width="6.125" customWidth="1"/>
    <col min="4" max="4" width="10" customWidth="1"/>
    <col min="5" max="5" width="17.125" customWidth="1"/>
    <col min="6" max="6" width="12.75" customWidth="1"/>
    <col min="7" max="7" width="10.125" style="514" customWidth="1"/>
    <col min="8" max="8" width="11.75" customWidth="1"/>
    <col min="257" max="257" width="4" customWidth="1"/>
    <col min="258" max="258" width="4.125" customWidth="1"/>
    <col min="259" max="259" width="6.125" customWidth="1"/>
    <col min="260" max="260" width="10" customWidth="1"/>
    <col min="261" max="261" width="17.125" customWidth="1"/>
    <col min="262" max="262" width="12.75" customWidth="1"/>
    <col min="263" max="263" width="10.125" customWidth="1"/>
    <col min="264" max="264" width="11.75" customWidth="1"/>
    <col min="513" max="513" width="4" customWidth="1"/>
    <col min="514" max="514" width="4.125" customWidth="1"/>
    <col min="515" max="515" width="6.125" customWidth="1"/>
    <col min="516" max="516" width="10" customWidth="1"/>
    <col min="517" max="517" width="17.125" customWidth="1"/>
    <col min="518" max="518" width="12.75" customWidth="1"/>
    <col min="519" max="519" width="10.125" customWidth="1"/>
    <col min="520" max="520" width="11.75" customWidth="1"/>
    <col min="769" max="769" width="4" customWidth="1"/>
    <col min="770" max="770" width="4.125" customWidth="1"/>
    <col min="771" max="771" width="6.125" customWidth="1"/>
    <col min="772" max="772" width="10" customWidth="1"/>
    <col min="773" max="773" width="17.125" customWidth="1"/>
    <col min="774" max="774" width="12.75" customWidth="1"/>
    <col min="775" max="775" width="10.125" customWidth="1"/>
    <col min="776" max="776" width="11.75" customWidth="1"/>
    <col min="1025" max="1025" width="4" customWidth="1"/>
    <col min="1026" max="1026" width="4.125" customWidth="1"/>
    <col min="1027" max="1027" width="6.125" customWidth="1"/>
    <col min="1028" max="1028" width="10" customWidth="1"/>
    <col min="1029" max="1029" width="17.125" customWidth="1"/>
    <col min="1030" max="1030" width="12.75" customWidth="1"/>
    <col min="1031" max="1031" width="10.125" customWidth="1"/>
    <col min="1032" max="1032" width="11.75" customWidth="1"/>
    <col min="1281" max="1281" width="4" customWidth="1"/>
    <col min="1282" max="1282" width="4.125" customWidth="1"/>
    <col min="1283" max="1283" width="6.125" customWidth="1"/>
    <col min="1284" max="1284" width="10" customWidth="1"/>
    <col min="1285" max="1285" width="17.125" customWidth="1"/>
    <col min="1286" max="1286" width="12.75" customWidth="1"/>
    <col min="1287" max="1287" width="10.125" customWidth="1"/>
    <col min="1288" max="1288" width="11.75" customWidth="1"/>
    <col min="1537" max="1537" width="4" customWidth="1"/>
    <col min="1538" max="1538" width="4.125" customWidth="1"/>
    <col min="1539" max="1539" width="6.125" customWidth="1"/>
    <col min="1540" max="1540" width="10" customWidth="1"/>
    <col min="1541" max="1541" width="17.125" customWidth="1"/>
    <col min="1542" max="1542" width="12.75" customWidth="1"/>
    <col min="1543" max="1543" width="10.125" customWidth="1"/>
    <col min="1544" max="1544" width="11.75" customWidth="1"/>
    <col min="1793" max="1793" width="4" customWidth="1"/>
    <col min="1794" max="1794" width="4.125" customWidth="1"/>
    <col min="1795" max="1795" width="6.125" customWidth="1"/>
    <col min="1796" max="1796" width="10" customWidth="1"/>
    <col min="1797" max="1797" width="17.125" customWidth="1"/>
    <col min="1798" max="1798" width="12.75" customWidth="1"/>
    <col min="1799" max="1799" width="10.125" customWidth="1"/>
    <col min="1800" max="1800" width="11.75" customWidth="1"/>
    <col min="2049" max="2049" width="4" customWidth="1"/>
    <col min="2050" max="2050" width="4.125" customWidth="1"/>
    <col min="2051" max="2051" width="6.125" customWidth="1"/>
    <col min="2052" max="2052" width="10" customWidth="1"/>
    <col min="2053" max="2053" width="17.125" customWidth="1"/>
    <col min="2054" max="2054" width="12.75" customWidth="1"/>
    <col min="2055" max="2055" width="10.125" customWidth="1"/>
    <col min="2056" max="2056" width="11.75" customWidth="1"/>
    <col min="2305" max="2305" width="4" customWidth="1"/>
    <col min="2306" max="2306" width="4.125" customWidth="1"/>
    <col min="2307" max="2307" width="6.125" customWidth="1"/>
    <col min="2308" max="2308" width="10" customWidth="1"/>
    <col min="2309" max="2309" width="17.125" customWidth="1"/>
    <col min="2310" max="2310" width="12.75" customWidth="1"/>
    <col min="2311" max="2311" width="10.125" customWidth="1"/>
    <col min="2312" max="2312" width="11.75" customWidth="1"/>
    <col min="2561" max="2561" width="4" customWidth="1"/>
    <col min="2562" max="2562" width="4.125" customWidth="1"/>
    <col min="2563" max="2563" width="6.125" customWidth="1"/>
    <col min="2564" max="2564" width="10" customWidth="1"/>
    <col min="2565" max="2565" width="17.125" customWidth="1"/>
    <col min="2566" max="2566" width="12.75" customWidth="1"/>
    <col min="2567" max="2567" width="10.125" customWidth="1"/>
    <col min="2568" max="2568" width="11.75" customWidth="1"/>
    <col min="2817" max="2817" width="4" customWidth="1"/>
    <col min="2818" max="2818" width="4.125" customWidth="1"/>
    <col min="2819" max="2819" width="6.125" customWidth="1"/>
    <col min="2820" max="2820" width="10" customWidth="1"/>
    <col min="2821" max="2821" width="17.125" customWidth="1"/>
    <col min="2822" max="2822" width="12.75" customWidth="1"/>
    <col min="2823" max="2823" width="10.125" customWidth="1"/>
    <col min="2824" max="2824" width="11.75" customWidth="1"/>
    <col min="3073" max="3073" width="4" customWidth="1"/>
    <col min="3074" max="3074" width="4.125" customWidth="1"/>
    <col min="3075" max="3075" width="6.125" customWidth="1"/>
    <col min="3076" max="3076" width="10" customWidth="1"/>
    <col min="3077" max="3077" width="17.125" customWidth="1"/>
    <col min="3078" max="3078" width="12.75" customWidth="1"/>
    <col min="3079" max="3079" width="10.125" customWidth="1"/>
    <col min="3080" max="3080" width="11.75" customWidth="1"/>
    <col min="3329" max="3329" width="4" customWidth="1"/>
    <col min="3330" max="3330" width="4.125" customWidth="1"/>
    <col min="3331" max="3331" width="6.125" customWidth="1"/>
    <col min="3332" max="3332" width="10" customWidth="1"/>
    <col min="3333" max="3333" width="17.125" customWidth="1"/>
    <col min="3334" max="3334" width="12.75" customWidth="1"/>
    <col min="3335" max="3335" width="10.125" customWidth="1"/>
    <col min="3336" max="3336" width="11.75" customWidth="1"/>
    <col min="3585" max="3585" width="4" customWidth="1"/>
    <col min="3586" max="3586" width="4.125" customWidth="1"/>
    <col min="3587" max="3587" width="6.125" customWidth="1"/>
    <col min="3588" max="3588" width="10" customWidth="1"/>
    <col min="3589" max="3589" width="17.125" customWidth="1"/>
    <col min="3590" max="3590" width="12.75" customWidth="1"/>
    <col min="3591" max="3591" width="10.125" customWidth="1"/>
    <col min="3592" max="3592" width="11.75" customWidth="1"/>
    <col min="3841" max="3841" width="4" customWidth="1"/>
    <col min="3842" max="3842" width="4.125" customWidth="1"/>
    <col min="3843" max="3843" width="6.125" customWidth="1"/>
    <col min="3844" max="3844" width="10" customWidth="1"/>
    <col min="3845" max="3845" width="17.125" customWidth="1"/>
    <col min="3846" max="3846" width="12.75" customWidth="1"/>
    <col min="3847" max="3847" width="10.125" customWidth="1"/>
    <col min="3848" max="3848" width="11.75" customWidth="1"/>
    <col min="4097" max="4097" width="4" customWidth="1"/>
    <col min="4098" max="4098" width="4.125" customWidth="1"/>
    <col min="4099" max="4099" width="6.125" customWidth="1"/>
    <col min="4100" max="4100" width="10" customWidth="1"/>
    <col min="4101" max="4101" width="17.125" customWidth="1"/>
    <col min="4102" max="4102" width="12.75" customWidth="1"/>
    <col min="4103" max="4103" width="10.125" customWidth="1"/>
    <col min="4104" max="4104" width="11.75" customWidth="1"/>
    <col min="4353" max="4353" width="4" customWidth="1"/>
    <col min="4354" max="4354" width="4.125" customWidth="1"/>
    <col min="4355" max="4355" width="6.125" customWidth="1"/>
    <col min="4356" max="4356" width="10" customWidth="1"/>
    <col min="4357" max="4357" width="17.125" customWidth="1"/>
    <col min="4358" max="4358" width="12.75" customWidth="1"/>
    <col min="4359" max="4359" width="10.125" customWidth="1"/>
    <col min="4360" max="4360" width="11.75" customWidth="1"/>
    <col min="4609" max="4609" width="4" customWidth="1"/>
    <col min="4610" max="4610" width="4.125" customWidth="1"/>
    <col min="4611" max="4611" width="6.125" customWidth="1"/>
    <col min="4612" max="4612" width="10" customWidth="1"/>
    <col min="4613" max="4613" width="17.125" customWidth="1"/>
    <col min="4614" max="4614" width="12.75" customWidth="1"/>
    <col min="4615" max="4615" width="10.125" customWidth="1"/>
    <col min="4616" max="4616" width="11.75" customWidth="1"/>
    <col min="4865" max="4865" width="4" customWidth="1"/>
    <col min="4866" max="4866" width="4.125" customWidth="1"/>
    <col min="4867" max="4867" width="6.125" customWidth="1"/>
    <col min="4868" max="4868" width="10" customWidth="1"/>
    <col min="4869" max="4869" width="17.125" customWidth="1"/>
    <col min="4870" max="4870" width="12.75" customWidth="1"/>
    <col min="4871" max="4871" width="10.125" customWidth="1"/>
    <col min="4872" max="4872" width="11.75" customWidth="1"/>
    <col min="5121" max="5121" width="4" customWidth="1"/>
    <col min="5122" max="5122" width="4.125" customWidth="1"/>
    <col min="5123" max="5123" width="6.125" customWidth="1"/>
    <col min="5124" max="5124" width="10" customWidth="1"/>
    <col min="5125" max="5125" width="17.125" customWidth="1"/>
    <col min="5126" max="5126" width="12.75" customWidth="1"/>
    <col min="5127" max="5127" width="10.125" customWidth="1"/>
    <col min="5128" max="5128" width="11.75" customWidth="1"/>
    <col min="5377" max="5377" width="4" customWidth="1"/>
    <col min="5378" max="5378" width="4.125" customWidth="1"/>
    <col min="5379" max="5379" width="6.125" customWidth="1"/>
    <col min="5380" max="5380" width="10" customWidth="1"/>
    <col min="5381" max="5381" width="17.125" customWidth="1"/>
    <col min="5382" max="5382" width="12.75" customWidth="1"/>
    <col min="5383" max="5383" width="10.125" customWidth="1"/>
    <col min="5384" max="5384" width="11.75" customWidth="1"/>
    <col min="5633" max="5633" width="4" customWidth="1"/>
    <col min="5634" max="5634" width="4.125" customWidth="1"/>
    <col min="5635" max="5635" width="6.125" customWidth="1"/>
    <col min="5636" max="5636" width="10" customWidth="1"/>
    <col min="5637" max="5637" width="17.125" customWidth="1"/>
    <col min="5638" max="5638" width="12.75" customWidth="1"/>
    <col min="5639" max="5639" width="10.125" customWidth="1"/>
    <col min="5640" max="5640" width="11.75" customWidth="1"/>
    <col min="5889" max="5889" width="4" customWidth="1"/>
    <col min="5890" max="5890" width="4.125" customWidth="1"/>
    <col min="5891" max="5891" width="6.125" customWidth="1"/>
    <col min="5892" max="5892" width="10" customWidth="1"/>
    <col min="5893" max="5893" width="17.125" customWidth="1"/>
    <col min="5894" max="5894" width="12.75" customWidth="1"/>
    <col min="5895" max="5895" width="10.125" customWidth="1"/>
    <col min="5896" max="5896" width="11.75" customWidth="1"/>
    <col min="6145" max="6145" width="4" customWidth="1"/>
    <col min="6146" max="6146" width="4.125" customWidth="1"/>
    <col min="6147" max="6147" width="6.125" customWidth="1"/>
    <col min="6148" max="6148" width="10" customWidth="1"/>
    <col min="6149" max="6149" width="17.125" customWidth="1"/>
    <col min="6150" max="6150" width="12.75" customWidth="1"/>
    <col min="6151" max="6151" width="10.125" customWidth="1"/>
    <col min="6152" max="6152" width="11.75" customWidth="1"/>
    <col min="6401" max="6401" width="4" customWidth="1"/>
    <col min="6402" max="6402" width="4.125" customWidth="1"/>
    <col min="6403" max="6403" width="6.125" customWidth="1"/>
    <col min="6404" max="6404" width="10" customWidth="1"/>
    <col min="6405" max="6405" width="17.125" customWidth="1"/>
    <col min="6406" max="6406" width="12.75" customWidth="1"/>
    <col min="6407" max="6407" width="10.125" customWidth="1"/>
    <col min="6408" max="6408" width="11.75" customWidth="1"/>
    <col min="6657" max="6657" width="4" customWidth="1"/>
    <col min="6658" max="6658" width="4.125" customWidth="1"/>
    <col min="6659" max="6659" width="6.125" customWidth="1"/>
    <col min="6660" max="6660" width="10" customWidth="1"/>
    <col min="6661" max="6661" width="17.125" customWidth="1"/>
    <col min="6662" max="6662" width="12.75" customWidth="1"/>
    <col min="6663" max="6663" width="10.125" customWidth="1"/>
    <col min="6664" max="6664" width="11.75" customWidth="1"/>
    <col min="6913" max="6913" width="4" customWidth="1"/>
    <col min="6914" max="6914" width="4.125" customWidth="1"/>
    <col min="6915" max="6915" width="6.125" customWidth="1"/>
    <col min="6916" max="6916" width="10" customWidth="1"/>
    <col min="6917" max="6917" width="17.125" customWidth="1"/>
    <col min="6918" max="6918" width="12.75" customWidth="1"/>
    <col min="6919" max="6919" width="10.125" customWidth="1"/>
    <col min="6920" max="6920" width="11.75" customWidth="1"/>
    <col min="7169" max="7169" width="4" customWidth="1"/>
    <col min="7170" max="7170" width="4.125" customWidth="1"/>
    <col min="7171" max="7171" width="6.125" customWidth="1"/>
    <col min="7172" max="7172" width="10" customWidth="1"/>
    <col min="7173" max="7173" width="17.125" customWidth="1"/>
    <col min="7174" max="7174" width="12.75" customWidth="1"/>
    <col min="7175" max="7175" width="10.125" customWidth="1"/>
    <col min="7176" max="7176" width="11.75" customWidth="1"/>
    <col min="7425" max="7425" width="4" customWidth="1"/>
    <col min="7426" max="7426" width="4.125" customWidth="1"/>
    <col min="7427" max="7427" width="6.125" customWidth="1"/>
    <col min="7428" max="7428" width="10" customWidth="1"/>
    <col min="7429" max="7429" width="17.125" customWidth="1"/>
    <col min="7430" max="7430" width="12.75" customWidth="1"/>
    <col min="7431" max="7431" width="10.125" customWidth="1"/>
    <col min="7432" max="7432" width="11.75" customWidth="1"/>
    <col min="7681" max="7681" width="4" customWidth="1"/>
    <col min="7682" max="7682" width="4.125" customWidth="1"/>
    <col min="7683" max="7683" width="6.125" customWidth="1"/>
    <col min="7684" max="7684" width="10" customWidth="1"/>
    <col min="7685" max="7685" width="17.125" customWidth="1"/>
    <col min="7686" max="7686" width="12.75" customWidth="1"/>
    <col min="7687" max="7687" width="10.125" customWidth="1"/>
    <col min="7688" max="7688" width="11.75" customWidth="1"/>
    <col min="7937" max="7937" width="4" customWidth="1"/>
    <col min="7938" max="7938" width="4.125" customWidth="1"/>
    <col min="7939" max="7939" width="6.125" customWidth="1"/>
    <col min="7940" max="7940" width="10" customWidth="1"/>
    <col min="7941" max="7941" width="17.125" customWidth="1"/>
    <col min="7942" max="7942" width="12.75" customWidth="1"/>
    <col min="7943" max="7943" width="10.125" customWidth="1"/>
    <col min="7944" max="7944" width="11.75" customWidth="1"/>
    <col min="8193" max="8193" width="4" customWidth="1"/>
    <col min="8194" max="8194" width="4.125" customWidth="1"/>
    <col min="8195" max="8195" width="6.125" customWidth="1"/>
    <col min="8196" max="8196" width="10" customWidth="1"/>
    <col min="8197" max="8197" width="17.125" customWidth="1"/>
    <col min="8198" max="8198" width="12.75" customWidth="1"/>
    <col min="8199" max="8199" width="10.125" customWidth="1"/>
    <col min="8200" max="8200" width="11.75" customWidth="1"/>
    <col min="8449" max="8449" width="4" customWidth="1"/>
    <col min="8450" max="8450" width="4.125" customWidth="1"/>
    <col min="8451" max="8451" width="6.125" customWidth="1"/>
    <col min="8452" max="8452" width="10" customWidth="1"/>
    <col min="8453" max="8453" width="17.125" customWidth="1"/>
    <col min="8454" max="8454" width="12.75" customWidth="1"/>
    <col min="8455" max="8455" width="10.125" customWidth="1"/>
    <col min="8456" max="8456" width="11.75" customWidth="1"/>
    <col min="8705" max="8705" width="4" customWidth="1"/>
    <col min="8706" max="8706" width="4.125" customWidth="1"/>
    <col min="8707" max="8707" width="6.125" customWidth="1"/>
    <col min="8708" max="8708" width="10" customWidth="1"/>
    <col min="8709" max="8709" width="17.125" customWidth="1"/>
    <col min="8710" max="8710" width="12.75" customWidth="1"/>
    <col min="8711" max="8711" width="10.125" customWidth="1"/>
    <col min="8712" max="8712" width="11.75" customWidth="1"/>
    <col min="8961" max="8961" width="4" customWidth="1"/>
    <col min="8962" max="8962" width="4.125" customWidth="1"/>
    <col min="8963" max="8963" width="6.125" customWidth="1"/>
    <col min="8964" max="8964" width="10" customWidth="1"/>
    <col min="8965" max="8965" width="17.125" customWidth="1"/>
    <col min="8966" max="8966" width="12.75" customWidth="1"/>
    <col min="8967" max="8967" width="10.125" customWidth="1"/>
    <col min="8968" max="8968" width="11.75" customWidth="1"/>
    <col min="9217" max="9217" width="4" customWidth="1"/>
    <col min="9218" max="9218" width="4.125" customWidth="1"/>
    <col min="9219" max="9219" width="6.125" customWidth="1"/>
    <col min="9220" max="9220" width="10" customWidth="1"/>
    <col min="9221" max="9221" width="17.125" customWidth="1"/>
    <col min="9222" max="9222" width="12.75" customWidth="1"/>
    <col min="9223" max="9223" width="10.125" customWidth="1"/>
    <col min="9224" max="9224" width="11.75" customWidth="1"/>
    <col min="9473" max="9473" width="4" customWidth="1"/>
    <col min="9474" max="9474" width="4.125" customWidth="1"/>
    <col min="9475" max="9475" width="6.125" customWidth="1"/>
    <col min="9476" max="9476" width="10" customWidth="1"/>
    <col min="9477" max="9477" width="17.125" customWidth="1"/>
    <col min="9478" max="9478" width="12.75" customWidth="1"/>
    <col min="9479" max="9479" width="10.125" customWidth="1"/>
    <col min="9480" max="9480" width="11.75" customWidth="1"/>
    <col min="9729" max="9729" width="4" customWidth="1"/>
    <col min="9730" max="9730" width="4.125" customWidth="1"/>
    <col min="9731" max="9731" width="6.125" customWidth="1"/>
    <col min="9732" max="9732" width="10" customWidth="1"/>
    <col min="9733" max="9733" width="17.125" customWidth="1"/>
    <col min="9734" max="9734" width="12.75" customWidth="1"/>
    <col min="9735" max="9735" width="10.125" customWidth="1"/>
    <col min="9736" max="9736" width="11.75" customWidth="1"/>
    <col min="9985" max="9985" width="4" customWidth="1"/>
    <col min="9986" max="9986" width="4.125" customWidth="1"/>
    <col min="9987" max="9987" width="6.125" customWidth="1"/>
    <col min="9988" max="9988" width="10" customWidth="1"/>
    <col min="9989" max="9989" width="17.125" customWidth="1"/>
    <col min="9990" max="9990" width="12.75" customWidth="1"/>
    <col min="9991" max="9991" width="10.125" customWidth="1"/>
    <col min="9992" max="9992" width="11.75" customWidth="1"/>
    <col min="10241" max="10241" width="4" customWidth="1"/>
    <col min="10242" max="10242" width="4.125" customWidth="1"/>
    <col min="10243" max="10243" width="6.125" customWidth="1"/>
    <col min="10244" max="10244" width="10" customWidth="1"/>
    <col min="10245" max="10245" width="17.125" customWidth="1"/>
    <col min="10246" max="10246" width="12.75" customWidth="1"/>
    <col min="10247" max="10247" width="10.125" customWidth="1"/>
    <col min="10248" max="10248" width="11.75" customWidth="1"/>
    <col min="10497" max="10497" width="4" customWidth="1"/>
    <col min="10498" max="10498" width="4.125" customWidth="1"/>
    <col min="10499" max="10499" width="6.125" customWidth="1"/>
    <col min="10500" max="10500" width="10" customWidth="1"/>
    <col min="10501" max="10501" width="17.125" customWidth="1"/>
    <col min="10502" max="10502" width="12.75" customWidth="1"/>
    <col min="10503" max="10503" width="10.125" customWidth="1"/>
    <col min="10504" max="10504" width="11.75" customWidth="1"/>
    <col min="10753" max="10753" width="4" customWidth="1"/>
    <col min="10754" max="10754" width="4.125" customWidth="1"/>
    <col min="10755" max="10755" width="6.125" customWidth="1"/>
    <col min="10756" max="10756" width="10" customWidth="1"/>
    <col min="10757" max="10757" width="17.125" customWidth="1"/>
    <col min="10758" max="10758" width="12.75" customWidth="1"/>
    <col min="10759" max="10759" width="10.125" customWidth="1"/>
    <col min="10760" max="10760" width="11.75" customWidth="1"/>
    <col min="11009" max="11009" width="4" customWidth="1"/>
    <col min="11010" max="11010" width="4.125" customWidth="1"/>
    <col min="11011" max="11011" width="6.125" customWidth="1"/>
    <col min="11012" max="11012" width="10" customWidth="1"/>
    <col min="11013" max="11013" width="17.125" customWidth="1"/>
    <col min="11014" max="11014" width="12.75" customWidth="1"/>
    <col min="11015" max="11015" width="10.125" customWidth="1"/>
    <col min="11016" max="11016" width="11.75" customWidth="1"/>
    <col min="11265" max="11265" width="4" customWidth="1"/>
    <col min="11266" max="11266" width="4.125" customWidth="1"/>
    <col min="11267" max="11267" width="6.125" customWidth="1"/>
    <col min="11268" max="11268" width="10" customWidth="1"/>
    <col min="11269" max="11269" width="17.125" customWidth="1"/>
    <col min="11270" max="11270" width="12.75" customWidth="1"/>
    <col min="11271" max="11271" width="10.125" customWidth="1"/>
    <col min="11272" max="11272" width="11.75" customWidth="1"/>
    <col min="11521" max="11521" width="4" customWidth="1"/>
    <col min="11522" max="11522" width="4.125" customWidth="1"/>
    <col min="11523" max="11523" width="6.125" customWidth="1"/>
    <col min="11524" max="11524" width="10" customWidth="1"/>
    <col min="11525" max="11525" width="17.125" customWidth="1"/>
    <col min="11526" max="11526" width="12.75" customWidth="1"/>
    <col min="11527" max="11527" width="10.125" customWidth="1"/>
    <col min="11528" max="11528" width="11.75" customWidth="1"/>
    <col min="11777" max="11777" width="4" customWidth="1"/>
    <col min="11778" max="11778" width="4.125" customWidth="1"/>
    <col min="11779" max="11779" width="6.125" customWidth="1"/>
    <col min="11780" max="11780" width="10" customWidth="1"/>
    <col min="11781" max="11781" width="17.125" customWidth="1"/>
    <col min="11782" max="11782" width="12.75" customWidth="1"/>
    <col min="11783" max="11783" width="10.125" customWidth="1"/>
    <col min="11784" max="11784" width="11.75" customWidth="1"/>
    <col min="12033" max="12033" width="4" customWidth="1"/>
    <col min="12034" max="12034" width="4.125" customWidth="1"/>
    <col min="12035" max="12035" width="6.125" customWidth="1"/>
    <col min="12036" max="12036" width="10" customWidth="1"/>
    <col min="12037" max="12037" width="17.125" customWidth="1"/>
    <col min="12038" max="12038" width="12.75" customWidth="1"/>
    <col min="12039" max="12039" width="10.125" customWidth="1"/>
    <col min="12040" max="12040" width="11.75" customWidth="1"/>
    <col min="12289" max="12289" width="4" customWidth="1"/>
    <col min="12290" max="12290" width="4.125" customWidth="1"/>
    <col min="12291" max="12291" width="6.125" customWidth="1"/>
    <col min="12292" max="12292" width="10" customWidth="1"/>
    <col min="12293" max="12293" width="17.125" customWidth="1"/>
    <col min="12294" max="12294" width="12.75" customWidth="1"/>
    <col min="12295" max="12295" width="10.125" customWidth="1"/>
    <col min="12296" max="12296" width="11.75" customWidth="1"/>
    <col min="12545" max="12545" width="4" customWidth="1"/>
    <col min="12546" max="12546" width="4.125" customWidth="1"/>
    <col min="12547" max="12547" width="6.125" customWidth="1"/>
    <col min="12548" max="12548" width="10" customWidth="1"/>
    <col min="12549" max="12549" width="17.125" customWidth="1"/>
    <col min="12550" max="12550" width="12.75" customWidth="1"/>
    <col min="12551" max="12551" width="10.125" customWidth="1"/>
    <col min="12552" max="12552" width="11.75" customWidth="1"/>
    <col min="12801" max="12801" width="4" customWidth="1"/>
    <col min="12802" max="12802" width="4.125" customWidth="1"/>
    <col min="12803" max="12803" width="6.125" customWidth="1"/>
    <col min="12804" max="12804" width="10" customWidth="1"/>
    <col min="12805" max="12805" width="17.125" customWidth="1"/>
    <col min="12806" max="12806" width="12.75" customWidth="1"/>
    <col min="12807" max="12807" width="10.125" customWidth="1"/>
    <col min="12808" max="12808" width="11.75" customWidth="1"/>
    <col min="13057" max="13057" width="4" customWidth="1"/>
    <col min="13058" max="13058" width="4.125" customWidth="1"/>
    <col min="13059" max="13059" width="6.125" customWidth="1"/>
    <col min="13060" max="13060" width="10" customWidth="1"/>
    <col min="13061" max="13061" width="17.125" customWidth="1"/>
    <col min="13062" max="13062" width="12.75" customWidth="1"/>
    <col min="13063" max="13063" width="10.125" customWidth="1"/>
    <col min="13064" max="13064" width="11.75" customWidth="1"/>
    <col min="13313" max="13313" width="4" customWidth="1"/>
    <col min="13314" max="13314" width="4.125" customWidth="1"/>
    <col min="13315" max="13315" width="6.125" customWidth="1"/>
    <col min="13316" max="13316" width="10" customWidth="1"/>
    <col min="13317" max="13317" width="17.125" customWidth="1"/>
    <col min="13318" max="13318" width="12.75" customWidth="1"/>
    <col min="13319" max="13319" width="10.125" customWidth="1"/>
    <col min="13320" max="13320" width="11.75" customWidth="1"/>
    <col min="13569" max="13569" width="4" customWidth="1"/>
    <col min="13570" max="13570" width="4.125" customWidth="1"/>
    <col min="13571" max="13571" width="6.125" customWidth="1"/>
    <col min="13572" max="13572" width="10" customWidth="1"/>
    <col min="13573" max="13573" width="17.125" customWidth="1"/>
    <col min="13574" max="13574" width="12.75" customWidth="1"/>
    <col min="13575" max="13575" width="10.125" customWidth="1"/>
    <col min="13576" max="13576" width="11.75" customWidth="1"/>
    <col min="13825" max="13825" width="4" customWidth="1"/>
    <col min="13826" max="13826" width="4.125" customWidth="1"/>
    <col min="13827" max="13827" width="6.125" customWidth="1"/>
    <col min="13828" max="13828" width="10" customWidth="1"/>
    <col min="13829" max="13829" width="17.125" customWidth="1"/>
    <col min="13830" max="13830" width="12.75" customWidth="1"/>
    <col min="13831" max="13831" width="10.125" customWidth="1"/>
    <col min="13832" max="13832" width="11.75" customWidth="1"/>
    <col min="14081" max="14081" width="4" customWidth="1"/>
    <col min="14082" max="14082" width="4.125" customWidth="1"/>
    <col min="14083" max="14083" width="6.125" customWidth="1"/>
    <col min="14084" max="14084" width="10" customWidth="1"/>
    <col min="14085" max="14085" width="17.125" customWidth="1"/>
    <col min="14086" max="14086" width="12.75" customWidth="1"/>
    <col min="14087" max="14087" width="10.125" customWidth="1"/>
    <col min="14088" max="14088" width="11.75" customWidth="1"/>
    <col min="14337" max="14337" width="4" customWidth="1"/>
    <col min="14338" max="14338" width="4.125" customWidth="1"/>
    <col min="14339" max="14339" width="6.125" customWidth="1"/>
    <col min="14340" max="14340" width="10" customWidth="1"/>
    <col min="14341" max="14341" width="17.125" customWidth="1"/>
    <col min="14342" max="14342" width="12.75" customWidth="1"/>
    <col min="14343" max="14343" width="10.125" customWidth="1"/>
    <col min="14344" max="14344" width="11.75" customWidth="1"/>
    <col min="14593" max="14593" width="4" customWidth="1"/>
    <col min="14594" max="14594" width="4.125" customWidth="1"/>
    <col min="14595" max="14595" width="6.125" customWidth="1"/>
    <col min="14596" max="14596" width="10" customWidth="1"/>
    <col min="14597" max="14597" width="17.125" customWidth="1"/>
    <col min="14598" max="14598" width="12.75" customWidth="1"/>
    <col min="14599" max="14599" width="10.125" customWidth="1"/>
    <col min="14600" max="14600" width="11.75" customWidth="1"/>
    <col min="14849" max="14849" width="4" customWidth="1"/>
    <col min="14850" max="14850" width="4.125" customWidth="1"/>
    <col min="14851" max="14851" width="6.125" customWidth="1"/>
    <col min="14852" max="14852" width="10" customWidth="1"/>
    <col min="14853" max="14853" width="17.125" customWidth="1"/>
    <col min="14854" max="14854" width="12.75" customWidth="1"/>
    <col min="14855" max="14855" width="10.125" customWidth="1"/>
    <col min="14856" max="14856" width="11.75" customWidth="1"/>
    <col min="15105" max="15105" width="4" customWidth="1"/>
    <col min="15106" max="15106" width="4.125" customWidth="1"/>
    <col min="15107" max="15107" width="6.125" customWidth="1"/>
    <col min="15108" max="15108" width="10" customWidth="1"/>
    <col min="15109" max="15109" width="17.125" customWidth="1"/>
    <col min="15110" max="15110" width="12.75" customWidth="1"/>
    <col min="15111" max="15111" width="10.125" customWidth="1"/>
    <col min="15112" max="15112" width="11.75" customWidth="1"/>
    <col min="15361" max="15361" width="4" customWidth="1"/>
    <col min="15362" max="15362" width="4.125" customWidth="1"/>
    <col min="15363" max="15363" width="6.125" customWidth="1"/>
    <col min="15364" max="15364" width="10" customWidth="1"/>
    <col min="15365" max="15365" width="17.125" customWidth="1"/>
    <col min="15366" max="15366" width="12.75" customWidth="1"/>
    <col min="15367" max="15367" width="10.125" customWidth="1"/>
    <col min="15368" max="15368" width="11.75" customWidth="1"/>
    <col min="15617" max="15617" width="4" customWidth="1"/>
    <col min="15618" max="15618" width="4.125" customWidth="1"/>
    <col min="15619" max="15619" width="6.125" customWidth="1"/>
    <col min="15620" max="15620" width="10" customWidth="1"/>
    <col min="15621" max="15621" width="17.125" customWidth="1"/>
    <col min="15622" max="15622" width="12.75" customWidth="1"/>
    <col min="15623" max="15623" width="10.125" customWidth="1"/>
    <col min="15624" max="15624" width="11.75" customWidth="1"/>
    <col min="15873" max="15873" width="4" customWidth="1"/>
    <col min="15874" max="15874" width="4.125" customWidth="1"/>
    <col min="15875" max="15875" width="6.125" customWidth="1"/>
    <col min="15876" max="15876" width="10" customWidth="1"/>
    <col min="15877" max="15877" width="17.125" customWidth="1"/>
    <col min="15878" max="15878" width="12.75" customWidth="1"/>
    <col min="15879" max="15879" width="10.125" customWidth="1"/>
    <col min="15880" max="15880" width="11.75" customWidth="1"/>
    <col min="16129" max="16129" width="4" customWidth="1"/>
    <col min="16130" max="16130" width="4.125" customWidth="1"/>
    <col min="16131" max="16131" width="6.125" customWidth="1"/>
    <col min="16132" max="16132" width="10" customWidth="1"/>
    <col min="16133" max="16133" width="17.125" customWidth="1"/>
    <col min="16134" max="16134" width="12.75" customWidth="1"/>
    <col min="16135" max="16135" width="10.125" customWidth="1"/>
    <col min="16136" max="16136" width="11.75" customWidth="1"/>
  </cols>
  <sheetData>
    <row r="1" spans="1:10">
      <c r="A1" s="597"/>
      <c r="B1" s="597" t="s">
        <v>2936</v>
      </c>
      <c r="F1" s="328" t="s">
        <v>88</v>
      </c>
      <c r="J1" s="514"/>
    </row>
    <row r="2" spans="3:9">
      <c r="C2" s="596"/>
      <c r="D2" s="596"/>
      <c r="E2" s="596"/>
      <c r="F2" s="328"/>
      <c r="G2" s="598"/>
      <c r="H2" s="596"/>
      <c r="I2" s="596"/>
    </row>
    <row r="3" spans="2:9">
      <c r="B3" s="599" t="s">
        <v>2937</v>
      </c>
      <c r="C3" s="596"/>
      <c r="D3" s="596"/>
      <c r="E3" s="596"/>
      <c r="F3" s="596"/>
      <c r="G3" s="598"/>
      <c r="H3" s="596"/>
      <c r="I3" s="596"/>
    </row>
    <row r="4" spans="2:9">
      <c r="B4" s="599"/>
      <c r="C4" s="596"/>
      <c r="D4" s="596"/>
      <c r="E4" s="596"/>
      <c r="F4" s="596"/>
      <c r="G4" s="598"/>
      <c r="H4" s="596"/>
      <c r="I4" s="596"/>
    </row>
    <row r="5" s="596" customFormat="1" ht="12" spans="2:10">
      <c r="B5" s="600" t="s">
        <v>2938</v>
      </c>
      <c r="C5" s="600"/>
      <c r="D5" s="601"/>
      <c r="E5" s="602"/>
      <c r="F5" s="602"/>
      <c r="G5" s="603"/>
      <c r="H5" s="604"/>
      <c r="I5" s="600"/>
      <c r="J5" s="600"/>
    </row>
    <row r="6" s="596" customFormat="1" ht="12.75" spans="2:10">
      <c r="B6" s="605"/>
      <c r="C6" s="600" t="s">
        <v>2939</v>
      </c>
      <c r="D6" s="606"/>
      <c r="E6" s="606" t="s">
        <v>2940</v>
      </c>
      <c r="F6" s="606" t="s">
        <v>2941</v>
      </c>
      <c r="G6" s="607" t="s">
        <v>2942</v>
      </c>
      <c r="H6" s="608" t="s">
        <v>2943</v>
      </c>
      <c r="I6" s="606" t="s">
        <v>2944</v>
      </c>
      <c r="J6" s="600"/>
    </row>
    <row r="7" s="596" customFormat="1" ht="12.75" spans="2:10">
      <c r="B7" s="600"/>
      <c r="C7" s="600" t="s">
        <v>2945</v>
      </c>
      <c r="D7" s="609" t="s">
        <v>2946</v>
      </c>
      <c r="E7" s="610" t="s">
        <v>2947</v>
      </c>
      <c r="F7" s="611">
        <f>((83.16-75.6)+83.16)/6</f>
        <v>15.12</v>
      </c>
      <c r="G7" s="612">
        <v>4</v>
      </c>
      <c r="H7" s="613">
        <f t="shared" ref="H7:H12" si="0">F7*G7</f>
        <v>60.48</v>
      </c>
      <c r="I7" s="623">
        <f>SUM(H7:H13)</f>
        <v>544.08</v>
      </c>
      <c r="J7" s="600"/>
    </row>
    <row r="8" s="596" customFormat="1" ht="12" spans="3:8">
      <c r="C8" s="600" t="s">
        <v>2945</v>
      </c>
      <c r="D8" s="614" t="s">
        <v>2948</v>
      </c>
      <c r="E8" s="615" t="s">
        <v>2949</v>
      </c>
      <c r="F8" s="616">
        <v>11.5</v>
      </c>
      <c r="G8" s="617">
        <f>5+3+11</f>
        <v>19</v>
      </c>
      <c r="H8" s="613">
        <f t="shared" si="0"/>
        <v>218.5</v>
      </c>
    </row>
    <row r="9" s="596" customFormat="1" ht="12" spans="2:10">
      <c r="B9" s="600"/>
      <c r="C9" s="600"/>
      <c r="D9" s="614" t="s">
        <v>2948</v>
      </c>
      <c r="E9" s="615" t="s">
        <v>2950</v>
      </c>
      <c r="F9" s="616">
        <v>9</v>
      </c>
      <c r="G9" s="617">
        <f>4+3</f>
        <v>7</v>
      </c>
      <c r="H9" s="613">
        <f t="shared" si="0"/>
        <v>63</v>
      </c>
      <c r="I9" s="600"/>
      <c r="J9" s="600"/>
    </row>
    <row r="10" s="596" customFormat="1" ht="12" spans="2:10">
      <c r="B10" s="600"/>
      <c r="C10" s="600"/>
      <c r="D10" s="614" t="s">
        <v>2948</v>
      </c>
      <c r="E10" s="615" t="s">
        <v>2951</v>
      </c>
      <c r="F10" s="616">
        <v>7.3</v>
      </c>
      <c r="G10" s="617">
        <f>5+10+2</f>
        <v>17</v>
      </c>
      <c r="H10" s="613">
        <f t="shared" si="0"/>
        <v>124.1</v>
      </c>
      <c r="I10" s="600"/>
      <c r="J10" s="600"/>
    </row>
    <row r="11" s="596" customFormat="1" ht="12" spans="2:10">
      <c r="B11" s="600"/>
      <c r="C11" s="600"/>
      <c r="D11" s="614" t="s">
        <v>2948</v>
      </c>
      <c r="E11" s="615" t="s">
        <v>2952</v>
      </c>
      <c r="F11" s="616">
        <v>6</v>
      </c>
      <c r="G11" s="617">
        <f>5+2+1</f>
        <v>8</v>
      </c>
      <c r="H11" s="613">
        <f t="shared" si="0"/>
        <v>48</v>
      </c>
      <c r="I11" s="600"/>
      <c r="J11" s="600"/>
    </row>
    <row r="12" s="596" customFormat="1" ht="12" spans="2:10">
      <c r="B12" s="600"/>
      <c r="C12" s="600"/>
      <c r="D12" s="614" t="s">
        <v>2948</v>
      </c>
      <c r="E12" s="615" t="s">
        <v>2953</v>
      </c>
      <c r="F12" s="616">
        <v>3</v>
      </c>
      <c r="G12" s="617">
        <f>7+3</f>
        <v>10</v>
      </c>
      <c r="H12" s="613">
        <f t="shared" si="0"/>
        <v>30</v>
      </c>
      <c r="I12" s="600"/>
      <c r="J12" s="600"/>
    </row>
    <row r="13" s="596" customFormat="1" ht="12" spans="3:8">
      <c r="C13" s="600"/>
      <c r="D13" s="614"/>
      <c r="E13" s="615"/>
      <c r="F13" s="616"/>
      <c r="G13" s="617"/>
      <c r="H13" s="618"/>
    </row>
    <row r="14" s="596" customFormat="1" ht="12" spans="4:7">
      <c r="D14" s="619"/>
      <c r="G14" s="598"/>
    </row>
    <row r="15" s="596" customFormat="1" ht="12" spans="4:7">
      <c r="D15" s="620" t="s">
        <v>2954</v>
      </c>
      <c r="G15" s="598"/>
    </row>
    <row r="16" s="596" customFormat="1" ht="12" spans="4:7">
      <c r="D16" s="620" t="s">
        <v>2955</v>
      </c>
      <c r="G16" s="598"/>
    </row>
    <row r="17" s="596" customFormat="1" ht="12" spans="4:7">
      <c r="D17" s="619"/>
      <c r="G17" s="598"/>
    </row>
    <row r="18" s="596" customFormat="1" ht="12" spans="4:7">
      <c r="D18" s="619"/>
      <c r="G18" s="598"/>
    </row>
    <row r="19" s="596" customFormat="1" ht="12" spans="4:7">
      <c r="D19" s="619"/>
      <c r="G19" s="598"/>
    </row>
    <row r="20" s="596" customFormat="1" ht="12" spans="4:7">
      <c r="D20" s="619"/>
      <c r="G20" s="598"/>
    </row>
    <row r="21" s="596" customFormat="1" ht="12" spans="4:7">
      <c r="D21" s="619"/>
      <c r="G21" s="598"/>
    </row>
    <row r="22" s="596" customFormat="1" ht="12" spans="4:7">
      <c r="D22" s="619"/>
      <c r="G22" s="598"/>
    </row>
    <row r="23" s="596" customFormat="1" ht="12" spans="4:7">
      <c r="D23" s="619"/>
      <c r="G23" s="598"/>
    </row>
    <row r="24" s="596" customFormat="1" ht="12" spans="4:7">
      <c r="D24" s="619"/>
      <c r="G24" s="598"/>
    </row>
    <row r="25" s="596" customFormat="1" ht="12" spans="4:7">
      <c r="D25" s="619"/>
      <c r="E25" s="596" t="s">
        <v>2956</v>
      </c>
      <c r="G25" s="598"/>
    </row>
    <row r="26" s="596" customFormat="1" ht="12.75" spans="4:7">
      <c r="D26" s="619"/>
      <c r="E26" s="596" t="s">
        <v>2957</v>
      </c>
      <c r="F26" s="1941" t="s">
        <v>2958</v>
      </c>
      <c r="G26" s="598"/>
    </row>
    <row r="27" s="596" customFormat="1" ht="12.75" spans="4:7">
      <c r="D27" s="619"/>
      <c r="E27" s="596" t="s">
        <v>2959</v>
      </c>
      <c r="F27" s="1942" t="s">
        <v>2958</v>
      </c>
      <c r="G27" s="598"/>
    </row>
    <row r="28" s="596" customFormat="1" ht="12" spans="5:7">
      <c r="E28" s="596" t="s">
        <v>2960</v>
      </c>
      <c r="G28" s="598"/>
    </row>
    <row r="29" s="596" customFormat="1" ht="12.75" spans="5:7">
      <c r="E29" s="596" t="s">
        <v>2939</v>
      </c>
      <c r="G29" s="598"/>
    </row>
    <row r="30" s="596" customFormat="1" ht="12.75" spans="6:9">
      <c r="F30" s="623">
        <f>I7</f>
        <v>544.08</v>
      </c>
      <c r="G30" s="596" t="s">
        <v>2961</v>
      </c>
      <c r="H30" s="623">
        <f>F30/2</f>
        <v>272.04</v>
      </c>
      <c r="I30" s="598"/>
    </row>
    <row r="31" s="596" customFormat="1" ht="12.75" spans="9:9">
      <c r="I31" s="598"/>
    </row>
    <row r="32" s="596" customFormat="1" ht="12.75" spans="6:9">
      <c r="F32" s="1943" t="s">
        <v>2962</v>
      </c>
      <c r="G32" s="624">
        <f>H30</f>
        <v>272.04</v>
      </c>
      <c r="H32" s="623">
        <f>300*0.9/G32</f>
        <v>0.992501102779003</v>
      </c>
      <c r="I32" s="625" t="s">
        <v>320</v>
      </c>
    </row>
    <row r="33" s="596" customFormat="1" ht="12" spans="9:9">
      <c r="I33" s="598"/>
    </row>
    <row r="34" spans="6:9">
      <c r="F34" s="599" t="s">
        <v>2963</v>
      </c>
      <c r="G34"/>
      <c r="I34" s="514"/>
    </row>
    <row r="36" spans="2:2">
      <c r="B36" s="600" t="s">
        <v>2964</v>
      </c>
    </row>
    <row r="37" s="596" customFormat="1" ht="12.75" spans="2:10">
      <c r="B37" s="605"/>
      <c r="C37" s="600" t="s">
        <v>2939</v>
      </c>
      <c r="D37" s="606"/>
      <c r="E37" s="606" t="s">
        <v>2940</v>
      </c>
      <c r="F37" s="606" t="s">
        <v>2941</v>
      </c>
      <c r="G37" s="607" t="s">
        <v>2942</v>
      </c>
      <c r="H37" s="608" t="s">
        <v>2943</v>
      </c>
      <c r="I37" s="606" t="s">
        <v>2944</v>
      </c>
      <c r="J37" s="600"/>
    </row>
    <row r="38" s="596" customFormat="1" ht="12.75" spans="2:10">
      <c r="B38" s="600"/>
      <c r="C38" s="600" t="s">
        <v>2945</v>
      </c>
      <c r="D38" s="609" t="s">
        <v>2946</v>
      </c>
      <c r="E38" s="610" t="s">
        <v>2947</v>
      </c>
      <c r="F38" s="611">
        <f>((83.16-75.6)+83.16)/6</f>
        <v>15.12</v>
      </c>
      <c r="G38" s="612">
        <f>4-1</f>
        <v>3</v>
      </c>
      <c r="H38" s="613">
        <f t="shared" ref="H38:H43" si="1">F38*G38</f>
        <v>45.36</v>
      </c>
      <c r="I38" s="623">
        <f>SUM(H38:H44)</f>
        <v>449.16</v>
      </c>
      <c r="J38" s="600"/>
    </row>
    <row r="39" s="596" customFormat="1" ht="12" spans="3:8">
      <c r="C39" s="600" t="s">
        <v>2945</v>
      </c>
      <c r="D39" s="614" t="s">
        <v>2948</v>
      </c>
      <c r="E39" s="615" t="s">
        <v>2949</v>
      </c>
      <c r="F39" s="616">
        <v>11.5</v>
      </c>
      <c r="G39" s="617">
        <f>5+3+11</f>
        <v>19</v>
      </c>
      <c r="H39" s="613">
        <f t="shared" si="1"/>
        <v>218.5</v>
      </c>
    </row>
    <row r="40" s="596" customFormat="1" ht="12" spans="2:10">
      <c r="B40" s="600"/>
      <c r="C40" s="600"/>
      <c r="D40" s="614" t="s">
        <v>2948</v>
      </c>
      <c r="E40" s="615" t="s">
        <v>2950</v>
      </c>
      <c r="F40" s="616">
        <v>9</v>
      </c>
      <c r="G40" s="617">
        <f>4+3-2</f>
        <v>5</v>
      </c>
      <c r="H40" s="613">
        <f t="shared" si="1"/>
        <v>45</v>
      </c>
      <c r="I40" s="600"/>
      <c r="J40" s="600"/>
    </row>
    <row r="41" s="596" customFormat="1" ht="12" spans="2:10">
      <c r="B41" s="600"/>
      <c r="C41" s="600"/>
      <c r="D41" s="614" t="s">
        <v>2948</v>
      </c>
      <c r="E41" s="615" t="s">
        <v>2951</v>
      </c>
      <c r="F41" s="616">
        <v>7.3</v>
      </c>
      <c r="G41" s="617">
        <f>5+10+2-2-4</f>
        <v>11</v>
      </c>
      <c r="H41" s="613">
        <f t="shared" si="1"/>
        <v>80.3</v>
      </c>
      <c r="I41" s="600"/>
      <c r="J41" s="600"/>
    </row>
    <row r="42" s="596" customFormat="1" ht="12" spans="2:10">
      <c r="B42" s="600"/>
      <c r="C42" s="600"/>
      <c r="D42" s="614" t="s">
        <v>2948</v>
      </c>
      <c r="E42" s="615" t="s">
        <v>2952</v>
      </c>
      <c r="F42" s="616">
        <v>6</v>
      </c>
      <c r="G42" s="617">
        <f>5+2+1-2</f>
        <v>6</v>
      </c>
      <c r="H42" s="613">
        <f t="shared" si="1"/>
        <v>36</v>
      </c>
      <c r="I42" s="600"/>
      <c r="J42" s="600"/>
    </row>
    <row r="43" s="596" customFormat="1" ht="12" spans="2:10">
      <c r="B43" s="600"/>
      <c r="C43" s="600"/>
      <c r="D43" s="614" t="s">
        <v>2948</v>
      </c>
      <c r="E43" s="615" t="s">
        <v>2953</v>
      </c>
      <c r="F43" s="616">
        <v>3</v>
      </c>
      <c r="G43" s="617">
        <f>7+3-2</f>
        <v>8</v>
      </c>
      <c r="H43" s="613">
        <f t="shared" si="1"/>
        <v>24</v>
      </c>
      <c r="I43" s="600"/>
      <c r="J43" s="600"/>
    </row>
    <row r="44" s="596" customFormat="1" ht="12" spans="3:8">
      <c r="C44" s="600"/>
      <c r="D44" s="614"/>
      <c r="E44" s="615"/>
      <c r="F44" s="616"/>
      <c r="G44" s="617"/>
      <c r="H44" s="618"/>
    </row>
    <row r="45" s="596" customFormat="1" ht="12" spans="4:7">
      <c r="D45" s="619"/>
      <c r="G45" s="598"/>
    </row>
    <row r="46" s="596" customFormat="1" ht="12" spans="4:7">
      <c r="D46" s="620" t="s">
        <v>2954</v>
      </c>
      <c r="G46" s="598"/>
    </row>
    <row r="47" s="596" customFormat="1" ht="12" spans="4:7">
      <c r="D47" s="620" t="s">
        <v>2955</v>
      </c>
      <c r="G47" s="598"/>
    </row>
    <row r="48" s="596" customFormat="1" ht="12" spans="4:7">
      <c r="D48" s="619" t="s">
        <v>2939</v>
      </c>
      <c r="G48" s="598"/>
    </row>
    <row r="49" s="596" customFormat="1" ht="12" spans="4:7">
      <c r="D49" s="619"/>
      <c r="G49" s="598"/>
    </row>
    <row r="50" s="596" customFormat="1" ht="12" spans="4:7">
      <c r="D50" s="619"/>
      <c r="G50" s="598"/>
    </row>
    <row r="51" s="596" customFormat="1" ht="12" spans="4:7">
      <c r="D51" s="619"/>
      <c r="G51" s="598"/>
    </row>
    <row r="52" s="596" customFormat="1" ht="12" spans="4:7">
      <c r="D52" s="619"/>
      <c r="G52" s="598"/>
    </row>
    <row r="53" s="596" customFormat="1" ht="12" spans="4:7">
      <c r="D53" s="619"/>
      <c r="G53" s="598"/>
    </row>
    <row r="54" s="596" customFormat="1" ht="12" spans="4:7">
      <c r="D54" s="619"/>
      <c r="G54" s="598"/>
    </row>
    <row r="55" s="596" customFormat="1" ht="12" spans="4:7">
      <c r="D55" s="619"/>
      <c r="G55" s="598"/>
    </row>
    <row r="56" s="596" customFormat="1" ht="12" spans="4:7">
      <c r="D56" s="619"/>
      <c r="E56" s="596" t="s">
        <v>2956</v>
      </c>
      <c r="G56" s="598"/>
    </row>
    <row r="57" s="596" customFormat="1" ht="12.75" spans="4:7">
      <c r="D57" s="619"/>
      <c r="E57" s="596" t="s">
        <v>2957</v>
      </c>
      <c r="F57" s="1941" t="s">
        <v>2958</v>
      </c>
      <c r="G57" s="598"/>
    </row>
    <row r="58" s="596" customFormat="1" ht="12.75" spans="4:7">
      <c r="D58" s="619"/>
      <c r="E58" s="596" t="s">
        <v>2959</v>
      </c>
      <c r="F58" s="1942" t="s">
        <v>2958</v>
      </c>
      <c r="G58" s="598"/>
    </row>
    <row r="59" s="596" customFormat="1" ht="12" spans="5:7">
      <c r="E59" s="596" t="s">
        <v>2960</v>
      </c>
      <c r="G59" s="598"/>
    </row>
    <row r="60" s="596" customFormat="1" ht="12.75" spans="7:7">
      <c r="G60" s="598"/>
    </row>
    <row r="61" s="596" customFormat="1" ht="12.75" spans="6:9">
      <c r="F61" s="623">
        <f>I38</f>
        <v>449.16</v>
      </c>
      <c r="G61" s="596" t="s">
        <v>2961</v>
      </c>
      <c r="H61" s="623">
        <f>F61/2</f>
        <v>224.58</v>
      </c>
      <c r="I61" s="598"/>
    </row>
    <row r="62" s="596" customFormat="1" ht="12.75" spans="9:9">
      <c r="I62" s="598"/>
    </row>
    <row r="63" s="596" customFormat="1" ht="12.75" spans="6:9">
      <c r="F63" s="1943" t="s">
        <v>2962</v>
      </c>
      <c r="G63" s="624">
        <f>H61</f>
        <v>224.58</v>
      </c>
      <c r="H63" s="623">
        <f>300*0.9/G63</f>
        <v>1.20224418915309</v>
      </c>
      <c r="I63" s="625" t="s">
        <v>320</v>
      </c>
    </row>
    <row r="64" s="596" customFormat="1" ht="12" spans="9:9">
      <c r="I64" s="598"/>
    </row>
    <row r="65" spans="6:9">
      <c r="F65" s="599" t="s">
        <v>2965</v>
      </c>
      <c r="G65"/>
      <c r="I65" s="514"/>
    </row>
  </sheetData>
  <sheetProtection password="8BC5" sheet="1" objects="1" scenarios="1"/>
  <protectedRanges>
    <protectedRange sqref="F$1:I$1048576" name="範圍1"/>
  </protectedRanges>
  <mergeCells count="1">
    <mergeCell ref="F1:F2"/>
  </mergeCells>
  <hyperlinks>
    <hyperlink ref="F1:F2" location="目录!A1" display="目录!A1"/>
  </hyperlinks>
  <pageMargins left="0.7" right="0.7" top="0.75" bottom="0.75" header="0.3" footer="0.3"/>
  <pageSetup paperSize="9" orientation="portrait"/>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5"/>
  <sheetViews>
    <sheetView topLeftCell="A15" workbookViewId="0">
      <selection activeCell="G1" sqref="G1:J1"/>
    </sheetView>
  </sheetViews>
  <sheetFormatPr defaultColWidth="9" defaultRowHeight="15.6"/>
  <cols>
    <col min="1" max="1" width="16.375" style="168" customWidth="1"/>
    <col min="2" max="2" width="15.25" style="168" customWidth="1"/>
    <col min="3" max="3" width="41.375" style="168" customWidth="1"/>
    <col min="4" max="4" width="10.625" style="168" customWidth="1"/>
    <col min="5" max="5" width="5.875" style="168" customWidth="1"/>
    <col min="6" max="6" width="9.5" style="168" customWidth="1"/>
    <col min="7" max="7" width="3.375" style="168" customWidth="1"/>
    <col min="8" max="8" width="2.75" style="168" customWidth="1"/>
    <col min="9" max="9" width="3.625" style="168" customWidth="1"/>
    <col min="10" max="10" width="7.125" style="168" customWidth="1"/>
    <col min="11" max="16384" width="9" style="168"/>
  </cols>
  <sheetData>
    <row r="1" ht="28.5" customHeight="1" spans="1:10">
      <c r="A1" s="524" t="s">
        <v>2966</v>
      </c>
      <c r="B1" s="524"/>
      <c r="C1" s="524"/>
      <c r="D1" s="524"/>
      <c r="E1" s="524"/>
      <c r="F1" s="524"/>
      <c r="G1" s="525" t="s">
        <v>88</v>
      </c>
      <c r="H1" s="525"/>
      <c r="I1" s="525"/>
      <c r="J1" s="525"/>
    </row>
    <row r="2" ht="15.75" customHeight="1" spans="1:10">
      <c r="A2" s="526" t="s">
        <v>2967</v>
      </c>
      <c r="B2" s="527">
        <v>1600</v>
      </c>
      <c r="C2" s="528" t="s">
        <v>2968</v>
      </c>
      <c r="D2" s="528"/>
      <c r="E2" s="528"/>
      <c r="F2" s="528"/>
      <c r="G2" s="528"/>
      <c r="H2" s="528"/>
      <c r="I2" s="528"/>
      <c r="J2" s="533"/>
    </row>
    <row r="3" ht="18.95" customHeight="1" spans="1:10">
      <c r="A3" s="529" t="s">
        <v>2969</v>
      </c>
      <c r="B3" s="529"/>
      <c r="C3" s="529"/>
      <c r="D3" s="530">
        <f>B2</f>
        <v>1600</v>
      </c>
      <c r="E3" s="531"/>
      <c r="F3" s="531"/>
      <c r="G3" s="531"/>
      <c r="H3" s="531"/>
      <c r="I3" s="531"/>
      <c r="J3" s="531"/>
    </row>
    <row r="4" ht="18.95" customHeight="1" spans="1:10">
      <c r="A4" s="532" t="s">
        <v>2970</v>
      </c>
      <c r="B4" s="528"/>
      <c r="C4" s="533"/>
      <c r="D4" s="534">
        <v>6</v>
      </c>
      <c r="E4" s="535"/>
      <c r="F4" s="536"/>
      <c r="G4" s="536"/>
      <c r="H4" s="536"/>
      <c r="I4" s="536"/>
      <c r="J4" s="583"/>
    </row>
    <row r="5" ht="18.95" customHeight="1" spans="1:10">
      <c r="A5" s="532" t="s">
        <v>2971</v>
      </c>
      <c r="B5" s="528"/>
      <c r="C5" s="533"/>
      <c r="D5" s="534">
        <f>150/5</f>
        <v>30</v>
      </c>
      <c r="E5" s="535"/>
      <c r="F5" s="536"/>
      <c r="G5" s="536"/>
      <c r="H5" s="536"/>
      <c r="I5" s="536"/>
      <c r="J5" s="583"/>
    </row>
    <row r="6" ht="18.95" customHeight="1" spans="1:10">
      <c r="A6" s="532" t="s">
        <v>2972</v>
      </c>
      <c r="B6" s="528"/>
      <c r="C6" s="533"/>
      <c r="D6" s="532">
        <v>10</v>
      </c>
      <c r="E6" s="537"/>
      <c r="F6" s="538"/>
      <c r="G6" s="538"/>
      <c r="H6" s="538"/>
      <c r="I6" s="538"/>
      <c r="J6" s="584"/>
    </row>
    <row r="7" ht="18.95" customHeight="1" spans="1:13">
      <c r="A7" s="532" t="s">
        <v>2973</v>
      </c>
      <c r="B7" s="528"/>
      <c r="C7" s="533"/>
      <c r="D7" s="532">
        <v>0.4</v>
      </c>
      <c r="E7" s="537"/>
      <c r="F7" s="538"/>
      <c r="G7" s="538"/>
      <c r="H7" s="538"/>
      <c r="I7" s="538"/>
      <c r="J7" s="584"/>
      <c r="M7" s="274"/>
    </row>
    <row r="8" ht="18.95" customHeight="1" spans="1:10">
      <c r="A8" s="532" t="s">
        <v>2974</v>
      </c>
      <c r="B8" s="528"/>
      <c r="C8" s="533"/>
      <c r="D8" s="539">
        <f>D3/(SQRT(3)*D6)</f>
        <v>92.3760430703401</v>
      </c>
      <c r="E8" s="540"/>
      <c r="F8" s="541"/>
      <c r="G8" s="541"/>
      <c r="H8" s="541"/>
      <c r="I8" s="541"/>
      <c r="J8" s="585"/>
    </row>
    <row r="9" ht="18.95" customHeight="1" spans="1:10">
      <c r="A9" s="532" t="s">
        <v>2975</v>
      </c>
      <c r="B9" s="528"/>
      <c r="C9" s="533"/>
      <c r="D9" s="539">
        <f>D3/(SQRT(3)*D7)</f>
        <v>2309.4010767585</v>
      </c>
      <c r="E9" s="540"/>
      <c r="F9" s="541"/>
      <c r="G9" s="541"/>
      <c r="H9" s="541"/>
      <c r="I9" s="541"/>
      <c r="J9" s="585"/>
    </row>
    <row r="10" ht="18.95" customHeight="1" spans="1:10">
      <c r="A10" s="532" t="s">
        <v>2976</v>
      </c>
      <c r="B10" s="528"/>
      <c r="C10" s="533"/>
      <c r="D10" s="539">
        <f>(100*D9)/D4/1000</f>
        <v>38.4900179459751</v>
      </c>
      <c r="E10" s="540"/>
      <c r="F10" s="541"/>
      <c r="G10" s="541"/>
      <c r="H10" s="541"/>
      <c r="I10" s="541"/>
      <c r="J10" s="585"/>
    </row>
    <row r="11" ht="18.95" customHeight="1" spans="1:10">
      <c r="A11" s="542" t="s">
        <v>2977</v>
      </c>
      <c r="B11" s="543"/>
      <c r="C11" s="544"/>
      <c r="D11" s="539">
        <f>(1/(D6/D7))*D10*1000</f>
        <v>1539.600717839</v>
      </c>
      <c r="E11" s="540"/>
      <c r="F11" s="541"/>
      <c r="G11" s="541"/>
      <c r="H11" s="541"/>
      <c r="I11" s="541"/>
      <c r="J11" s="585"/>
    </row>
    <row r="12" ht="18.95" customHeight="1" spans="1:10">
      <c r="A12" s="545" t="s">
        <v>2978</v>
      </c>
      <c r="B12" s="546" t="s">
        <v>2979</v>
      </c>
      <c r="C12" s="547"/>
      <c r="D12" s="534">
        <v>1.05</v>
      </c>
      <c r="E12" s="548" t="s">
        <v>2980</v>
      </c>
      <c r="F12" s="549"/>
      <c r="G12" s="549"/>
      <c r="H12" s="549"/>
      <c r="I12" s="549"/>
      <c r="J12" s="586"/>
    </row>
    <row r="13" ht="18.95" customHeight="1" spans="1:10">
      <c r="A13" s="550"/>
      <c r="B13" s="532" t="s">
        <v>2981</v>
      </c>
      <c r="C13" s="533"/>
      <c r="D13" s="534">
        <v>1</v>
      </c>
      <c r="E13" s="551"/>
      <c r="F13" s="552"/>
      <c r="G13" s="552"/>
      <c r="H13" s="552"/>
      <c r="I13" s="552"/>
      <c r="J13" s="587"/>
    </row>
    <row r="14" ht="18.95" customHeight="1" spans="1:10">
      <c r="A14" s="550"/>
      <c r="B14" s="532" t="s">
        <v>2982</v>
      </c>
      <c r="C14" s="533"/>
      <c r="D14" s="534">
        <v>0.95</v>
      </c>
      <c r="E14" s="551"/>
      <c r="F14" s="552"/>
      <c r="G14" s="552"/>
      <c r="H14" s="552"/>
      <c r="I14" s="552"/>
      <c r="J14" s="587"/>
    </row>
    <row r="15" ht="18.95" customHeight="1" spans="1:10">
      <c r="A15" s="553"/>
      <c r="B15" s="532" t="s">
        <v>2983</v>
      </c>
      <c r="C15" s="533"/>
      <c r="D15" s="534">
        <v>3</v>
      </c>
      <c r="E15" s="554"/>
      <c r="F15" s="555"/>
      <c r="G15" s="555"/>
      <c r="H15" s="555"/>
      <c r="I15" s="555"/>
      <c r="J15" s="588"/>
    </row>
    <row r="16" ht="18.95" customHeight="1" spans="1:10">
      <c r="A16" s="556" t="s">
        <v>2984</v>
      </c>
      <c r="B16" s="557" t="s">
        <v>2985</v>
      </c>
      <c r="C16" s="558"/>
      <c r="D16" s="539">
        <f>D12*D13*((D15*D8)/(D14*D5))</f>
        <v>10.2099837077744</v>
      </c>
      <c r="E16" s="559" t="s">
        <v>2986</v>
      </c>
      <c r="F16" s="560"/>
      <c r="G16" s="561">
        <f>ROUND(D16,1)-1</f>
        <v>9.2</v>
      </c>
      <c r="H16" s="562" t="s">
        <v>2987</v>
      </c>
      <c r="I16" s="561">
        <f>ROUND(D16,1)</f>
        <v>10.2</v>
      </c>
      <c r="J16" s="589" t="s">
        <v>632</v>
      </c>
    </row>
    <row r="17" spans="1:10">
      <c r="A17" s="563"/>
      <c r="B17" s="556" t="s">
        <v>2988</v>
      </c>
      <c r="C17" s="564" t="s">
        <v>2989</v>
      </c>
      <c r="D17" s="539">
        <f>D16*(D5/D13)</f>
        <v>306.299511233233</v>
      </c>
      <c r="E17" s="565">
        <f>D19</f>
        <v>5.02630758161169</v>
      </c>
      <c r="F17" s="549" t="s">
        <v>2990</v>
      </c>
      <c r="G17" s="549"/>
      <c r="H17" s="549"/>
      <c r="I17" s="549"/>
      <c r="J17" s="586"/>
    </row>
    <row r="18" ht="31.2" spans="1:10">
      <c r="A18" s="563"/>
      <c r="B18" s="563"/>
      <c r="C18" s="564" t="s">
        <v>2991</v>
      </c>
      <c r="D18" s="539">
        <f>(2/(SQRT(3)*(D6/D7)))*0.866*(D10*1000)</f>
        <v>1539.55555555556</v>
      </c>
      <c r="E18" s="566"/>
      <c r="F18" s="552"/>
      <c r="G18" s="552"/>
      <c r="H18" s="552"/>
      <c r="I18" s="552"/>
      <c r="J18" s="587"/>
    </row>
    <row r="19" spans="1:10">
      <c r="A19" s="563"/>
      <c r="B19" s="567"/>
      <c r="C19" s="564" t="s">
        <v>2992</v>
      </c>
      <c r="D19" s="539">
        <f>D18/D17</f>
        <v>5.02630758161169</v>
      </c>
      <c r="E19" s="568"/>
      <c r="F19" s="555"/>
      <c r="G19" s="555"/>
      <c r="H19" s="555"/>
      <c r="I19" s="555"/>
      <c r="J19" s="588"/>
    </row>
    <row r="20" spans="1:10">
      <c r="A20" s="567"/>
      <c r="B20" s="188" t="s">
        <v>2993</v>
      </c>
      <c r="C20" s="188"/>
      <c r="D20" s="569" t="s">
        <v>2994</v>
      </c>
      <c r="E20" s="559" t="s">
        <v>2995</v>
      </c>
      <c r="F20" s="560"/>
      <c r="G20" s="560"/>
      <c r="H20" s="560"/>
      <c r="I20" s="560"/>
      <c r="J20" s="590"/>
    </row>
    <row r="21" spans="1:10">
      <c r="A21" s="556" t="s">
        <v>2996</v>
      </c>
      <c r="B21" s="557" t="s">
        <v>2997</v>
      </c>
      <c r="C21" s="558"/>
      <c r="D21" s="539">
        <f>D12*D13*(D11/D5)</f>
        <v>53.8860251243651</v>
      </c>
      <c r="E21" s="559" t="s">
        <v>2986</v>
      </c>
      <c r="F21" s="560"/>
      <c r="G21" s="570">
        <f>ROUND(D21,-1)-5</f>
        <v>45</v>
      </c>
      <c r="H21" s="571" t="s">
        <v>2987</v>
      </c>
      <c r="I21" s="570">
        <f>ROUND(D21,-1)</f>
        <v>50</v>
      </c>
      <c r="J21" s="591" t="s">
        <v>632</v>
      </c>
    </row>
    <row r="22" spans="1:10">
      <c r="A22" s="563"/>
      <c r="B22" s="572" t="s">
        <v>2988</v>
      </c>
      <c r="C22" s="573" t="s">
        <v>2989</v>
      </c>
      <c r="D22" s="574">
        <f>D21*(D5/1)</f>
        <v>1616.58075373095</v>
      </c>
      <c r="E22" s="575" t="s">
        <v>2998</v>
      </c>
      <c r="F22" s="576"/>
      <c r="G22" s="576"/>
      <c r="H22" s="576"/>
      <c r="I22" s="576"/>
      <c r="J22" s="592"/>
    </row>
    <row r="23" spans="1:10">
      <c r="A23" s="563"/>
      <c r="B23" s="572"/>
      <c r="C23" s="573" t="s">
        <v>2999</v>
      </c>
      <c r="D23" s="574"/>
      <c r="E23" s="577"/>
      <c r="F23" s="578"/>
      <c r="G23" s="578"/>
      <c r="H23" s="578"/>
      <c r="I23" s="578"/>
      <c r="J23" s="593"/>
    </row>
    <row r="24" spans="1:10">
      <c r="A24" s="563"/>
      <c r="B24" s="572"/>
      <c r="C24" s="573" t="s">
        <v>3000</v>
      </c>
      <c r="D24" s="574"/>
      <c r="E24" s="579"/>
      <c r="F24" s="580"/>
      <c r="G24" s="580"/>
      <c r="H24" s="580"/>
      <c r="I24" s="580"/>
      <c r="J24" s="594"/>
    </row>
    <row r="25" spans="1:10">
      <c r="A25" s="567"/>
      <c r="B25" s="557" t="s">
        <v>3001</v>
      </c>
      <c r="C25" s="558"/>
      <c r="D25" s="569" t="s">
        <v>3002</v>
      </c>
      <c r="E25" s="581" t="s">
        <v>3003</v>
      </c>
      <c r="F25" s="582"/>
      <c r="G25" s="582"/>
      <c r="H25" s="582"/>
      <c r="I25" s="582"/>
      <c r="J25" s="595"/>
    </row>
  </sheetData>
  <protectedRanges>
    <protectedRange sqref="D12:D15 D4:D5 B2" name="区域1"/>
  </protectedRanges>
  <mergeCells count="41">
    <mergeCell ref="A1:F1"/>
    <mergeCell ref="G1:J1"/>
    <mergeCell ref="C2:J2"/>
    <mergeCell ref="A3:C3"/>
    <mergeCell ref="E3:J3"/>
    <mergeCell ref="A4:C4"/>
    <mergeCell ref="E4:J4"/>
    <mergeCell ref="A5:C5"/>
    <mergeCell ref="E5:J5"/>
    <mergeCell ref="A6:C6"/>
    <mergeCell ref="E6:J6"/>
    <mergeCell ref="A7:C7"/>
    <mergeCell ref="E7:J7"/>
    <mergeCell ref="A8:C8"/>
    <mergeCell ref="E8:J8"/>
    <mergeCell ref="A9:C9"/>
    <mergeCell ref="E9:J9"/>
    <mergeCell ref="A10:C10"/>
    <mergeCell ref="E10:J10"/>
    <mergeCell ref="A11:C11"/>
    <mergeCell ref="E11:J11"/>
    <mergeCell ref="B12:C12"/>
    <mergeCell ref="B13:C13"/>
    <mergeCell ref="B14:C14"/>
    <mergeCell ref="B15:C15"/>
    <mergeCell ref="B16:C16"/>
    <mergeCell ref="E16:F16"/>
    <mergeCell ref="E20:J20"/>
    <mergeCell ref="B21:C21"/>
    <mergeCell ref="E21:F21"/>
    <mergeCell ref="B25:C25"/>
    <mergeCell ref="E25:J25"/>
    <mergeCell ref="A12:A15"/>
    <mergeCell ref="A16:A20"/>
    <mergeCell ref="A21:A25"/>
    <mergeCell ref="B17:B19"/>
    <mergeCell ref="B22:B24"/>
    <mergeCell ref="E17:E19"/>
    <mergeCell ref="E22:J24"/>
    <mergeCell ref="F17:J19"/>
    <mergeCell ref="E12:J15"/>
  </mergeCells>
  <hyperlinks>
    <hyperlink ref="G1:J1" location="目录!A1" display="目录!A1"/>
  </hyperlinks>
  <pageMargins left="0.7" right="0.7" top="0.75" bottom="0.75" header="0.3" footer="0.3"/>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
  <sheetViews>
    <sheetView workbookViewId="0">
      <selection activeCell="L11" sqref="L11"/>
    </sheetView>
  </sheetViews>
  <sheetFormatPr defaultColWidth="9" defaultRowHeight="15.6"/>
  <cols>
    <col min="1" max="1" width="4.25" customWidth="1"/>
    <col min="2" max="2" width="22.75" customWidth="1"/>
    <col min="3" max="3" width="5.75" customWidth="1"/>
    <col min="4" max="4" width="6.75" customWidth="1"/>
    <col min="5" max="7" width="5.25" customWidth="1"/>
    <col min="8" max="11" width="8.75" customWidth="1"/>
    <col min="257" max="257" width="4.25" customWidth="1"/>
    <col min="258" max="258" width="22.75" customWidth="1"/>
    <col min="259" max="259" width="5.75" customWidth="1"/>
    <col min="260" max="260" width="6.75" customWidth="1"/>
    <col min="261" max="263" width="5.25" customWidth="1"/>
    <col min="264" max="267" width="8.75" customWidth="1"/>
    <col min="513" max="513" width="4.25" customWidth="1"/>
    <col min="514" max="514" width="22.75" customWidth="1"/>
    <col min="515" max="515" width="5.75" customWidth="1"/>
    <col min="516" max="516" width="6.75" customWidth="1"/>
    <col min="517" max="519" width="5.25" customWidth="1"/>
    <col min="520" max="523" width="8.75" customWidth="1"/>
    <col min="769" max="769" width="4.25" customWidth="1"/>
    <col min="770" max="770" width="22.75" customWidth="1"/>
    <col min="771" max="771" width="5.75" customWidth="1"/>
    <col min="772" max="772" width="6.75" customWidth="1"/>
    <col min="773" max="775" width="5.25" customWidth="1"/>
    <col min="776" max="779" width="8.75" customWidth="1"/>
    <col min="1025" max="1025" width="4.25" customWidth="1"/>
    <col min="1026" max="1026" width="22.75" customWidth="1"/>
    <col min="1027" max="1027" width="5.75" customWidth="1"/>
    <col min="1028" max="1028" width="6.75" customWidth="1"/>
    <col min="1029" max="1031" width="5.25" customWidth="1"/>
    <col min="1032" max="1035" width="8.75" customWidth="1"/>
    <col min="1281" max="1281" width="4.25" customWidth="1"/>
    <col min="1282" max="1282" width="22.75" customWidth="1"/>
    <col min="1283" max="1283" width="5.75" customWidth="1"/>
    <col min="1284" max="1284" width="6.75" customWidth="1"/>
    <col min="1285" max="1287" width="5.25" customWidth="1"/>
    <col min="1288" max="1291" width="8.75" customWidth="1"/>
    <col min="1537" max="1537" width="4.25" customWidth="1"/>
    <col min="1538" max="1538" width="22.75" customWidth="1"/>
    <col min="1539" max="1539" width="5.75" customWidth="1"/>
    <col min="1540" max="1540" width="6.75" customWidth="1"/>
    <col min="1541" max="1543" width="5.25" customWidth="1"/>
    <col min="1544" max="1547" width="8.75" customWidth="1"/>
    <col min="1793" max="1793" width="4.25" customWidth="1"/>
    <col min="1794" max="1794" width="22.75" customWidth="1"/>
    <col min="1795" max="1795" width="5.75" customWidth="1"/>
    <col min="1796" max="1796" width="6.75" customWidth="1"/>
    <col min="1797" max="1799" width="5.25" customWidth="1"/>
    <col min="1800" max="1803" width="8.75" customWidth="1"/>
    <col min="2049" max="2049" width="4.25" customWidth="1"/>
    <col min="2050" max="2050" width="22.75" customWidth="1"/>
    <col min="2051" max="2051" width="5.75" customWidth="1"/>
    <col min="2052" max="2052" width="6.75" customWidth="1"/>
    <col min="2053" max="2055" width="5.25" customWidth="1"/>
    <col min="2056" max="2059" width="8.75" customWidth="1"/>
    <col min="2305" max="2305" width="4.25" customWidth="1"/>
    <col min="2306" max="2306" width="22.75" customWidth="1"/>
    <col min="2307" max="2307" width="5.75" customWidth="1"/>
    <col min="2308" max="2308" width="6.75" customWidth="1"/>
    <col min="2309" max="2311" width="5.25" customWidth="1"/>
    <col min="2312" max="2315" width="8.75" customWidth="1"/>
    <col min="2561" max="2561" width="4.25" customWidth="1"/>
    <col min="2562" max="2562" width="22.75" customWidth="1"/>
    <col min="2563" max="2563" width="5.75" customWidth="1"/>
    <col min="2564" max="2564" width="6.75" customWidth="1"/>
    <col min="2565" max="2567" width="5.25" customWidth="1"/>
    <col min="2568" max="2571" width="8.75" customWidth="1"/>
    <col min="2817" max="2817" width="4.25" customWidth="1"/>
    <col min="2818" max="2818" width="22.75" customWidth="1"/>
    <col min="2819" max="2819" width="5.75" customWidth="1"/>
    <col min="2820" max="2820" width="6.75" customWidth="1"/>
    <col min="2821" max="2823" width="5.25" customWidth="1"/>
    <col min="2824" max="2827" width="8.75" customWidth="1"/>
    <col min="3073" max="3073" width="4.25" customWidth="1"/>
    <col min="3074" max="3074" width="22.75" customWidth="1"/>
    <col min="3075" max="3075" width="5.75" customWidth="1"/>
    <col min="3076" max="3076" width="6.75" customWidth="1"/>
    <col min="3077" max="3079" width="5.25" customWidth="1"/>
    <col min="3080" max="3083" width="8.75" customWidth="1"/>
    <col min="3329" max="3329" width="4.25" customWidth="1"/>
    <col min="3330" max="3330" width="22.75" customWidth="1"/>
    <col min="3331" max="3331" width="5.75" customWidth="1"/>
    <col min="3332" max="3332" width="6.75" customWidth="1"/>
    <col min="3333" max="3335" width="5.25" customWidth="1"/>
    <col min="3336" max="3339" width="8.75" customWidth="1"/>
    <col min="3585" max="3585" width="4.25" customWidth="1"/>
    <col min="3586" max="3586" width="22.75" customWidth="1"/>
    <col min="3587" max="3587" width="5.75" customWidth="1"/>
    <col min="3588" max="3588" width="6.75" customWidth="1"/>
    <col min="3589" max="3591" width="5.25" customWidth="1"/>
    <col min="3592" max="3595" width="8.75" customWidth="1"/>
    <col min="3841" max="3841" width="4.25" customWidth="1"/>
    <col min="3842" max="3842" width="22.75" customWidth="1"/>
    <col min="3843" max="3843" width="5.75" customWidth="1"/>
    <col min="3844" max="3844" width="6.75" customWidth="1"/>
    <col min="3845" max="3847" width="5.25" customWidth="1"/>
    <col min="3848" max="3851" width="8.75" customWidth="1"/>
    <col min="4097" max="4097" width="4.25" customWidth="1"/>
    <col min="4098" max="4098" width="22.75" customWidth="1"/>
    <col min="4099" max="4099" width="5.75" customWidth="1"/>
    <col min="4100" max="4100" width="6.75" customWidth="1"/>
    <col min="4101" max="4103" width="5.25" customWidth="1"/>
    <col min="4104" max="4107" width="8.75" customWidth="1"/>
    <col min="4353" max="4353" width="4.25" customWidth="1"/>
    <col min="4354" max="4354" width="22.75" customWidth="1"/>
    <col min="4355" max="4355" width="5.75" customWidth="1"/>
    <col min="4356" max="4356" width="6.75" customWidth="1"/>
    <col min="4357" max="4359" width="5.25" customWidth="1"/>
    <col min="4360" max="4363" width="8.75" customWidth="1"/>
    <col min="4609" max="4609" width="4.25" customWidth="1"/>
    <col min="4610" max="4610" width="22.75" customWidth="1"/>
    <col min="4611" max="4611" width="5.75" customWidth="1"/>
    <col min="4612" max="4612" width="6.75" customWidth="1"/>
    <col min="4613" max="4615" width="5.25" customWidth="1"/>
    <col min="4616" max="4619" width="8.75" customWidth="1"/>
    <col min="4865" max="4865" width="4.25" customWidth="1"/>
    <col min="4866" max="4866" width="22.75" customWidth="1"/>
    <col min="4867" max="4867" width="5.75" customWidth="1"/>
    <col min="4868" max="4868" width="6.75" customWidth="1"/>
    <col min="4869" max="4871" width="5.25" customWidth="1"/>
    <col min="4872" max="4875" width="8.75" customWidth="1"/>
    <col min="5121" max="5121" width="4.25" customWidth="1"/>
    <col min="5122" max="5122" width="22.75" customWidth="1"/>
    <col min="5123" max="5123" width="5.75" customWidth="1"/>
    <col min="5124" max="5124" width="6.75" customWidth="1"/>
    <col min="5125" max="5127" width="5.25" customWidth="1"/>
    <col min="5128" max="5131" width="8.75" customWidth="1"/>
    <col min="5377" max="5377" width="4.25" customWidth="1"/>
    <col min="5378" max="5378" width="22.75" customWidth="1"/>
    <col min="5379" max="5379" width="5.75" customWidth="1"/>
    <col min="5380" max="5380" width="6.75" customWidth="1"/>
    <col min="5381" max="5383" width="5.25" customWidth="1"/>
    <col min="5384" max="5387" width="8.75" customWidth="1"/>
    <col min="5633" max="5633" width="4.25" customWidth="1"/>
    <col min="5634" max="5634" width="22.75" customWidth="1"/>
    <col min="5635" max="5635" width="5.75" customWidth="1"/>
    <col min="5636" max="5636" width="6.75" customWidth="1"/>
    <col min="5637" max="5639" width="5.25" customWidth="1"/>
    <col min="5640" max="5643" width="8.75" customWidth="1"/>
    <col min="5889" max="5889" width="4.25" customWidth="1"/>
    <col min="5890" max="5890" width="22.75" customWidth="1"/>
    <col min="5891" max="5891" width="5.75" customWidth="1"/>
    <col min="5892" max="5892" width="6.75" customWidth="1"/>
    <col min="5893" max="5895" width="5.25" customWidth="1"/>
    <col min="5896" max="5899" width="8.75" customWidth="1"/>
    <col min="6145" max="6145" width="4.25" customWidth="1"/>
    <col min="6146" max="6146" width="22.75" customWidth="1"/>
    <col min="6147" max="6147" width="5.75" customWidth="1"/>
    <col min="6148" max="6148" width="6.75" customWidth="1"/>
    <col min="6149" max="6151" width="5.25" customWidth="1"/>
    <col min="6152" max="6155" width="8.75" customWidth="1"/>
    <col min="6401" max="6401" width="4.25" customWidth="1"/>
    <col min="6402" max="6402" width="22.75" customWidth="1"/>
    <col min="6403" max="6403" width="5.75" customWidth="1"/>
    <col min="6404" max="6404" width="6.75" customWidth="1"/>
    <col min="6405" max="6407" width="5.25" customWidth="1"/>
    <col min="6408" max="6411" width="8.75" customWidth="1"/>
    <col min="6657" max="6657" width="4.25" customWidth="1"/>
    <col min="6658" max="6658" width="22.75" customWidth="1"/>
    <col min="6659" max="6659" width="5.75" customWidth="1"/>
    <col min="6660" max="6660" width="6.75" customWidth="1"/>
    <col min="6661" max="6663" width="5.25" customWidth="1"/>
    <col min="6664" max="6667" width="8.75" customWidth="1"/>
    <col min="6913" max="6913" width="4.25" customWidth="1"/>
    <col min="6914" max="6914" width="22.75" customWidth="1"/>
    <col min="6915" max="6915" width="5.75" customWidth="1"/>
    <col min="6916" max="6916" width="6.75" customWidth="1"/>
    <col min="6917" max="6919" width="5.25" customWidth="1"/>
    <col min="6920" max="6923" width="8.75" customWidth="1"/>
    <col min="7169" max="7169" width="4.25" customWidth="1"/>
    <col min="7170" max="7170" width="22.75" customWidth="1"/>
    <col min="7171" max="7171" width="5.75" customWidth="1"/>
    <col min="7172" max="7172" width="6.75" customWidth="1"/>
    <col min="7173" max="7175" width="5.25" customWidth="1"/>
    <col min="7176" max="7179" width="8.75" customWidth="1"/>
    <col min="7425" max="7425" width="4.25" customWidth="1"/>
    <col min="7426" max="7426" width="22.75" customWidth="1"/>
    <col min="7427" max="7427" width="5.75" customWidth="1"/>
    <col min="7428" max="7428" width="6.75" customWidth="1"/>
    <col min="7429" max="7431" width="5.25" customWidth="1"/>
    <col min="7432" max="7435" width="8.75" customWidth="1"/>
    <col min="7681" max="7681" width="4.25" customWidth="1"/>
    <col min="7682" max="7682" width="22.75" customWidth="1"/>
    <col min="7683" max="7683" width="5.75" customWidth="1"/>
    <col min="7684" max="7684" width="6.75" customWidth="1"/>
    <col min="7685" max="7687" width="5.25" customWidth="1"/>
    <col min="7688" max="7691" width="8.75" customWidth="1"/>
    <col min="7937" max="7937" width="4.25" customWidth="1"/>
    <col min="7938" max="7938" width="22.75" customWidth="1"/>
    <col min="7939" max="7939" width="5.75" customWidth="1"/>
    <col min="7940" max="7940" width="6.75" customWidth="1"/>
    <col min="7941" max="7943" width="5.25" customWidth="1"/>
    <col min="7944" max="7947" width="8.75" customWidth="1"/>
    <col min="8193" max="8193" width="4.25" customWidth="1"/>
    <col min="8194" max="8194" width="22.75" customWidth="1"/>
    <col min="8195" max="8195" width="5.75" customWidth="1"/>
    <col min="8196" max="8196" width="6.75" customWidth="1"/>
    <col min="8197" max="8199" width="5.25" customWidth="1"/>
    <col min="8200" max="8203" width="8.75" customWidth="1"/>
    <col min="8449" max="8449" width="4.25" customWidth="1"/>
    <col min="8450" max="8450" width="22.75" customWidth="1"/>
    <col min="8451" max="8451" width="5.75" customWidth="1"/>
    <col min="8452" max="8452" width="6.75" customWidth="1"/>
    <col min="8453" max="8455" width="5.25" customWidth="1"/>
    <col min="8456" max="8459" width="8.75" customWidth="1"/>
    <col min="8705" max="8705" width="4.25" customWidth="1"/>
    <col min="8706" max="8706" width="22.75" customWidth="1"/>
    <col min="8707" max="8707" width="5.75" customWidth="1"/>
    <col min="8708" max="8708" width="6.75" customWidth="1"/>
    <col min="8709" max="8711" width="5.25" customWidth="1"/>
    <col min="8712" max="8715" width="8.75" customWidth="1"/>
    <col min="8961" max="8961" width="4.25" customWidth="1"/>
    <col min="8962" max="8962" width="22.75" customWidth="1"/>
    <col min="8963" max="8963" width="5.75" customWidth="1"/>
    <col min="8964" max="8964" width="6.75" customWidth="1"/>
    <col min="8965" max="8967" width="5.25" customWidth="1"/>
    <col min="8968" max="8971" width="8.75" customWidth="1"/>
    <col min="9217" max="9217" width="4.25" customWidth="1"/>
    <col min="9218" max="9218" width="22.75" customWidth="1"/>
    <col min="9219" max="9219" width="5.75" customWidth="1"/>
    <col min="9220" max="9220" width="6.75" customWidth="1"/>
    <col min="9221" max="9223" width="5.25" customWidth="1"/>
    <col min="9224" max="9227" width="8.75" customWidth="1"/>
    <col min="9473" max="9473" width="4.25" customWidth="1"/>
    <col min="9474" max="9474" width="22.75" customWidth="1"/>
    <col min="9475" max="9475" width="5.75" customWidth="1"/>
    <col min="9476" max="9476" width="6.75" customWidth="1"/>
    <col min="9477" max="9479" width="5.25" customWidth="1"/>
    <col min="9480" max="9483" width="8.75" customWidth="1"/>
    <col min="9729" max="9729" width="4.25" customWidth="1"/>
    <col min="9730" max="9730" width="22.75" customWidth="1"/>
    <col min="9731" max="9731" width="5.75" customWidth="1"/>
    <col min="9732" max="9732" width="6.75" customWidth="1"/>
    <col min="9733" max="9735" width="5.25" customWidth="1"/>
    <col min="9736" max="9739" width="8.75" customWidth="1"/>
    <col min="9985" max="9985" width="4.25" customWidth="1"/>
    <col min="9986" max="9986" width="22.75" customWidth="1"/>
    <col min="9987" max="9987" width="5.75" customWidth="1"/>
    <col min="9988" max="9988" width="6.75" customWidth="1"/>
    <col min="9989" max="9991" width="5.25" customWidth="1"/>
    <col min="9992" max="9995" width="8.75" customWidth="1"/>
    <col min="10241" max="10241" width="4.25" customWidth="1"/>
    <col min="10242" max="10242" width="22.75" customWidth="1"/>
    <col min="10243" max="10243" width="5.75" customWidth="1"/>
    <col min="10244" max="10244" width="6.75" customWidth="1"/>
    <col min="10245" max="10247" width="5.25" customWidth="1"/>
    <col min="10248" max="10251" width="8.75" customWidth="1"/>
    <col min="10497" max="10497" width="4.25" customWidth="1"/>
    <col min="10498" max="10498" width="22.75" customWidth="1"/>
    <col min="10499" max="10499" width="5.75" customWidth="1"/>
    <col min="10500" max="10500" width="6.75" customWidth="1"/>
    <col min="10501" max="10503" width="5.25" customWidth="1"/>
    <col min="10504" max="10507" width="8.75" customWidth="1"/>
    <col min="10753" max="10753" width="4.25" customWidth="1"/>
    <col min="10754" max="10754" width="22.75" customWidth="1"/>
    <col min="10755" max="10755" width="5.75" customWidth="1"/>
    <col min="10756" max="10756" width="6.75" customWidth="1"/>
    <col min="10757" max="10759" width="5.25" customWidth="1"/>
    <col min="10760" max="10763" width="8.75" customWidth="1"/>
    <col min="11009" max="11009" width="4.25" customWidth="1"/>
    <col min="11010" max="11010" width="22.75" customWidth="1"/>
    <col min="11011" max="11011" width="5.75" customWidth="1"/>
    <col min="11012" max="11012" width="6.75" customWidth="1"/>
    <col min="11013" max="11015" width="5.25" customWidth="1"/>
    <col min="11016" max="11019" width="8.75" customWidth="1"/>
    <col min="11265" max="11265" width="4.25" customWidth="1"/>
    <col min="11266" max="11266" width="22.75" customWidth="1"/>
    <col min="11267" max="11267" width="5.75" customWidth="1"/>
    <col min="11268" max="11268" width="6.75" customWidth="1"/>
    <col min="11269" max="11271" width="5.25" customWidth="1"/>
    <col min="11272" max="11275" width="8.75" customWidth="1"/>
    <col min="11521" max="11521" width="4.25" customWidth="1"/>
    <col min="11522" max="11522" width="22.75" customWidth="1"/>
    <col min="11523" max="11523" width="5.75" customWidth="1"/>
    <col min="11524" max="11524" width="6.75" customWidth="1"/>
    <col min="11525" max="11527" width="5.25" customWidth="1"/>
    <col min="11528" max="11531" width="8.75" customWidth="1"/>
    <col min="11777" max="11777" width="4.25" customWidth="1"/>
    <col min="11778" max="11778" width="22.75" customWidth="1"/>
    <col min="11779" max="11779" width="5.75" customWidth="1"/>
    <col min="11780" max="11780" width="6.75" customWidth="1"/>
    <col min="11781" max="11783" width="5.25" customWidth="1"/>
    <col min="11784" max="11787" width="8.75" customWidth="1"/>
    <col min="12033" max="12033" width="4.25" customWidth="1"/>
    <col min="12034" max="12034" width="22.75" customWidth="1"/>
    <col min="12035" max="12035" width="5.75" customWidth="1"/>
    <col min="12036" max="12036" width="6.75" customWidth="1"/>
    <col min="12037" max="12039" width="5.25" customWidth="1"/>
    <col min="12040" max="12043" width="8.75" customWidth="1"/>
    <col min="12289" max="12289" width="4.25" customWidth="1"/>
    <col min="12290" max="12290" width="22.75" customWidth="1"/>
    <col min="12291" max="12291" width="5.75" customWidth="1"/>
    <col min="12292" max="12292" width="6.75" customWidth="1"/>
    <col min="12293" max="12295" width="5.25" customWidth="1"/>
    <col min="12296" max="12299" width="8.75" customWidth="1"/>
    <col min="12545" max="12545" width="4.25" customWidth="1"/>
    <col min="12546" max="12546" width="22.75" customWidth="1"/>
    <col min="12547" max="12547" width="5.75" customWidth="1"/>
    <col min="12548" max="12548" width="6.75" customWidth="1"/>
    <col min="12549" max="12551" width="5.25" customWidth="1"/>
    <col min="12552" max="12555" width="8.75" customWidth="1"/>
    <col min="12801" max="12801" width="4.25" customWidth="1"/>
    <col min="12802" max="12802" width="22.75" customWidth="1"/>
    <col min="12803" max="12803" width="5.75" customWidth="1"/>
    <col min="12804" max="12804" width="6.75" customWidth="1"/>
    <col min="12805" max="12807" width="5.25" customWidth="1"/>
    <col min="12808" max="12811" width="8.75" customWidth="1"/>
    <col min="13057" max="13057" width="4.25" customWidth="1"/>
    <col min="13058" max="13058" width="22.75" customWidth="1"/>
    <col min="13059" max="13059" width="5.75" customWidth="1"/>
    <col min="13060" max="13060" width="6.75" customWidth="1"/>
    <col min="13061" max="13063" width="5.25" customWidth="1"/>
    <col min="13064" max="13067" width="8.75" customWidth="1"/>
    <col min="13313" max="13313" width="4.25" customWidth="1"/>
    <col min="13314" max="13314" width="22.75" customWidth="1"/>
    <col min="13315" max="13315" width="5.75" customWidth="1"/>
    <col min="13316" max="13316" width="6.75" customWidth="1"/>
    <col min="13317" max="13319" width="5.25" customWidth="1"/>
    <col min="13320" max="13323" width="8.75" customWidth="1"/>
    <col min="13569" max="13569" width="4.25" customWidth="1"/>
    <col min="13570" max="13570" width="22.75" customWidth="1"/>
    <col min="13571" max="13571" width="5.75" customWidth="1"/>
    <col min="13572" max="13572" width="6.75" customWidth="1"/>
    <col min="13573" max="13575" width="5.25" customWidth="1"/>
    <col min="13576" max="13579" width="8.75" customWidth="1"/>
    <col min="13825" max="13825" width="4.25" customWidth="1"/>
    <col min="13826" max="13826" width="22.75" customWidth="1"/>
    <col min="13827" max="13827" width="5.75" customWidth="1"/>
    <col min="13828" max="13828" width="6.75" customWidth="1"/>
    <col min="13829" max="13831" width="5.25" customWidth="1"/>
    <col min="13832" max="13835" width="8.75" customWidth="1"/>
    <col min="14081" max="14081" width="4.25" customWidth="1"/>
    <col min="14082" max="14082" width="22.75" customWidth="1"/>
    <col min="14083" max="14083" width="5.75" customWidth="1"/>
    <col min="14084" max="14084" width="6.75" customWidth="1"/>
    <col min="14085" max="14087" width="5.25" customWidth="1"/>
    <col min="14088" max="14091" width="8.75" customWidth="1"/>
    <col min="14337" max="14337" width="4.25" customWidth="1"/>
    <col min="14338" max="14338" width="22.75" customWidth="1"/>
    <col min="14339" max="14339" width="5.75" customWidth="1"/>
    <col min="14340" max="14340" width="6.75" customWidth="1"/>
    <col min="14341" max="14343" width="5.25" customWidth="1"/>
    <col min="14344" max="14347" width="8.75" customWidth="1"/>
    <col min="14593" max="14593" width="4.25" customWidth="1"/>
    <col min="14594" max="14594" width="22.75" customWidth="1"/>
    <col min="14595" max="14595" width="5.75" customWidth="1"/>
    <col min="14596" max="14596" width="6.75" customWidth="1"/>
    <col min="14597" max="14599" width="5.25" customWidth="1"/>
    <col min="14600" max="14603" width="8.75" customWidth="1"/>
    <col min="14849" max="14849" width="4.25" customWidth="1"/>
    <col min="14850" max="14850" width="22.75" customWidth="1"/>
    <col min="14851" max="14851" width="5.75" customWidth="1"/>
    <col min="14852" max="14852" width="6.75" customWidth="1"/>
    <col min="14853" max="14855" width="5.25" customWidth="1"/>
    <col min="14856" max="14859" width="8.75" customWidth="1"/>
    <col min="15105" max="15105" width="4.25" customWidth="1"/>
    <col min="15106" max="15106" width="22.75" customWidth="1"/>
    <col min="15107" max="15107" width="5.75" customWidth="1"/>
    <col min="15108" max="15108" width="6.75" customWidth="1"/>
    <col min="15109" max="15111" width="5.25" customWidth="1"/>
    <col min="15112" max="15115" width="8.75" customWidth="1"/>
    <col min="15361" max="15361" width="4.25" customWidth="1"/>
    <col min="15362" max="15362" width="22.75" customWidth="1"/>
    <col min="15363" max="15363" width="5.75" customWidth="1"/>
    <col min="15364" max="15364" width="6.75" customWidth="1"/>
    <col min="15365" max="15367" width="5.25" customWidth="1"/>
    <col min="15368" max="15371" width="8.75" customWidth="1"/>
    <col min="15617" max="15617" width="4.25" customWidth="1"/>
    <col min="15618" max="15618" width="22.75" customWidth="1"/>
    <col min="15619" max="15619" width="5.75" customWidth="1"/>
    <col min="15620" max="15620" width="6.75" customWidth="1"/>
    <col min="15621" max="15623" width="5.25" customWidth="1"/>
    <col min="15624" max="15627" width="8.75" customWidth="1"/>
    <col min="15873" max="15873" width="4.25" customWidth="1"/>
    <col min="15874" max="15874" width="22.75" customWidth="1"/>
    <col min="15875" max="15875" width="5.75" customWidth="1"/>
    <col min="15876" max="15876" width="6.75" customWidth="1"/>
    <col min="15877" max="15879" width="5.25" customWidth="1"/>
    <col min="15880" max="15883" width="8.75" customWidth="1"/>
    <col min="16129" max="16129" width="4.25" customWidth="1"/>
    <col min="16130" max="16130" width="22.75" customWidth="1"/>
    <col min="16131" max="16131" width="5.75" customWidth="1"/>
    <col min="16132" max="16132" width="6.75" customWidth="1"/>
    <col min="16133" max="16135" width="5.25" customWidth="1"/>
    <col min="16136" max="16139" width="8.75" customWidth="1"/>
  </cols>
  <sheetData>
    <row r="1" spans="1:11">
      <c r="A1" s="18"/>
      <c r="B1" s="18"/>
      <c r="C1" s="467" t="s">
        <v>2292</v>
      </c>
      <c r="D1" s="468"/>
      <c r="E1" s="468"/>
      <c r="F1" s="468"/>
      <c r="G1" s="468"/>
      <c r="H1" s="468"/>
      <c r="I1" s="468"/>
      <c r="J1" s="155" t="s">
        <v>88</v>
      </c>
      <c r="K1" s="155"/>
    </row>
    <row r="2" ht="15.75" customHeight="1" spans="1:24">
      <c r="A2" s="18"/>
      <c r="B2" s="18"/>
      <c r="C2" s="468"/>
      <c r="D2" s="468"/>
      <c r="E2" s="468"/>
      <c r="F2" s="468"/>
      <c r="G2" s="468"/>
      <c r="H2" s="468"/>
      <c r="I2" s="468"/>
      <c r="J2" s="155"/>
      <c r="K2" s="155"/>
      <c r="L2" s="19"/>
      <c r="M2" s="19"/>
      <c r="N2" s="19"/>
      <c r="O2" s="19"/>
      <c r="P2" s="19"/>
      <c r="Q2" s="19"/>
      <c r="R2" s="19"/>
      <c r="S2" s="19"/>
      <c r="T2" s="19"/>
      <c r="U2" s="19"/>
      <c r="V2" s="19"/>
      <c r="W2" s="19"/>
      <c r="X2" s="19"/>
    </row>
    <row r="3" spans="1:11">
      <c r="A3" s="18"/>
      <c r="B3" s="18"/>
      <c r="C3" s="468"/>
      <c r="D3" s="468"/>
      <c r="E3" s="468"/>
      <c r="F3" s="468"/>
      <c r="G3" s="468"/>
      <c r="H3" s="468"/>
      <c r="I3" s="468"/>
      <c r="J3" s="155"/>
      <c r="K3" s="155"/>
    </row>
    <row r="4" spans="1:12">
      <c r="A4" s="18"/>
      <c r="B4" s="60" t="s">
        <v>2293</v>
      </c>
      <c r="C4" s="60"/>
      <c r="D4" s="60"/>
      <c r="E4" s="60"/>
      <c r="F4" s="60"/>
      <c r="G4" s="60"/>
      <c r="H4" s="60"/>
      <c r="I4" s="60"/>
      <c r="J4" s="511">
        <f ca="1">NOW()</f>
        <v>44513.4700231481</v>
      </c>
      <c r="K4" s="512"/>
      <c r="L4" s="513"/>
    </row>
    <row r="5" spans="1:11">
      <c r="A5" s="18"/>
      <c r="B5" s="60" t="s">
        <v>2294</v>
      </c>
      <c r="C5" s="60"/>
      <c r="D5" s="60"/>
      <c r="E5" s="60" t="s">
        <v>2295</v>
      </c>
      <c r="F5" s="469"/>
      <c r="G5" s="469"/>
      <c r="H5" s="470" t="s">
        <v>2296</v>
      </c>
      <c r="I5" s="469"/>
      <c r="J5" s="514" t="s">
        <v>2297</v>
      </c>
      <c r="K5" s="513"/>
    </row>
    <row r="6" spans="1:11">
      <c r="A6" s="471"/>
      <c r="B6" s="471"/>
      <c r="C6" s="471"/>
      <c r="D6" s="471"/>
      <c r="E6" s="471"/>
      <c r="F6" s="471"/>
      <c r="G6" s="471"/>
      <c r="H6" s="471"/>
      <c r="I6" s="471"/>
      <c r="J6" s="471"/>
      <c r="K6" s="471"/>
    </row>
    <row r="7" spans="1:11">
      <c r="A7" s="472" t="s">
        <v>8</v>
      </c>
      <c r="B7" s="473" t="s">
        <v>2298</v>
      </c>
      <c r="C7" s="472" t="s">
        <v>2299</v>
      </c>
      <c r="D7" s="472" t="s">
        <v>2300</v>
      </c>
      <c r="E7" s="474" t="s">
        <v>2301</v>
      </c>
      <c r="F7" s="474" t="s">
        <v>2302</v>
      </c>
      <c r="G7" s="474" t="s">
        <v>2303</v>
      </c>
      <c r="H7" s="475" t="s">
        <v>2304</v>
      </c>
      <c r="I7" s="515"/>
      <c r="J7" s="515"/>
      <c r="K7" s="516"/>
    </row>
    <row r="8" spans="1:11">
      <c r="A8" s="476"/>
      <c r="B8" s="477"/>
      <c r="C8" s="476"/>
      <c r="D8" s="476"/>
      <c r="E8" s="478"/>
      <c r="F8" s="478"/>
      <c r="G8" s="478"/>
      <c r="H8" s="479" t="s">
        <v>2305</v>
      </c>
      <c r="I8" s="517" t="s">
        <v>2306</v>
      </c>
      <c r="J8" s="517" t="s">
        <v>2307</v>
      </c>
      <c r="K8" s="479" t="s">
        <v>2308</v>
      </c>
    </row>
    <row r="9" spans="1:11">
      <c r="A9" s="480">
        <v>1</v>
      </c>
      <c r="B9" s="481" t="s">
        <v>2311</v>
      </c>
      <c r="C9" s="482" t="s">
        <v>2310</v>
      </c>
      <c r="D9" s="483">
        <v>186</v>
      </c>
      <c r="E9" s="484">
        <v>0.7</v>
      </c>
      <c r="F9" s="484">
        <v>0.85</v>
      </c>
      <c r="G9" s="485">
        <f>TAN(ACOS(F9))</f>
        <v>0.619744338403102</v>
      </c>
      <c r="H9" s="486">
        <f>D9*E9</f>
        <v>130.2</v>
      </c>
      <c r="I9" s="486">
        <f>H9*G9</f>
        <v>80.6907128600839</v>
      </c>
      <c r="J9" s="486">
        <f>H9/F9</f>
        <v>153.176470588235</v>
      </c>
      <c r="K9" s="486">
        <f t="shared" ref="K9:K36" si="0">J9/0.6582</f>
        <v>232.720253096681</v>
      </c>
    </row>
    <row r="10" spans="1:11">
      <c r="A10" s="480">
        <v>2</v>
      </c>
      <c r="B10" s="481" t="s">
        <v>2311</v>
      </c>
      <c r="C10" s="482" t="s">
        <v>2312</v>
      </c>
      <c r="D10" s="483">
        <v>176</v>
      </c>
      <c r="E10" s="484">
        <v>0.7</v>
      </c>
      <c r="F10" s="484">
        <v>0.85</v>
      </c>
      <c r="G10" s="485">
        <f>TAN(ACOS(F10))</f>
        <v>0.619744338403102</v>
      </c>
      <c r="H10" s="486">
        <f t="shared" ref="H10:H36" si="1">D10*E10</f>
        <v>123.2</v>
      </c>
      <c r="I10" s="486">
        <f>H10*G10</f>
        <v>76.3525024912622</v>
      </c>
      <c r="J10" s="486">
        <f>H10/F10</f>
        <v>144.941176470588</v>
      </c>
      <c r="K10" s="486">
        <f t="shared" si="0"/>
        <v>220.208411532343</v>
      </c>
    </row>
    <row r="11" spans="1:11">
      <c r="A11" s="480">
        <v>3</v>
      </c>
      <c r="B11" s="481" t="s">
        <v>2311</v>
      </c>
      <c r="C11" s="482" t="s">
        <v>2313</v>
      </c>
      <c r="D11" s="483">
        <v>198</v>
      </c>
      <c r="E11" s="484">
        <v>0.7</v>
      </c>
      <c r="F11" s="484">
        <v>0.85</v>
      </c>
      <c r="G11" s="485">
        <f>TAN(ACOS(F11))</f>
        <v>0.619744338403102</v>
      </c>
      <c r="H11" s="486">
        <f t="shared" si="1"/>
        <v>138.6</v>
      </c>
      <c r="I11" s="486">
        <f>H11*G11</f>
        <v>85.89656530267</v>
      </c>
      <c r="J11" s="486">
        <f>H11/F11</f>
        <v>163.058823529412</v>
      </c>
      <c r="K11" s="486">
        <f t="shared" si="0"/>
        <v>247.734462973886</v>
      </c>
    </row>
    <row r="12" spans="1:11">
      <c r="A12" s="480">
        <v>4</v>
      </c>
      <c r="B12" s="481" t="s">
        <v>2311</v>
      </c>
      <c r="C12" s="482" t="s">
        <v>2314</v>
      </c>
      <c r="D12" s="483">
        <v>210</v>
      </c>
      <c r="E12" s="484">
        <v>0.7</v>
      </c>
      <c r="F12" s="484">
        <v>0.85</v>
      </c>
      <c r="G12" s="485">
        <f t="shared" ref="G12:G36" si="2">TAN(ACOS(F12))</f>
        <v>0.619744338403102</v>
      </c>
      <c r="H12" s="486">
        <f t="shared" si="1"/>
        <v>147</v>
      </c>
      <c r="I12" s="486">
        <f t="shared" ref="I12:I36" si="3">H12*G12</f>
        <v>91.102417745256</v>
      </c>
      <c r="J12" s="486">
        <f t="shared" ref="J12:J36" si="4">H12/F12</f>
        <v>172.941176470588</v>
      </c>
      <c r="K12" s="486">
        <f t="shared" si="0"/>
        <v>262.748672851091</v>
      </c>
    </row>
    <row r="13" spans="1:11">
      <c r="A13" s="480">
        <v>5</v>
      </c>
      <c r="B13" s="481" t="s">
        <v>2311</v>
      </c>
      <c r="C13" s="482" t="s">
        <v>2315</v>
      </c>
      <c r="D13" s="483">
        <v>214</v>
      </c>
      <c r="E13" s="484">
        <v>0.7</v>
      </c>
      <c r="F13" s="484">
        <v>0.85</v>
      </c>
      <c r="G13" s="485">
        <f t="shared" si="2"/>
        <v>0.619744338403102</v>
      </c>
      <c r="H13" s="486">
        <f t="shared" si="1"/>
        <v>149.8</v>
      </c>
      <c r="I13" s="486">
        <f t="shared" si="3"/>
        <v>92.8377018927847</v>
      </c>
      <c r="J13" s="486">
        <f t="shared" si="4"/>
        <v>176.235294117647</v>
      </c>
      <c r="K13" s="486">
        <f t="shared" si="0"/>
        <v>267.753409476826</v>
      </c>
    </row>
    <row r="14" spans="1:11">
      <c r="A14" s="480">
        <v>6</v>
      </c>
      <c r="B14" s="481" t="s">
        <v>2311</v>
      </c>
      <c r="C14" s="482" t="s">
        <v>2316</v>
      </c>
      <c r="D14" s="483">
        <v>170</v>
      </c>
      <c r="E14" s="484">
        <v>0.7</v>
      </c>
      <c r="F14" s="484">
        <v>0.85</v>
      </c>
      <c r="G14" s="485">
        <f t="shared" si="2"/>
        <v>0.619744338403102</v>
      </c>
      <c r="H14" s="486">
        <f t="shared" si="1"/>
        <v>119</v>
      </c>
      <c r="I14" s="486">
        <f t="shared" si="3"/>
        <v>73.7495762699692</v>
      </c>
      <c r="J14" s="486">
        <f t="shared" si="4"/>
        <v>140</v>
      </c>
      <c r="K14" s="486">
        <f t="shared" si="0"/>
        <v>212.70130659374</v>
      </c>
    </row>
    <row r="15" spans="1:11">
      <c r="A15" s="480">
        <v>7</v>
      </c>
      <c r="B15" s="481" t="s">
        <v>2317</v>
      </c>
      <c r="C15" s="482" t="s">
        <v>2318</v>
      </c>
      <c r="D15" s="483">
        <v>100</v>
      </c>
      <c r="E15" s="484">
        <v>0.7</v>
      </c>
      <c r="F15" s="484">
        <v>0.8</v>
      </c>
      <c r="G15" s="485">
        <f t="shared" si="2"/>
        <v>0.75</v>
      </c>
      <c r="H15" s="486">
        <f t="shared" si="1"/>
        <v>70</v>
      </c>
      <c r="I15" s="486">
        <f t="shared" si="3"/>
        <v>52.5</v>
      </c>
      <c r="J15" s="486">
        <f t="shared" si="4"/>
        <v>87.5</v>
      </c>
      <c r="K15" s="486">
        <f t="shared" si="0"/>
        <v>132.938316621088</v>
      </c>
    </row>
    <row r="16" spans="1:11">
      <c r="A16" s="480">
        <v>8</v>
      </c>
      <c r="B16" s="481" t="s">
        <v>2319</v>
      </c>
      <c r="C16" s="482" t="s">
        <v>2320</v>
      </c>
      <c r="D16" s="483">
        <v>53</v>
      </c>
      <c r="E16" s="484">
        <v>1</v>
      </c>
      <c r="F16" s="484">
        <v>0.9</v>
      </c>
      <c r="G16" s="485">
        <f t="shared" si="2"/>
        <v>0.484322104837853</v>
      </c>
      <c r="H16" s="486">
        <f t="shared" si="1"/>
        <v>53</v>
      </c>
      <c r="I16" s="486">
        <f t="shared" si="3"/>
        <v>25.6690715564062</v>
      </c>
      <c r="J16" s="486">
        <f t="shared" si="4"/>
        <v>58.8888888888889</v>
      </c>
      <c r="K16" s="486">
        <f t="shared" si="0"/>
        <v>89.469597218002</v>
      </c>
    </row>
    <row r="17" spans="1:11">
      <c r="A17" s="480">
        <v>9</v>
      </c>
      <c r="B17" s="481" t="s">
        <v>2321</v>
      </c>
      <c r="C17" s="482" t="s">
        <v>2322</v>
      </c>
      <c r="D17" s="483">
        <v>210</v>
      </c>
      <c r="E17" s="484">
        <v>1</v>
      </c>
      <c r="F17" s="484">
        <v>0.9</v>
      </c>
      <c r="G17" s="485">
        <f t="shared" si="2"/>
        <v>0.484322104837853</v>
      </c>
      <c r="H17" s="486">
        <f t="shared" si="1"/>
        <v>210</v>
      </c>
      <c r="I17" s="486">
        <f t="shared" si="3"/>
        <v>101.707642015949</v>
      </c>
      <c r="J17" s="486">
        <f t="shared" si="4"/>
        <v>233.333333333333</v>
      </c>
      <c r="K17" s="486">
        <f t="shared" si="0"/>
        <v>354.502177656234</v>
      </c>
    </row>
    <row r="18" spans="1:11">
      <c r="A18" s="480">
        <v>10</v>
      </c>
      <c r="B18" s="481" t="s">
        <v>2321</v>
      </c>
      <c r="C18" s="482" t="s">
        <v>2323</v>
      </c>
      <c r="D18" s="483">
        <v>100</v>
      </c>
      <c r="E18" s="484">
        <v>1</v>
      </c>
      <c r="F18" s="484">
        <v>0.9</v>
      </c>
      <c r="G18" s="485">
        <f t="shared" si="2"/>
        <v>0.484322104837853</v>
      </c>
      <c r="H18" s="486">
        <f t="shared" si="1"/>
        <v>100</v>
      </c>
      <c r="I18" s="486">
        <f t="shared" si="3"/>
        <v>48.4322104837853</v>
      </c>
      <c r="J18" s="486">
        <f t="shared" si="4"/>
        <v>111.111111111111</v>
      </c>
      <c r="K18" s="486">
        <f t="shared" si="0"/>
        <v>168.810560788683</v>
      </c>
    </row>
    <row r="19" spans="1:11">
      <c r="A19" s="480">
        <v>11</v>
      </c>
      <c r="B19" s="481"/>
      <c r="C19" s="482"/>
      <c r="D19" s="483"/>
      <c r="E19" s="484"/>
      <c r="F19" s="484">
        <v>1</v>
      </c>
      <c r="G19" s="485">
        <f t="shared" si="2"/>
        <v>0</v>
      </c>
      <c r="H19" s="486">
        <f t="shared" si="1"/>
        <v>0</v>
      </c>
      <c r="I19" s="486">
        <f t="shared" si="3"/>
        <v>0</v>
      </c>
      <c r="J19" s="486">
        <f t="shared" si="4"/>
        <v>0</v>
      </c>
      <c r="K19" s="486">
        <f t="shared" si="0"/>
        <v>0</v>
      </c>
    </row>
    <row r="20" spans="1:11">
      <c r="A20" s="480">
        <v>12</v>
      </c>
      <c r="B20" s="481"/>
      <c r="C20" s="482"/>
      <c r="D20" s="483"/>
      <c r="E20" s="484"/>
      <c r="F20" s="484">
        <v>1</v>
      </c>
      <c r="G20" s="485">
        <f t="shared" si="2"/>
        <v>0</v>
      </c>
      <c r="H20" s="486">
        <f t="shared" si="1"/>
        <v>0</v>
      </c>
      <c r="I20" s="486">
        <f t="shared" si="3"/>
        <v>0</v>
      </c>
      <c r="J20" s="486">
        <f t="shared" si="4"/>
        <v>0</v>
      </c>
      <c r="K20" s="486">
        <f t="shared" si="0"/>
        <v>0</v>
      </c>
    </row>
    <row r="21" spans="1:11">
      <c r="A21" s="480">
        <v>14</v>
      </c>
      <c r="B21" s="481"/>
      <c r="C21" s="482"/>
      <c r="D21" s="483">
        <v>0</v>
      </c>
      <c r="E21" s="484"/>
      <c r="F21" s="484">
        <v>1</v>
      </c>
      <c r="G21" s="485">
        <f t="shared" si="2"/>
        <v>0</v>
      </c>
      <c r="H21" s="486">
        <f t="shared" si="1"/>
        <v>0</v>
      </c>
      <c r="I21" s="486">
        <f t="shared" si="3"/>
        <v>0</v>
      </c>
      <c r="J21" s="486">
        <f t="shared" si="4"/>
        <v>0</v>
      </c>
      <c r="K21" s="486">
        <f t="shared" si="0"/>
        <v>0</v>
      </c>
    </row>
    <row r="22" spans="1:11">
      <c r="A22" s="480">
        <v>14</v>
      </c>
      <c r="B22" s="481"/>
      <c r="C22" s="482"/>
      <c r="D22" s="483">
        <v>0</v>
      </c>
      <c r="E22" s="484"/>
      <c r="F22" s="484">
        <v>1</v>
      </c>
      <c r="G22" s="485">
        <f t="shared" si="2"/>
        <v>0</v>
      </c>
      <c r="H22" s="486">
        <f t="shared" si="1"/>
        <v>0</v>
      </c>
      <c r="I22" s="486">
        <f t="shared" si="3"/>
        <v>0</v>
      </c>
      <c r="J22" s="486">
        <f t="shared" si="4"/>
        <v>0</v>
      </c>
      <c r="K22" s="486">
        <f t="shared" si="0"/>
        <v>0</v>
      </c>
    </row>
    <row r="23" spans="1:11">
      <c r="A23" s="480">
        <v>15</v>
      </c>
      <c r="B23" s="481"/>
      <c r="C23" s="482"/>
      <c r="D23" s="483">
        <v>0</v>
      </c>
      <c r="E23" s="484"/>
      <c r="F23" s="484">
        <v>1</v>
      </c>
      <c r="G23" s="485">
        <f t="shared" si="2"/>
        <v>0</v>
      </c>
      <c r="H23" s="486">
        <f t="shared" si="1"/>
        <v>0</v>
      </c>
      <c r="I23" s="486">
        <f t="shared" si="3"/>
        <v>0</v>
      </c>
      <c r="J23" s="486">
        <f t="shared" si="4"/>
        <v>0</v>
      </c>
      <c r="K23" s="486">
        <f t="shared" si="0"/>
        <v>0</v>
      </c>
    </row>
    <row r="24" spans="1:11">
      <c r="A24" s="480">
        <v>16</v>
      </c>
      <c r="B24" s="481"/>
      <c r="C24" s="482"/>
      <c r="D24" s="483">
        <v>0</v>
      </c>
      <c r="E24" s="484"/>
      <c r="F24" s="484">
        <v>1</v>
      </c>
      <c r="G24" s="485">
        <f t="shared" si="2"/>
        <v>0</v>
      </c>
      <c r="H24" s="486">
        <f t="shared" si="1"/>
        <v>0</v>
      </c>
      <c r="I24" s="486">
        <f t="shared" si="3"/>
        <v>0</v>
      </c>
      <c r="J24" s="486">
        <f t="shared" si="4"/>
        <v>0</v>
      </c>
      <c r="K24" s="486">
        <f t="shared" si="0"/>
        <v>0</v>
      </c>
    </row>
    <row r="25" spans="1:11">
      <c r="A25" s="480">
        <v>17</v>
      </c>
      <c r="B25" s="481"/>
      <c r="C25" s="482"/>
      <c r="D25" s="483">
        <v>0</v>
      </c>
      <c r="E25" s="484"/>
      <c r="F25" s="484">
        <v>1</v>
      </c>
      <c r="G25" s="485">
        <f t="shared" si="2"/>
        <v>0</v>
      </c>
      <c r="H25" s="486">
        <f t="shared" si="1"/>
        <v>0</v>
      </c>
      <c r="I25" s="486">
        <f t="shared" si="3"/>
        <v>0</v>
      </c>
      <c r="J25" s="486">
        <f t="shared" si="4"/>
        <v>0</v>
      </c>
      <c r="K25" s="486">
        <f t="shared" si="0"/>
        <v>0</v>
      </c>
    </row>
    <row r="26" spans="1:11">
      <c r="A26" s="480">
        <v>18</v>
      </c>
      <c r="B26" s="481"/>
      <c r="C26" s="482"/>
      <c r="D26" s="483">
        <v>0</v>
      </c>
      <c r="E26" s="484"/>
      <c r="F26" s="484">
        <v>1</v>
      </c>
      <c r="G26" s="485">
        <f t="shared" si="2"/>
        <v>0</v>
      </c>
      <c r="H26" s="486">
        <f t="shared" si="1"/>
        <v>0</v>
      </c>
      <c r="I26" s="486">
        <f t="shared" si="3"/>
        <v>0</v>
      </c>
      <c r="J26" s="486">
        <f t="shared" si="4"/>
        <v>0</v>
      </c>
      <c r="K26" s="486">
        <f t="shared" si="0"/>
        <v>0</v>
      </c>
    </row>
    <row r="27" spans="1:11">
      <c r="A27" s="480">
        <v>19</v>
      </c>
      <c r="B27" s="481"/>
      <c r="C27" s="482"/>
      <c r="D27" s="483">
        <v>0</v>
      </c>
      <c r="E27" s="484"/>
      <c r="F27" s="484">
        <v>1</v>
      </c>
      <c r="G27" s="485">
        <f t="shared" si="2"/>
        <v>0</v>
      </c>
      <c r="H27" s="486">
        <f t="shared" si="1"/>
        <v>0</v>
      </c>
      <c r="I27" s="486">
        <f t="shared" si="3"/>
        <v>0</v>
      </c>
      <c r="J27" s="486">
        <f t="shared" si="4"/>
        <v>0</v>
      </c>
      <c r="K27" s="486">
        <f t="shared" si="0"/>
        <v>0</v>
      </c>
    </row>
    <row r="28" spans="1:11">
      <c r="A28" s="480">
        <v>20</v>
      </c>
      <c r="B28" s="481"/>
      <c r="C28" s="482"/>
      <c r="D28" s="483">
        <v>0</v>
      </c>
      <c r="E28" s="484"/>
      <c r="F28" s="484">
        <v>1</v>
      </c>
      <c r="G28" s="485">
        <f t="shared" si="2"/>
        <v>0</v>
      </c>
      <c r="H28" s="486">
        <f t="shared" si="1"/>
        <v>0</v>
      </c>
      <c r="I28" s="486">
        <f t="shared" si="3"/>
        <v>0</v>
      </c>
      <c r="J28" s="486">
        <f t="shared" si="4"/>
        <v>0</v>
      </c>
      <c r="K28" s="486">
        <f t="shared" si="0"/>
        <v>0</v>
      </c>
    </row>
    <row r="29" spans="1:11">
      <c r="A29" s="480">
        <v>21</v>
      </c>
      <c r="B29" s="481"/>
      <c r="C29" s="482"/>
      <c r="D29" s="483">
        <v>0</v>
      </c>
      <c r="E29" s="484"/>
      <c r="F29" s="484">
        <v>1</v>
      </c>
      <c r="G29" s="485">
        <f t="shared" si="2"/>
        <v>0</v>
      </c>
      <c r="H29" s="486">
        <f t="shared" si="1"/>
        <v>0</v>
      </c>
      <c r="I29" s="486">
        <f t="shared" si="3"/>
        <v>0</v>
      </c>
      <c r="J29" s="486">
        <f t="shared" si="4"/>
        <v>0</v>
      </c>
      <c r="K29" s="486">
        <f t="shared" si="0"/>
        <v>0</v>
      </c>
    </row>
    <row r="30" spans="1:11">
      <c r="A30" s="480">
        <v>22</v>
      </c>
      <c r="B30" s="481"/>
      <c r="C30" s="482"/>
      <c r="D30" s="483">
        <v>0</v>
      </c>
      <c r="E30" s="484"/>
      <c r="F30" s="484">
        <v>1</v>
      </c>
      <c r="G30" s="485">
        <f t="shared" si="2"/>
        <v>0</v>
      </c>
      <c r="H30" s="486">
        <f t="shared" si="1"/>
        <v>0</v>
      </c>
      <c r="I30" s="486">
        <f t="shared" si="3"/>
        <v>0</v>
      </c>
      <c r="J30" s="486">
        <f t="shared" si="4"/>
        <v>0</v>
      </c>
      <c r="K30" s="486">
        <f t="shared" si="0"/>
        <v>0</v>
      </c>
    </row>
    <row r="31" spans="1:11">
      <c r="A31" s="480">
        <v>23</v>
      </c>
      <c r="B31" s="481"/>
      <c r="C31" s="482"/>
      <c r="D31" s="483">
        <v>0</v>
      </c>
      <c r="E31" s="484"/>
      <c r="F31" s="484">
        <v>1</v>
      </c>
      <c r="G31" s="485">
        <f t="shared" si="2"/>
        <v>0</v>
      </c>
      <c r="H31" s="486">
        <f t="shared" si="1"/>
        <v>0</v>
      </c>
      <c r="I31" s="486">
        <f t="shared" si="3"/>
        <v>0</v>
      </c>
      <c r="J31" s="486">
        <f t="shared" si="4"/>
        <v>0</v>
      </c>
      <c r="K31" s="486">
        <f t="shared" si="0"/>
        <v>0</v>
      </c>
    </row>
    <row r="32" spans="1:11">
      <c r="A32" s="480">
        <v>24</v>
      </c>
      <c r="B32" s="481"/>
      <c r="C32" s="482"/>
      <c r="D32" s="483">
        <v>0</v>
      </c>
      <c r="E32" s="484"/>
      <c r="F32" s="484">
        <v>1</v>
      </c>
      <c r="G32" s="485">
        <f t="shared" si="2"/>
        <v>0</v>
      </c>
      <c r="H32" s="486">
        <f t="shared" si="1"/>
        <v>0</v>
      </c>
      <c r="I32" s="486">
        <f t="shared" si="3"/>
        <v>0</v>
      </c>
      <c r="J32" s="486">
        <f t="shared" si="4"/>
        <v>0</v>
      </c>
      <c r="K32" s="486">
        <f t="shared" si="0"/>
        <v>0</v>
      </c>
    </row>
    <row r="33" spans="1:11">
      <c r="A33" s="480">
        <v>25</v>
      </c>
      <c r="B33" s="487"/>
      <c r="C33" s="482"/>
      <c r="D33" s="483">
        <v>0</v>
      </c>
      <c r="E33" s="484"/>
      <c r="F33" s="484">
        <v>1</v>
      </c>
      <c r="G33" s="485">
        <f t="shared" si="2"/>
        <v>0</v>
      </c>
      <c r="H33" s="486">
        <f t="shared" si="1"/>
        <v>0</v>
      </c>
      <c r="I33" s="486">
        <f t="shared" si="3"/>
        <v>0</v>
      </c>
      <c r="J33" s="486">
        <f t="shared" si="4"/>
        <v>0</v>
      </c>
      <c r="K33" s="486">
        <f t="shared" si="0"/>
        <v>0</v>
      </c>
    </row>
    <row r="34" spans="1:11">
      <c r="A34" s="480">
        <v>26</v>
      </c>
      <c r="B34" s="481"/>
      <c r="C34" s="482"/>
      <c r="D34" s="483">
        <v>0</v>
      </c>
      <c r="E34" s="484"/>
      <c r="F34" s="484">
        <v>1</v>
      </c>
      <c r="G34" s="485">
        <f t="shared" si="2"/>
        <v>0</v>
      </c>
      <c r="H34" s="486">
        <f t="shared" si="1"/>
        <v>0</v>
      </c>
      <c r="I34" s="486">
        <f t="shared" si="3"/>
        <v>0</v>
      </c>
      <c r="J34" s="486">
        <f t="shared" si="4"/>
        <v>0</v>
      </c>
      <c r="K34" s="486">
        <f t="shared" si="0"/>
        <v>0</v>
      </c>
    </row>
    <row r="35" spans="1:11">
      <c r="A35" s="480">
        <v>27</v>
      </c>
      <c r="B35" s="481"/>
      <c r="C35" s="482"/>
      <c r="D35" s="483">
        <v>0</v>
      </c>
      <c r="E35" s="484"/>
      <c r="F35" s="484">
        <v>1</v>
      </c>
      <c r="G35" s="485">
        <f t="shared" si="2"/>
        <v>0</v>
      </c>
      <c r="H35" s="486">
        <f t="shared" si="1"/>
        <v>0</v>
      </c>
      <c r="I35" s="486">
        <f t="shared" si="3"/>
        <v>0</v>
      </c>
      <c r="J35" s="486">
        <f t="shared" si="4"/>
        <v>0</v>
      </c>
      <c r="K35" s="486">
        <f t="shared" si="0"/>
        <v>0</v>
      </c>
    </row>
    <row r="36" spans="1:11">
      <c r="A36" s="480">
        <v>28</v>
      </c>
      <c r="B36" s="481"/>
      <c r="C36" s="482"/>
      <c r="D36" s="488">
        <v>0</v>
      </c>
      <c r="E36" s="489"/>
      <c r="F36" s="489">
        <v>1</v>
      </c>
      <c r="G36" s="490">
        <f t="shared" si="2"/>
        <v>0</v>
      </c>
      <c r="H36" s="491">
        <f t="shared" si="1"/>
        <v>0</v>
      </c>
      <c r="I36" s="491">
        <f t="shared" si="3"/>
        <v>0</v>
      </c>
      <c r="J36" s="491">
        <f t="shared" si="4"/>
        <v>0</v>
      </c>
      <c r="K36" s="491">
        <f t="shared" si="0"/>
        <v>0</v>
      </c>
    </row>
    <row r="37" spans="1:11">
      <c r="A37" s="480"/>
      <c r="B37" s="492" t="s">
        <v>2324</v>
      </c>
      <c r="C37" s="493">
        <v>0.85</v>
      </c>
      <c r="D37" s="494" t="s">
        <v>2325</v>
      </c>
      <c r="E37" s="495"/>
      <c r="F37" s="495"/>
      <c r="G37" s="495"/>
      <c r="H37" s="495"/>
      <c r="I37" s="495"/>
      <c r="J37" s="495"/>
      <c r="K37" s="518"/>
    </row>
    <row r="38" s="19" customFormat="1" spans="1:11">
      <c r="A38" s="480"/>
      <c r="B38" s="492" t="s">
        <v>2326</v>
      </c>
      <c r="C38" s="496">
        <v>0.75</v>
      </c>
      <c r="D38" s="494" t="s">
        <v>2327</v>
      </c>
      <c r="E38" s="495"/>
      <c r="F38" s="495"/>
      <c r="G38" s="495"/>
      <c r="H38" s="495"/>
      <c r="I38" s="495"/>
      <c r="J38" s="495"/>
      <c r="K38" s="518"/>
    </row>
    <row r="39" spans="1:11">
      <c r="A39" s="480"/>
      <c r="B39" s="492" t="s">
        <v>2328</v>
      </c>
      <c r="C39" s="496">
        <v>0.8</v>
      </c>
      <c r="D39" s="494" t="s">
        <v>2329</v>
      </c>
      <c r="E39" s="495"/>
      <c r="F39" s="495"/>
      <c r="G39" s="495"/>
      <c r="H39" s="495"/>
      <c r="I39" s="495"/>
      <c r="J39" s="495"/>
      <c r="K39" s="518"/>
    </row>
    <row r="40" spans="1:11">
      <c r="A40" s="497" t="s">
        <v>2330</v>
      </c>
      <c r="B40" s="498"/>
      <c r="C40" s="499"/>
      <c r="D40" s="500">
        <f>SUM(D9:D36)</f>
        <v>1617</v>
      </c>
      <c r="E40" s="501"/>
      <c r="F40" s="502">
        <f>1/SQRT(1+(C39*I40/C38/H40)*(C39*I40/C38/H40))</f>
        <v>0.847373324428499</v>
      </c>
      <c r="G40" s="503">
        <f>TAN(ACOS(F40))</f>
        <v>0.626639501928362</v>
      </c>
      <c r="H40" s="504">
        <f>C37*SUM(H9:H36)</f>
        <v>1054.68</v>
      </c>
      <c r="I40" s="504">
        <f>C37*SUM(I9:I36)</f>
        <v>619.597640525441</v>
      </c>
      <c r="J40" s="504">
        <f>SQRT(H40*H40+I40*I40)</f>
        <v>1223.21344766345</v>
      </c>
      <c r="K40" s="519">
        <f>J40/0.6582</f>
        <v>1858.42213257892</v>
      </c>
    </row>
    <row r="41" spans="1:11">
      <c r="A41" s="475" t="s">
        <v>2331</v>
      </c>
      <c r="B41" s="318"/>
      <c r="C41" s="319"/>
      <c r="D41" s="500">
        <f>SUM(D9:D36)</f>
        <v>1617</v>
      </c>
      <c r="E41" s="505"/>
      <c r="F41" s="506">
        <v>0.92</v>
      </c>
      <c r="G41" s="507">
        <f>TAN(ACOS(F41))</f>
        <v>0.425998216136205</v>
      </c>
      <c r="H41" s="504">
        <f>C37*SUM(H9:H36)</f>
        <v>1054.68</v>
      </c>
      <c r="I41" s="520">
        <f>H41*G41</f>
        <v>449.291798594532</v>
      </c>
      <c r="J41" s="521">
        <f>SQRT(H41*H41+I41*I41)</f>
        <v>1146.39130434783</v>
      </c>
      <c r="K41" s="520">
        <f>J41/0.6582</f>
        <v>1741.70663073204</v>
      </c>
    </row>
    <row r="42" s="21" customFormat="1" spans="1:11">
      <c r="A42" s="475" t="s">
        <v>2332</v>
      </c>
      <c r="B42" s="318"/>
      <c r="C42" s="319"/>
      <c r="D42" s="508"/>
      <c r="E42" s="505"/>
      <c r="F42" s="509"/>
      <c r="G42" s="362"/>
      <c r="H42" s="510"/>
      <c r="I42" s="520">
        <f>0.75*H40*(G40-G41)</f>
        <v>158.709263474454</v>
      </c>
      <c r="J42" s="510"/>
      <c r="K42" s="522"/>
    </row>
    <row r="43" s="21" customFormat="1" spans="1:11">
      <c r="A43" s="475" t="s">
        <v>2333</v>
      </c>
      <c r="B43" s="318"/>
      <c r="C43" s="319"/>
      <c r="D43" s="508"/>
      <c r="E43" s="505"/>
      <c r="F43" s="509"/>
      <c r="G43" s="362"/>
      <c r="H43" s="510"/>
      <c r="I43" s="522"/>
      <c r="J43" s="488">
        <v>1250</v>
      </c>
      <c r="K43" s="313"/>
    </row>
    <row r="44" s="21" customFormat="1" spans="1:11">
      <c r="A44" s="475" t="s">
        <v>2334</v>
      </c>
      <c r="B44" s="318"/>
      <c r="C44" s="319"/>
      <c r="D44" s="508"/>
      <c r="E44" s="505"/>
      <c r="F44" s="509"/>
      <c r="G44" s="362"/>
      <c r="H44" s="510"/>
      <c r="I44" s="522"/>
      <c r="J44" s="523">
        <f>J41/J43</f>
        <v>0.917113043478261</v>
      </c>
      <c r="K44" s="522"/>
    </row>
  </sheetData>
  <protectedRanges>
    <protectedRange sqref="A7:K44" name="範圍1"/>
  </protectedRanges>
  <mergeCells count="25">
    <mergeCell ref="B4:I4"/>
    <mergeCell ref="J4:K4"/>
    <mergeCell ref="B5:D5"/>
    <mergeCell ref="F5:G5"/>
    <mergeCell ref="A6:K6"/>
    <mergeCell ref="H7:K7"/>
    <mergeCell ref="D37:K37"/>
    <mergeCell ref="D38:K38"/>
    <mergeCell ref="D39:K39"/>
    <mergeCell ref="A40:C40"/>
    <mergeCell ref="A41:C41"/>
    <mergeCell ref="A42:C42"/>
    <mergeCell ref="A43:C43"/>
    <mergeCell ref="A44:C44"/>
    <mergeCell ref="A4:A5"/>
    <mergeCell ref="A7:A8"/>
    <mergeCell ref="B7:B8"/>
    <mergeCell ref="C7:C8"/>
    <mergeCell ref="D7:D8"/>
    <mergeCell ref="E7:E8"/>
    <mergeCell ref="F7:F8"/>
    <mergeCell ref="G7:G8"/>
    <mergeCell ref="A1:B3"/>
    <mergeCell ref="C1:I3"/>
    <mergeCell ref="J1:K3"/>
  </mergeCells>
  <dataValidations count="4">
    <dataValidation type="decimal" operator="between" allowBlank="1" showInputMessage="1" showErrorMessage="1" errorTitle="提醒" error="您确定吗？" sqref="J43 JF43 TB43 ACX43 AMT43 AWP43 BGL43 BQH43 CAD43 CJZ43 CTV43 DDR43 DNN43 DXJ43 EHF43 ERB43 FAX43 FKT43 FUP43 GEL43 GOH43 GYD43 HHZ43 HRV43 IBR43 ILN43 IVJ43 JFF43 JPB43 JYX43 KIT43 KSP43 LCL43 LMH43 LWD43 MFZ43 MPV43 MZR43 NJN43 NTJ43 ODF43 ONB43 OWX43 PGT43 PQP43 QAL43 QKH43 QUD43 RDZ43 RNV43 RXR43 SHN43 SRJ43 TBF43 TLB43 TUX43 UET43 UOP43 UYL43 VIH43 VSD43 WBZ43 WLV43 WVR43 J65579 JF65579 TB65579 ACX65579 AMT65579 AWP65579 BGL65579 BQH65579 CAD65579 CJZ65579 CTV65579 DDR65579 DNN65579 DXJ65579 EHF65579 ERB65579 FAX65579 FKT65579 FUP65579 GEL65579 GOH65579 GYD65579 HHZ65579 HRV65579 IBR65579 ILN65579 IVJ65579 JFF65579 JPB65579 JYX65579 KIT65579 KSP65579 LCL65579 LMH65579 LWD65579 MFZ65579 MPV65579 MZR65579 NJN65579 NTJ65579 ODF65579 ONB65579 OWX65579 PGT65579 PQP65579 QAL65579 QKH65579 QUD65579 RDZ65579 RNV65579 RXR65579 SHN65579 SRJ65579 TBF65579 TLB65579 TUX65579 UET65579 UOP65579 UYL65579 VIH65579 VSD65579 WBZ65579 WLV65579 WVR65579 J131115 JF131115 TB131115 ACX131115 AMT131115 AWP131115 BGL131115 BQH131115 CAD131115 CJZ131115 CTV131115 DDR131115 DNN131115 DXJ131115 EHF131115 ERB131115 FAX131115 FKT131115 FUP131115 GEL131115 GOH131115 GYD131115 HHZ131115 HRV131115 IBR131115 ILN131115 IVJ131115 JFF131115 JPB131115 JYX131115 KIT131115 KSP131115 LCL131115 LMH131115 LWD131115 MFZ131115 MPV131115 MZR131115 NJN131115 NTJ131115 ODF131115 ONB131115 OWX131115 PGT131115 PQP131115 QAL131115 QKH131115 QUD131115 RDZ131115 RNV131115 RXR131115 SHN131115 SRJ131115 TBF131115 TLB131115 TUX131115 UET131115 UOP131115 UYL131115 VIH131115 VSD131115 WBZ131115 WLV131115 WVR131115 J196651 JF196651 TB196651 ACX196651 AMT196651 AWP196651 BGL196651 BQH196651 CAD196651 CJZ196651 CTV196651 DDR196651 DNN196651 DXJ196651 EHF196651 ERB196651 FAX196651 FKT196651 FUP196651 GEL196651 GOH196651 GYD196651 HHZ196651 HRV196651 IBR196651 ILN196651 IVJ196651 JFF196651 JPB196651 JYX196651 KIT196651 KSP196651 LCL196651 LMH196651 LWD196651 MFZ196651 MPV196651 MZR196651 NJN196651 NTJ196651 ODF196651 ONB196651 OWX196651 PGT196651 PQP196651 QAL196651 QKH196651 QUD196651 RDZ196651 RNV196651 RXR196651 SHN196651 SRJ196651 TBF196651 TLB196651 TUX196651 UET196651 UOP196651 UYL196651 VIH196651 VSD196651 WBZ196651 WLV196651 WVR196651 J262187 JF262187 TB262187 ACX262187 AMT262187 AWP262187 BGL262187 BQH262187 CAD262187 CJZ262187 CTV262187 DDR262187 DNN262187 DXJ262187 EHF262187 ERB262187 FAX262187 FKT262187 FUP262187 GEL262187 GOH262187 GYD262187 HHZ262187 HRV262187 IBR262187 ILN262187 IVJ262187 JFF262187 JPB262187 JYX262187 KIT262187 KSP262187 LCL262187 LMH262187 LWD262187 MFZ262187 MPV262187 MZR262187 NJN262187 NTJ262187 ODF262187 ONB262187 OWX262187 PGT262187 PQP262187 QAL262187 QKH262187 QUD262187 RDZ262187 RNV262187 RXR262187 SHN262187 SRJ262187 TBF262187 TLB262187 TUX262187 UET262187 UOP262187 UYL262187 VIH262187 VSD262187 WBZ262187 WLV262187 WVR262187 J327723 JF327723 TB327723 ACX327723 AMT327723 AWP327723 BGL327723 BQH327723 CAD327723 CJZ327723 CTV327723 DDR327723 DNN327723 DXJ327723 EHF327723 ERB327723 FAX327723 FKT327723 FUP327723 GEL327723 GOH327723 GYD327723 HHZ327723 HRV327723 IBR327723 ILN327723 IVJ327723 JFF327723 JPB327723 JYX327723 KIT327723 KSP327723 LCL327723 LMH327723 LWD327723 MFZ327723 MPV327723 MZR327723 NJN327723 NTJ327723 ODF327723 ONB327723 OWX327723 PGT327723 PQP327723 QAL327723 QKH327723 QUD327723 RDZ327723 RNV327723 RXR327723 SHN327723 SRJ327723 TBF327723 TLB327723 TUX327723 UET327723 UOP327723 UYL327723 VIH327723 VSD327723 WBZ327723 WLV327723 WVR327723 J393259 JF393259 TB393259 ACX393259 AMT393259 AWP393259 BGL393259 BQH393259 CAD393259 CJZ393259 CTV393259 DDR393259 DNN393259 DXJ393259 EHF393259 ERB393259 FAX393259 FKT393259 FUP393259 GEL393259 GOH393259 GYD393259 HHZ393259 HRV393259 IBR393259 ILN393259 IVJ393259 JFF393259 JPB393259 JYX393259 KIT393259 KSP393259 LCL393259 LMH393259 LWD393259 MFZ393259 MPV393259 MZR393259 NJN393259 NTJ393259 ODF393259 ONB393259 OWX393259 PGT393259 PQP393259 QAL393259 QKH393259 QUD393259 RDZ393259 RNV393259 RXR393259 SHN393259 SRJ393259 TBF393259 TLB393259 TUX393259 UET393259 UOP393259 UYL393259 VIH393259 VSD393259 WBZ393259 WLV393259 WVR393259 J458795 JF458795 TB458795 ACX458795 AMT458795 AWP458795 BGL458795 BQH458795 CAD458795 CJZ458795 CTV458795 DDR458795 DNN458795 DXJ458795 EHF458795 ERB458795 FAX458795 FKT458795 FUP458795 GEL458795 GOH458795 GYD458795 HHZ458795 HRV458795 IBR458795 ILN458795 IVJ458795 JFF458795 JPB458795 JYX458795 KIT458795 KSP458795 LCL458795 LMH458795 LWD458795 MFZ458795 MPV458795 MZR458795 NJN458795 NTJ458795 ODF458795 ONB458795 OWX458795 PGT458795 PQP458795 QAL458795 QKH458795 QUD458795 RDZ458795 RNV458795 RXR458795 SHN458795 SRJ458795 TBF458795 TLB458795 TUX458795 UET458795 UOP458795 UYL458795 VIH458795 VSD458795 WBZ458795 WLV458795 WVR458795 J524331 JF524331 TB524331 ACX524331 AMT524331 AWP524331 BGL524331 BQH524331 CAD524331 CJZ524331 CTV524331 DDR524331 DNN524331 DXJ524331 EHF524331 ERB524331 FAX524331 FKT524331 FUP524331 GEL524331 GOH524331 GYD524331 HHZ524331 HRV524331 IBR524331 ILN524331 IVJ524331 JFF524331 JPB524331 JYX524331 KIT524331 KSP524331 LCL524331 LMH524331 LWD524331 MFZ524331 MPV524331 MZR524331 NJN524331 NTJ524331 ODF524331 ONB524331 OWX524331 PGT524331 PQP524331 QAL524331 QKH524331 QUD524331 RDZ524331 RNV524331 RXR524331 SHN524331 SRJ524331 TBF524331 TLB524331 TUX524331 UET524331 UOP524331 UYL524331 VIH524331 VSD524331 WBZ524331 WLV524331 WVR524331 J589867 JF589867 TB589867 ACX589867 AMT589867 AWP589867 BGL589867 BQH589867 CAD589867 CJZ589867 CTV589867 DDR589867 DNN589867 DXJ589867 EHF589867 ERB589867 FAX589867 FKT589867 FUP589867 GEL589867 GOH589867 GYD589867 HHZ589867 HRV589867 IBR589867 ILN589867 IVJ589867 JFF589867 JPB589867 JYX589867 KIT589867 KSP589867 LCL589867 LMH589867 LWD589867 MFZ589867 MPV589867 MZR589867 NJN589867 NTJ589867 ODF589867 ONB589867 OWX589867 PGT589867 PQP589867 QAL589867 QKH589867 QUD589867 RDZ589867 RNV589867 RXR589867 SHN589867 SRJ589867 TBF589867 TLB589867 TUX589867 UET589867 UOP589867 UYL589867 VIH589867 VSD589867 WBZ589867 WLV589867 WVR589867 J655403 JF655403 TB655403 ACX655403 AMT655403 AWP655403 BGL655403 BQH655403 CAD655403 CJZ655403 CTV655403 DDR655403 DNN655403 DXJ655403 EHF655403 ERB655403 FAX655403 FKT655403 FUP655403 GEL655403 GOH655403 GYD655403 HHZ655403 HRV655403 IBR655403 ILN655403 IVJ655403 JFF655403 JPB655403 JYX655403 KIT655403 KSP655403 LCL655403 LMH655403 LWD655403 MFZ655403 MPV655403 MZR655403 NJN655403 NTJ655403 ODF655403 ONB655403 OWX655403 PGT655403 PQP655403 QAL655403 QKH655403 QUD655403 RDZ655403 RNV655403 RXR655403 SHN655403 SRJ655403 TBF655403 TLB655403 TUX655403 UET655403 UOP655403 UYL655403 VIH655403 VSD655403 WBZ655403 WLV655403 WVR655403 J720939 JF720939 TB720939 ACX720939 AMT720939 AWP720939 BGL720939 BQH720939 CAD720939 CJZ720939 CTV720939 DDR720939 DNN720939 DXJ720939 EHF720939 ERB720939 FAX720939 FKT720939 FUP720939 GEL720939 GOH720939 GYD720939 HHZ720939 HRV720939 IBR720939 ILN720939 IVJ720939 JFF720939 JPB720939 JYX720939 KIT720939 KSP720939 LCL720939 LMH720939 LWD720939 MFZ720939 MPV720939 MZR720939 NJN720939 NTJ720939 ODF720939 ONB720939 OWX720939 PGT720939 PQP720939 QAL720939 QKH720939 QUD720939 RDZ720939 RNV720939 RXR720939 SHN720939 SRJ720939 TBF720939 TLB720939 TUX720939 UET720939 UOP720939 UYL720939 VIH720939 VSD720939 WBZ720939 WLV720939 WVR720939 J786475 JF786475 TB786475 ACX786475 AMT786475 AWP786475 BGL786475 BQH786475 CAD786475 CJZ786475 CTV786475 DDR786475 DNN786475 DXJ786475 EHF786475 ERB786475 FAX786475 FKT786475 FUP786475 GEL786475 GOH786475 GYD786475 HHZ786475 HRV786475 IBR786475 ILN786475 IVJ786475 JFF786475 JPB786475 JYX786475 KIT786475 KSP786475 LCL786475 LMH786475 LWD786475 MFZ786475 MPV786475 MZR786475 NJN786475 NTJ786475 ODF786475 ONB786475 OWX786475 PGT786475 PQP786475 QAL786475 QKH786475 QUD786475 RDZ786475 RNV786475 RXR786475 SHN786475 SRJ786475 TBF786475 TLB786475 TUX786475 UET786475 UOP786475 UYL786475 VIH786475 VSD786475 WBZ786475 WLV786475 WVR786475 J852011 JF852011 TB852011 ACX852011 AMT852011 AWP852011 BGL852011 BQH852011 CAD852011 CJZ852011 CTV852011 DDR852011 DNN852011 DXJ852011 EHF852011 ERB852011 FAX852011 FKT852011 FUP852011 GEL852011 GOH852011 GYD852011 HHZ852011 HRV852011 IBR852011 ILN852011 IVJ852011 JFF852011 JPB852011 JYX852011 KIT852011 KSP852011 LCL852011 LMH852011 LWD852011 MFZ852011 MPV852011 MZR852011 NJN852011 NTJ852011 ODF852011 ONB852011 OWX852011 PGT852011 PQP852011 QAL852011 QKH852011 QUD852011 RDZ852011 RNV852011 RXR852011 SHN852011 SRJ852011 TBF852011 TLB852011 TUX852011 UET852011 UOP852011 UYL852011 VIH852011 VSD852011 WBZ852011 WLV852011 WVR852011 J917547 JF917547 TB917547 ACX917547 AMT917547 AWP917547 BGL917547 BQH917547 CAD917547 CJZ917547 CTV917547 DDR917547 DNN917547 DXJ917547 EHF917547 ERB917547 FAX917547 FKT917547 FUP917547 GEL917547 GOH917547 GYD917547 HHZ917547 HRV917547 IBR917547 ILN917547 IVJ917547 JFF917547 JPB917547 JYX917547 KIT917547 KSP917547 LCL917547 LMH917547 LWD917547 MFZ917547 MPV917547 MZR917547 NJN917547 NTJ917547 ODF917547 ONB917547 OWX917547 PGT917547 PQP917547 QAL917547 QKH917547 QUD917547 RDZ917547 RNV917547 RXR917547 SHN917547 SRJ917547 TBF917547 TLB917547 TUX917547 UET917547 UOP917547 UYL917547 VIH917547 VSD917547 WBZ917547 WLV917547 WVR917547 J983083 JF983083 TB983083 ACX983083 AMT983083 AWP983083 BGL983083 BQH983083 CAD983083 CJZ983083 CTV983083 DDR983083 DNN983083 DXJ983083 EHF983083 ERB983083 FAX983083 FKT983083 FUP983083 GEL983083 GOH983083 GYD983083 HHZ983083 HRV983083 IBR983083 ILN983083 IVJ983083 JFF983083 JPB983083 JYX983083 KIT983083 KSP983083 LCL983083 LMH983083 LWD983083 MFZ983083 MPV983083 MZR983083 NJN983083 NTJ983083 ODF983083 ONB983083 OWX983083 PGT983083 PQP983083 QAL983083 QKH983083 QUD983083 RDZ983083 RNV983083 RXR983083 SHN983083 SRJ983083 TBF983083 TLB983083 TUX983083 UET983083 UOP983083 UYL983083 VIH983083 VSD983083 WBZ983083 WLV983083 WVR983083 D9:D39 D65545:D65575 D131081:D131111 D196617:D196647 D262153:D262183 D327689:D327719 D393225:D393255 D458761:D458791 D524297:D524327 D589833:D589863 D655369:D655399 D720905:D720935 D786441:D786471 D851977:D852007 D917513:D917543 D983049:D983079 IZ9:IZ39 IZ65545:IZ65575 IZ131081:IZ131111 IZ196617:IZ196647 IZ262153:IZ262183 IZ327689:IZ327719 IZ393225:IZ393255 IZ458761:IZ458791 IZ524297:IZ524327 IZ589833:IZ589863 IZ655369:IZ655399 IZ720905:IZ720935 IZ786441:IZ786471 IZ851977:IZ852007 IZ917513:IZ917543 IZ983049:IZ983079 SV9:SV39 SV65545:SV65575 SV131081:SV131111 SV196617:SV196647 SV262153:SV262183 SV327689:SV327719 SV393225:SV393255 SV458761:SV458791 SV524297:SV524327 SV589833:SV589863 SV655369:SV655399 SV720905:SV720935 SV786441:SV786471 SV851977:SV852007 SV917513:SV917543 SV983049:SV983079 ACR9:ACR39 ACR65545:ACR65575 ACR131081:ACR131111 ACR196617:ACR196647 ACR262153:ACR262183 ACR327689:ACR327719 ACR393225:ACR393255 ACR458761:ACR458791 ACR524297:ACR524327 ACR589833:ACR589863 ACR655369:ACR655399 ACR720905:ACR720935 ACR786441:ACR786471 ACR851977:ACR852007 ACR917513:ACR917543 ACR983049:ACR983079 AMN9:AMN39 AMN65545:AMN65575 AMN131081:AMN131111 AMN196617:AMN196647 AMN262153:AMN262183 AMN327689:AMN327719 AMN393225:AMN393255 AMN458761:AMN458791 AMN524297:AMN524327 AMN589833:AMN589863 AMN655369:AMN655399 AMN720905:AMN720935 AMN786441:AMN786471 AMN851977:AMN852007 AMN917513:AMN917543 AMN983049:AMN983079 AWJ9:AWJ39 AWJ65545:AWJ65575 AWJ131081:AWJ131111 AWJ196617:AWJ196647 AWJ262153:AWJ262183 AWJ327689:AWJ327719 AWJ393225:AWJ393255 AWJ458761:AWJ458791 AWJ524297:AWJ524327 AWJ589833:AWJ589863 AWJ655369:AWJ655399 AWJ720905:AWJ720935 AWJ786441:AWJ786471 AWJ851977:AWJ852007 AWJ917513:AWJ917543 AWJ983049:AWJ983079 BGF9:BGF39 BGF65545:BGF65575 BGF131081:BGF131111 BGF196617:BGF196647 BGF262153:BGF262183 BGF327689:BGF327719 BGF393225:BGF393255 BGF458761:BGF458791 BGF524297:BGF524327 BGF589833:BGF589863 BGF655369:BGF655399 BGF720905:BGF720935 BGF786441:BGF786471 BGF851977:BGF852007 BGF917513:BGF917543 BGF983049:BGF983079 BQB9:BQB39 BQB65545:BQB65575 BQB131081:BQB131111 BQB196617:BQB196647 BQB262153:BQB262183 BQB327689:BQB327719 BQB393225:BQB393255 BQB458761:BQB458791 BQB524297:BQB524327 BQB589833:BQB589863 BQB655369:BQB655399 BQB720905:BQB720935 BQB786441:BQB786471 BQB851977:BQB852007 BQB917513:BQB917543 BQB983049:BQB983079 BZX9:BZX39 BZX65545:BZX65575 BZX131081:BZX131111 BZX196617:BZX196647 BZX262153:BZX262183 BZX327689:BZX327719 BZX393225:BZX393255 BZX458761:BZX458791 BZX524297:BZX524327 BZX589833:BZX589863 BZX655369:BZX655399 BZX720905:BZX720935 BZX786441:BZX786471 BZX851977:BZX852007 BZX917513:BZX917543 BZX983049:BZX983079 CJT9:CJT39 CJT65545:CJT65575 CJT131081:CJT131111 CJT196617:CJT196647 CJT262153:CJT262183 CJT327689:CJT327719 CJT393225:CJT393255 CJT458761:CJT458791 CJT524297:CJT524327 CJT589833:CJT589863 CJT655369:CJT655399 CJT720905:CJT720935 CJT786441:CJT786471 CJT851977:CJT852007 CJT917513:CJT917543 CJT983049:CJT983079 CTP9:CTP39 CTP65545:CTP65575 CTP131081:CTP131111 CTP196617:CTP196647 CTP262153:CTP262183 CTP327689:CTP327719 CTP393225:CTP393255 CTP458761:CTP458791 CTP524297:CTP524327 CTP589833:CTP589863 CTP655369:CTP655399 CTP720905:CTP720935 CTP786441:CTP786471 CTP851977:CTP852007 CTP917513:CTP917543 CTP983049:CTP983079 DDL9:DDL39 DDL65545:DDL65575 DDL131081:DDL131111 DDL196617:DDL196647 DDL262153:DDL262183 DDL327689:DDL327719 DDL393225:DDL393255 DDL458761:DDL458791 DDL524297:DDL524327 DDL589833:DDL589863 DDL655369:DDL655399 DDL720905:DDL720935 DDL786441:DDL786471 DDL851977:DDL852007 DDL917513:DDL917543 DDL983049:DDL983079 DNH9:DNH39 DNH65545:DNH65575 DNH131081:DNH131111 DNH196617:DNH196647 DNH262153:DNH262183 DNH327689:DNH327719 DNH393225:DNH393255 DNH458761:DNH458791 DNH524297:DNH524327 DNH589833:DNH589863 DNH655369:DNH655399 DNH720905:DNH720935 DNH786441:DNH786471 DNH851977:DNH852007 DNH917513:DNH917543 DNH983049:DNH983079 DXD9:DXD39 DXD65545:DXD65575 DXD131081:DXD131111 DXD196617:DXD196647 DXD262153:DXD262183 DXD327689:DXD327719 DXD393225:DXD393255 DXD458761:DXD458791 DXD524297:DXD524327 DXD589833:DXD589863 DXD655369:DXD655399 DXD720905:DXD720935 DXD786441:DXD786471 DXD851977:DXD852007 DXD917513:DXD917543 DXD983049:DXD983079 EGZ9:EGZ39 EGZ65545:EGZ65575 EGZ131081:EGZ131111 EGZ196617:EGZ196647 EGZ262153:EGZ262183 EGZ327689:EGZ327719 EGZ393225:EGZ393255 EGZ458761:EGZ458791 EGZ524297:EGZ524327 EGZ589833:EGZ589863 EGZ655369:EGZ655399 EGZ720905:EGZ720935 EGZ786441:EGZ786471 EGZ851977:EGZ852007 EGZ917513:EGZ917543 EGZ983049:EGZ983079 EQV9:EQV39 EQV65545:EQV65575 EQV131081:EQV131111 EQV196617:EQV196647 EQV262153:EQV262183 EQV327689:EQV327719 EQV393225:EQV393255 EQV458761:EQV458791 EQV524297:EQV524327 EQV589833:EQV589863 EQV655369:EQV655399 EQV720905:EQV720935 EQV786441:EQV786471 EQV851977:EQV852007 EQV917513:EQV917543 EQV983049:EQV983079 FAR9:FAR39 FAR65545:FAR65575 FAR131081:FAR131111 FAR196617:FAR196647 FAR262153:FAR262183 FAR327689:FAR327719 FAR393225:FAR393255 FAR458761:FAR458791 FAR524297:FAR524327 FAR589833:FAR589863 FAR655369:FAR655399 FAR720905:FAR720935 FAR786441:FAR786471 FAR851977:FAR852007 FAR917513:FAR917543 FAR983049:FAR983079 FKN9:FKN39 FKN65545:FKN65575 FKN131081:FKN131111 FKN196617:FKN196647 FKN262153:FKN262183 FKN327689:FKN327719 FKN393225:FKN393255 FKN458761:FKN458791 FKN524297:FKN524327 FKN589833:FKN589863 FKN655369:FKN655399 FKN720905:FKN720935 FKN786441:FKN786471 FKN851977:FKN852007 FKN917513:FKN917543 FKN983049:FKN983079 FUJ9:FUJ39 FUJ65545:FUJ65575 FUJ131081:FUJ131111 FUJ196617:FUJ196647 FUJ262153:FUJ262183 FUJ327689:FUJ327719 FUJ393225:FUJ393255 FUJ458761:FUJ458791 FUJ524297:FUJ524327 FUJ589833:FUJ589863 FUJ655369:FUJ655399 FUJ720905:FUJ720935 FUJ786441:FUJ786471 FUJ851977:FUJ852007 FUJ917513:FUJ917543 FUJ983049:FUJ983079 GEF9:GEF39 GEF65545:GEF65575 GEF131081:GEF131111 GEF196617:GEF196647 GEF262153:GEF262183 GEF327689:GEF327719 GEF393225:GEF393255 GEF458761:GEF458791 GEF524297:GEF524327 GEF589833:GEF589863 GEF655369:GEF655399 GEF720905:GEF720935 GEF786441:GEF786471 GEF851977:GEF852007 GEF917513:GEF917543 GEF983049:GEF983079 GOB9:GOB39 GOB65545:GOB65575 GOB131081:GOB131111 GOB196617:GOB196647 GOB262153:GOB262183 GOB327689:GOB327719 GOB393225:GOB393255 GOB458761:GOB458791 GOB524297:GOB524327 GOB589833:GOB589863 GOB655369:GOB655399 GOB720905:GOB720935 GOB786441:GOB786471 GOB851977:GOB852007 GOB917513:GOB917543 GOB983049:GOB983079 GXX9:GXX39 GXX65545:GXX65575 GXX131081:GXX131111 GXX196617:GXX196647 GXX262153:GXX262183 GXX327689:GXX327719 GXX393225:GXX393255 GXX458761:GXX458791 GXX524297:GXX524327 GXX589833:GXX589863 GXX655369:GXX655399 GXX720905:GXX720935 GXX786441:GXX786471 GXX851977:GXX852007 GXX917513:GXX917543 GXX983049:GXX983079 HHT9:HHT39 HHT65545:HHT65575 HHT131081:HHT131111 HHT196617:HHT196647 HHT262153:HHT262183 HHT327689:HHT327719 HHT393225:HHT393255 HHT458761:HHT458791 HHT524297:HHT524327 HHT589833:HHT589863 HHT655369:HHT655399 HHT720905:HHT720935 HHT786441:HHT786471 HHT851977:HHT852007 HHT917513:HHT917543 HHT983049:HHT983079 HRP9:HRP39 HRP65545:HRP65575 HRP131081:HRP131111 HRP196617:HRP196647 HRP262153:HRP262183 HRP327689:HRP327719 HRP393225:HRP393255 HRP458761:HRP458791 HRP524297:HRP524327 HRP589833:HRP589863 HRP655369:HRP655399 HRP720905:HRP720935 HRP786441:HRP786471 HRP851977:HRP852007 HRP917513:HRP917543 HRP983049:HRP983079 IBL9:IBL39 IBL65545:IBL65575 IBL131081:IBL131111 IBL196617:IBL196647 IBL262153:IBL262183 IBL327689:IBL327719 IBL393225:IBL393255 IBL458761:IBL458791 IBL524297:IBL524327 IBL589833:IBL589863 IBL655369:IBL655399 IBL720905:IBL720935 IBL786441:IBL786471 IBL851977:IBL852007 IBL917513:IBL917543 IBL983049:IBL983079 ILH9:ILH39 ILH65545:ILH65575 ILH131081:ILH131111 ILH196617:ILH196647 ILH262153:ILH262183 ILH327689:ILH327719 ILH393225:ILH393255 ILH458761:ILH458791 ILH524297:ILH524327 ILH589833:ILH589863 ILH655369:ILH655399 ILH720905:ILH720935 ILH786441:ILH786471 ILH851977:ILH852007 ILH917513:ILH917543 ILH983049:ILH983079 IVD9:IVD39 IVD65545:IVD65575 IVD131081:IVD131111 IVD196617:IVD196647 IVD262153:IVD262183 IVD327689:IVD327719 IVD393225:IVD393255 IVD458761:IVD458791 IVD524297:IVD524327 IVD589833:IVD589863 IVD655369:IVD655399 IVD720905:IVD720935 IVD786441:IVD786471 IVD851977:IVD852007 IVD917513:IVD917543 IVD983049:IVD983079 JEZ9:JEZ39 JEZ65545:JEZ65575 JEZ131081:JEZ131111 JEZ196617:JEZ196647 JEZ262153:JEZ262183 JEZ327689:JEZ327719 JEZ393225:JEZ393255 JEZ458761:JEZ458791 JEZ524297:JEZ524327 JEZ589833:JEZ589863 JEZ655369:JEZ655399 JEZ720905:JEZ720935 JEZ786441:JEZ786471 JEZ851977:JEZ852007 JEZ917513:JEZ917543 JEZ983049:JEZ983079 JOV9:JOV39 JOV65545:JOV65575 JOV131081:JOV131111 JOV196617:JOV196647 JOV262153:JOV262183 JOV327689:JOV327719 JOV393225:JOV393255 JOV458761:JOV458791 JOV524297:JOV524327 JOV589833:JOV589863 JOV655369:JOV655399 JOV720905:JOV720935 JOV786441:JOV786471 JOV851977:JOV852007 JOV917513:JOV917543 JOV983049:JOV983079 JYR9:JYR39 JYR65545:JYR65575 JYR131081:JYR131111 JYR196617:JYR196647 JYR262153:JYR262183 JYR327689:JYR327719 JYR393225:JYR393255 JYR458761:JYR458791 JYR524297:JYR524327 JYR589833:JYR589863 JYR655369:JYR655399 JYR720905:JYR720935 JYR786441:JYR786471 JYR851977:JYR852007 JYR917513:JYR917543 JYR983049:JYR983079 KIN9:KIN39 KIN65545:KIN65575 KIN131081:KIN131111 KIN196617:KIN196647 KIN262153:KIN262183 KIN327689:KIN327719 KIN393225:KIN393255 KIN458761:KIN458791 KIN524297:KIN524327 KIN589833:KIN589863 KIN655369:KIN655399 KIN720905:KIN720935 KIN786441:KIN786471 KIN851977:KIN852007 KIN917513:KIN917543 KIN983049:KIN983079 KSJ9:KSJ39 KSJ65545:KSJ65575 KSJ131081:KSJ131111 KSJ196617:KSJ196647 KSJ262153:KSJ262183 KSJ327689:KSJ327719 KSJ393225:KSJ393255 KSJ458761:KSJ458791 KSJ524297:KSJ524327 KSJ589833:KSJ589863 KSJ655369:KSJ655399 KSJ720905:KSJ720935 KSJ786441:KSJ786471 KSJ851977:KSJ852007 KSJ917513:KSJ917543 KSJ983049:KSJ983079 LCF9:LCF39 LCF65545:LCF65575 LCF131081:LCF131111 LCF196617:LCF196647 LCF262153:LCF262183 LCF327689:LCF327719 LCF393225:LCF393255 LCF458761:LCF458791 LCF524297:LCF524327 LCF589833:LCF589863 LCF655369:LCF655399 LCF720905:LCF720935 LCF786441:LCF786471 LCF851977:LCF852007 LCF917513:LCF917543 LCF983049:LCF983079 LMB9:LMB39 LMB65545:LMB65575 LMB131081:LMB131111 LMB196617:LMB196647 LMB262153:LMB262183 LMB327689:LMB327719 LMB393225:LMB393255 LMB458761:LMB458791 LMB524297:LMB524327 LMB589833:LMB589863 LMB655369:LMB655399 LMB720905:LMB720935 LMB786441:LMB786471 LMB851977:LMB852007 LMB917513:LMB917543 LMB983049:LMB983079 LVX9:LVX39 LVX65545:LVX65575 LVX131081:LVX131111 LVX196617:LVX196647 LVX262153:LVX262183 LVX327689:LVX327719 LVX393225:LVX393255 LVX458761:LVX458791 LVX524297:LVX524327 LVX589833:LVX589863 LVX655369:LVX655399 LVX720905:LVX720935 LVX786441:LVX786471 LVX851977:LVX852007 LVX917513:LVX917543 LVX983049:LVX983079 MFT9:MFT39 MFT65545:MFT65575 MFT131081:MFT131111 MFT196617:MFT196647 MFT262153:MFT262183 MFT327689:MFT327719 MFT393225:MFT393255 MFT458761:MFT458791 MFT524297:MFT524327 MFT589833:MFT589863 MFT655369:MFT655399 MFT720905:MFT720935 MFT786441:MFT786471 MFT851977:MFT852007 MFT917513:MFT917543 MFT983049:MFT983079 MPP9:MPP39 MPP65545:MPP65575 MPP131081:MPP131111 MPP196617:MPP196647 MPP262153:MPP262183 MPP327689:MPP327719 MPP393225:MPP393255 MPP458761:MPP458791 MPP524297:MPP524327 MPP589833:MPP589863 MPP655369:MPP655399 MPP720905:MPP720935 MPP786441:MPP786471 MPP851977:MPP852007 MPP917513:MPP917543 MPP983049:MPP983079 MZL9:MZL39 MZL65545:MZL65575 MZL131081:MZL131111 MZL196617:MZL196647 MZL262153:MZL262183 MZL327689:MZL327719 MZL393225:MZL393255 MZL458761:MZL458791 MZL524297:MZL524327 MZL589833:MZL589863 MZL655369:MZL655399 MZL720905:MZL720935 MZL786441:MZL786471 MZL851977:MZL852007 MZL917513:MZL917543 MZL983049:MZL983079 NJH9:NJH39 NJH65545:NJH65575 NJH131081:NJH131111 NJH196617:NJH196647 NJH262153:NJH262183 NJH327689:NJH327719 NJH393225:NJH393255 NJH458761:NJH458791 NJH524297:NJH524327 NJH589833:NJH589863 NJH655369:NJH655399 NJH720905:NJH720935 NJH786441:NJH786471 NJH851977:NJH852007 NJH917513:NJH917543 NJH983049:NJH983079 NTD9:NTD39 NTD65545:NTD65575 NTD131081:NTD131111 NTD196617:NTD196647 NTD262153:NTD262183 NTD327689:NTD327719 NTD393225:NTD393255 NTD458761:NTD458791 NTD524297:NTD524327 NTD589833:NTD589863 NTD655369:NTD655399 NTD720905:NTD720935 NTD786441:NTD786471 NTD851977:NTD852007 NTD917513:NTD917543 NTD983049:NTD983079 OCZ9:OCZ39 OCZ65545:OCZ65575 OCZ131081:OCZ131111 OCZ196617:OCZ196647 OCZ262153:OCZ262183 OCZ327689:OCZ327719 OCZ393225:OCZ393255 OCZ458761:OCZ458791 OCZ524297:OCZ524327 OCZ589833:OCZ589863 OCZ655369:OCZ655399 OCZ720905:OCZ720935 OCZ786441:OCZ786471 OCZ851977:OCZ852007 OCZ917513:OCZ917543 OCZ983049:OCZ983079 OMV9:OMV39 OMV65545:OMV65575 OMV131081:OMV131111 OMV196617:OMV196647 OMV262153:OMV262183 OMV327689:OMV327719 OMV393225:OMV393255 OMV458761:OMV458791 OMV524297:OMV524327 OMV589833:OMV589863 OMV655369:OMV655399 OMV720905:OMV720935 OMV786441:OMV786471 OMV851977:OMV852007 OMV917513:OMV917543 OMV983049:OMV983079 OWR9:OWR39 OWR65545:OWR65575 OWR131081:OWR131111 OWR196617:OWR196647 OWR262153:OWR262183 OWR327689:OWR327719 OWR393225:OWR393255 OWR458761:OWR458791 OWR524297:OWR524327 OWR589833:OWR589863 OWR655369:OWR655399 OWR720905:OWR720935 OWR786441:OWR786471 OWR851977:OWR852007 OWR917513:OWR917543 OWR983049:OWR983079 PGN9:PGN39 PGN65545:PGN65575 PGN131081:PGN131111 PGN196617:PGN196647 PGN262153:PGN262183 PGN327689:PGN327719 PGN393225:PGN393255 PGN458761:PGN458791 PGN524297:PGN524327 PGN589833:PGN589863 PGN655369:PGN655399 PGN720905:PGN720935 PGN786441:PGN786471 PGN851977:PGN852007 PGN917513:PGN917543 PGN983049:PGN983079 PQJ9:PQJ39 PQJ65545:PQJ65575 PQJ131081:PQJ131111 PQJ196617:PQJ196647 PQJ262153:PQJ262183 PQJ327689:PQJ327719 PQJ393225:PQJ393255 PQJ458761:PQJ458791 PQJ524297:PQJ524327 PQJ589833:PQJ589863 PQJ655369:PQJ655399 PQJ720905:PQJ720935 PQJ786441:PQJ786471 PQJ851977:PQJ852007 PQJ917513:PQJ917543 PQJ983049:PQJ983079 QAF9:QAF39 QAF65545:QAF65575 QAF131081:QAF131111 QAF196617:QAF196647 QAF262153:QAF262183 QAF327689:QAF327719 QAF393225:QAF393255 QAF458761:QAF458791 QAF524297:QAF524327 QAF589833:QAF589863 QAF655369:QAF655399 QAF720905:QAF720935 QAF786441:QAF786471 QAF851977:QAF852007 QAF917513:QAF917543 QAF983049:QAF983079 QKB9:QKB39 QKB65545:QKB65575 QKB131081:QKB131111 QKB196617:QKB196647 QKB262153:QKB262183 QKB327689:QKB327719 QKB393225:QKB393255 QKB458761:QKB458791 QKB524297:QKB524327 QKB589833:QKB589863 QKB655369:QKB655399 QKB720905:QKB720935 QKB786441:QKB786471 QKB851977:QKB852007 QKB917513:QKB917543 QKB983049:QKB983079 QTX9:QTX39 QTX65545:QTX65575 QTX131081:QTX131111 QTX196617:QTX196647 QTX262153:QTX262183 QTX327689:QTX327719 QTX393225:QTX393255 QTX458761:QTX458791 QTX524297:QTX524327 QTX589833:QTX589863 QTX655369:QTX655399 QTX720905:QTX720935 QTX786441:QTX786471 QTX851977:QTX852007 QTX917513:QTX917543 QTX983049:QTX983079 RDT9:RDT39 RDT65545:RDT65575 RDT131081:RDT131111 RDT196617:RDT196647 RDT262153:RDT262183 RDT327689:RDT327719 RDT393225:RDT393255 RDT458761:RDT458791 RDT524297:RDT524327 RDT589833:RDT589863 RDT655369:RDT655399 RDT720905:RDT720935 RDT786441:RDT786471 RDT851977:RDT852007 RDT917513:RDT917543 RDT983049:RDT983079 RNP9:RNP39 RNP65545:RNP65575 RNP131081:RNP131111 RNP196617:RNP196647 RNP262153:RNP262183 RNP327689:RNP327719 RNP393225:RNP393255 RNP458761:RNP458791 RNP524297:RNP524327 RNP589833:RNP589863 RNP655369:RNP655399 RNP720905:RNP720935 RNP786441:RNP786471 RNP851977:RNP852007 RNP917513:RNP917543 RNP983049:RNP983079 RXL9:RXL39 RXL65545:RXL65575 RXL131081:RXL131111 RXL196617:RXL196647 RXL262153:RXL262183 RXL327689:RXL327719 RXL393225:RXL393255 RXL458761:RXL458791 RXL524297:RXL524327 RXL589833:RXL589863 RXL655369:RXL655399 RXL720905:RXL720935 RXL786441:RXL786471 RXL851977:RXL852007 RXL917513:RXL917543 RXL983049:RXL983079 SHH9:SHH39 SHH65545:SHH65575 SHH131081:SHH131111 SHH196617:SHH196647 SHH262153:SHH262183 SHH327689:SHH327719 SHH393225:SHH393255 SHH458761:SHH458791 SHH524297:SHH524327 SHH589833:SHH589863 SHH655369:SHH655399 SHH720905:SHH720935 SHH786441:SHH786471 SHH851977:SHH852007 SHH917513:SHH917543 SHH983049:SHH983079 SRD9:SRD39 SRD65545:SRD65575 SRD131081:SRD131111 SRD196617:SRD196647 SRD262153:SRD262183 SRD327689:SRD327719 SRD393225:SRD393255 SRD458761:SRD458791 SRD524297:SRD524327 SRD589833:SRD589863 SRD655369:SRD655399 SRD720905:SRD720935 SRD786441:SRD786471 SRD851977:SRD852007 SRD917513:SRD917543 SRD983049:SRD983079 TAZ9:TAZ39 TAZ65545:TAZ65575 TAZ131081:TAZ131111 TAZ196617:TAZ196647 TAZ262153:TAZ262183 TAZ327689:TAZ327719 TAZ393225:TAZ393255 TAZ458761:TAZ458791 TAZ524297:TAZ524327 TAZ589833:TAZ589863 TAZ655369:TAZ655399 TAZ720905:TAZ720935 TAZ786441:TAZ786471 TAZ851977:TAZ852007 TAZ917513:TAZ917543 TAZ983049:TAZ983079 TKV9:TKV39 TKV65545:TKV65575 TKV131081:TKV131111 TKV196617:TKV196647 TKV262153:TKV262183 TKV327689:TKV327719 TKV393225:TKV393255 TKV458761:TKV458791 TKV524297:TKV524327 TKV589833:TKV589863 TKV655369:TKV655399 TKV720905:TKV720935 TKV786441:TKV786471 TKV851977:TKV852007 TKV917513:TKV917543 TKV983049:TKV983079 TUR9:TUR39 TUR65545:TUR65575 TUR131081:TUR131111 TUR196617:TUR196647 TUR262153:TUR262183 TUR327689:TUR327719 TUR393225:TUR393255 TUR458761:TUR458791 TUR524297:TUR524327 TUR589833:TUR589863 TUR655369:TUR655399 TUR720905:TUR720935 TUR786441:TUR786471 TUR851977:TUR852007 TUR917513:TUR917543 TUR983049:TUR983079 UEN9:UEN39 UEN65545:UEN65575 UEN131081:UEN131111 UEN196617:UEN196647 UEN262153:UEN262183 UEN327689:UEN327719 UEN393225:UEN393255 UEN458761:UEN458791 UEN524297:UEN524327 UEN589833:UEN589863 UEN655369:UEN655399 UEN720905:UEN720935 UEN786441:UEN786471 UEN851977:UEN852007 UEN917513:UEN917543 UEN983049:UEN983079 UOJ9:UOJ39 UOJ65545:UOJ65575 UOJ131081:UOJ131111 UOJ196617:UOJ196647 UOJ262153:UOJ262183 UOJ327689:UOJ327719 UOJ393225:UOJ393255 UOJ458761:UOJ458791 UOJ524297:UOJ524327 UOJ589833:UOJ589863 UOJ655369:UOJ655399 UOJ720905:UOJ720935 UOJ786441:UOJ786471 UOJ851977:UOJ852007 UOJ917513:UOJ917543 UOJ983049:UOJ983079 UYF9:UYF39 UYF65545:UYF65575 UYF131081:UYF131111 UYF196617:UYF196647 UYF262153:UYF262183 UYF327689:UYF327719 UYF393225:UYF393255 UYF458761:UYF458791 UYF524297:UYF524327 UYF589833:UYF589863 UYF655369:UYF655399 UYF720905:UYF720935 UYF786441:UYF786471 UYF851977:UYF852007 UYF917513:UYF917543 UYF983049:UYF983079 VIB9:VIB39 VIB65545:VIB65575 VIB131081:VIB131111 VIB196617:VIB196647 VIB262153:VIB262183 VIB327689:VIB327719 VIB393225:VIB393255 VIB458761:VIB458791 VIB524297:VIB524327 VIB589833:VIB589863 VIB655369:VIB655399 VIB720905:VIB720935 VIB786441:VIB786471 VIB851977:VIB852007 VIB917513:VIB917543 VIB983049:VIB983079 VRX9:VRX39 VRX65545:VRX65575 VRX131081:VRX131111 VRX196617:VRX196647 VRX262153:VRX262183 VRX327689:VRX327719 VRX393225:VRX393255 VRX458761:VRX458791 VRX524297:VRX524327 VRX589833:VRX589863 VRX655369:VRX655399 VRX720905:VRX720935 VRX786441:VRX786471 VRX851977:VRX852007 VRX917513:VRX917543 VRX983049:VRX983079 WBT9:WBT39 WBT65545:WBT65575 WBT131081:WBT131111 WBT196617:WBT196647 WBT262153:WBT262183 WBT327689:WBT327719 WBT393225:WBT393255 WBT458761:WBT458791 WBT524297:WBT524327 WBT589833:WBT589863 WBT655369:WBT655399 WBT720905:WBT720935 WBT786441:WBT786471 WBT851977:WBT852007 WBT917513:WBT917543 WBT983049:WBT983079 WLP9:WLP39 WLP65545:WLP65575 WLP131081:WLP131111 WLP196617:WLP196647 WLP262153:WLP262183 WLP327689:WLP327719 WLP393225:WLP393255 WLP458761:WLP458791 WLP524297:WLP524327 WLP589833:WLP589863 WLP655369:WLP655399 WLP720905:WLP720935 WLP786441:WLP786471 WLP851977:WLP852007 WLP917513:WLP917543 WLP983049:WLP983079 WVL9:WVL39 WVL65545:WVL65575 WVL131081:WVL131111 WVL196617:WVL196647 WVL262153:WVL262183 WVL327689:WVL327719 WVL393225:WVL393255 WVL458761:WVL458791 WVL524297:WVL524327 WVL589833:WVL589863 WVL655369:WVL655399 WVL720905:WVL720935 WVL786441:WVL786471 WVL851977:WVL852007 WVL917513:WVL917543 WVL983049:WVL983079" errorStyle="information">
      <formula1>0</formula1>
      <formula2>1000</formula2>
    </dataValidation>
    <dataValidation type="decimal" operator="between" allowBlank="1" showInputMessage="1" showErrorMessage="1" errorTitle="警告" error="数值无效，请重新输入！&#10;" sqref="E9:E36 E65545:E65572 E131081:E131108 E196617:E196644 E262153:E262180 E327689:E327716 E393225:E393252 E458761:E458788 E524297:E524324 E589833:E589860 E655369:E655396 E720905:E720932 E786441:E786468 E851977:E852004 E917513:E917540 E983049:E983076 JA9:JA36 JA65545:JA65572 JA131081:JA131108 JA196617:JA196644 JA262153:JA262180 JA327689:JA327716 JA393225:JA393252 JA458761:JA458788 JA524297:JA524324 JA589833:JA589860 JA655369:JA655396 JA720905:JA720932 JA786441:JA786468 JA851977:JA852004 JA917513:JA917540 JA983049:JA983076 SW9:SW36 SW65545:SW65572 SW131081:SW131108 SW196617:SW196644 SW262153:SW262180 SW327689:SW327716 SW393225:SW393252 SW458761:SW458788 SW524297:SW524324 SW589833:SW589860 SW655369:SW655396 SW720905:SW720932 SW786441:SW786468 SW851977:SW852004 SW917513:SW917540 SW983049:SW983076 ACS9:ACS36 ACS65545:ACS65572 ACS131081:ACS131108 ACS196617:ACS196644 ACS262153:ACS262180 ACS327689:ACS327716 ACS393225:ACS393252 ACS458761:ACS458788 ACS524297:ACS524324 ACS589833:ACS589860 ACS655369:ACS655396 ACS720905:ACS720932 ACS786441:ACS786468 ACS851977:ACS852004 ACS917513:ACS917540 ACS983049:ACS983076 AMO9:AMO36 AMO65545:AMO65572 AMO131081:AMO131108 AMO196617:AMO196644 AMO262153:AMO262180 AMO327689:AMO327716 AMO393225:AMO393252 AMO458761:AMO458788 AMO524297:AMO524324 AMO589833:AMO589860 AMO655369:AMO655396 AMO720905:AMO720932 AMO786441:AMO786468 AMO851977:AMO852004 AMO917513:AMO917540 AMO983049:AMO983076 AWK9:AWK36 AWK65545:AWK65572 AWK131081:AWK131108 AWK196617:AWK196644 AWK262153:AWK262180 AWK327689:AWK327716 AWK393225:AWK393252 AWK458761:AWK458788 AWK524297:AWK524324 AWK589833:AWK589860 AWK655369:AWK655396 AWK720905:AWK720932 AWK786441:AWK786468 AWK851977:AWK852004 AWK917513:AWK917540 AWK983049:AWK983076 BGG9:BGG36 BGG65545:BGG65572 BGG131081:BGG131108 BGG196617:BGG196644 BGG262153:BGG262180 BGG327689:BGG327716 BGG393225:BGG393252 BGG458761:BGG458788 BGG524297:BGG524324 BGG589833:BGG589860 BGG655369:BGG655396 BGG720905:BGG720932 BGG786441:BGG786468 BGG851977:BGG852004 BGG917513:BGG917540 BGG983049:BGG983076 BQC9:BQC36 BQC65545:BQC65572 BQC131081:BQC131108 BQC196617:BQC196644 BQC262153:BQC262180 BQC327689:BQC327716 BQC393225:BQC393252 BQC458761:BQC458788 BQC524297:BQC524324 BQC589833:BQC589860 BQC655369:BQC655396 BQC720905:BQC720932 BQC786441:BQC786468 BQC851977:BQC852004 BQC917513:BQC917540 BQC983049:BQC983076 BZY9:BZY36 BZY65545:BZY65572 BZY131081:BZY131108 BZY196617:BZY196644 BZY262153:BZY262180 BZY327689:BZY327716 BZY393225:BZY393252 BZY458761:BZY458788 BZY524297:BZY524324 BZY589833:BZY589860 BZY655369:BZY655396 BZY720905:BZY720932 BZY786441:BZY786468 BZY851977:BZY852004 BZY917513:BZY917540 BZY983049:BZY983076 CJU9:CJU36 CJU65545:CJU65572 CJU131081:CJU131108 CJU196617:CJU196644 CJU262153:CJU262180 CJU327689:CJU327716 CJU393225:CJU393252 CJU458761:CJU458788 CJU524297:CJU524324 CJU589833:CJU589860 CJU655369:CJU655396 CJU720905:CJU720932 CJU786441:CJU786468 CJU851977:CJU852004 CJU917513:CJU917540 CJU983049:CJU983076 CTQ9:CTQ36 CTQ65545:CTQ65572 CTQ131081:CTQ131108 CTQ196617:CTQ196644 CTQ262153:CTQ262180 CTQ327689:CTQ327716 CTQ393225:CTQ393252 CTQ458761:CTQ458788 CTQ524297:CTQ524324 CTQ589833:CTQ589860 CTQ655369:CTQ655396 CTQ720905:CTQ720932 CTQ786441:CTQ786468 CTQ851977:CTQ852004 CTQ917513:CTQ917540 CTQ983049:CTQ983076 DDM9:DDM36 DDM65545:DDM65572 DDM131081:DDM131108 DDM196617:DDM196644 DDM262153:DDM262180 DDM327689:DDM327716 DDM393225:DDM393252 DDM458761:DDM458788 DDM524297:DDM524324 DDM589833:DDM589860 DDM655369:DDM655396 DDM720905:DDM720932 DDM786441:DDM786468 DDM851977:DDM852004 DDM917513:DDM917540 DDM983049:DDM983076 DNI9:DNI36 DNI65545:DNI65572 DNI131081:DNI131108 DNI196617:DNI196644 DNI262153:DNI262180 DNI327689:DNI327716 DNI393225:DNI393252 DNI458761:DNI458788 DNI524297:DNI524324 DNI589833:DNI589860 DNI655369:DNI655396 DNI720905:DNI720932 DNI786441:DNI786468 DNI851977:DNI852004 DNI917513:DNI917540 DNI983049:DNI983076 DXE9:DXE36 DXE65545:DXE65572 DXE131081:DXE131108 DXE196617:DXE196644 DXE262153:DXE262180 DXE327689:DXE327716 DXE393225:DXE393252 DXE458761:DXE458788 DXE524297:DXE524324 DXE589833:DXE589860 DXE655369:DXE655396 DXE720905:DXE720932 DXE786441:DXE786468 DXE851977:DXE852004 DXE917513:DXE917540 DXE983049:DXE983076 EHA9:EHA36 EHA65545:EHA65572 EHA131081:EHA131108 EHA196617:EHA196644 EHA262153:EHA262180 EHA327689:EHA327716 EHA393225:EHA393252 EHA458761:EHA458788 EHA524297:EHA524324 EHA589833:EHA589860 EHA655369:EHA655396 EHA720905:EHA720932 EHA786441:EHA786468 EHA851977:EHA852004 EHA917513:EHA917540 EHA983049:EHA983076 EQW9:EQW36 EQW65545:EQW65572 EQW131081:EQW131108 EQW196617:EQW196644 EQW262153:EQW262180 EQW327689:EQW327716 EQW393225:EQW393252 EQW458761:EQW458788 EQW524297:EQW524324 EQW589833:EQW589860 EQW655369:EQW655396 EQW720905:EQW720932 EQW786441:EQW786468 EQW851977:EQW852004 EQW917513:EQW917540 EQW983049:EQW983076 FAS9:FAS36 FAS65545:FAS65572 FAS131081:FAS131108 FAS196617:FAS196644 FAS262153:FAS262180 FAS327689:FAS327716 FAS393225:FAS393252 FAS458761:FAS458788 FAS524297:FAS524324 FAS589833:FAS589860 FAS655369:FAS655396 FAS720905:FAS720932 FAS786441:FAS786468 FAS851977:FAS852004 FAS917513:FAS917540 FAS983049:FAS983076 FKO9:FKO36 FKO65545:FKO65572 FKO131081:FKO131108 FKO196617:FKO196644 FKO262153:FKO262180 FKO327689:FKO327716 FKO393225:FKO393252 FKO458761:FKO458788 FKO524297:FKO524324 FKO589833:FKO589860 FKO655369:FKO655396 FKO720905:FKO720932 FKO786441:FKO786468 FKO851977:FKO852004 FKO917513:FKO917540 FKO983049:FKO983076 FUK9:FUK36 FUK65545:FUK65572 FUK131081:FUK131108 FUK196617:FUK196644 FUK262153:FUK262180 FUK327689:FUK327716 FUK393225:FUK393252 FUK458761:FUK458788 FUK524297:FUK524324 FUK589833:FUK589860 FUK655369:FUK655396 FUK720905:FUK720932 FUK786441:FUK786468 FUK851977:FUK852004 FUK917513:FUK917540 FUK983049:FUK983076 GEG9:GEG36 GEG65545:GEG65572 GEG131081:GEG131108 GEG196617:GEG196644 GEG262153:GEG262180 GEG327689:GEG327716 GEG393225:GEG393252 GEG458761:GEG458788 GEG524297:GEG524324 GEG589833:GEG589860 GEG655369:GEG655396 GEG720905:GEG720932 GEG786441:GEG786468 GEG851977:GEG852004 GEG917513:GEG917540 GEG983049:GEG983076 GOC9:GOC36 GOC65545:GOC65572 GOC131081:GOC131108 GOC196617:GOC196644 GOC262153:GOC262180 GOC327689:GOC327716 GOC393225:GOC393252 GOC458761:GOC458788 GOC524297:GOC524324 GOC589833:GOC589860 GOC655369:GOC655396 GOC720905:GOC720932 GOC786441:GOC786468 GOC851977:GOC852004 GOC917513:GOC917540 GOC983049:GOC983076 GXY9:GXY36 GXY65545:GXY65572 GXY131081:GXY131108 GXY196617:GXY196644 GXY262153:GXY262180 GXY327689:GXY327716 GXY393225:GXY393252 GXY458761:GXY458788 GXY524297:GXY524324 GXY589833:GXY589860 GXY655369:GXY655396 GXY720905:GXY720932 GXY786441:GXY786468 GXY851977:GXY852004 GXY917513:GXY917540 GXY983049:GXY983076 HHU9:HHU36 HHU65545:HHU65572 HHU131081:HHU131108 HHU196617:HHU196644 HHU262153:HHU262180 HHU327689:HHU327716 HHU393225:HHU393252 HHU458761:HHU458788 HHU524297:HHU524324 HHU589833:HHU589860 HHU655369:HHU655396 HHU720905:HHU720932 HHU786441:HHU786468 HHU851977:HHU852004 HHU917513:HHU917540 HHU983049:HHU983076 HRQ9:HRQ36 HRQ65545:HRQ65572 HRQ131081:HRQ131108 HRQ196617:HRQ196644 HRQ262153:HRQ262180 HRQ327689:HRQ327716 HRQ393225:HRQ393252 HRQ458761:HRQ458788 HRQ524297:HRQ524324 HRQ589833:HRQ589860 HRQ655369:HRQ655396 HRQ720905:HRQ720932 HRQ786441:HRQ786468 HRQ851977:HRQ852004 HRQ917513:HRQ917540 HRQ983049:HRQ983076 IBM9:IBM36 IBM65545:IBM65572 IBM131081:IBM131108 IBM196617:IBM196644 IBM262153:IBM262180 IBM327689:IBM327716 IBM393225:IBM393252 IBM458761:IBM458788 IBM524297:IBM524324 IBM589833:IBM589860 IBM655369:IBM655396 IBM720905:IBM720932 IBM786441:IBM786468 IBM851977:IBM852004 IBM917513:IBM917540 IBM983049:IBM983076 ILI9:ILI36 ILI65545:ILI65572 ILI131081:ILI131108 ILI196617:ILI196644 ILI262153:ILI262180 ILI327689:ILI327716 ILI393225:ILI393252 ILI458761:ILI458788 ILI524297:ILI524324 ILI589833:ILI589860 ILI655369:ILI655396 ILI720905:ILI720932 ILI786441:ILI786468 ILI851977:ILI852004 ILI917513:ILI917540 ILI983049:ILI983076 IVE9:IVE36 IVE65545:IVE65572 IVE131081:IVE131108 IVE196617:IVE196644 IVE262153:IVE262180 IVE327689:IVE327716 IVE393225:IVE393252 IVE458761:IVE458788 IVE524297:IVE524324 IVE589833:IVE589860 IVE655369:IVE655396 IVE720905:IVE720932 IVE786441:IVE786468 IVE851977:IVE852004 IVE917513:IVE917540 IVE983049:IVE983076 JFA9:JFA36 JFA65545:JFA65572 JFA131081:JFA131108 JFA196617:JFA196644 JFA262153:JFA262180 JFA327689:JFA327716 JFA393225:JFA393252 JFA458761:JFA458788 JFA524297:JFA524324 JFA589833:JFA589860 JFA655369:JFA655396 JFA720905:JFA720932 JFA786441:JFA786468 JFA851977:JFA852004 JFA917513:JFA917540 JFA983049:JFA983076 JOW9:JOW36 JOW65545:JOW65572 JOW131081:JOW131108 JOW196617:JOW196644 JOW262153:JOW262180 JOW327689:JOW327716 JOW393225:JOW393252 JOW458761:JOW458788 JOW524297:JOW524324 JOW589833:JOW589860 JOW655369:JOW655396 JOW720905:JOW720932 JOW786441:JOW786468 JOW851977:JOW852004 JOW917513:JOW917540 JOW983049:JOW983076 JYS9:JYS36 JYS65545:JYS65572 JYS131081:JYS131108 JYS196617:JYS196644 JYS262153:JYS262180 JYS327689:JYS327716 JYS393225:JYS393252 JYS458761:JYS458788 JYS524297:JYS524324 JYS589833:JYS589860 JYS655369:JYS655396 JYS720905:JYS720932 JYS786441:JYS786468 JYS851977:JYS852004 JYS917513:JYS917540 JYS983049:JYS983076 KIO9:KIO36 KIO65545:KIO65572 KIO131081:KIO131108 KIO196617:KIO196644 KIO262153:KIO262180 KIO327689:KIO327716 KIO393225:KIO393252 KIO458761:KIO458788 KIO524297:KIO524324 KIO589833:KIO589860 KIO655369:KIO655396 KIO720905:KIO720932 KIO786441:KIO786468 KIO851977:KIO852004 KIO917513:KIO917540 KIO983049:KIO983076 KSK9:KSK36 KSK65545:KSK65572 KSK131081:KSK131108 KSK196617:KSK196644 KSK262153:KSK262180 KSK327689:KSK327716 KSK393225:KSK393252 KSK458761:KSK458788 KSK524297:KSK524324 KSK589833:KSK589860 KSK655369:KSK655396 KSK720905:KSK720932 KSK786441:KSK786468 KSK851977:KSK852004 KSK917513:KSK917540 KSK983049:KSK983076 LCG9:LCG36 LCG65545:LCG65572 LCG131081:LCG131108 LCG196617:LCG196644 LCG262153:LCG262180 LCG327689:LCG327716 LCG393225:LCG393252 LCG458761:LCG458788 LCG524297:LCG524324 LCG589833:LCG589860 LCG655369:LCG655396 LCG720905:LCG720932 LCG786441:LCG786468 LCG851977:LCG852004 LCG917513:LCG917540 LCG983049:LCG983076 LMC9:LMC36 LMC65545:LMC65572 LMC131081:LMC131108 LMC196617:LMC196644 LMC262153:LMC262180 LMC327689:LMC327716 LMC393225:LMC393252 LMC458761:LMC458788 LMC524297:LMC524324 LMC589833:LMC589860 LMC655369:LMC655396 LMC720905:LMC720932 LMC786441:LMC786468 LMC851977:LMC852004 LMC917513:LMC917540 LMC983049:LMC983076 LVY9:LVY36 LVY65545:LVY65572 LVY131081:LVY131108 LVY196617:LVY196644 LVY262153:LVY262180 LVY327689:LVY327716 LVY393225:LVY393252 LVY458761:LVY458788 LVY524297:LVY524324 LVY589833:LVY589860 LVY655369:LVY655396 LVY720905:LVY720932 LVY786441:LVY786468 LVY851977:LVY852004 LVY917513:LVY917540 LVY983049:LVY983076 MFU9:MFU36 MFU65545:MFU65572 MFU131081:MFU131108 MFU196617:MFU196644 MFU262153:MFU262180 MFU327689:MFU327716 MFU393225:MFU393252 MFU458761:MFU458788 MFU524297:MFU524324 MFU589833:MFU589860 MFU655369:MFU655396 MFU720905:MFU720932 MFU786441:MFU786468 MFU851977:MFU852004 MFU917513:MFU917540 MFU983049:MFU983076 MPQ9:MPQ36 MPQ65545:MPQ65572 MPQ131081:MPQ131108 MPQ196617:MPQ196644 MPQ262153:MPQ262180 MPQ327689:MPQ327716 MPQ393225:MPQ393252 MPQ458761:MPQ458788 MPQ524297:MPQ524324 MPQ589833:MPQ589860 MPQ655369:MPQ655396 MPQ720905:MPQ720932 MPQ786441:MPQ786468 MPQ851977:MPQ852004 MPQ917513:MPQ917540 MPQ983049:MPQ983076 MZM9:MZM36 MZM65545:MZM65572 MZM131081:MZM131108 MZM196617:MZM196644 MZM262153:MZM262180 MZM327689:MZM327716 MZM393225:MZM393252 MZM458761:MZM458788 MZM524297:MZM524324 MZM589833:MZM589860 MZM655369:MZM655396 MZM720905:MZM720932 MZM786441:MZM786468 MZM851977:MZM852004 MZM917513:MZM917540 MZM983049:MZM983076 NJI9:NJI36 NJI65545:NJI65572 NJI131081:NJI131108 NJI196617:NJI196644 NJI262153:NJI262180 NJI327689:NJI327716 NJI393225:NJI393252 NJI458761:NJI458788 NJI524297:NJI524324 NJI589833:NJI589860 NJI655369:NJI655396 NJI720905:NJI720932 NJI786441:NJI786468 NJI851977:NJI852004 NJI917513:NJI917540 NJI983049:NJI983076 NTE9:NTE36 NTE65545:NTE65572 NTE131081:NTE131108 NTE196617:NTE196644 NTE262153:NTE262180 NTE327689:NTE327716 NTE393225:NTE393252 NTE458761:NTE458788 NTE524297:NTE524324 NTE589833:NTE589860 NTE655369:NTE655396 NTE720905:NTE720932 NTE786441:NTE786468 NTE851977:NTE852004 NTE917513:NTE917540 NTE983049:NTE983076 ODA9:ODA36 ODA65545:ODA65572 ODA131081:ODA131108 ODA196617:ODA196644 ODA262153:ODA262180 ODA327689:ODA327716 ODA393225:ODA393252 ODA458761:ODA458788 ODA524297:ODA524324 ODA589833:ODA589860 ODA655369:ODA655396 ODA720905:ODA720932 ODA786441:ODA786468 ODA851977:ODA852004 ODA917513:ODA917540 ODA983049:ODA983076 OMW9:OMW36 OMW65545:OMW65572 OMW131081:OMW131108 OMW196617:OMW196644 OMW262153:OMW262180 OMW327689:OMW327716 OMW393225:OMW393252 OMW458761:OMW458788 OMW524297:OMW524324 OMW589833:OMW589860 OMW655369:OMW655396 OMW720905:OMW720932 OMW786441:OMW786468 OMW851977:OMW852004 OMW917513:OMW917540 OMW983049:OMW983076 OWS9:OWS36 OWS65545:OWS65572 OWS131081:OWS131108 OWS196617:OWS196644 OWS262153:OWS262180 OWS327689:OWS327716 OWS393225:OWS393252 OWS458761:OWS458788 OWS524297:OWS524324 OWS589833:OWS589860 OWS655369:OWS655396 OWS720905:OWS720932 OWS786441:OWS786468 OWS851977:OWS852004 OWS917513:OWS917540 OWS983049:OWS983076 PGO9:PGO36 PGO65545:PGO65572 PGO131081:PGO131108 PGO196617:PGO196644 PGO262153:PGO262180 PGO327689:PGO327716 PGO393225:PGO393252 PGO458761:PGO458788 PGO524297:PGO524324 PGO589833:PGO589860 PGO655369:PGO655396 PGO720905:PGO720932 PGO786441:PGO786468 PGO851977:PGO852004 PGO917513:PGO917540 PGO983049:PGO983076 PQK9:PQK36 PQK65545:PQK65572 PQK131081:PQK131108 PQK196617:PQK196644 PQK262153:PQK262180 PQK327689:PQK327716 PQK393225:PQK393252 PQK458761:PQK458788 PQK524297:PQK524324 PQK589833:PQK589860 PQK655369:PQK655396 PQK720905:PQK720932 PQK786441:PQK786468 PQK851977:PQK852004 PQK917513:PQK917540 PQK983049:PQK983076 QAG9:QAG36 QAG65545:QAG65572 QAG131081:QAG131108 QAG196617:QAG196644 QAG262153:QAG262180 QAG327689:QAG327716 QAG393225:QAG393252 QAG458761:QAG458788 QAG524297:QAG524324 QAG589833:QAG589860 QAG655369:QAG655396 QAG720905:QAG720932 QAG786441:QAG786468 QAG851977:QAG852004 QAG917513:QAG917540 QAG983049:QAG983076 QKC9:QKC36 QKC65545:QKC65572 QKC131081:QKC131108 QKC196617:QKC196644 QKC262153:QKC262180 QKC327689:QKC327716 QKC393225:QKC393252 QKC458761:QKC458788 QKC524297:QKC524324 QKC589833:QKC589860 QKC655369:QKC655396 QKC720905:QKC720932 QKC786441:QKC786468 QKC851977:QKC852004 QKC917513:QKC917540 QKC983049:QKC983076 QTY9:QTY36 QTY65545:QTY65572 QTY131081:QTY131108 QTY196617:QTY196644 QTY262153:QTY262180 QTY327689:QTY327716 QTY393225:QTY393252 QTY458761:QTY458788 QTY524297:QTY524324 QTY589833:QTY589860 QTY655369:QTY655396 QTY720905:QTY720932 QTY786441:QTY786468 QTY851977:QTY852004 QTY917513:QTY917540 QTY983049:QTY983076 RDU9:RDU36 RDU65545:RDU65572 RDU131081:RDU131108 RDU196617:RDU196644 RDU262153:RDU262180 RDU327689:RDU327716 RDU393225:RDU393252 RDU458761:RDU458788 RDU524297:RDU524324 RDU589833:RDU589860 RDU655369:RDU655396 RDU720905:RDU720932 RDU786441:RDU786468 RDU851977:RDU852004 RDU917513:RDU917540 RDU983049:RDU983076 RNQ9:RNQ36 RNQ65545:RNQ65572 RNQ131081:RNQ131108 RNQ196617:RNQ196644 RNQ262153:RNQ262180 RNQ327689:RNQ327716 RNQ393225:RNQ393252 RNQ458761:RNQ458788 RNQ524297:RNQ524324 RNQ589833:RNQ589860 RNQ655369:RNQ655396 RNQ720905:RNQ720932 RNQ786441:RNQ786468 RNQ851977:RNQ852004 RNQ917513:RNQ917540 RNQ983049:RNQ983076 RXM9:RXM36 RXM65545:RXM65572 RXM131081:RXM131108 RXM196617:RXM196644 RXM262153:RXM262180 RXM327689:RXM327716 RXM393225:RXM393252 RXM458761:RXM458788 RXM524297:RXM524324 RXM589833:RXM589860 RXM655369:RXM655396 RXM720905:RXM720932 RXM786441:RXM786468 RXM851977:RXM852004 RXM917513:RXM917540 RXM983049:RXM983076 SHI9:SHI36 SHI65545:SHI65572 SHI131081:SHI131108 SHI196617:SHI196644 SHI262153:SHI262180 SHI327689:SHI327716 SHI393225:SHI393252 SHI458761:SHI458788 SHI524297:SHI524324 SHI589833:SHI589860 SHI655369:SHI655396 SHI720905:SHI720932 SHI786441:SHI786468 SHI851977:SHI852004 SHI917513:SHI917540 SHI983049:SHI983076 SRE9:SRE36 SRE65545:SRE65572 SRE131081:SRE131108 SRE196617:SRE196644 SRE262153:SRE262180 SRE327689:SRE327716 SRE393225:SRE393252 SRE458761:SRE458788 SRE524297:SRE524324 SRE589833:SRE589860 SRE655369:SRE655396 SRE720905:SRE720932 SRE786441:SRE786468 SRE851977:SRE852004 SRE917513:SRE917540 SRE983049:SRE983076 TBA9:TBA36 TBA65545:TBA65572 TBA131081:TBA131108 TBA196617:TBA196644 TBA262153:TBA262180 TBA327689:TBA327716 TBA393225:TBA393252 TBA458761:TBA458788 TBA524297:TBA524324 TBA589833:TBA589860 TBA655369:TBA655396 TBA720905:TBA720932 TBA786441:TBA786468 TBA851977:TBA852004 TBA917513:TBA917540 TBA983049:TBA983076 TKW9:TKW36 TKW65545:TKW65572 TKW131081:TKW131108 TKW196617:TKW196644 TKW262153:TKW262180 TKW327689:TKW327716 TKW393225:TKW393252 TKW458761:TKW458788 TKW524297:TKW524324 TKW589833:TKW589860 TKW655369:TKW655396 TKW720905:TKW720932 TKW786441:TKW786468 TKW851977:TKW852004 TKW917513:TKW917540 TKW983049:TKW983076 TUS9:TUS36 TUS65545:TUS65572 TUS131081:TUS131108 TUS196617:TUS196644 TUS262153:TUS262180 TUS327689:TUS327716 TUS393225:TUS393252 TUS458761:TUS458788 TUS524297:TUS524324 TUS589833:TUS589860 TUS655369:TUS655396 TUS720905:TUS720932 TUS786441:TUS786468 TUS851977:TUS852004 TUS917513:TUS917540 TUS983049:TUS983076 UEO9:UEO36 UEO65545:UEO65572 UEO131081:UEO131108 UEO196617:UEO196644 UEO262153:UEO262180 UEO327689:UEO327716 UEO393225:UEO393252 UEO458761:UEO458788 UEO524297:UEO524324 UEO589833:UEO589860 UEO655369:UEO655396 UEO720905:UEO720932 UEO786441:UEO786468 UEO851977:UEO852004 UEO917513:UEO917540 UEO983049:UEO983076 UOK9:UOK36 UOK65545:UOK65572 UOK131081:UOK131108 UOK196617:UOK196644 UOK262153:UOK262180 UOK327689:UOK327716 UOK393225:UOK393252 UOK458761:UOK458788 UOK524297:UOK524324 UOK589833:UOK589860 UOK655369:UOK655396 UOK720905:UOK720932 UOK786441:UOK786468 UOK851977:UOK852004 UOK917513:UOK917540 UOK983049:UOK983076 UYG9:UYG36 UYG65545:UYG65572 UYG131081:UYG131108 UYG196617:UYG196644 UYG262153:UYG262180 UYG327689:UYG327716 UYG393225:UYG393252 UYG458761:UYG458788 UYG524297:UYG524324 UYG589833:UYG589860 UYG655369:UYG655396 UYG720905:UYG720932 UYG786441:UYG786468 UYG851977:UYG852004 UYG917513:UYG917540 UYG983049:UYG983076 VIC9:VIC36 VIC65545:VIC65572 VIC131081:VIC131108 VIC196617:VIC196644 VIC262153:VIC262180 VIC327689:VIC327716 VIC393225:VIC393252 VIC458761:VIC458788 VIC524297:VIC524324 VIC589833:VIC589860 VIC655369:VIC655396 VIC720905:VIC720932 VIC786441:VIC786468 VIC851977:VIC852004 VIC917513:VIC917540 VIC983049:VIC983076 VRY9:VRY36 VRY65545:VRY65572 VRY131081:VRY131108 VRY196617:VRY196644 VRY262153:VRY262180 VRY327689:VRY327716 VRY393225:VRY393252 VRY458761:VRY458788 VRY524297:VRY524324 VRY589833:VRY589860 VRY655369:VRY655396 VRY720905:VRY720932 VRY786441:VRY786468 VRY851977:VRY852004 VRY917513:VRY917540 VRY983049:VRY983076 WBU9:WBU36 WBU65545:WBU65572 WBU131081:WBU131108 WBU196617:WBU196644 WBU262153:WBU262180 WBU327689:WBU327716 WBU393225:WBU393252 WBU458761:WBU458788 WBU524297:WBU524324 WBU589833:WBU589860 WBU655369:WBU655396 WBU720905:WBU720932 WBU786441:WBU786468 WBU851977:WBU852004 WBU917513:WBU917540 WBU983049:WBU983076 WLQ9:WLQ36 WLQ65545:WLQ65572 WLQ131081:WLQ131108 WLQ196617:WLQ196644 WLQ262153:WLQ262180 WLQ327689:WLQ327716 WLQ393225:WLQ393252 WLQ458761:WLQ458788 WLQ524297:WLQ524324 WLQ589833:WLQ589860 WLQ655369:WLQ655396 WLQ720905:WLQ720932 WLQ786441:WLQ786468 WLQ851977:WLQ852004 WLQ917513:WLQ917540 WLQ983049:WLQ983076 WVM9:WVM36 WVM65545:WVM65572 WVM131081:WVM131108 WVM196617:WVM196644 WVM262153:WVM262180 WVM327689:WVM327716 WVM393225:WVM393252 WVM458761:WVM458788 WVM524297:WVM524324 WVM589833:WVM589860 WVM655369:WVM655396 WVM720905:WVM720932 WVM786441:WVM786468 WVM851977:WVM852004 WVM917513:WVM917540 WVM983049:WVM983076" errorStyle="warning">
      <formula1>0</formula1>
      <formula2>1</formula2>
    </dataValidation>
    <dataValidation type="decimal" operator="between" allowBlank="1" showInputMessage="1" showErrorMessage="1" errorTitle="警告" error="数值无效，请重新输入！" sqref="F9:F36 F65545:F65572 F131081:F131108 F196617:F196644 F262153:F262180 F327689:F327716 F393225:F393252 F458761:F458788 F524297:F524324 F589833:F589860 F655369:F655396 F720905:F720932 F786441:F786468 F851977:F852004 F917513:F917540 F983049:F983076 JB9:JB36 JB65545:JB65572 JB131081:JB131108 JB196617:JB196644 JB262153:JB262180 JB327689:JB327716 JB393225:JB393252 JB458761:JB458788 JB524297:JB524324 JB589833:JB589860 JB655369:JB655396 JB720905:JB720932 JB786441:JB786468 JB851977:JB852004 JB917513:JB917540 JB983049:JB983076 SX9:SX36 SX65545:SX65572 SX131081:SX131108 SX196617:SX196644 SX262153:SX262180 SX327689:SX327716 SX393225:SX393252 SX458761:SX458788 SX524297:SX524324 SX589833:SX589860 SX655369:SX655396 SX720905:SX720932 SX786441:SX786468 SX851977:SX852004 SX917513:SX917540 SX983049:SX983076 ACT9:ACT36 ACT65545:ACT65572 ACT131081:ACT131108 ACT196617:ACT196644 ACT262153:ACT262180 ACT327689:ACT327716 ACT393225:ACT393252 ACT458761:ACT458788 ACT524297:ACT524324 ACT589833:ACT589860 ACT655369:ACT655396 ACT720905:ACT720932 ACT786441:ACT786468 ACT851977:ACT852004 ACT917513:ACT917540 ACT983049:ACT983076 AMP9:AMP36 AMP65545:AMP65572 AMP131081:AMP131108 AMP196617:AMP196644 AMP262153:AMP262180 AMP327689:AMP327716 AMP393225:AMP393252 AMP458761:AMP458788 AMP524297:AMP524324 AMP589833:AMP589860 AMP655369:AMP655396 AMP720905:AMP720932 AMP786441:AMP786468 AMP851977:AMP852004 AMP917513:AMP917540 AMP983049:AMP983076 AWL9:AWL36 AWL65545:AWL65572 AWL131081:AWL131108 AWL196617:AWL196644 AWL262153:AWL262180 AWL327689:AWL327716 AWL393225:AWL393252 AWL458761:AWL458788 AWL524297:AWL524324 AWL589833:AWL589860 AWL655369:AWL655396 AWL720905:AWL720932 AWL786441:AWL786468 AWL851977:AWL852004 AWL917513:AWL917540 AWL983049:AWL983076 BGH9:BGH36 BGH65545:BGH65572 BGH131081:BGH131108 BGH196617:BGH196644 BGH262153:BGH262180 BGH327689:BGH327716 BGH393225:BGH393252 BGH458761:BGH458788 BGH524297:BGH524324 BGH589833:BGH589860 BGH655369:BGH655396 BGH720905:BGH720932 BGH786441:BGH786468 BGH851977:BGH852004 BGH917513:BGH917540 BGH983049:BGH983076 BQD9:BQD36 BQD65545:BQD65572 BQD131081:BQD131108 BQD196617:BQD196644 BQD262153:BQD262180 BQD327689:BQD327716 BQD393225:BQD393252 BQD458761:BQD458788 BQD524297:BQD524324 BQD589833:BQD589860 BQD655369:BQD655396 BQD720905:BQD720932 BQD786441:BQD786468 BQD851977:BQD852004 BQD917513:BQD917540 BQD983049:BQD983076 BZZ9:BZZ36 BZZ65545:BZZ65572 BZZ131081:BZZ131108 BZZ196617:BZZ196644 BZZ262153:BZZ262180 BZZ327689:BZZ327716 BZZ393225:BZZ393252 BZZ458761:BZZ458788 BZZ524297:BZZ524324 BZZ589833:BZZ589860 BZZ655369:BZZ655396 BZZ720905:BZZ720932 BZZ786441:BZZ786468 BZZ851977:BZZ852004 BZZ917513:BZZ917540 BZZ983049:BZZ983076 CJV9:CJV36 CJV65545:CJV65572 CJV131081:CJV131108 CJV196617:CJV196644 CJV262153:CJV262180 CJV327689:CJV327716 CJV393225:CJV393252 CJV458761:CJV458788 CJV524297:CJV524324 CJV589833:CJV589860 CJV655369:CJV655396 CJV720905:CJV720932 CJV786441:CJV786468 CJV851977:CJV852004 CJV917513:CJV917540 CJV983049:CJV983076 CTR9:CTR36 CTR65545:CTR65572 CTR131081:CTR131108 CTR196617:CTR196644 CTR262153:CTR262180 CTR327689:CTR327716 CTR393225:CTR393252 CTR458761:CTR458788 CTR524297:CTR524324 CTR589833:CTR589860 CTR655369:CTR655396 CTR720905:CTR720932 CTR786441:CTR786468 CTR851977:CTR852004 CTR917513:CTR917540 CTR983049:CTR983076 DDN9:DDN36 DDN65545:DDN65572 DDN131081:DDN131108 DDN196617:DDN196644 DDN262153:DDN262180 DDN327689:DDN327716 DDN393225:DDN393252 DDN458761:DDN458788 DDN524297:DDN524324 DDN589833:DDN589860 DDN655369:DDN655396 DDN720905:DDN720932 DDN786441:DDN786468 DDN851977:DDN852004 DDN917513:DDN917540 DDN983049:DDN983076 DNJ9:DNJ36 DNJ65545:DNJ65572 DNJ131081:DNJ131108 DNJ196617:DNJ196644 DNJ262153:DNJ262180 DNJ327689:DNJ327716 DNJ393225:DNJ393252 DNJ458761:DNJ458788 DNJ524297:DNJ524324 DNJ589833:DNJ589860 DNJ655369:DNJ655396 DNJ720905:DNJ720932 DNJ786441:DNJ786468 DNJ851977:DNJ852004 DNJ917513:DNJ917540 DNJ983049:DNJ983076 DXF9:DXF36 DXF65545:DXF65572 DXF131081:DXF131108 DXF196617:DXF196644 DXF262153:DXF262180 DXF327689:DXF327716 DXF393225:DXF393252 DXF458761:DXF458788 DXF524297:DXF524324 DXF589833:DXF589860 DXF655369:DXF655396 DXF720905:DXF720932 DXF786441:DXF786468 DXF851977:DXF852004 DXF917513:DXF917540 DXF983049:DXF983076 EHB9:EHB36 EHB65545:EHB65572 EHB131081:EHB131108 EHB196617:EHB196644 EHB262153:EHB262180 EHB327689:EHB327716 EHB393225:EHB393252 EHB458761:EHB458788 EHB524297:EHB524324 EHB589833:EHB589860 EHB655369:EHB655396 EHB720905:EHB720932 EHB786441:EHB786468 EHB851977:EHB852004 EHB917513:EHB917540 EHB983049:EHB983076 EQX9:EQX36 EQX65545:EQX65572 EQX131081:EQX131108 EQX196617:EQX196644 EQX262153:EQX262180 EQX327689:EQX327716 EQX393225:EQX393252 EQX458761:EQX458788 EQX524297:EQX524324 EQX589833:EQX589860 EQX655369:EQX655396 EQX720905:EQX720932 EQX786441:EQX786468 EQX851977:EQX852004 EQX917513:EQX917540 EQX983049:EQX983076 FAT9:FAT36 FAT65545:FAT65572 FAT131081:FAT131108 FAT196617:FAT196644 FAT262153:FAT262180 FAT327689:FAT327716 FAT393225:FAT393252 FAT458761:FAT458788 FAT524297:FAT524324 FAT589833:FAT589860 FAT655369:FAT655396 FAT720905:FAT720932 FAT786441:FAT786468 FAT851977:FAT852004 FAT917513:FAT917540 FAT983049:FAT983076 FKP9:FKP36 FKP65545:FKP65572 FKP131081:FKP131108 FKP196617:FKP196644 FKP262153:FKP262180 FKP327689:FKP327716 FKP393225:FKP393252 FKP458761:FKP458788 FKP524297:FKP524324 FKP589833:FKP589860 FKP655369:FKP655396 FKP720905:FKP720932 FKP786441:FKP786468 FKP851977:FKP852004 FKP917513:FKP917540 FKP983049:FKP983076 FUL9:FUL36 FUL65545:FUL65572 FUL131081:FUL131108 FUL196617:FUL196644 FUL262153:FUL262180 FUL327689:FUL327716 FUL393225:FUL393252 FUL458761:FUL458788 FUL524297:FUL524324 FUL589833:FUL589860 FUL655369:FUL655396 FUL720905:FUL720932 FUL786441:FUL786468 FUL851977:FUL852004 FUL917513:FUL917540 FUL983049:FUL983076 GEH9:GEH36 GEH65545:GEH65572 GEH131081:GEH131108 GEH196617:GEH196644 GEH262153:GEH262180 GEH327689:GEH327716 GEH393225:GEH393252 GEH458761:GEH458788 GEH524297:GEH524324 GEH589833:GEH589860 GEH655369:GEH655396 GEH720905:GEH720932 GEH786441:GEH786468 GEH851977:GEH852004 GEH917513:GEH917540 GEH983049:GEH983076 GOD9:GOD36 GOD65545:GOD65572 GOD131081:GOD131108 GOD196617:GOD196644 GOD262153:GOD262180 GOD327689:GOD327716 GOD393225:GOD393252 GOD458761:GOD458788 GOD524297:GOD524324 GOD589833:GOD589860 GOD655369:GOD655396 GOD720905:GOD720932 GOD786441:GOD786468 GOD851977:GOD852004 GOD917513:GOD917540 GOD983049:GOD983076 GXZ9:GXZ36 GXZ65545:GXZ65572 GXZ131081:GXZ131108 GXZ196617:GXZ196644 GXZ262153:GXZ262180 GXZ327689:GXZ327716 GXZ393225:GXZ393252 GXZ458761:GXZ458788 GXZ524297:GXZ524324 GXZ589833:GXZ589860 GXZ655369:GXZ655396 GXZ720905:GXZ720932 GXZ786441:GXZ786468 GXZ851977:GXZ852004 GXZ917513:GXZ917540 GXZ983049:GXZ983076 HHV9:HHV36 HHV65545:HHV65572 HHV131081:HHV131108 HHV196617:HHV196644 HHV262153:HHV262180 HHV327689:HHV327716 HHV393225:HHV393252 HHV458761:HHV458788 HHV524297:HHV524324 HHV589833:HHV589860 HHV655369:HHV655396 HHV720905:HHV720932 HHV786441:HHV786468 HHV851977:HHV852004 HHV917513:HHV917540 HHV983049:HHV983076 HRR9:HRR36 HRR65545:HRR65572 HRR131081:HRR131108 HRR196617:HRR196644 HRR262153:HRR262180 HRR327689:HRR327716 HRR393225:HRR393252 HRR458761:HRR458788 HRR524297:HRR524324 HRR589833:HRR589860 HRR655369:HRR655396 HRR720905:HRR720932 HRR786441:HRR786468 HRR851977:HRR852004 HRR917513:HRR917540 HRR983049:HRR983076 IBN9:IBN36 IBN65545:IBN65572 IBN131081:IBN131108 IBN196617:IBN196644 IBN262153:IBN262180 IBN327689:IBN327716 IBN393225:IBN393252 IBN458761:IBN458788 IBN524297:IBN524324 IBN589833:IBN589860 IBN655369:IBN655396 IBN720905:IBN720932 IBN786441:IBN786468 IBN851977:IBN852004 IBN917513:IBN917540 IBN983049:IBN983076 ILJ9:ILJ36 ILJ65545:ILJ65572 ILJ131081:ILJ131108 ILJ196617:ILJ196644 ILJ262153:ILJ262180 ILJ327689:ILJ327716 ILJ393225:ILJ393252 ILJ458761:ILJ458788 ILJ524297:ILJ524324 ILJ589833:ILJ589860 ILJ655369:ILJ655396 ILJ720905:ILJ720932 ILJ786441:ILJ786468 ILJ851977:ILJ852004 ILJ917513:ILJ917540 ILJ983049:ILJ983076 IVF9:IVF36 IVF65545:IVF65572 IVF131081:IVF131108 IVF196617:IVF196644 IVF262153:IVF262180 IVF327689:IVF327716 IVF393225:IVF393252 IVF458761:IVF458788 IVF524297:IVF524324 IVF589833:IVF589860 IVF655369:IVF655396 IVF720905:IVF720932 IVF786441:IVF786468 IVF851977:IVF852004 IVF917513:IVF917540 IVF983049:IVF983076 JFB9:JFB36 JFB65545:JFB65572 JFB131081:JFB131108 JFB196617:JFB196644 JFB262153:JFB262180 JFB327689:JFB327716 JFB393225:JFB393252 JFB458761:JFB458788 JFB524297:JFB524324 JFB589833:JFB589860 JFB655369:JFB655396 JFB720905:JFB720932 JFB786441:JFB786468 JFB851977:JFB852004 JFB917513:JFB917540 JFB983049:JFB983076 JOX9:JOX36 JOX65545:JOX65572 JOX131081:JOX131108 JOX196617:JOX196644 JOX262153:JOX262180 JOX327689:JOX327716 JOX393225:JOX393252 JOX458761:JOX458788 JOX524297:JOX524324 JOX589833:JOX589860 JOX655369:JOX655396 JOX720905:JOX720932 JOX786441:JOX786468 JOX851977:JOX852004 JOX917513:JOX917540 JOX983049:JOX983076 JYT9:JYT36 JYT65545:JYT65572 JYT131081:JYT131108 JYT196617:JYT196644 JYT262153:JYT262180 JYT327689:JYT327716 JYT393225:JYT393252 JYT458761:JYT458788 JYT524297:JYT524324 JYT589833:JYT589860 JYT655369:JYT655396 JYT720905:JYT720932 JYT786441:JYT786468 JYT851977:JYT852004 JYT917513:JYT917540 JYT983049:JYT983076 KIP9:KIP36 KIP65545:KIP65572 KIP131081:KIP131108 KIP196617:KIP196644 KIP262153:KIP262180 KIP327689:KIP327716 KIP393225:KIP393252 KIP458761:KIP458788 KIP524297:KIP524324 KIP589833:KIP589860 KIP655369:KIP655396 KIP720905:KIP720932 KIP786441:KIP786468 KIP851977:KIP852004 KIP917513:KIP917540 KIP983049:KIP983076 KSL9:KSL36 KSL65545:KSL65572 KSL131081:KSL131108 KSL196617:KSL196644 KSL262153:KSL262180 KSL327689:KSL327716 KSL393225:KSL393252 KSL458761:KSL458788 KSL524297:KSL524324 KSL589833:KSL589860 KSL655369:KSL655396 KSL720905:KSL720932 KSL786441:KSL786468 KSL851977:KSL852004 KSL917513:KSL917540 KSL983049:KSL983076 LCH9:LCH36 LCH65545:LCH65572 LCH131081:LCH131108 LCH196617:LCH196644 LCH262153:LCH262180 LCH327689:LCH327716 LCH393225:LCH393252 LCH458761:LCH458788 LCH524297:LCH524324 LCH589833:LCH589860 LCH655369:LCH655396 LCH720905:LCH720932 LCH786441:LCH786468 LCH851977:LCH852004 LCH917513:LCH917540 LCH983049:LCH983076 LMD9:LMD36 LMD65545:LMD65572 LMD131081:LMD131108 LMD196617:LMD196644 LMD262153:LMD262180 LMD327689:LMD327716 LMD393225:LMD393252 LMD458761:LMD458788 LMD524297:LMD524324 LMD589833:LMD589860 LMD655369:LMD655396 LMD720905:LMD720932 LMD786441:LMD786468 LMD851977:LMD852004 LMD917513:LMD917540 LMD983049:LMD983076 LVZ9:LVZ36 LVZ65545:LVZ65572 LVZ131081:LVZ131108 LVZ196617:LVZ196644 LVZ262153:LVZ262180 LVZ327689:LVZ327716 LVZ393225:LVZ393252 LVZ458761:LVZ458788 LVZ524297:LVZ524324 LVZ589833:LVZ589860 LVZ655369:LVZ655396 LVZ720905:LVZ720932 LVZ786441:LVZ786468 LVZ851977:LVZ852004 LVZ917513:LVZ917540 LVZ983049:LVZ983076 MFV9:MFV36 MFV65545:MFV65572 MFV131081:MFV131108 MFV196617:MFV196644 MFV262153:MFV262180 MFV327689:MFV327716 MFV393225:MFV393252 MFV458761:MFV458788 MFV524297:MFV524324 MFV589833:MFV589860 MFV655369:MFV655396 MFV720905:MFV720932 MFV786441:MFV786468 MFV851977:MFV852004 MFV917513:MFV917540 MFV983049:MFV983076 MPR9:MPR36 MPR65545:MPR65572 MPR131081:MPR131108 MPR196617:MPR196644 MPR262153:MPR262180 MPR327689:MPR327716 MPR393225:MPR393252 MPR458761:MPR458788 MPR524297:MPR524324 MPR589833:MPR589860 MPR655369:MPR655396 MPR720905:MPR720932 MPR786441:MPR786468 MPR851977:MPR852004 MPR917513:MPR917540 MPR983049:MPR983076 MZN9:MZN36 MZN65545:MZN65572 MZN131081:MZN131108 MZN196617:MZN196644 MZN262153:MZN262180 MZN327689:MZN327716 MZN393225:MZN393252 MZN458761:MZN458788 MZN524297:MZN524324 MZN589833:MZN589860 MZN655369:MZN655396 MZN720905:MZN720932 MZN786441:MZN786468 MZN851977:MZN852004 MZN917513:MZN917540 MZN983049:MZN983076 NJJ9:NJJ36 NJJ65545:NJJ65572 NJJ131081:NJJ131108 NJJ196617:NJJ196644 NJJ262153:NJJ262180 NJJ327689:NJJ327716 NJJ393225:NJJ393252 NJJ458761:NJJ458788 NJJ524297:NJJ524324 NJJ589833:NJJ589860 NJJ655369:NJJ655396 NJJ720905:NJJ720932 NJJ786441:NJJ786468 NJJ851977:NJJ852004 NJJ917513:NJJ917540 NJJ983049:NJJ983076 NTF9:NTF36 NTF65545:NTF65572 NTF131081:NTF131108 NTF196617:NTF196644 NTF262153:NTF262180 NTF327689:NTF327716 NTF393225:NTF393252 NTF458761:NTF458788 NTF524297:NTF524324 NTF589833:NTF589860 NTF655369:NTF655396 NTF720905:NTF720932 NTF786441:NTF786468 NTF851977:NTF852004 NTF917513:NTF917540 NTF983049:NTF983076 ODB9:ODB36 ODB65545:ODB65572 ODB131081:ODB131108 ODB196617:ODB196644 ODB262153:ODB262180 ODB327689:ODB327716 ODB393225:ODB393252 ODB458761:ODB458788 ODB524297:ODB524324 ODB589833:ODB589860 ODB655369:ODB655396 ODB720905:ODB720932 ODB786441:ODB786468 ODB851977:ODB852004 ODB917513:ODB917540 ODB983049:ODB983076 OMX9:OMX36 OMX65545:OMX65572 OMX131081:OMX131108 OMX196617:OMX196644 OMX262153:OMX262180 OMX327689:OMX327716 OMX393225:OMX393252 OMX458761:OMX458788 OMX524297:OMX524324 OMX589833:OMX589860 OMX655369:OMX655396 OMX720905:OMX720932 OMX786441:OMX786468 OMX851977:OMX852004 OMX917513:OMX917540 OMX983049:OMX983076 OWT9:OWT36 OWT65545:OWT65572 OWT131081:OWT131108 OWT196617:OWT196644 OWT262153:OWT262180 OWT327689:OWT327716 OWT393225:OWT393252 OWT458761:OWT458788 OWT524297:OWT524324 OWT589833:OWT589860 OWT655369:OWT655396 OWT720905:OWT720932 OWT786441:OWT786468 OWT851977:OWT852004 OWT917513:OWT917540 OWT983049:OWT983076 PGP9:PGP36 PGP65545:PGP65572 PGP131081:PGP131108 PGP196617:PGP196644 PGP262153:PGP262180 PGP327689:PGP327716 PGP393225:PGP393252 PGP458761:PGP458788 PGP524297:PGP524324 PGP589833:PGP589860 PGP655369:PGP655396 PGP720905:PGP720932 PGP786441:PGP786468 PGP851977:PGP852004 PGP917513:PGP917540 PGP983049:PGP983076 PQL9:PQL36 PQL65545:PQL65572 PQL131081:PQL131108 PQL196617:PQL196644 PQL262153:PQL262180 PQL327689:PQL327716 PQL393225:PQL393252 PQL458761:PQL458788 PQL524297:PQL524324 PQL589833:PQL589860 PQL655369:PQL655396 PQL720905:PQL720932 PQL786441:PQL786468 PQL851977:PQL852004 PQL917513:PQL917540 PQL983049:PQL983076 QAH9:QAH36 QAH65545:QAH65572 QAH131081:QAH131108 QAH196617:QAH196644 QAH262153:QAH262180 QAH327689:QAH327716 QAH393225:QAH393252 QAH458761:QAH458788 QAH524297:QAH524324 QAH589833:QAH589860 QAH655369:QAH655396 QAH720905:QAH720932 QAH786441:QAH786468 QAH851977:QAH852004 QAH917513:QAH917540 QAH983049:QAH983076 QKD9:QKD36 QKD65545:QKD65572 QKD131081:QKD131108 QKD196617:QKD196644 QKD262153:QKD262180 QKD327689:QKD327716 QKD393225:QKD393252 QKD458761:QKD458788 QKD524297:QKD524324 QKD589833:QKD589860 QKD655369:QKD655396 QKD720905:QKD720932 QKD786441:QKD786468 QKD851977:QKD852004 QKD917513:QKD917540 QKD983049:QKD983076 QTZ9:QTZ36 QTZ65545:QTZ65572 QTZ131081:QTZ131108 QTZ196617:QTZ196644 QTZ262153:QTZ262180 QTZ327689:QTZ327716 QTZ393225:QTZ393252 QTZ458761:QTZ458788 QTZ524297:QTZ524324 QTZ589833:QTZ589860 QTZ655369:QTZ655396 QTZ720905:QTZ720932 QTZ786441:QTZ786468 QTZ851977:QTZ852004 QTZ917513:QTZ917540 QTZ983049:QTZ983076 RDV9:RDV36 RDV65545:RDV65572 RDV131081:RDV131108 RDV196617:RDV196644 RDV262153:RDV262180 RDV327689:RDV327716 RDV393225:RDV393252 RDV458761:RDV458788 RDV524297:RDV524324 RDV589833:RDV589860 RDV655369:RDV655396 RDV720905:RDV720932 RDV786441:RDV786468 RDV851977:RDV852004 RDV917513:RDV917540 RDV983049:RDV983076 RNR9:RNR36 RNR65545:RNR65572 RNR131081:RNR131108 RNR196617:RNR196644 RNR262153:RNR262180 RNR327689:RNR327716 RNR393225:RNR393252 RNR458761:RNR458788 RNR524297:RNR524324 RNR589833:RNR589860 RNR655369:RNR655396 RNR720905:RNR720932 RNR786441:RNR786468 RNR851977:RNR852004 RNR917513:RNR917540 RNR983049:RNR983076 RXN9:RXN36 RXN65545:RXN65572 RXN131081:RXN131108 RXN196617:RXN196644 RXN262153:RXN262180 RXN327689:RXN327716 RXN393225:RXN393252 RXN458761:RXN458788 RXN524297:RXN524324 RXN589833:RXN589860 RXN655369:RXN655396 RXN720905:RXN720932 RXN786441:RXN786468 RXN851977:RXN852004 RXN917513:RXN917540 RXN983049:RXN983076 SHJ9:SHJ36 SHJ65545:SHJ65572 SHJ131081:SHJ131108 SHJ196617:SHJ196644 SHJ262153:SHJ262180 SHJ327689:SHJ327716 SHJ393225:SHJ393252 SHJ458761:SHJ458788 SHJ524297:SHJ524324 SHJ589833:SHJ589860 SHJ655369:SHJ655396 SHJ720905:SHJ720932 SHJ786441:SHJ786468 SHJ851977:SHJ852004 SHJ917513:SHJ917540 SHJ983049:SHJ983076 SRF9:SRF36 SRF65545:SRF65572 SRF131081:SRF131108 SRF196617:SRF196644 SRF262153:SRF262180 SRF327689:SRF327716 SRF393225:SRF393252 SRF458761:SRF458788 SRF524297:SRF524324 SRF589833:SRF589860 SRF655369:SRF655396 SRF720905:SRF720932 SRF786441:SRF786468 SRF851977:SRF852004 SRF917513:SRF917540 SRF983049:SRF983076 TBB9:TBB36 TBB65545:TBB65572 TBB131081:TBB131108 TBB196617:TBB196644 TBB262153:TBB262180 TBB327689:TBB327716 TBB393225:TBB393252 TBB458761:TBB458788 TBB524297:TBB524324 TBB589833:TBB589860 TBB655369:TBB655396 TBB720905:TBB720932 TBB786441:TBB786468 TBB851977:TBB852004 TBB917513:TBB917540 TBB983049:TBB983076 TKX9:TKX36 TKX65545:TKX65572 TKX131081:TKX131108 TKX196617:TKX196644 TKX262153:TKX262180 TKX327689:TKX327716 TKX393225:TKX393252 TKX458761:TKX458788 TKX524297:TKX524324 TKX589833:TKX589860 TKX655369:TKX655396 TKX720905:TKX720932 TKX786441:TKX786468 TKX851977:TKX852004 TKX917513:TKX917540 TKX983049:TKX983076 TUT9:TUT36 TUT65545:TUT65572 TUT131081:TUT131108 TUT196617:TUT196644 TUT262153:TUT262180 TUT327689:TUT327716 TUT393225:TUT393252 TUT458761:TUT458788 TUT524297:TUT524324 TUT589833:TUT589860 TUT655369:TUT655396 TUT720905:TUT720932 TUT786441:TUT786468 TUT851977:TUT852004 TUT917513:TUT917540 TUT983049:TUT983076 UEP9:UEP36 UEP65545:UEP65572 UEP131081:UEP131108 UEP196617:UEP196644 UEP262153:UEP262180 UEP327689:UEP327716 UEP393225:UEP393252 UEP458761:UEP458788 UEP524297:UEP524324 UEP589833:UEP589860 UEP655369:UEP655396 UEP720905:UEP720932 UEP786441:UEP786468 UEP851977:UEP852004 UEP917513:UEP917540 UEP983049:UEP983076 UOL9:UOL36 UOL65545:UOL65572 UOL131081:UOL131108 UOL196617:UOL196644 UOL262153:UOL262180 UOL327689:UOL327716 UOL393225:UOL393252 UOL458761:UOL458788 UOL524297:UOL524324 UOL589833:UOL589860 UOL655369:UOL655396 UOL720905:UOL720932 UOL786441:UOL786468 UOL851977:UOL852004 UOL917513:UOL917540 UOL983049:UOL983076 UYH9:UYH36 UYH65545:UYH65572 UYH131081:UYH131108 UYH196617:UYH196644 UYH262153:UYH262180 UYH327689:UYH327716 UYH393225:UYH393252 UYH458761:UYH458788 UYH524297:UYH524324 UYH589833:UYH589860 UYH655369:UYH655396 UYH720905:UYH720932 UYH786441:UYH786468 UYH851977:UYH852004 UYH917513:UYH917540 UYH983049:UYH983076 VID9:VID36 VID65545:VID65572 VID131081:VID131108 VID196617:VID196644 VID262153:VID262180 VID327689:VID327716 VID393225:VID393252 VID458761:VID458788 VID524297:VID524324 VID589833:VID589860 VID655369:VID655396 VID720905:VID720932 VID786441:VID786468 VID851977:VID852004 VID917513:VID917540 VID983049:VID983076 VRZ9:VRZ36 VRZ65545:VRZ65572 VRZ131081:VRZ131108 VRZ196617:VRZ196644 VRZ262153:VRZ262180 VRZ327689:VRZ327716 VRZ393225:VRZ393252 VRZ458761:VRZ458788 VRZ524297:VRZ524324 VRZ589833:VRZ589860 VRZ655369:VRZ655396 VRZ720905:VRZ720932 VRZ786441:VRZ786468 VRZ851977:VRZ852004 VRZ917513:VRZ917540 VRZ983049:VRZ983076 WBV9:WBV36 WBV65545:WBV65572 WBV131081:WBV131108 WBV196617:WBV196644 WBV262153:WBV262180 WBV327689:WBV327716 WBV393225:WBV393252 WBV458761:WBV458788 WBV524297:WBV524324 WBV589833:WBV589860 WBV655369:WBV655396 WBV720905:WBV720932 WBV786441:WBV786468 WBV851977:WBV852004 WBV917513:WBV917540 WBV983049:WBV983076 WLR9:WLR36 WLR65545:WLR65572 WLR131081:WLR131108 WLR196617:WLR196644 WLR262153:WLR262180 WLR327689:WLR327716 WLR393225:WLR393252 WLR458761:WLR458788 WLR524297:WLR524324 WLR589833:WLR589860 WLR655369:WLR655396 WLR720905:WLR720932 WLR786441:WLR786468 WLR851977:WLR852004 WLR917513:WLR917540 WLR983049:WLR983076 WVN9:WVN36 WVN65545:WVN65572 WVN131081:WVN131108 WVN196617:WVN196644 WVN262153:WVN262180 WVN327689:WVN327716 WVN393225:WVN393252 WVN458761:WVN458788 WVN524297:WVN524324 WVN589833:WVN589860 WVN655369:WVN655396 WVN720905:WVN720932 WVN786441:WVN786468 WVN851977:WVN852004 WVN917513:WVN917540 WVN983049:WVN983076" errorStyle="warning">
      <formula1>0</formula1>
      <formula2>1</formula2>
    </dataValidation>
    <dataValidation type="decimal" operator="between" allowBlank="1" showInputMessage="1" showErrorMessage="1" errorTitle="提醒" error="这个数值真的正确吗？" sqref="F41:F44 F65577:F65580 F131113:F131116 F196649:F196652 F262185:F262188 F327721:F327724 F393257:F393260 F458793:F458796 F524329:F524332 F589865:F589868 F655401:F655404 F720937:F720940 F786473:F786476 F852009:F852012 F917545:F917548 F983081:F983084 JB41:JB44 JB65577:JB65580 JB131113:JB131116 JB196649:JB196652 JB262185:JB262188 JB327721:JB327724 JB393257:JB393260 JB458793:JB458796 JB524329:JB524332 JB589865:JB589868 JB655401:JB655404 JB720937:JB720940 JB786473:JB786476 JB852009:JB852012 JB917545:JB917548 JB983081:JB983084 SX41:SX44 SX65577:SX65580 SX131113:SX131116 SX196649:SX196652 SX262185:SX262188 SX327721:SX327724 SX393257:SX393260 SX458793:SX458796 SX524329:SX524332 SX589865:SX589868 SX655401:SX655404 SX720937:SX720940 SX786473:SX786476 SX852009:SX852012 SX917545:SX917548 SX983081:SX983084 ACT41:ACT44 ACT65577:ACT65580 ACT131113:ACT131116 ACT196649:ACT196652 ACT262185:ACT262188 ACT327721:ACT327724 ACT393257:ACT393260 ACT458793:ACT458796 ACT524329:ACT524332 ACT589865:ACT589868 ACT655401:ACT655404 ACT720937:ACT720940 ACT786473:ACT786476 ACT852009:ACT852012 ACT917545:ACT917548 ACT983081:ACT983084 AMP41:AMP44 AMP65577:AMP65580 AMP131113:AMP131116 AMP196649:AMP196652 AMP262185:AMP262188 AMP327721:AMP327724 AMP393257:AMP393260 AMP458793:AMP458796 AMP524329:AMP524332 AMP589865:AMP589868 AMP655401:AMP655404 AMP720937:AMP720940 AMP786473:AMP786476 AMP852009:AMP852012 AMP917545:AMP917548 AMP983081:AMP983084 AWL41:AWL44 AWL65577:AWL65580 AWL131113:AWL131116 AWL196649:AWL196652 AWL262185:AWL262188 AWL327721:AWL327724 AWL393257:AWL393260 AWL458793:AWL458796 AWL524329:AWL524332 AWL589865:AWL589868 AWL655401:AWL655404 AWL720937:AWL720940 AWL786473:AWL786476 AWL852009:AWL852012 AWL917545:AWL917548 AWL983081:AWL983084 BGH41:BGH44 BGH65577:BGH65580 BGH131113:BGH131116 BGH196649:BGH196652 BGH262185:BGH262188 BGH327721:BGH327724 BGH393257:BGH393260 BGH458793:BGH458796 BGH524329:BGH524332 BGH589865:BGH589868 BGH655401:BGH655404 BGH720937:BGH720940 BGH786473:BGH786476 BGH852009:BGH852012 BGH917545:BGH917548 BGH983081:BGH983084 BQD41:BQD44 BQD65577:BQD65580 BQD131113:BQD131116 BQD196649:BQD196652 BQD262185:BQD262188 BQD327721:BQD327724 BQD393257:BQD393260 BQD458793:BQD458796 BQD524329:BQD524332 BQD589865:BQD589868 BQD655401:BQD655404 BQD720937:BQD720940 BQD786473:BQD786476 BQD852009:BQD852012 BQD917545:BQD917548 BQD983081:BQD983084 BZZ41:BZZ44 BZZ65577:BZZ65580 BZZ131113:BZZ131116 BZZ196649:BZZ196652 BZZ262185:BZZ262188 BZZ327721:BZZ327724 BZZ393257:BZZ393260 BZZ458793:BZZ458796 BZZ524329:BZZ524332 BZZ589865:BZZ589868 BZZ655401:BZZ655404 BZZ720937:BZZ720940 BZZ786473:BZZ786476 BZZ852009:BZZ852012 BZZ917545:BZZ917548 BZZ983081:BZZ983084 CJV41:CJV44 CJV65577:CJV65580 CJV131113:CJV131116 CJV196649:CJV196652 CJV262185:CJV262188 CJV327721:CJV327724 CJV393257:CJV393260 CJV458793:CJV458796 CJV524329:CJV524332 CJV589865:CJV589868 CJV655401:CJV655404 CJV720937:CJV720940 CJV786473:CJV786476 CJV852009:CJV852012 CJV917545:CJV917548 CJV983081:CJV983084 CTR41:CTR44 CTR65577:CTR65580 CTR131113:CTR131116 CTR196649:CTR196652 CTR262185:CTR262188 CTR327721:CTR327724 CTR393257:CTR393260 CTR458793:CTR458796 CTR524329:CTR524332 CTR589865:CTR589868 CTR655401:CTR655404 CTR720937:CTR720940 CTR786473:CTR786476 CTR852009:CTR852012 CTR917545:CTR917548 CTR983081:CTR983084 DDN41:DDN44 DDN65577:DDN65580 DDN131113:DDN131116 DDN196649:DDN196652 DDN262185:DDN262188 DDN327721:DDN327724 DDN393257:DDN393260 DDN458793:DDN458796 DDN524329:DDN524332 DDN589865:DDN589868 DDN655401:DDN655404 DDN720937:DDN720940 DDN786473:DDN786476 DDN852009:DDN852012 DDN917545:DDN917548 DDN983081:DDN983084 DNJ41:DNJ44 DNJ65577:DNJ65580 DNJ131113:DNJ131116 DNJ196649:DNJ196652 DNJ262185:DNJ262188 DNJ327721:DNJ327724 DNJ393257:DNJ393260 DNJ458793:DNJ458796 DNJ524329:DNJ524332 DNJ589865:DNJ589868 DNJ655401:DNJ655404 DNJ720937:DNJ720940 DNJ786473:DNJ786476 DNJ852009:DNJ852012 DNJ917545:DNJ917548 DNJ983081:DNJ983084 DXF41:DXF44 DXF65577:DXF65580 DXF131113:DXF131116 DXF196649:DXF196652 DXF262185:DXF262188 DXF327721:DXF327724 DXF393257:DXF393260 DXF458793:DXF458796 DXF524329:DXF524332 DXF589865:DXF589868 DXF655401:DXF655404 DXF720937:DXF720940 DXF786473:DXF786476 DXF852009:DXF852012 DXF917545:DXF917548 DXF983081:DXF983084 EHB41:EHB44 EHB65577:EHB65580 EHB131113:EHB131116 EHB196649:EHB196652 EHB262185:EHB262188 EHB327721:EHB327724 EHB393257:EHB393260 EHB458793:EHB458796 EHB524329:EHB524332 EHB589865:EHB589868 EHB655401:EHB655404 EHB720937:EHB720940 EHB786473:EHB786476 EHB852009:EHB852012 EHB917545:EHB917548 EHB983081:EHB983084 EQX41:EQX44 EQX65577:EQX65580 EQX131113:EQX131116 EQX196649:EQX196652 EQX262185:EQX262188 EQX327721:EQX327724 EQX393257:EQX393260 EQX458793:EQX458796 EQX524329:EQX524332 EQX589865:EQX589868 EQX655401:EQX655404 EQX720937:EQX720940 EQX786473:EQX786476 EQX852009:EQX852012 EQX917545:EQX917548 EQX983081:EQX983084 FAT41:FAT44 FAT65577:FAT65580 FAT131113:FAT131116 FAT196649:FAT196652 FAT262185:FAT262188 FAT327721:FAT327724 FAT393257:FAT393260 FAT458793:FAT458796 FAT524329:FAT524332 FAT589865:FAT589868 FAT655401:FAT655404 FAT720937:FAT720940 FAT786473:FAT786476 FAT852009:FAT852012 FAT917545:FAT917548 FAT983081:FAT983084 FKP41:FKP44 FKP65577:FKP65580 FKP131113:FKP131116 FKP196649:FKP196652 FKP262185:FKP262188 FKP327721:FKP327724 FKP393257:FKP393260 FKP458793:FKP458796 FKP524329:FKP524332 FKP589865:FKP589868 FKP655401:FKP655404 FKP720937:FKP720940 FKP786473:FKP786476 FKP852009:FKP852012 FKP917545:FKP917548 FKP983081:FKP983084 FUL41:FUL44 FUL65577:FUL65580 FUL131113:FUL131116 FUL196649:FUL196652 FUL262185:FUL262188 FUL327721:FUL327724 FUL393257:FUL393260 FUL458793:FUL458796 FUL524329:FUL524332 FUL589865:FUL589868 FUL655401:FUL655404 FUL720937:FUL720940 FUL786473:FUL786476 FUL852009:FUL852012 FUL917545:FUL917548 FUL983081:FUL983084 GEH41:GEH44 GEH65577:GEH65580 GEH131113:GEH131116 GEH196649:GEH196652 GEH262185:GEH262188 GEH327721:GEH327724 GEH393257:GEH393260 GEH458793:GEH458796 GEH524329:GEH524332 GEH589865:GEH589868 GEH655401:GEH655404 GEH720937:GEH720940 GEH786473:GEH786476 GEH852009:GEH852012 GEH917545:GEH917548 GEH983081:GEH983084 GOD41:GOD44 GOD65577:GOD65580 GOD131113:GOD131116 GOD196649:GOD196652 GOD262185:GOD262188 GOD327721:GOD327724 GOD393257:GOD393260 GOD458793:GOD458796 GOD524329:GOD524332 GOD589865:GOD589868 GOD655401:GOD655404 GOD720937:GOD720940 GOD786473:GOD786476 GOD852009:GOD852012 GOD917545:GOD917548 GOD983081:GOD983084 GXZ41:GXZ44 GXZ65577:GXZ65580 GXZ131113:GXZ131116 GXZ196649:GXZ196652 GXZ262185:GXZ262188 GXZ327721:GXZ327724 GXZ393257:GXZ393260 GXZ458793:GXZ458796 GXZ524329:GXZ524332 GXZ589865:GXZ589868 GXZ655401:GXZ655404 GXZ720937:GXZ720940 GXZ786473:GXZ786476 GXZ852009:GXZ852012 GXZ917545:GXZ917548 GXZ983081:GXZ983084 HHV41:HHV44 HHV65577:HHV65580 HHV131113:HHV131116 HHV196649:HHV196652 HHV262185:HHV262188 HHV327721:HHV327724 HHV393257:HHV393260 HHV458793:HHV458796 HHV524329:HHV524332 HHV589865:HHV589868 HHV655401:HHV655404 HHV720937:HHV720940 HHV786473:HHV786476 HHV852009:HHV852012 HHV917545:HHV917548 HHV983081:HHV983084 HRR41:HRR44 HRR65577:HRR65580 HRR131113:HRR131116 HRR196649:HRR196652 HRR262185:HRR262188 HRR327721:HRR327724 HRR393257:HRR393260 HRR458793:HRR458796 HRR524329:HRR524332 HRR589865:HRR589868 HRR655401:HRR655404 HRR720937:HRR720940 HRR786473:HRR786476 HRR852009:HRR852012 HRR917545:HRR917548 HRR983081:HRR983084 IBN41:IBN44 IBN65577:IBN65580 IBN131113:IBN131116 IBN196649:IBN196652 IBN262185:IBN262188 IBN327721:IBN327724 IBN393257:IBN393260 IBN458793:IBN458796 IBN524329:IBN524332 IBN589865:IBN589868 IBN655401:IBN655404 IBN720937:IBN720940 IBN786473:IBN786476 IBN852009:IBN852012 IBN917545:IBN917548 IBN983081:IBN983084 ILJ41:ILJ44 ILJ65577:ILJ65580 ILJ131113:ILJ131116 ILJ196649:ILJ196652 ILJ262185:ILJ262188 ILJ327721:ILJ327724 ILJ393257:ILJ393260 ILJ458793:ILJ458796 ILJ524329:ILJ524332 ILJ589865:ILJ589868 ILJ655401:ILJ655404 ILJ720937:ILJ720940 ILJ786473:ILJ786476 ILJ852009:ILJ852012 ILJ917545:ILJ917548 ILJ983081:ILJ983084 IVF41:IVF44 IVF65577:IVF65580 IVF131113:IVF131116 IVF196649:IVF196652 IVF262185:IVF262188 IVF327721:IVF327724 IVF393257:IVF393260 IVF458793:IVF458796 IVF524329:IVF524332 IVF589865:IVF589868 IVF655401:IVF655404 IVF720937:IVF720940 IVF786473:IVF786476 IVF852009:IVF852012 IVF917545:IVF917548 IVF983081:IVF983084 JFB41:JFB44 JFB65577:JFB65580 JFB131113:JFB131116 JFB196649:JFB196652 JFB262185:JFB262188 JFB327721:JFB327724 JFB393257:JFB393260 JFB458793:JFB458796 JFB524329:JFB524332 JFB589865:JFB589868 JFB655401:JFB655404 JFB720937:JFB720940 JFB786473:JFB786476 JFB852009:JFB852012 JFB917545:JFB917548 JFB983081:JFB983084 JOX41:JOX44 JOX65577:JOX65580 JOX131113:JOX131116 JOX196649:JOX196652 JOX262185:JOX262188 JOX327721:JOX327724 JOX393257:JOX393260 JOX458793:JOX458796 JOX524329:JOX524332 JOX589865:JOX589868 JOX655401:JOX655404 JOX720937:JOX720940 JOX786473:JOX786476 JOX852009:JOX852012 JOX917545:JOX917548 JOX983081:JOX983084 JYT41:JYT44 JYT65577:JYT65580 JYT131113:JYT131116 JYT196649:JYT196652 JYT262185:JYT262188 JYT327721:JYT327724 JYT393257:JYT393260 JYT458793:JYT458796 JYT524329:JYT524332 JYT589865:JYT589868 JYT655401:JYT655404 JYT720937:JYT720940 JYT786473:JYT786476 JYT852009:JYT852012 JYT917545:JYT917548 JYT983081:JYT983084 KIP41:KIP44 KIP65577:KIP65580 KIP131113:KIP131116 KIP196649:KIP196652 KIP262185:KIP262188 KIP327721:KIP327724 KIP393257:KIP393260 KIP458793:KIP458796 KIP524329:KIP524332 KIP589865:KIP589868 KIP655401:KIP655404 KIP720937:KIP720940 KIP786473:KIP786476 KIP852009:KIP852012 KIP917545:KIP917548 KIP983081:KIP983084 KSL41:KSL44 KSL65577:KSL65580 KSL131113:KSL131116 KSL196649:KSL196652 KSL262185:KSL262188 KSL327721:KSL327724 KSL393257:KSL393260 KSL458793:KSL458796 KSL524329:KSL524332 KSL589865:KSL589868 KSL655401:KSL655404 KSL720937:KSL720940 KSL786473:KSL786476 KSL852009:KSL852012 KSL917545:KSL917548 KSL983081:KSL983084 LCH41:LCH44 LCH65577:LCH65580 LCH131113:LCH131116 LCH196649:LCH196652 LCH262185:LCH262188 LCH327721:LCH327724 LCH393257:LCH393260 LCH458793:LCH458796 LCH524329:LCH524332 LCH589865:LCH589868 LCH655401:LCH655404 LCH720937:LCH720940 LCH786473:LCH786476 LCH852009:LCH852012 LCH917545:LCH917548 LCH983081:LCH983084 LMD41:LMD44 LMD65577:LMD65580 LMD131113:LMD131116 LMD196649:LMD196652 LMD262185:LMD262188 LMD327721:LMD327724 LMD393257:LMD393260 LMD458793:LMD458796 LMD524329:LMD524332 LMD589865:LMD589868 LMD655401:LMD655404 LMD720937:LMD720940 LMD786473:LMD786476 LMD852009:LMD852012 LMD917545:LMD917548 LMD983081:LMD983084 LVZ41:LVZ44 LVZ65577:LVZ65580 LVZ131113:LVZ131116 LVZ196649:LVZ196652 LVZ262185:LVZ262188 LVZ327721:LVZ327724 LVZ393257:LVZ393260 LVZ458793:LVZ458796 LVZ524329:LVZ524332 LVZ589865:LVZ589868 LVZ655401:LVZ655404 LVZ720937:LVZ720940 LVZ786473:LVZ786476 LVZ852009:LVZ852012 LVZ917545:LVZ917548 LVZ983081:LVZ983084 MFV41:MFV44 MFV65577:MFV65580 MFV131113:MFV131116 MFV196649:MFV196652 MFV262185:MFV262188 MFV327721:MFV327724 MFV393257:MFV393260 MFV458793:MFV458796 MFV524329:MFV524332 MFV589865:MFV589868 MFV655401:MFV655404 MFV720937:MFV720940 MFV786473:MFV786476 MFV852009:MFV852012 MFV917545:MFV917548 MFV983081:MFV983084 MPR41:MPR44 MPR65577:MPR65580 MPR131113:MPR131116 MPR196649:MPR196652 MPR262185:MPR262188 MPR327721:MPR327724 MPR393257:MPR393260 MPR458793:MPR458796 MPR524329:MPR524332 MPR589865:MPR589868 MPR655401:MPR655404 MPR720937:MPR720940 MPR786473:MPR786476 MPR852009:MPR852012 MPR917545:MPR917548 MPR983081:MPR983084 MZN41:MZN44 MZN65577:MZN65580 MZN131113:MZN131116 MZN196649:MZN196652 MZN262185:MZN262188 MZN327721:MZN327724 MZN393257:MZN393260 MZN458793:MZN458796 MZN524329:MZN524332 MZN589865:MZN589868 MZN655401:MZN655404 MZN720937:MZN720940 MZN786473:MZN786476 MZN852009:MZN852012 MZN917545:MZN917548 MZN983081:MZN983084 NJJ41:NJJ44 NJJ65577:NJJ65580 NJJ131113:NJJ131116 NJJ196649:NJJ196652 NJJ262185:NJJ262188 NJJ327721:NJJ327724 NJJ393257:NJJ393260 NJJ458793:NJJ458796 NJJ524329:NJJ524332 NJJ589865:NJJ589868 NJJ655401:NJJ655404 NJJ720937:NJJ720940 NJJ786473:NJJ786476 NJJ852009:NJJ852012 NJJ917545:NJJ917548 NJJ983081:NJJ983084 NTF41:NTF44 NTF65577:NTF65580 NTF131113:NTF131116 NTF196649:NTF196652 NTF262185:NTF262188 NTF327721:NTF327724 NTF393257:NTF393260 NTF458793:NTF458796 NTF524329:NTF524332 NTF589865:NTF589868 NTF655401:NTF655404 NTF720937:NTF720940 NTF786473:NTF786476 NTF852009:NTF852012 NTF917545:NTF917548 NTF983081:NTF983084 ODB41:ODB44 ODB65577:ODB65580 ODB131113:ODB131116 ODB196649:ODB196652 ODB262185:ODB262188 ODB327721:ODB327724 ODB393257:ODB393260 ODB458793:ODB458796 ODB524329:ODB524332 ODB589865:ODB589868 ODB655401:ODB655404 ODB720937:ODB720940 ODB786473:ODB786476 ODB852009:ODB852012 ODB917545:ODB917548 ODB983081:ODB983084 OMX41:OMX44 OMX65577:OMX65580 OMX131113:OMX131116 OMX196649:OMX196652 OMX262185:OMX262188 OMX327721:OMX327724 OMX393257:OMX393260 OMX458793:OMX458796 OMX524329:OMX524332 OMX589865:OMX589868 OMX655401:OMX655404 OMX720937:OMX720940 OMX786473:OMX786476 OMX852009:OMX852012 OMX917545:OMX917548 OMX983081:OMX983084 OWT41:OWT44 OWT65577:OWT65580 OWT131113:OWT131116 OWT196649:OWT196652 OWT262185:OWT262188 OWT327721:OWT327724 OWT393257:OWT393260 OWT458793:OWT458796 OWT524329:OWT524332 OWT589865:OWT589868 OWT655401:OWT655404 OWT720937:OWT720940 OWT786473:OWT786476 OWT852009:OWT852012 OWT917545:OWT917548 OWT983081:OWT983084 PGP41:PGP44 PGP65577:PGP65580 PGP131113:PGP131116 PGP196649:PGP196652 PGP262185:PGP262188 PGP327721:PGP327724 PGP393257:PGP393260 PGP458793:PGP458796 PGP524329:PGP524332 PGP589865:PGP589868 PGP655401:PGP655404 PGP720937:PGP720940 PGP786473:PGP786476 PGP852009:PGP852012 PGP917545:PGP917548 PGP983081:PGP983084 PQL41:PQL44 PQL65577:PQL65580 PQL131113:PQL131116 PQL196649:PQL196652 PQL262185:PQL262188 PQL327721:PQL327724 PQL393257:PQL393260 PQL458793:PQL458796 PQL524329:PQL524332 PQL589865:PQL589868 PQL655401:PQL655404 PQL720937:PQL720940 PQL786473:PQL786476 PQL852009:PQL852012 PQL917545:PQL917548 PQL983081:PQL983084 QAH41:QAH44 QAH65577:QAH65580 QAH131113:QAH131116 QAH196649:QAH196652 QAH262185:QAH262188 QAH327721:QAH327724 QAH393257:QAH393260 QAH458793:QAH458796 QAH524329:QAH524332 QAH589865:QAH589868 QAH655401:QAH655404 QAH720937:QAH720940 QAH786473:QAH786476 QAH852009:QAH852012 QAH917545:QAH917548 QAH983081:QAH983084 QKD41:QKD44 QKD65577:QKD65580 QKD131113:QKD131116 QKD196649:QKD196652 QKD262185:QKD262188 QKD327721:QKD327724 QKD393257:QKD393260 QKD458793:QKD458796 QKD524329:QKD524332 QKD589865:QKD589868 QKD655401:QKD655404 QKD720937:QKD720940 QKD786473:QKD786476 QKD852009:QKD852012 QKD917545:QKD917548 QKD983081:QKD983084 QTZ41:QTZ44 QTZ65577:QTZ65580 QTZ131113:QTZ131116 QTZ196649:QTZ196652 QTZ262185:QTZ262188 QTZ327721:QTZ327724 QTZ393257:QTZ393260 QTZ458793:QTZ458796 QTZ524329:QTZ524332 QTZ589865:QTZ589868 QTZ655401:QTZ655404 QTZ720937:QTZ720940 QTZ786473:QTZ786476 QTZ852009:QTZ852012 QTZ917545:QTZ917548 QTZ983081:QTZ983084 RDV41:RDV44 RDV65577:RDV65580 RDV131113:RDV131116 RDV196649:RDV196652 RDV262185:RDV262188 RDV327721:RDV327724 RDV393257:RDV393260 RDV458793:RDV458796 RDV524329:RDV524332 RDV589865:RDV589868 RDV655401:RDV655404 RDV720937:RDV720940 RDV786473:RDV786476 RDV852009:RDV852012 RDV917545:RDV917548 RDV983081:RDV983084 RNR41:RNR44 RNR65577:RNR65580 RNR131113:RNR131116 RNR196649:RNR196652 RNR262185:RNR262188 RNR327721:RNR327724 RNR393257:RNR393260 RNR458793:RNR458796 RNR524329:RNR524332 RNR589865:RNR589868 RNR655401:RNR655404 RNR720937:RNR720940 RNR786473:RNR786476 RNR852009:RNR852012 RNR917545:RNR917548 RNR983081:RNR983084 RXN41:RXN44 RXN65577:RXN65580 RXN131113:RXN131116 RXN196649:RXN196652 RXN262185:RXN262188 RXN327721:RXN327724 RXN393257:RXN393260 RXN458793:RXN458796 RXN524329:RXN524332 RXN589865:RXN589868 RXN655401:RXN655404 RXN720937:RXN720940 RXN786473:RXN786476 RXN852009:RXN852012 RXN917545:RXN917548 RXN983081:RXN983084 SHJ41:SHJ44 SHJ65577:SHJ65580 SHJ131113:SHJ131116 SHJ196649:SHJ196652 SHJ262185:SHJ262188 SHJ327721:SHJ327724 SHJ393257:SHJ393260 SHJ458793:SHJ458796 SHJ524329:SHJ524332 SHJ589865:SHJ589868 SHJ655401:SHJ655404 SHJ720937:SHJ720940 SHJ786473:SHJ786476 SHJ852009:SHJ852012 SHJ917545:SHJ917548 SHJ983081:SHJ983084 SRF41:SRF44 SRF65577:SRF65580 SRF131113:SRF131116 SRF196649:SRF196652 SRF262185:SRF262188 SRF327721:SRF327724 SRF393257:SRF393260 SRF458793:SRF458796 SRF524329:SRF524332 SRF589865:SRF589868 SRF655401:SRF655404 SRF720937:SRF720940 SRF786473:SRF786476 SRF852009:SRF852012 SRF917545:SRF917548 SRF983081:SRF983084 TBB41:TBB44 TBB65577:TBB65580 TBB131113:TBB131116 TBB196649:TBB196652 TBB262185:TBB262188 TBB327721:TBB327724 TBB393257:TBB393260 TBB458793:TBB458796 TBB524329:TBB524332 TBB589865:TBB589868 TBB655401:TBB655404 TBB720937:TBB720940 TBB786473:TBB786476 TBB852009:TBB852012 TBB917545:TBB917548 TBB983081:TBB983084 TKX41:TKX44 TKX65577:TKX65580 TKX131113:TKX131116 TKX196649:TKX196652 TKX262185:TKX262188 TKX327721:TKX327724 TKX393257:TKX393260 TKX458793:TKX458796 TKX524329:TKX524332 TKX589865:TKX589868 TKX655401:TKX655404 TKX720937:TKX720940 TKX786473:TKX786476 TKX852009:TKX852012 TKX917545:TKX917548 TKX983081:TKX983084 TUT41:TUT44 TUT65577:TUT65580 TUT131113:TUT131116 TUT196649:TUT196652 TUT262185:TUT262188 TUT327721:TUT327724 TUT393257:TUT393260 TUT458793:TUT458796 TUT524329:TUT524332 TUT589865:TUT589868 TUT655401:TUT655404 TUT720937:TUT720940 TUT786473:TUT786476 TUT852009:TUT852012 TUT917545:TUT917548 TUT983081:TUT983084 UEP41:UEP44 UEP65577:UEP65580 UEP131113:UEP131116 UEP196649:UEP196652 UEP262185:UEP262188 UEP327721:UEP327724 UEP393257:UEP393260 UEP458793:UEP458796 UEP524329:UEP524332 UEP589865:UEP589868 UEP655401:UEP655404 UEP720937:UEP720940 UEP786473:UEP786476 UEP852009:UEP852012 UEP917545:UEP917548 UEP983081:UEP983084 UOL41:UOL44 UOL65577:UOL65580 UOL131113:UOL131116 UOL196649:UOL196652 UOL262185:UOL262188 UOL327721:UOL327724 UOL393257:UOL393260 UOL458793:UOL458796 UOL524329:UOL524332 UOL589865:UOL589868 UOL655401:UOL655404 UOL720937:UOL720940 UOL786473:UOL786476 UOL852009:UOL852012 UOL917545:UOL917548 UOL983081:UOL983084 UYH41:UYH44 UYH65577:UYH65580 UYH131113:UYH131116 UYH196649:UYH196652 UYH262185:UYH262188 UYH327721:UYH327724 UYH393257:UYH393260 UYH458793:UYH458796 UYH524329:UYH524332 UYH589865:UYH589868 UYH655401:UYH655404 UYH720937:UYH720940 UYH786473:UYH786476 UYH852009:UYH852012 UYH917545:UYH917548 UYH983081:UYH983084 VID41:VID44 VID65577:VID65580 VID131113:VID131116 VID196649:VID196652 VID262185:VID262188 VID327721:VID327724 VID393257:VID393260 VID458793:VID458796 VID524329:VID524332 VID589865:VID589868 VID655401:VID655404 VID720937:VID720940 VID786473:VID786476 VID852009:VID852012 VID917545:VID917548 VID983081:VID983084 VRZ41:VRZ44 VRZ65577:VRZ65580 VRZ131113:VRZ131116 VRZ196649:VRZ196652 VRZ262185:VRZ262188 VRZ327721:VRZ327724 VRZ393257:VRZ393260 VRZ458793:VRZ458796 VRZ524329:VRZ524332 VRZ589865:VRZ589868 VRZ655401:VRZ655404 VRZ720937:VRZ720940 VRZ786473:VRZ786476 VRZ852009:VRZ852012 VRZ917545:VRZ917548 VRZ983081:VRZ983084 WBV41:WBV44 WBV65577:WBV65580 WBV131113:WBV131116 WBV196649:WBV196652 WBV262185:WBV262188 WBV327721:WBV327724 WBV393257:WBV393260 WBV458793:WBV458796 WBV524329:WBV524332 WBV589865:WBV589868 WBV655401:WBV655404 WBV720937:WBV720940 WBV786473:WBV786476 WBV852009:WBV852012 WBV917545:WBV917548 WBV983081:WBV983084 WLR41:WLR44 WLR65577:WLR65580 WLR131113:WLR131116 WLR196649:WLR196652 WLR262185:WLR262188 WLR327721:WLR327724 WLR393257:WLR393260 WLR458793:WLR458796 WLR524329:WLR524332 WLR589865:WLR589868 WLR655401:WLR655404 WLR720937:WLR720940 WLR786473:WLR786476 WLR852009:WLR852012 WLR917545:WLR917548 WLR983081:WLR983084 WVN41:WVN44 WVN65577:WVN65580 WVN131113:WVN131116 WVN196649:WVN196652 WVN262185:WVN262188 WVN327721:WVN327724 WVN393257:WVN393260 WVN458793:WVN458796 WVN524329:WVN524332 WVN589865:WVN589868 WVN655401:WVN655404 WVN720937:WVN720940 WVN786473:WVN786476 WVN852009:WVN852012 WVN917545:WVN917548 WVN983081:WVN983084" errorStyle="warning">
      <formula1>0.9</formula1>
      <formula2>1</formula2>
    </dataValidation>
  </dataValidations>
  <hyperlinks>
    <hyperlink ref="J1:K3" location="目录!A1" display="目录!A1"/>
  </hyperlinks>
  <pageMargins left="0.7" right="0.7" top="0.75" bottom="0.75" header="0.3" footer="0.3"/>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6"/>
  <sheetViews>
    <sheetView workbookViewId="0">
      <selection activeCell="D10" sqref="D10:D11"/>
    </sheetView>
  </sheetViews>
  <sheetFormatPr defaultColWidth="9" defaultRowHeight="15.6"/>
  <cols>
    <col min="1" max="1" width="13.875" style="168" customWidth="1"/>
    <col min="2" max="2" width="20" style="168" customWidth="1"/>
    <col min="3" max="3" width="19.125" style="168" customWidth="1"/>
    <col min="4" max="4" width="18.75" style="168" customWidth="1"/>
    <col min="5" max="5" width="6.125" style="168" customWidth="1"/>
    <col min="6" max="256" width="9" style="168"/>
    <col min="257" max="257" width="13.875" style="168" customWidth="1"/>
    <col min="258" max="258" width="20" style="168" customWidth="1"/>
    <col min="259" max="259" width="19.125" style="168" customWidth="1"/>
    <col min="260" max="260" width="18.75" style="168" customWidth="1"/>
    <col min="261" max="512" width="9" style="168"/>
    <col min="513" max="513" width="13.875" style="168" customWidth="1"/>
    <col min="514" max="514" width="20" style="168" customWidth="1"/>
    <col min="515" max="515" width="19.125" style="168" customWidth="1"/>
    <col min="516" max="516" width="18.75" style="168" customWidth="1"/>
    <col min="517" max="768" width="9" style="168"/>
    <col min="769" max="769" width="13.875" style="168" customWidth="1"/>
    <col min="770" max="770" width="20" style="168" customWidth="1"/>
    <col min="771" max="771" width="19.125" style="168" customWidth="1"/>
    <col min="772" max="772" width="18.75" style="168" customWidth="1"/>
    <col min="773" max="1024" width="9" style="168"/>
    <col min="1025" max="1025" width="13.875" style="168" customWidth="1"/>
    <col min="1026" max="1026" width="20" style="168" customWidth="1"/>
    <col min="1027" max="1027" width="19.125" style="168" customWidth="1"/>
    <col min="1028" max="1028" width="18.75" style="168" customWidth="1"/>
    <col min="1029" max="1280" width="9" style="168"/>
    <col min="1281" max="1281" width="13.875" style="168" customWidth="1"/>
    <col min="1282" max="1282" width="20" style="168" customWidth="1"/>
    <col min="1283" max="1283" width="19.125" style="168" customWidth="1"/>
    <col min="1284" max="1284" width="18.75" style="168" customWidth="1"/>
    <col min="1285" max="1536" width="9" style="168"/>
    <col min="1537" max="1537" width="13.875" style="168" customWidth="1"/>
    <col min="1538" max="1538" width="20" style="168" customWidth="1"/>
    <col min="1539" max="1539" width="19.125" style="168" customWidth="1"/>
    <col min="1540" max="1540" width="18.75" style="168" customWidth="1"/>
    <col min="1541" max="1792" width="9" style="168"/>
    <col min="1793" max="1793" width="13.875" style="168" customWidth="1"/>
    <col min="1794" max="1794" width="20" style="168" customWidth="1"/>
    <col min="1795" max="1795" width="19.125" style="168" customWidth="1"/>
    <col min="1796" max="1796" width="18.75" style="168" customWidth="1"/>
    <col min="1797" max="2048" width="9" style="168"/>
    <col min="2049" max="2049" width="13.875" style="168" customWidth="1"/>
    <col min="2050" max="2050" width="20" style="168" customWidth="1"/>
    <col min="2051" max="2051" width="19.125" style="168" customWidth="1"/>
    <col min="2052" max="2052" width="18.75" style="168" customWidth="1"/>
    <col min="2053" max="2304" width="9" style="168"/>
    <col min="2305" max="2305" width="13.875" style="168" customWidth="1"/>
    <col min="2306" max="2306" width="20" style="168" customWidth="1"/>
    <col min="2307" max="2307" width="19.125" style="168" customWidth="1"/>
    <col min="2308" max="2308" width="18.75" style="168" customWidth="1"/>
    <col min="2309" max="2560" width="9" style="168"/>
    <col min="2561" max="2561" width="13.875" style="168" customWidth="1"/>
    <col min="2562" max="2562" width="20" style="168" customWidth="1"/>
    <col min="2563" max="2563" width="19.125" style="168" customWidth="1"/>
    <col min="2564" max="2564" width="18.75" style="168" customWidth="1"/>
    <col min="2565" max="2816" width="9" style="168"/>
    <col min="2817" max="2817" width="13.875" style="168" customWidth="1"/>
    <col min="2818" max="2818" width="20" style="168" customWidth="1"/>
    <col min="2819" max="2819" width="19.125" style="168" customWidth="1"/>
    <col min="2820" max="2820" width="18.75" style="168" customWidth="1"/>
    <col min="2821" max="3072" width="9" style="168"/>
    <col min="3073" max="3073" width="13.875" style="168" customWidth="1"/>
    <col min="3074" max="3074" width="20" style="168" customWidth="1"/>
    <col min="3075" max="3075" width="19.125" style="168" customWidth="1"/>
    <col min="3076" max="3076" width="18.75" style="168" customWidth="1"/>
    <col min="3077" max="3328" width="9" style="168"/>
    <col min="3329" max="3329" width="13.875" style="168" customWidth="1"/>
    <col min="3330" max="3330" width="20" style="168" customWidth="1"/>
    <col min="3331" max="3331" width="19.125" style="168" customWidth="1"/>
    <col min="3332" max="3332" width="18.75" style="168" customWidth="1"/>
    <col min="3333" max="3584" width="9" style="168"/>
    <col min="3585" max="3585" width="13.875" style="168" customWidth="1"/>
    <col min="3586" max="3586" width="20" style="168" customWidth="1"/>
    <col min="3587" max="3587" width="19.125" style="168" customWidth="1"/>
    <col min="3588" max="3588" width="18.75" style="168" customWidth="1"/>
    <col min="3589" max="3840" width="9" style="168"/>
    <col min="3841" max="3841" width="13.875" style="168" customWidth="1"/>
    <col min="3842" max="3842" width="20" style="168" customWidth="1"/>
    <col min="3843" max="3843" width="19.125" style="168" customWidth="1"/>
    <col min="3844" max="3844" width="18.75" style="168" customWidth="1"/>
    <col min="3845" max="4096" width="9" style="168"/>
    <col min="4097" max="4097" width="13.875" style="168" customWidth="1"/>
    <col min="4098" max="4098" width="20" style="168" customWidth="1"/>
    <col min="4099" max="4099" width="19.125" style="168" customWidth="1"/>
    <col min="4100" max="4100" width="18.75" style="168" customWidth="1"/>
    <col min="4101" max="4352" width="9" style="168"/>
    <col min="4353" max="4353" width="13.875" style="168" customWidth="1"/>
    <col min="4354" max="4354" width="20" style="168" customWidth="1"/>
    <col min="4355" max="4355" width="19.125" style="168" customWidth="1"/>
    <col min="4356" max="4356" width="18.75" style="168" customWidth="1"/>
    <col min="4357" max="4608" width="9" style="168"/>
    <col min="4609" max="4609" width="13.875" style="168" customWidth="1"/>
    <col min="4610" max="4610" width="20" style="168" customWidth="1"/>
    <col min="4611" max="4611" width="19.125" style="168" customWidth="1"/>
    <col min="4612" max="4612" width="18.75" style="168" customWidth="1"/>
    <col min="4613" max="4864" width="9" style="168"/>
    <col min="4865" max="4865" width="13.875" style="168" customWidth="1"/>
    <col min="4866" max="4866" width="20" style="168" customWidth="1"/>
    <col min="4867" max="4867" width="19.125" style="168" customWidth="1"/>
    <col min="4868" max="4868" width="18.75" style="168" customWidth="1"/>
    <col min="4869" max="5120" width="9" style="168"/>
    <col min="5121" max="5121" width="13.875" style="168" customWidth="1"/>
    <col min="5122" max="5122" width="20" style="168" customWidth="1"/>
    <col min="5123" max="5123" width="19.125" style="168" customWidth="1"/>
    <col min="5124" max="5124" width="18.75" style="168" customWidth="1"/>
    <col min="5125" max="5376" width="9" style="168"/>
    <col min="5377" max="5377" width="13.875" style="168" customWidth="1"/>
    <col min="5378" max="5378" width="20" style="168" customWidth="1"/>
    <col min="5379" max="5379" width="19.125" style="168" customWidth="1"/>
    <col min="5380" max="5380" width="18.75" style="168" customWidth="1"/>
    <col min="5381" max="5632" width="9" style="168"/>
    <col min="5633" max="5633" width="13.875" style="168" customWidth="1"/>
    <col min="5634" max="5634" width="20" style="168" customWidth="1"/>
    <col min="5635" max="5635" width="19.125" style="168" customWidth="1"/>
    <col min="5636" max="5636" width="18.75" style="168" customWidth="1"/>
    <col min="5637" max="5888" width="9" style="168"/>
    <col min="5889" max="5889" width="13.875" style="168" customWidth="1"/>
    <col min="5890" max="5890" width="20" style="168" customWidth="1"/>
    <col min="5891" max="5891" width="19.125" style="168" customWidth="1"/>
    <col min="5892" max="5892" width="18.75" style="168" customWidth="1"/>
    <col min="5893" max="6144" width="9" style="168"/>
    <col min="6145" max="6145" width="13.875" style="168" customWidth="1"/>
    <col min="6146" max="6146" width="20" style="168" customWidth="1"/>
    <col min="6147" max="6147" width="19.125" style="168" customWidth="1"/>
    <col min="6148" max="6148" width="18.75" style="168" customWidth="1"/>
    <col min="6149" max="6400" width="9" style="168"/>
    <col min="6401" max="6401" width="13.875" style="168" customWidth="1"/>
    <col min="6402" max="6402" width="20" style="168" customWidth="1"/>
    <col min="6403" max="6403" width="19.125" style="168" customWidth="1"/>
    <col min="6404" max="6404" width="18.75" style="168" customWidth="1"/>
    <col min="6405" max="6656" width="9" style="168"/>
    <col min="6657" max="6657" width="13.875" style="168" customWidth="1"/>
    <col min="6658" max="6658" width="20" style="168" customWidth="1"/>
    <col min="6659" max="6659" width="19.125" style="168" customWidth="1"/>
    <col min="6660" max="6660" width="18.75" style="168" customWidth="1"/>
    <col min="6661" max="6912" width="9" style="168"/>
    <col min="6913" max="6913" width="13.875" style="168" customWidth="1"/>
    <col min="6914" max="6914" width="20" style="168" customWidth="1"/>
    <col min="6915" max="6915" width="19.125" style="168" customWidth="1"/>
    <col min="6916" max="6916" width="18.75" style="168" customWidth="1"/>
    <col min="6917" max="7168" width="9" style="168"/>
    <col min="7169" max="7169" width="13.875" style="168" customWidth="1"/>
    <col min="7170" max="7170" width="20" style="168" customWidth="1"/>
    <col min="7171" max="7171" width="19.125" style="168" customWidth="1"/>
    <col min="7172" max="7172" width="18.75" style="168" customWidth="1"/>
    <col min="7173" max="7424" width="9" style="168"/>
    <col min="7425" max="7425" width="13.875" style="168" customWidth="1"/>
    <col min="7426" max="7426" width="20" style="168" customWidth="1"/>
    <col min="7427" max="7427" width="19.125" style="168" customWidth="1"/>
    <col min="7428" max="7428" width="18.75" style="168" customWidth="1"/>
    <col min="7429" max="7680" width="9" style="168"/>
    <col min="7681" max="7681" width="13.875" style="168" customWidth="1"/>
    <col min="7682" max="7682" width="20" style="168" customWidth="1"/>
    <col min="7683" max="7683" width="19.125" style="168" customWidth="1"/>
    <col min="7684" max="7684" width="18.75" style="168" customWidth="1"/>
    <col min="7685" max="7936" width="9" style="168"/>
    <col min="7937" max="7937" width="13.875" style="168" customWidth="1"/>
    <col min="7938" max="7938" width="20" style="168" customWidth="1"/>
    <col min="7939" max="7939" width="19.125" style="168" customWidth="1"/>
    <col min="7940" max="7940" width="18.75" style="168" customWidth="1"/>
    <col min="7941" max="8192" width="9" style="168"/>
    <col min="8193" max="8193" width="13.875" style="168" customWidth="1"/>
    <col min="8194" max="8194" width="20" style="168" customWidth="1"/>
    <col min="8195" max="8195" width="19.125" style="168" customWidth="1"/>
    <col min="8196" max="8196" width="18.75" style="168" customWidth="1"/>
    <col min="8197" max="8448" width="9" style="168"/>
    <col min="8449" max="8449" width="13.875" style="168" customWidth="1"/>
    <col min="8450" max="8450" width="20" style="168" customWidth="1"/>
    <col min="8451" max="8451" width="19.125" style="168" customWidth="1"/>
    <col min="8452" max="8452" width="18.75" style="168" customWidth="1"/>
    <col min="8453" max="8704" width="9" style="168"/>
    <col min="8705" max="8705" width="13.875" style="168" customWidth="1"/>
    <col min="8706" max="8706" width="20" style="168" customWidth="1"/>
    <col min="8707" max="8707" width="19.125" style="168" customWidth="1"/>
    <col min="8708" max="8708" width="18.75" style="168" customWidth="1"/>
    <col min="8709" max="8960" width="9" style="168"/>
    <col min="8961" max="8961" width="13.875" style="168" customWidth="1"/>
    <col min="8962" max="8962" width="20" style="168" customWidth="1"/>
    <col min="8963" max="8963" width="19.125" style="168" customWidth="1"/>
    <col min="8964" max="8964" width="18.75" style="168" customWidth="1"/>
    <col min="8965" max="9216" width="9" style="168"/>
    <col min="9217" max="9217" width="13.875" style="168" customWidth="1"/>
    <col min="9218" max="9218" width="20" style="168" customWidth="1"/>
    <col min="9219" max="9219" width="19.125" style="168" customWidth="1"/>
    <col min="9220" max="9220" width="18.75" style="168" customWidth="1"/>
    <col min="9221" max="9472" width="9" style="168"/>
    <col min="9473" max="9473" width="13.875" style="168" customWidth="1"/>
    <col min="9474" max="9474" width="20" style="168" customWidth="1"/>
    <col min="9475" max="9475" width="19.125" style="168" customWidth="1"/>
    <col min="9476" max="9476" width="18.75" style="168" customWidth="1"/>
    <col min="9477" max="9728" width="9" style="168"/>
    <col min="9729" max="9729" width="13.875" style="168" customWidth="1"/>
    <col min="9730" max="9730" width="20" style="168" customWidth="1"/>
    <col min="9731" max="9731" width="19.125" style="168" customWidth="1"/>
    <col min="9732" max="9732" width="18.75" style="168" customWidth="1"/>
    <col min="9733" max="9984" width="9" style="168"/>
    <col min="9985" max="9985" width="13.875" style="168" customWidth="1"/>
    <col min="9986" max="9986" width="20" style="168" customWidth="1"/>
    <col min="9987" max="9987" width="19.125" style="168" customWidth="1"/>
    <col min="9988" max="9988" width="18.75" style="168" customWidth="1"/>
    <col min="9989" max="10240" width="9" style="168"/>
    <col min="10241" max="10241" width="13.875" style="168" customWidth="1"/>
    <col min="10242" max="10242" width="20" style="168" customWidth="1"/>
    <col min="10243" max="10243" width="19.125" style="168" customWidth="1"/>
    <col min="10244" max="10244" width="18.75" style="168" customWidth="1"/>
    <col min="10245" max="10496" width="9" style="168"/>
    <col min="10497" max="10497" width="13.875" style="168" customWidth="1"/>
    <col min="10498" max="10498" width="20" style="168" customWidth="1"/>
    <col min="10499" max="10499" width="19.125" style="168" customWidth="1"/>
    <col min="10500" max="10500" width="18.75" style="168" customWidth="1"/>
    <col min="10501" max="10752" width="9" style="168"/>
    <col min="10753" max="10753" width="13.875" style="168" customWidth="1"/>
    <col min="10754" max="10754" width="20" style="168" customWidth="1"/>
    <col min="10755" max="10755" width="19.125" style="168" customWidth="1"/>
    <col min="10756" max="10756" width="18.75" style="168" customWidth="1"/>
    <col min="10757" max="11008" width="9" style="168"/>
    <col min="11009" max="11009" width="13.875" style="168" customWidth="1"/>
    <col min="11010" max="11010" width="20" style="168" customWidth="1"/>
    <col min="11011" max="11011" width="19.125" style="168" customWidth="1"/>
    <col min="11012" max="11012" width="18.75" style="168" customWidth="1"/>
    <col min="11013" max="11264" width="9" style="168"/>
    <col min="11265" max="11265" width="13.875" style="168" customWidth="1"/>
    <col min="11266" max="11266" width="20" style="168" customWidth="1"/>
    <col min="11267" max="11267" width="19.125" style="168" customWidth="1"/>
    <col min="11268" max="11268" width="18.75" style="168" customWidth="1"/>
    <col min="11269" max="11520" width="9" style="168"/>
    <col min="11521" max="11521" width="13.875" style="168" customWidth="1"/>
    <col min="11522" max="11522" width="20" style="168" customWidth="1"/>
    <col min="11523" max="11523" width="19.125" style="168" customWidth="1"/>
    <col min="11524" max="11524" width="18.75" style="168" customWidth="1"/>
    <col min="11525" max="11776" width="9" style="168"/>
    <col min="11777" max="11777" width="13.875" style="168" customWidth="1"/>
    <col min="11778" max="11778" width="20" style="168" customWidth="1"/>
    <col min="11779" max="11779" width="19.125" style="168" customWidth="1"/>
    <col min="11780" max="11780" width="18.75" style="168" customWidth="1"/>
    <col min="11781" max="12032" width="9" style="168"/>
    <col min="12033" max="12033" width="13.875" style="168" customWidth="1"/>
    <col min="12034" max="12034" width="20" style="168" customWidth="1"/>
    <col min="12035" max="12035" width="19.125" style="168" customWidth="1"/>
    <col min="12036" max="12036" width="18.75" style="168" customWidth="1"/>
    <col min="12037" max="12288" width="9" style="168"/>
    <col min="12289" max="12289" width="13.875" style="168" customWidth="1"/>
    <col min="12290" max="12290" width="20" style="168" customWidth="1"/>
    <col min="12291" max="12291" width="19.125" style="168" customWidth="1"/>
    <col min="12292" max="12292" width="18.75" style="168" customWidth="1"/>
    <col min="12293" max="12544" width="9" style="168"/>
    <col min="12545" max="12545" width="13.875" style="168" customWidth="1"/>
    <col min="12546" max="12546" width="20" style="168" customWidth="1"/>
    <col min="12547" max="12547" width="19.125" style="168" customWidth="1"/>
    <col min="12548" max="12548" width="18.75" style="168" customWidth="1"/>
    <col min="12549" max="12800" width="9" style="168"/>
    <col min="12801" max="12801" width="13.875" style="168" customWidth="1"/>
    <col min="12802" max="12802" width="20" style="168" customWidth="1"/>
    <col min="12803" max="12803" width="19.125" style="168" customWidth="1"/>
    <col min="12804" max="12804" width="18.75" style="168" customWidth="1"/>
    <col min="12805" max="13056" width="9" style="168"/>
    <col min="13057" max="13057" width="13.875" style="168" customWidth="1"/>
    <col min="13058" max="13058" width="20" style="168" customWidth="1"/>
    <col min="13059" max="13059" width="19.125" style="168" customWidth="1"/>
    <col min="13060" max="13060" width="18.75" style="168" customWidth="1"/>
    <col min="13061" max="13312" width="9" style="168"/>
    <col min="13313" max="13313" width="13.875" style="168" customWidth="1"/>
    <col min="13314" max="13314" width="20" style="168" customWidth="1"/>
    <col min="13315" max="13315" width="19.125" style="168" customWidth="1"/>
    <col min="13316" max="13316" width="18.75" style="168" customWidth="1"/>
    <col min="13317" max="13568" width="9" style="168"/>
    <col min="13569" max="13569" width="13.875" style="168" customWidth="1"/>
    <col min="13570" max="13570" width="20" style="168" customWidth="1"/>
    <col min="13571" max="13571" width="19.125" style="168" customWidth="1"/>
    <col min="13572" max="13572" width="18.75" style="168" customWidth="1"/>
    <col min="13573" max="13824" width="9" style="168"/>
    <col min="13825" max="13825" width="13.875" style="168" customWidth="1"/>
    <col min="13826" max="13826" width="20" style="168" customWidth="1"/>
    <col min="13827" max="13827" width="19.125" style="168" customWidth="1"/>
    <col min="13828" max="13828" width="18.75" style="168" customWidth="1"/>
    <col min="13829" max="14080" width="9" style="168"/>
    <col min="14081" max="14081" width="13.875" style="168" customWidth="1"/>
    <col min="14082" max="14082" width="20" style="168" customWidth="1"/>
    <col min="14083" max="14083" width="19.125" style="168" customWidth="1"/>
    <col min="14084" max="14084" width="18.75" style="168" customWidth="1"/>
    <col min="14085" max="14336" width="9" style="168"/>
    <col min="14337" max="14337" width="13.875" style="168" customWidth="1"/>
    <col min="14338" max="14338" width="20" style="168" customWidth="1"/>
    <col min="14339" max="14339" width="19.125" style="168" customWidth="1"/>
    <col min="14340" max="14340" width="18.75" style="168" customWidth="1"/>
    <col min="14341" max="14592" width="9" style="168"/>
    <col min="14593" max="14593" width="13.875" style="168" customWidth="1"/>
    <col min="14594" max="14594" width="20" style="168" customWidth="1"/>
    <col min="14595" max="14595" width="19.125" style="168" customWidth="1"/>
    <col min="14596" max="14596" width="18.75" style="168" customWidth="1"/>
    <col min="14597" max="14848" width="9" style="168"/>
    <col min="14849" max="14849" width="13.875" style="168" customWidth="1"/>
    <col min="14850" max="14850" width="20" style="168" customWidth="1"/>
    <col min="14851" max="14851" width="19.125" style="168" customWidth="1"/>
    <col min="14852" max="14852" width="18.75" style="168" customWidth="1"/>
    <col min="14853" max="15104" width="9" style="168"/>
    <col min="15105" max="15105" width="13.875" style="168" customWidth="1"/>
    <col min="15106" max="15106" width="20" style="168" customWidth="1"/>
    <col min="15107" max="15107" width="19.125" style="168" customWidth="1"/>
    <col min="15108" max="15108" width="18.75" style="168" customWidth="1"/>
    <col min="15109" max="15360" width="9" style="168"/>
    <col min="15361" max="15361" width="13.875" style="168" customWidth="1"/>
    <col min="15362" max="15362" width="20" style="168" customWidth="1"/>
    <col min="15363" max="15363" width="19.125" style="168" customWidth="1"/>
    <col min="15364" max="15364" width="18.75" style="168" customWidth="1"/>
    <col min="15365" max="15616" width="9" style="168"/>
    <col min="15617" max="15617" width="13.875" style="168" customWidth="1"/>
    <col min="15618" max="15618" width="20" style="168" customWidth="1"/>
    <col min="15619" max="15619" width="19.125" style="168" customWidth="1"/>
    <col min="15620" max="15620" width="18.75" style="168" customWidth="1"/>
    <col min="15621" max="15872" width="9" style="168"/>
    <col min="15873" max="15873" width="13.875" style="168" customWidth="1"/>
    <col min="15874" max="15874" width="20" style="168" customWidth="1"/>
    <col min="15875" max="15875" width="19.125" style="168" customWidth="1"/>
    <col min="15876" max="15876" width="18.75" style="168" customWidth="1"/>
    <col min="15877" max="16128" width="9" style="168"/>
    <col min="16129" max="16129" width="13.875" style="168" customWidth="1"/>
    <col min="16130" max="16130" width="20" style="168" customWidth="1"/>
    <col min="16131" max="16131" width="19.125" style="168" customWidth="1"/>
    <col min="16132" max="16132" width="18.75" style="168" customWidth="1"/>
    <col min="16133" max="16384" width="9" style="168"/>
  </cols>
  <sheetData>
    <row r="1" ht="20.1" customHeight="1" spans="1:13">
      <c r="A1" s="449" t="s">
        <v>3004</v>
      </c>
      <c r="B1" s="449"/>
      <c r="C1" s="449"/>
      <c r="D1" s="449"/>
      <c r="F1" s="450" t="s">
        <v>3005</v>
      </c>
      <c r="G1" s="289"/>
      <c r="H1" s="289"/>
      <c r="I1" s="289"/>
      <c r="J1" s="289"/>
      <c r="K1" s="289"/>
      <c r="L1" s="289"/>
      <c r="M1" s="289"/>
    </row>
    <row r="2" ht="20.1" customHeight="1" spans="1:13">
      <c r="A2" s="451"/>
      <c r="B2" s="452" t="s">
        <v>3006</v>
      </c>
      <c r="C2" s="452" t="s">
        <v>3007</v>
      </c>
      <c r="D2" s="452" t="s">
        <v>3008</v>
      </c>
      <c r="F2" s="289"/>
      <c r="G2" s="289"/>
      <c r="H2" s="289"/>
      <c r="I2" s="289"/>
      <c r="J2" s="289"/>
      <c r="K2" s="289"/>
      <c r="L2" s="289"/>
      <c r="M2" s="289"/>
    </row>
    <row r="3" ht="20.1" customHeight="1" spans="1:13">
      <c r="A3" s="453" t="s">
        <v>3009</v>
      </c>
      <c r="B3" s="454">
        <v>800</v>
      </c>
      <c r="C3" s="455">
        <f>B3*0.577/10</f>
        <v>46.16</v>
      </c>
      <c r="D3" s="455">
        <f>B3*14.44/10</f>
        <v>1155.2</v>
      </c>
      <c r="F3" s="289"/>
      <c r="G3" s="289"/>
      <c r="H3" s="289"/>
      <c r="I3" s="289"/>
      <c r="J3" s="289"/>
      <c r="K3" s="289"/>
      <c r="L3" s="289"/>
      <c r="M3" s="289"/>
    </row>
    <row r="4" ht="20.1" customHeight="1" spans="1:13">
      <c r="A4" s="456"/>
      <c r="B4" s="457"/>
      <c r="C4" s="457"/>
      <c r="D4" s="458"/>
      <c r="F4" s="289"/>
      <c r="G4" s="289"/>
      <c r="H4" s="289"/>
      <c r="I4" s="289"/>
      <c r="J4" s="289"/>
      <c r="K4" s="289"/>
      <c r="L4" s="289"/>
      <c r="M4" s="289"/>
    </row>
    <row r="5" ht="20.1" customHeight="1" spans="1:13">
      <c r="A5" s="459"/>
      <c r="B5" s="459"/>
      <c r="C5" s="459"/>
      <c r="D5" s="459"/>
      <c r="F5" s="289"/>
      <c r="G5" s="289"/>
      <c r="H5" s="289"/>
      <c r="I5" s="289"/>
      <c r="J5" s="289"/>
      <c r="K5" s="289"/>
      <c r="L5" s="289"/>
      <c r="M5" s="289"/>
    </row>
    <row r="6" ht="20.1" customHeight="1" spans="1:13">
      <c r="A6" s="460" t="s">
        <v>3010</v>
      </c>
      <c r="B6" s="460"/>
      <c r="C6" s="460"/>
      <c r="D6" s="460"/>
      <c r="F6" s="289"/>
      <c r="G6" s="289"/>
      <c r="H6" s="289"/>
      <c r="I6" s="289"/>
      <c r="J6" s="289"/>
      <c r="K6" s="289"/>
      <c r="L6" s="289"/>
      <c r="M6" s="289"/>
    </row>
    <row r="7" ht="20.1" customHeight="1" spans="1:13">
      <c r="A7" s="449" t="s">
        <v>3011</v>
      </c>
      <c r="B7" s="449"/>
      <c r="C7" s="449"/>
      <c r="D7" s="449"/>
      <c r="F7" s="289"/>
      <c r="G7" s="289"/>
      <c r="H7" s="289"/>
      <c r="I7" s="289"/>
      <c r="J7" s="289"/>
      <c r="K7" s="289"/>
      <c r="L7" s="289"/>
      <c r="M7" s="289"/>
    </row>
    <row r="8" ht="20.1" customHeight="1" spans="1:13">
      <c r="A8" s="461"/>
      <c r="B8" s="461"/>
      <c r="C8" s="461"/>
      <c r="D8" s="461"/>
      <c r="F8" s="289"/>
      <c r="G8" s="289"/>
      <c r="H8" s="289"/>
      <c r="I8" s="289"/>
      <c r="J8" s="289"/>
      <c r="K8" s="289"/>
      <c r="L8" s="289"/>
      <c r="M8" s="289"/>
    </row>
    <row r="9" ht="20.1" customHeight="1" spans="6:13">
      <c r="F9" s="289"/>
      <c r="G9" s="289"/>
      <c r="H9" s="289"/>
      <c r="I9" s="289"/>
      <c r="J9" s="289"/>
      <c r="K9" s="289"/>
      <c r="L9" s="289"/>
      <c r="M9" s="289"/>
    </row>
    <row r="10" ht="20.1" customHeight="1" spans="1:13">
      <c r="A10" s="449" t="s">
        <v>3012</v>
      </c>
      <c r="B10" s="449"/>
      <c r="C10" s="449"/>
      <c r="D10" s="155" t="s">
        <v>88</v>
      </c>
      <c r="F10" s="289"/>
      <c r="G10" s="289"/>
      <c r="H10" s="289"/>
      <c r="I10" s="289"/>
      <c r="J10" s="289"/>
      <c r="K10" s="289"/>
      <c r="L10" s="289"/>
      <c r="M10" s="289"/>
    </row>
    <row r="11" ht="20.1" customHeight="1" spans="1:13">
      <c r="A11" s="451"/>
      <c r="B11" s="452" t="s">
        <v>3006</v>
      </c>
      <c r="C11" s="452" t="s">
        <v>3007</v>
      </c>
      <c r="D11" s="155"/>
      <c r="F11" s="289"/>
      <c r="G11" s="289"/>
      <c r="H11" s="289"/>
      <c r="I11" s="289"/>
      <c r="J11" s="289"/>
      <c r="K11" s="289"/>
      <c r="L11" s="289"/>
      <c r="M11" s="289"/>
    </row>
    <row r="12" ht="20.1" customHeight="1" spans="1:13">
      <c r="A12" s="453" t="s">
        <v>3009</v>
      </c>
      <c r="B12" s="454">
        <v>5</v>
      </c>
      <c r="C12" s="455">
        <f>B12*1.88</f>
        <v>9.4</v>
      </c>
      <c r="F12" s="289"/>
      <c r="G12" s="289"/>
      <c r="H12" s="289"/>
      <c r="I12" s="289"/>
      <c r="J12" s="289"/>
      <c r="K12" s="289"/>
      <c r="L12" s="289"/>
      <c r="M12" s="289"/>
    </row>
    <row r="13" ht="20.1" customHeight="1" spans="1:13">
      <c r="A13" s="462"/>
      <c r="B13" s="463"/>
      <c r="C13" s="463"/>
      <c r="F13" s="289"/>
      <c r="G13" s="289"/>
      <c r="H13" s="289"/>
      <c r="I13" s="289"/>
      <c r="J13" s="289"/>
      <c r="K13" s="289"/>
      <c r="L13" s="289"/>
      <c r="M13" s="289"/>
    </row>
    <row r="14" ht="20.1" customHeight="1" spans="1:13">
      <c r="A14" s="464" t="s">
        <v>3013</v>
      </c>
      <c r="B14" s="464"/>
      <c r="C14" s="464"/>
      <c r="F14" s="289"/>
      <c r="G14" s="289"/>
      <c r="H14" s="289"/>
      <c r="I14" s="289"/>
      <c r="J14" s="289"/>
      <c r="K14" s="289"/>
      <c r="L14" s="289"/>
      <c r="M14" s="289"/>
    </row>
    <row r="15" ht="20.1" customHeight="1" spans="1:13">
      <c r="A15" s="465"/>
      <c r="B15" s="465"/>
      <c r="C15" s="465"/>
      <c r="F15" s="289"/>
      <c r="G15" s="289"/>
      <c r="H15" s="289"/>
      <c r="I15" s="289"/>
      <c r="J15" s="289"/>
      <c r="K15" s="289"/>
      <c r="L15" s="289"/>
      <c r="M15" s="289"/>
    </row>
    <row r="16" ht="20.1" customHeight="1" spans="1:13">
      <c r="A16" s="465"/>
      <c r="B16" s="465"/>
      <c r="C16" s="465"/>
      <c r="F16" s="289"/>
      <c r="G16" s="289"/>
      <c r="H16" s="289"/>
      <c r="I16" s="289"/>
      <c r="J16" s="289"/>
      <c r="K16" s="289"/>
      <c r="L16" s="289"/>
      <c r="M16" s="289"/>
    </row>
    <row r="17" ht="20.1" customHeight="1" spans="1:13">
      <c r="A17" s="274"/>
      <c r="B17" s="274"/>
      <c r="C17" s="274"/>
      <c r="F17" s="289"/>
      <c r="G17" s="289"/>
      <c r="H17" s="289"/>
      <c r="I17" s="289"/>
      <c r="J17" s="289"/>
      <c r="K17" s="289"/>
      <c r="L17" s="289"/>
      <c r="M17" s="289"/>
    </row>
    <row r="18" ht="20.1" customHeight="1" spans="1:13">
      <c r="A18" s="449" t="s">
        <v>3014</v>
      </c>
      <c r="B18" s="449"/>
      <c r="C18" s="449"/>
      <c r="F18" s="289"/>
      <c r="G18" s="289"/>
      <c r="H18" s="289"/>
      <c r="I18" s="289"/>
      <c r="J18" s="289"/>
      <c r="K18" s="289"/>
      <c r="L18" s="289"/>
      <c r="M18" s="289"/>
    </row>
    <row r="19" ht="20.1" customHeight="1" spans="1:13">
      <c r="A19" s="451"/>
      <c r="B19" s="452" t="s">
        <v>3006</v>
      </c>
      <c r="C19" s="452" t="s">
        <v>3007</v>
      </c>
      <c r="F19" s="289"/>
      <c r="G19" s="289"/>
      <c r="H19" s="289"/>
      <c r="I19" s="289"/>
      <c r="J19" s="289"/>
      <c r="K19" s="289"/>
      <c r="L19" s="289"/>
      <c r="M19" s="289"/>
    </row>
    <row r="20" ht="20.1" customHeight="1" spans="1:13">
      <c r="A20" s="453" t="s">
        <v>3009</v>
      </c>
      <c r="B20" s="454">
        <v>2</v>
      </c>
      <c r="C20" s="455">
        <f>B20*5.7</f>
        <v>11.4</v>
      </c>
      <c r="F20" s="289"/>
      <c r="G20" s="289"/>
      <c r="H20" s="289"/>
      <c r="I20" s="289"/>
      <c r="J20" s="289"/>
      <c r="K20" s="289"/>
      <c r="L20" s="289"/>
      <c r="M20" s="289"/>
    </row>
    <row r="21" ht="20.1" customHeight="1" spans="1:13">
      <c r="A21" s="462"/>
      <c r="B21" s="463"/>
      <c r="C21" s="463"/>
      <c r="F21" s="289"/>
      <c r="G21" s="289"/>
      <c r="H21" s="289"/>
      <c r="I21" s="289"/>
      <c r="J21" s="289"/>
      <c r="K21" s="289"/>
      <c r="L21" s="289"/>
      <c r="M21" s="289"/>
    </row>
    <row r="22" ht="20.1" customHeight="1" spans="1:13">
      <c r="A22" s="464" t="s">
        <v>3015</v>
      </c>
      <c r="B22" s="464"/>
      <c r="C22" s="464"/>
      <c r="F22" s="289"/>
      <c r="G22" s="289"/>
      <c r="H22" s="289"/>
      <c r="I22" s="289"/>
      <c r="J22" s="289"/>
      <c r="K22" s="289"/>
      <c r="L22" s="289"/>
      <c r="M22" s="289"/>
    </row>
    <row r="23" ht="20.1" customHeight="1" spans="1:13">
      <c r="A23" s="465"/>
      <c r="B23" s="465"/>
      <c r="C23" s="465"/>
      <c r="F23" s="289"/>
      <c r="G23" s="289"/>
      <c r="H23" s="289"/>
      <c r="I23" s="289"/>
      <c r="J23" s="289"/>
      <c r="K23" s="289"/>
      <c r="L23" s="289"/>
      <c r="M23" s="289"/>
    </row>
    <row r="24" ht="20.1" customHeight="1" spans="1:13">
      <c r="A24" s="465"/>
      <c r="B24" s="465"/>
      <c r="C24" s="465"/>
      <c r="F24" s="289"/>
      <c r="G24" s="289"/>
      <c r="H24" s="289"/>
      <c r="I24" s="289"/>
      <c r="J24" s="289"/>
      <c r="K24" s="289"/>
      <c r="L24" s="289"/>
      <c r="M24" s="289"/>
    </row>
    <row r="25" ht="20.1" customHeight="1" spans="1:13">
      <c r="A25" s="466"/>
      <c r="F25" s="289"/>
      <c r="G25" s="289"/>
      <c r="H25" s="289"/>
      <c r="I25" s="289"/>
      <c r="J25" s="289"/>
      <c r="K25" s="289"/>
      <c r="L25" s="289"/>
      <c r="M25" s="289"/>
    </row>
    <row r="26" ht="20.1" customHeight="1" spans="6:13">
      <c r="F26" s="289"/>
      <c r="G26" s="289"/>
      <c r="H26" s="289"/>
      <c r="I26" s="289"/>
      <c r="J26" s="289"/>
      <c r="K26" s="289"/>
      <c r="L26" s="289"/>
      <c r="M26" s="289"/>
    </row>
    <row r="27" ht="20.1" customHeight="1"/>
    <row r="28" ht="20.1" customHeight="1"/>
    <row r="29" ht="20.1" customHeight="1"/>
    <row r="30" ht="20.1" customHeight="1"/>
    <row r="31" ht="20.1" customHeight="1"/>
    <row r="32" ht="20.1" customHeight="1"/>
    <row r="33" ht="20.1" customHeight="1"/>
    <row r="34" ht="20.1" customHeight="1"/>
    <row r="35" ht="20.1" customHeight="1"/>
    <row r="36" ht="20.1" customHeight="1"/>
  </sheetData>
  <sheetProtection password="8BC5" sheet="1" objects="1" scenarios="1"/>
  <protectedRanges>
    <protectedRange sqref="A2:D4 A11:C13 A19:C21" name="範圍1"/>
  </protectedRanges>
  <mergeCells count="11">
    <mergeCell ref="A1:D1"/>
    <mergeCell ref="A4:D4"/>
    <mergeCell ref="A6:D6"/>
    <mergeCell ref="A7:D7"/>
    <mergeCell ref="A8:D8"/>
    <mergeCell ref="A10:C10"/>
    <mergeCell ref="A18:C18"/>
    <mergeCell ref="D10:D11"/>
    <mergeCell ref="F1:M26"/>
    <mergeCell ref="A14:C16"/>
    <mergeCell ref="A22:C24"/>
  </mergeCells>
  <hyperlinks>
    <hyperlink ref="D10:D11" location="目录!A1" display="目录!A1"/>
  </hyperlinks>
  <pageMargins left="0.7" right="0.7" top="0.75" bottom="0.75" header="0.3" footer="0.3"/>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265"/>
  <sheetViews>
    <sheetView topLeftCell="A40" workbookViewId="0">
      <selection activeCell="H1" sqref="H1:H2"/>
    </sheetView>
  </sheetViews>
  <sheetFormatPr defaultColWidth="9" defaultRowHeight="15.6" outlineLevelCol="7"/>
  <cols>
    <col min="1" max="1" width="13.875" customWidth="1"/>
    <col min="2" max="2" width="11.375" customWidth="1"/>
    <col min="3" max="3" width="33.625" customWidth="1"/>
    <col min="4" max="5" width="10.125" customWidth="1"/>
    <col min="6" max="6" width="8.875" customWidth="1"/>
    <col min="7" max="7" width="13.875" customWidth="1"/>
    <col min="257" max="257" width="13.875" customWidth="1"/>
    <col min="258" max="258" width="11.375" customWidth="1"/>
    <col min="259" max="259" width="33.625" customWidth="1"/>
    <col min="260" max="261" width="10.125" customWidth="1"/>
    <col min="262" max="262" width="8.875" customWidth="1"/>
    <col min="263" max="263" width="13.875" customWidth="1"/>
    <col min="513" max="513" width="13.875" customWidth="1"/>
    <col min="514" max="514" width="11.375" customWidth="1"/>
    <col min="515" max="515" width="33.625" customWidth="1"/>
    <col min="516" max="517" width="10.125" customWidth="1"/>
    <col min="518" max="518" width="8.875" customWidth="1"/>
    <col min="519" max="519" width="13.875" customWidth="1"/>
    <col min="769" max="769" width="13.875" customWidth="1"/>
    <col min="770" max="770" width="11.375" customWidth="1"/>
    <col min="771" max="771" width="33.625" customWidth="1"/>
    <col min="772" max="773" width="10.125" customWidth="1"/>
    <col min="774" max="774" width="8.875" customWidth="1"/>
    <col min="775" max="775" width="13.875" customWidth="1"/>
    <col min="1025" max="1025" width="13.875" customWidth="1"/>
    <col min="1026" max="1026" width="11.375" customWidth="1"/>
    <col min="1027" max="1027" width="33.625" customWidth="1"/>
    <col min="1028" max="1029" width="10.125" customWidth="1"/>
    <col min="1030" max="1030" width="8.875" customWidth="1"/>
    <col min="1031" max="1031" width="13.875" customWidth="1"/>
    <col min="1281" max="1281" width="13.875" customWidth="1"/>
    <col min="1282" max="1282" width="11.375" customWidth="1"/>
    <col min="1283" max="1283" width="33.625" customWidth="1"/>
    <col min="1284" max="1285" width="10.125" customWidth="1"/>
    <col min="1286" max="1286" width="8.875" customWidth="1"/>
    <col min="1287" max="1287" width="13.875" customWidth="1"/>
    <col min="1537" max="1537" width="13.875" customWidth="1"/>
    <col min="1538" max="1538" width="11.375" customWidth="1"/>
    <col min="1539" max="1539" width="33.625" customWidth="1"/>
    <col min="1540" max="1541" width="10.125" customWidth="1"/>
    <col min="1542" max="1542" width="8.875" customWidth="1"/>
    <col min="1543" max="1543" width="13.875" customWidth="1"/>
    <col min="1793" max="1793" width="13.875" customWidth="1"/>
    <col min="1794" max="1794" width="11.375" customWidth="1"/>
    <col min="1795" max="1795" width="33.625" customWidth="1"/>
    <col min="1796" max="1797" width="10.125" customWidth="1"/>
    <col min="1798" max="1798" width="8.875" customWidth="1"/>
    <col min="1799" max="1799" width="13.875" customWidth="1"/>
    <col min="2049" max="2049" width="13.875" customWidth="1"/>
    <col min="2050" max="2050" width="11.375" customWidth="1"/>
    <col min="2051" max="2051" width="33.625" customWidth="1"/>
    <col min="2052" max="2053" width="10.125" customWidth="1"/>
    <col min="2054" max="2054" width="8.875" customWidth="1"/>
    <col min="2055" max="2055" width="13.875" customWidth="1"/>
    <col min="2305" max="2305" width="13.875" customWidth="1"/>
    <col min="2306" max="2306" width="11.375" customWidth="1"/>
    <col min="2307" max="2307" width="33.625" customWidth="1"/>
    <col min="2308" max="2309" width="10.125" customWidth="1"/>
    <col min="2310" max="2310" width="8.875" customWidth="1"/>
    <col min="2311" max="2311" width="13.875" customWidth="1"/>
    <col min="2561" max="2561" width="13.875" customWidth="1"/>
    <col min="2562" max="2562" width="11.375" customWidth="1"/>
    <col min="2563" max="2563" width="33.625" customWidth="1"/>
    <col min="2564" max="2565" width="10.125" customWidth="1"/>
    <col min="2566" max="2566" width="8.875" customWidth="1"/>
    <col min="2567" max="2567" width="13.875" customWidth="1"/>
    <col min="2817" max="2817" width="13.875" customWidth="1"/>
    <col min="2818" max="2818" width="11.375" customWidth="1"/>
    <col min="2819" max="2819" width="33.625" customWidth="1"/>
    <col min="2820" max="2821" width="10.125" customWidth="1"/>
    <col min="2822" max="2822" width="8.875" customWidth="1"/>
    <col min="2823" max="2823" width="13.875" customWidth="1"/>
    <col min="3073" max="3073" width="13.875" customWidth="1"/>
    <col min="3074" max="3074" width="11.375" customWidth="1"/>
    <col min="3075" max="3075" width="33.625" customWidth="1"/>
    <col min="3076" max="3077" width="10.125" customWidth="1"/>
    <col min="3078" max="3078" width="8.875" customWidth="1"/>
    <col min="3079" max="3079" width="13.875" customWidth="1"/>
    <col min="3329" max="3329" width="13.875" customWidth="1"/>
    <col min="3330" max="3330" width="11.375" customWidth="1"/>
    <col min="3331" max="3331" width="33.625" customWidth="1"/>
    <col min="3332" max="3333" width="10.125" customWidth="1"/>
    <col min="3334" max="3334" width="8.875" customWidth="1"/>
    <col min="3335" max="3335" width="13.875" customWidth="1"/>
    <col min="3585" max="3585" width="13.875" customWidth="1"/>
    <col min="3586" max="3586" width="11.375" customWidth="1"/>
    <col min="3587" max="3587" width="33.625" customWidth="1"/>
    <col min="3588" max="3589" width="10.125" customWidth="1"/>
    <col min="3590" max="3590" width="8.875" customWidth="1"/>
    <col min="3591" max="3591" width="13.875" customWidth="1"/>
    <col min="3841" max="3841" width="13.875" customWidth="1"/>
    <col min="3842" max="3842" width="11.375" customWidth="1"/>
    <col min="3843" max="3843" width="33.625" customWidth="1"/>
    <col min="3844" max="3845" width="10.125" customWidth="1"/>
    <col min="3846" max="3846" width="8.875" customWidth="1"/>
    <col min="3847" max="3847" width="13.875" customWidth="1"/>
    <col min="4097" max="4097" width="13.875" customWidth="1"/>
    <col min="4098" max="4098" width="11.375" customWidth="1"/>
    <col min="4099" max="4099" width="33.625" customWidth="1"/>
    <col min="4100" max="4101" width="10.125" customWidth="1"/>
    <col min="4102" max="4102" width="8.875" customWidth="1"/>
    <col min="4103" max="4103" width="13.875" customWidth="1"/>
    <col min="4353" max="4353" width="13.875" customWidth="1"/>
    <col min="4354" max="4354" width="11.375" customWidth="1"/>
    <col min="4355" max="4355" width="33.625" customWidth="1"/>
    <col min="4356" max="4357" width="10.125" customWidth="1"/>
    <col min="4358" max="4358" width="8.875" customWidth="1"/>
    <col min="4359" max="4359" width="13.875" customWidth="1"/>
    <col min="4609" max="4609" width="13.875" customWidth="1"/>
    <col min="4610" max="4610" width="11.375" customWidth="1"/>
    <col min="4611" max="4611" width="33.625" customWidth="1"/>
    <col min="4612" max="4613" width="10.125" customWidth="1"/>
    <col min="4614" max="4614" width="8.875" customWidth="1"/>
    <col min="4615" max="4615" width="13.875" customWidth="1"/>
    <col min="4865" max="4865" width="13.875" customWidth="1"/>
    <col min="4866" max="4866" width="11.375" customWidth="1"/>
    <col min="4867" max="4867" width="33.625" customWidth="1"/>
    <col min="4868" max="4869" width="10.125" customWidth="1"/>
    <col min="4870" max="4870" width="8.875" customWidth="1"/>
    <col min="4871" max="4871" width="13.875" customWidth="1"/>
    <col min="5121" max="5121" width="13.875" customWidth="1"/>
    <col min="5122" max="5122" width="11.375" customWidth="1"/>
    <col min="5123" max="5123" width="33.625" customWidth="1"/>
    <col min="5124" max="5125" width="10.125" customWidth="1"/>
    <col min="5126" max="5126" width="8.875" customWidth="1"/>
    <col min="5127" max="5127" width="13.875" customWidth="1"/>
    <col min="5377" max="5377" width="13.875" customWidth="1"/>
    <col min="5378" max="5378" width="11.375" customWidth="1"/>
    <col min="5379" max="5379" width="33.625" customWidth="1"/>
    <col min="5380" max="5381" width="10.125" customWidth="1"/>
    <col min="5382" max="5382" width="8.875" customWidth="1"/>
    <col min="5383" max="5383" width="13.875" customWidth="1"/>
    <col min="5633" max="5633" width="13.875" customWidth="1"/>
    <col min="5634" max="5634" width="11.375" customWidth="1"/>
    <col min="5635" max="5635" width="33.625" customWidth="1"/>
    <col min="5636" max="5637" width="10.125" customWidth="1"/>
    <col min="5638" max="5638" width="8.875" customWidth="1"/>
    <col min="5639" max="5639" width="13.875" customWidth="1"/>
    <col min="5889" max="5889" width="13.875" customWidth="1"/>
    <col min="5890" max="5890" width="11.375" customWidth="1"/>
    <col min="5891" max="5891" width="33.625" customWidth="1"/>
    <col min="5892" max="5893" width="10.125" customWidth="1"/>
    <col min="5894" max="5894" width="8.875" customWidth="1"/>
    <col min="5895" max="5895" width="13.875" customWidth="1"/>
    <col min="6145" max="6145" width="13.875" customWidth="1"/>
    <col min="6146" max="6146" width="11.375" customWidth="1"/>
    <col min="6147" max="6147" width="33.625" customWidth="1"/>
    <col min="6148" max="6149" width="10.125" customWidth="1"/>
    <col min="6150" max="6150" width="8.875" customWidth="1"/>
    <col min="6151" max="6151" width="13.875" customWidth="1"/>
    <col min="6401" max="6401" width="13.875" customWidth="1"/>
    <col min="6402" max="6402" width="11.375" customWidth="1"/>
    <col min="6403" max="6403" width="33.625" customWidth="1"/>
    <col min="6404" max="6405" width="10.125" customWidth="1"/>
    <col min="6406" max="6406" width="8.875" customWidth="1"/>
    <col min="6407" max="6407" width="13.875" customWidth="1"/>
    <col min="6657" max="6657" width="13.875" customWidth="1"/>
    <col min="6658" max="6658" width="11.375" customWidth="1"/>
    <col min="6659" max="6659" width="33.625" customWidth="1"/>
    <col min="6660" max="6661" width="10.125" customWidth="1"/>
    <col min="6662" max="6662" width="8.875" customWidth="1"/>
    <col min="6663" max="6663" width="13.875" customWidth="1"/>
    <col min="6913" max="6913" width="13.875" customWidth="1"/>
    <col min="6914" max="6914" width="11.375" customWidth="1"/>
    <col min="6915" max="6915" width="33.625" customWidth="1"/>
    <col min="6916" max="6917" width="10.125" customWidth="1"/>
    <col min="6918" max="6918" width="8.875" customWidth="1"/>
    <col min="6919" max="6919" width="13.875" customWidth="1"/>
    <col min="7169" max="7169" width="13.875" customWidth="1"/>
    <col min="7170" max="7170" width="11.375" customWidth="1"/>
    <col min="7171" max="7171" width="33.625" customWidth="1"/>
    <col min="7172" max="7173" width="10.125" customWidth="1"/>
    <col min="7174" max="7174" width="8.875" customWidth="1"/>
    <col min="7175" max="7175" width="13.875" customWidth="1"/>
    <col min="7425" max="7425" width="13.875" customWidth="1"/>
    <col min="7426" max="7426" width="11.375" customWidth="1"/>
    <col min="7427" max="7427" width="33.625" customWidth="1"/>
    <col min="7428" max="7429" width="10.125" customWidth="1"/>
    <col min="7430" max="7430" width="8.875" customWidth="1"/>
    <col min="7431" max="7431" width="13.875" customWidth="1"/>
    <col min="7681" max="7681" width="13.875" customWidth="1"/>
    <col min="7682" max="7682" width="11.375" customWidth="1"/>
    <col min="7683" max="7683" width="33.625" customWidth="1"/>
    <col min="7684" max="7685" width="10.125" customWidth="1"/>
    <col min="7686" max="7686" width="8.875" customWidth="1"/>
    <col min="7687" max="7687" width="13.875" customWidth="1"/>
    <col min="7937" max="7937" width="13.875" customWidth="1"/>
    <col min="7938" max="7938" width="11.375" customWidth="1"/>
    <col min="7939" max="7939" width="33.625" customWidth="1"/>
    <col min="7940" max="7941" width="10.125" customWidth="1"/>
    <col min="7942" max="7942" width="8.875" customWidth="1"/>
    <col min="7943" max="7943" width="13.875" customWidth="1"/>
    <col min="8193" max="8193" width="13.875" customWidth="1"/>
    <col min="8194" max="8194" width="11.375" customWidth="1"/>
    <col min="8195" max="8195" width="33.625" customWidth="1"/>
    <col min="8196" max="8197" width="10.125" customWidth="1"/>
    <col min="8198" max="8198" width="8.875" customWidth="1"/>
    <col min="8199" max="8199" width="13.875" customWidth="1"/>
    <col min="8449" max="8449" width="13.875" customWidth="1"/>
    <col min="8450" max="8450" width="11.375" customWidth="1"/>
    <col min="8451" max="8451" width="33.625" customWidth="1"/>
    <col min="8452" max="8453" width="10.125" customWidth="1"/>
    <col min="8454" max="8454" width="8.875" customWidth="1"/>
    <col min="8455" max="8455" width="13.875" customWidth="1"/>
    <col min="8705" max="8705" width="13.875" customWidth="1"/>
    <col min="8706" max="8706" width="11.375" customWidth="1"/>
    <col min="8707" max="8707" width="33.625" customWidth="1"/>
    <col min="8708" max="8709" width="10.125" customWidth="1"/>
    <col min="8710" max="8710" width="8.875" customWidth="1"/>
    <col min="8711" max="8711" width="13.875" customWidth="1"/>
    <col min="8961" max="8961" width="13.875" customWidth="1"/>
    <col min="8962" max="8962" width="11.375" customWidth="1"/>
    <col min="8963" max="8963" width="33.625" customWidth="1"/>
    <col min="8964" max="8965" width="10.125" customWidth="1"/>
    <col min="8966" max="8966" width="8.875" customWidth="1"/>
    <col min="8967" max="8967" width="13.875" customWidth="1"/>
    <col min="9217" max="9217" width="13.875" customWidth="1"/>
    <col min="9218" max="9218" width="11.375" customWidth="1"/>
    <col min="9219" max="9219" width="33.625" customWidth="1"/>
    <col min="9220" max="9221" width="10.125" customWidth="1"/>
    <col min="9222" max="9222" width="8.875" customWidth="1"/>
    <col min="9223" max="9223" width="13.875" customWidth="1"/>
    <col min="9473" max="9473" width="13.875" customWidth="1"/>
    <col min="9474" max="9474" width="11.375" customWidth="1"/>
    <col min="9475" max="9475" width="33.625" customWidth="1"/>
    <col min="9476" max="9477" width="10.125" customWidth="1"/>
    <col min="9478" max="9478" width="8.875" customWidth="1"/>
    <col min="9479" max="9479" width="13.875" customWidth="1"/>
    <col min="9729" max="9729" width="13.875" customWidth="1"/>
    <col min="9730" max="9730" width="11.375" customWidth="1"/>
    <col min="9731" max="9731" width="33.625" customWidth="1"/>
    <col min="9732" max="9733" width="10.125" customWidth="1"/>
    <col min="9734" max="9734" width="8.875" customWidth="1"/>
    <col min="9735" max="9735" width="13.875" customWidth="1"/>
    <col min="9985" max="9985" width="13.875" customWidth="1"/>
    <col min="9986" max="9986" width="11.375" customWidth="1"/>
    <col min="9987" max="9987" width="33.625" customWidth="1"/>
    <col min="9988" max="9989" width="10.125" customWidth="1"/>
    <col min="9990" max="9990" width="8.875" customWidth="1"/>
    <col min="9991" max="9991" width="13.875" customWidth="1"/>
    <col min="10241" max="10241" width="13.875" customWidth="1"/>
    <col min="10242" max="10242" width="11.375" customWidth="1"/>
    <col min="10243" max="10243" width="33.625" customWidth="1"/>
    <col min="10244" max="10245" width="10.125" customWidth="1"/>
    <col min="10246" max="10246" width="8.875" customWidth="1"/>
    <col min="10247" max="10247" width="13.875" customWidth="1"/>
    <col min="10497" max="10497" width="13.875" customWidth="1"/>
    <col min="10498" max="10498" width="11.375" customWidth="1"/>
    <col min="10499" max="10499" width="33.625" customWidth="1"/>
    <col min="10500" max="10501" width="10.125" customWidth="1"/>
    <col min="10502" max="10502" width="8.875" customWidth="1"/>
    <col min="10503" max="10503" width="13.875" customWidth="1"/>
    <col min="10753" max="10753" width="13.875" customWidth="1"/>
    <col min="10754" max="10754" width="11.375" customWidth="1"/>
    <col min="10755" max="10755" width="33.625" customWidth="1"/>
    <col min="10756" max="10757" width="10.125" customWidth="1"/>
    <col min="10758" max="10758" width="8.875" customWidth="1"/>
    <col min="10759" max="10759" width="13.875" customWidth="1"/>
    <col min="11009" max="11009" width="13.875" customWidth="1"/>
    <col min="11010" max="11010" width="11.375" customWidth="1"/>
    <col min="11011" max="11011" width="33.625" customWidth="1"/>
    <col min="11012" max="11013" width="10.125" customWidth="1"/>
    <col min="11014" max="11014" width="8.875" customWidth="1"/>
    <col min="11015" max="11015" width="13.875" customWidth="1"/>
    <col min="11265" max="11265" width="13.875" customWidth="1"/>
    <col min="11266" max="11266" width="11.375" customWidth="1"/>
    <col min="11267" max="11267" width="33.625" customWidth="1"/>
    <col min="11268" max="11269" width="10.125" customWidth="1"/>
    <col min="11270" max="11270" width="8.875" customWidth="1"/>
    <col min="11271" max="11271" width="13.875" customWidth="1"/>
    <col min="11521" max="11521" width="13.875" customWidth="1"/>
    <col min="11522" max="11522" width="11.375" customWidth="1"/>
    <col min="11523" max="11523" width="33.625" customWidth="1"/>
    <col min="11524" max="11525" width="10.125" customWidth="1"/>
    <col min="11526" max="11526" width="8.875" customWidth="1"/>
    <col min="11527" max="11527" width="13.875" customWidth="1"/>
    <col min="11777" max="11777" width="13.875" customWidth="1"/>
    <col min="11778" max="11778" width="11.375" customWidth="1"/>
    <col min="11779" max="11779" width="33.625" customWidth="1"/>
    <col min="11780" max="11781" width="10.125" customWidth="1"/>
    <col min="11782" max="11782" width="8.875" customWidth="1"/>
    <col min="11783" max="11783" width="13.875" customWidth="1"/>
    <col min="12033" max="12033" width="13.875" customWidth="1"/>
    <col min="12034" max="12034" width="11.375" customWidth="1"/>
    <col min="12035" max="12035" width="33.625" customWidth="1"/>
    <col min="12036" max="12037" width="10.125" customWidth="1"/>
    <col min="12038" max="12038" width="8.875" customWidth="1"/>
    <col min="12039" max="12039" width="13.875" customWidth="1"/>
    <col min="12289" max="12289" width="13.875" customWidth="1"/>
    <col min="12290" max="12290" width="11.375" customWidth="1"/>
    <col min="12291" max="12291" width="33.625" customWidth="1"/>
    <col min="12292" max="12293" width="10.125" customWidth="1"/>
    <col min="12294" max="12294" width="8.875" customWidth="1"/>
    <col min="12295" max="12295" width="13.875" customWidth="1"/>
    <col min="12545" max="12545" width="13.875" customWidth="1"/>
    <col min="12546" max="12546" width="11.375" customWidth="1"/>
    <col min="12547" max="12547" width="33.625" customWidth="1"/>
    <col min="12548" max="12549" width="10.125" customWidth="1"/>
    <col min="12550" max="12550" width="8.875" customWidth="1"/>
    <col min="12551" max="12551" width="13.875" customWidth="1"/>
    <col min="12801" max="12801" width="13.875" customWidth="1"/>
    <col min="12802" max="12802" width="11.375" customWidth="1"/>
    <col min="12803" max="12803" width="33.625" customWidth="1"/>
    <col min="12804" max="12805" width="10.125" customWidth="1"/>
    <col min="12806" max="12806" width="8.875" customWidth="1"/>
    <col min="12807" max="12807" width="13.875" customWidth="1"/>
    <col min="13057" max="13057" width="13.875" customWidth="1"/>
    <col min="13058" max="13058" width="11.375" customWidth="1"/>
    <col min="13059" max="13059" width="33.625" customWidth="1"/>
    <col min="13060" max="13061" width="10.125" customWidth="1"/>
    <col min="13062" max="13062" width="8.875" customWidth="1"/>
    <col min="13063" max="13063" width="13.875" customWidth="1"/>
    <col min="13313" max="13313" width="13.875" customWidth="1"/>
    <col min="13314" max="13314" width="11.375" customWidth="1"/>
    <col min="13315" max="13315" width="33.625" customWidth="1"/>
    <col min="13316" max="13317" width="10.125" customWidth="1"/>
    <col min="13318" max="13318" width="8.875" customWidth="1"/>
    <col min="13319" max="13319" width="13.875" customWidth="1"/>
    <col min="13569" max="13569" width="13.875" customWidth="1"/>
    <col min="13570" max="13570" width="11.375" customWidth="1"/>
    <col min="13571" max="13571" width="33.625" customWidth="1"/>
    <col min="13572" max="13573" width="10.125" customWidth="1"/>
    <col min="13574" max="13574" width="8.875" customWidth="1"/>
    <col min="13575" max="13575" width="13.875" customWidth="1"/>
    <col min="13825" max="13825" width="13.875" customWidth="1"/>
    <col min="13826" max="13826" width="11.375" customWidth="1"/>
    <col min="13827" max="13827" width="33.625" customWidth="1"/>
    <col min="13828" max="13829" width="10.125" customWidth="1"/>
    <col min="13830" max="13830" width="8.875" customWidth="1"/>
    <col min="13831" max="13831" width="13.875" customWidth="1"/>
    <col min="14081" max="14081" width="13.875" customWidth="1"/>
    <col min="14082" max="14082" width="11.375" customWidth="1"/>
    <col min="14083" max="14083" width="33.625" customWidth="1"/>
    <col min="14084" max="14085" width="10.125" customWidth="1"/>
    <col min="14086" max="14086" width="8.875" customWidth="1"/>
    <col min="14087" max="14087" width="13.875" customWidth="1"/>
    <col min="14337" max="14337" width="13.875" customWidth="1"/>
    <col min="14338" max="14338" width="11.375" customWidth="1"/>
    <col min="14339" max="14339" width="33.625" customWidth="1"/>
    <col min="14340" max="14341" width="10.125" customWidth="1"/>
    <col min="14342" max="14342" width="8.875" customWidth="1"/>
    <col min="14343" max="14343" width="13.875" customWidth="1"/>
    <col min="14593" max="14593" width="13.875" customWidth="1"/>
    <col min="14594" max="14594" width="11.375" customWidth="1"/>
    <col min="14595" max="14595" width="33.625" customWidth="1"/>
    <col min="14596" max="14597" width="10.125" customWidth="1"/>
    <col min="14598" max="14598" width="8.875" customWidth="1"/>
    <col min="14599" max="14599" width="13.875" customWidth="1"/>
    <col min="14849" max="14849" width="13.875" customWidth="1"/>
    <col min="14850" max="14850" width="11.375" customWidth="1"/>
    <col min="14851" max="14851" width="33.625" customWidth="1"/>
    <col min="14852" max="14853" width="10.125" customWidth="1"/>
    <col min="14854" max="14854" width="8.875" customWidth="1"/>
    <col min="14855" max="14855" width="13.875" customWidth="1"/>
    <col min="15105" max="15105" width="13.875" customWidth="1"/>
    <col min="15106" max="15106" width="11.375" customWidth="1"/>
    <col min="15107" max="15107" width="33.625" customWidth="1"/>
    <col min="15108" max="15109" width="10.125" customWidth="1"/>
    <col min="15110" max="15110" width="8.875" customWidth="1"/>
    <col min="15111" max="15111" width="13.875" customWidth="1"/>
    <col min="15361" max="15361" width="13.875" customWidth="1"/>
    <col min="15362" max="15362" width="11.375" customWidth="1"/>
    <col min="15363" max="15363" width="33.625" customWidth="1"/>
    <col min="15364" max="15365" width="10.125" customWidth="1"/>
    <col min="15366" max="15366" width="8.875" customWidth="1"/>
    <col min="15367" max="15367" width="13.875" customWidth="1"/>
    <col min="15617" max="15617" width="13.875" customWidth="1"/>
    <col min="15618" max="15618" width="11.375" customWidth="1"/>
    <col min="15619" max="15619" width="33.625" customWidth="1"/>
    <col min="15620" max="15621" width="10.125" customWidth="1"/>
    <col min="15622" max="15622" width="8.875" customWidth="1"/>
    <col min="15623" max="15623" width="13.875" customWidth="1"/>
    <col min="15873" max="15873" width="13.875" customWidth="1"/>
    <col min="15874" max="15874" width="11.375" customWidth="1"/>
    <col min="15875" max="15875" width="33.625" customWidth="1"/>
    <col min="15876" max="15877" width="10.125" customWidth="1"/>
    <col min="15878" max="15878" width="8.875" customWidth="1"/>
    <col min="15879" max="15879" width="13.875" customWidth="1"/>
    <col min="16129" max="16129" width="13.875" customWidth="1"/>
    <col min="16130" max="16130" width="11.375" customWidth="1"/>
    <col min="16131" max="16131" width="33.625" customWidth="1"/>
    <col min="16132" max="16133" width="10.125" customWidth="1"/>
    <col min="16134" max="16134" width="8.875" customWidth="1"/>
    <col min="16135" max="16135" width="13.875" customWidth="1"/>
  </cols>
  <sheetData>
    <row r="1" spans="1:8">
      <c r="A1" s="447" t="s">
        <v>3016</v>
      </c>
      <c r="B1" s="447" t="s">
        <v>3017</v>
      </c>
      <c r="C1" s="447" t="s">
        <v>3018</v>
      </c>
      <c r="D1" s="447" t="s">
        <v>914</v>
      </c>
      <c r="E1" s="447" t="s">
        <v>3019</v>
      </c>
      <c r="F1" s="447" t="s">
        <v>3020</v>
      </c>
      <c r="G1" s="447" t="s">
        <v>3021</v>
      </c>
      <c r="H1" s="328" t="s">
        <v>88</v>
      </c>
    </row>
    <row r="2" spans="1:8">
      <c r="A2" s="448">
        <v>1</v>
      </c>
      <c r="B2" s="448" t="s">
        <v>3022</v>
      </c>
      <c r="C2" s="448" t="s">
        <v>3023</v>
      </c>
      <c r="D2" s="448" t="s">
        <v>1312</v>
      </c>
      <c r="E2" s="448" t="s">
        <v>2120</v>
      </c>
      <c r="F2" s="448" t="s">
        <v>3024</v>
      </c>
      <c r="G2" s="448" t="s">
        <v>3025</v>
      </c>
      <c r="H2" s="328"/>
    </row>
    <row r="3" spans="1:7">
      <c r="A3" s="448">
        <v>2</v>
      </c>
      <c r="B3" s="448" t="s">
        <v>3026</v>
      </c>
      <c r="C3" s="448" t="s">
        <v>3027</v>
      </c>
      <c r="D3" s="448" t="s">
        <v>1312</v>
      </c>
      <c r="E3" s="448" t="s">
        <v>2120</v>
      </c>
      <c r="F3" s="448" t="s">
        <v>3024</v>
      </c>
      <c r="G3" s="448" t="s">
        <v>3028</v>
      </c>
    </row>
    <row r="4" spans="1:7">
      <c r="A4" s="448">
        <v>3</v>
      </c>
      <c r="B4" s="448" t="s">
        <v>3029</v>
      </c>
      <c r="C4" s="448" t="s">
        <v>3030</v>
      </c>
      <c r="D4" s="448" t="s">
        <v>1312</v>
      </c>
      <c r="E4" s="448" t="s">
        <v>2120</v>
      </c>
      <c r="F4" s="448" t="s">
        <v>3024</v>
      </c>
      <c r="G4" s="448" t="s">
        <v>3031</v>
      </c>
    </row>
    <row r="5" spans="1:7">
      <c r="A5" s="448">
        <v>4</v>
      </c>
      <c r="B5" s="448" t="s">
        <v>3032</v>
      </c>
      <c r="C5" s="448" t="s">
        <v>3033</v>
      </c>
      <c r="D5" s="448" t="s">
        <v>1312</v>
      </c>
      <c r="E5" s="448" t="s">
        <v>2120</v>
      </c>
      <c r="F5" s="448" t="s">
        <v>3024</v>
      </c>
      <c r="G5" s="448" t="s">
        <v>3034</v>
      </c>
    </row>
    <row r="6" spans="1:7">
      <c r="A6" s="448">
        <v>5</v>
      </c>
      <c r="B6" s="448" t="s">
        <v>3035</v>
      </c>
      <c r="C6" s="448" t="s">
        <v>3036</v>
      </c>
      <c r="D6" s="448" t="s">
        <v>1312</v>
      </c>
      <c r="E6" s="448" t="s">
        <v>2120</v>
      </c>
      <c r="F6" s="448" t="s">
        <v>3024</v>
      </c>
      <c r="G6" s="448" t="s">
        <v>3037</v>
      </c>
    </row>
    <row r="7" spans="1:7">
      <c r="A7" s="448">
        <v>6</v>
      </c>
      <c r="B7" s="448" t="s">
        <v>3038</v>
      </c>
      <c r="C7" s="448" t="s">
        <v>3039</v>
      </c>
      <c r="D7" s="448" t="s">
        <v>1312</v>
      </c>
      <c r="E7" s="448" t="s">
        <v>2120</v>
      </c>
      <c r="F7" s="448" t="s">
        <v>3024</v>
      </c>
      <c r="G7" s="448" t="s">
        <v>3040</v>
      </c>
    </row>
    <row r="8" spans="1:7">
      <c r="A8" s="448">
        <v>7</v>
      </c>
      <c r="B8" s="448" t="s">
        <v>3041</v>
      </c>
      <c r="C8" s="448" t="s">
        <v>3042</v>
      </c>
      <c r="D8" s="448" t="s">
        <v>1312</v>
      </c>
      <c r="E8" s="448" t="s">
        <v>2120</v>
      </c>
      <c r="F8" s="448" t="s">
        <v>3024</v>
      </c>
      <c r="G8" s="448" t="s">
        <v>3043</v>
      </c>
    </row>
    <row r="9" spans="1:7">
      <c r="A9" s="448">
        <v>8</v>
      </c>
      <c r="B9" s="448" t="s">
        <v>3044</v>
      </c>
      <c r="C9" s="448" t="s">
        <v>3033</v>
      </c>
      <c r="D9" s="448" t="s">
        <v>1312</v>
      </c>
      <c r="E9" s="448" t="s">
        <v>2120</v>
      </c>
      <c r="F9" s="448" t="s">
        <v>3024</v>
      </c>
      <c r="G9" s="448" t="s">
        <v>3045</v>
      </c>
    </row>
    <row r="10" spans="1:7">
      <c r="A10" s="448">
        <v>9</v>
      </c>
      <c r="B10" s="448" t="s">
        <v>3046</v>
      </c>
      <c r="C10" s="448" t="s">
        <v>3036</v>
      </c>
      <c r="D10" s="448" t="s">
        <v>1312</v>
      </c>
      <c r="E10" s="448" t="s">
        <v>2120</v>
      </c>
      <c r="F10" s="448" t="s">
        <v>3024</v>
      </c>
      <c r="G10" s="448" t="s">
        <v>3047</v>
      </c>
    </row>
    <row r="11" spans="1:7">
      <c r="A11" s="448">
        <v>10</v>
      </c>
      <c r="B11" s="448" t="s">
        <v>3048</v>
      </c>
      <c r="C11" s="448" t="s">
        <v>3039</v>
      </c>
      <c r="D11" s="448" t="s">
        <v>1312</v>
      </c>
      <c r="E11" s="448" t="s">
        <v>2120</v>
      </c>
      <c r="F11" s="448" t="s">
        <v>3024</v>
      </c>
      <c r="G11" s="448" t="s">
        <v>3049</v>
      </c>
    </row>
    <row r="12" spans="1:7">
      <c r="A12" s="448">
        <v>11</v>
      </c>
      <c r="B12" s="448" t="s">
        <v>3050</v>
      </c>
      <c r="C12" s="448" t="s">
        <v>3051</v>
      </c>
      <c r="D12" s="448" t="s">
        <v>1312</v>
      </c>
      <c r="E12" s="448" t="s">
        <v>2120</v>
      </c>
      <c r="F12" s="448" t="s">
        <v>3024</v>
      </c>
      <c r="G12" s="448" t="s">
        <v>3052</v>
      </c>
    </row>
    <row r="13" spans="1:7">
      <c r="A13" s="448">
        <v>12</v>
      </c>
      <c r="B13" s="448" t="s">
        <v>3053</v>
      </c>
      <c r="C13" s="448" t="s">
        <v>3027</v>
      </c>
      <c r="D13" s="448" t="s">
        <v>1312</v>
      </c>
      <c r="E13" s="448" t="s">
        <v>2120</v>
      </c>
      <c r="F13" s="448" t="s">
        <v>3024</v>
      </c>
      <c r="G13" s="448" t="s">
        <v>3054</v>
      </c>
    </row>
    <row r="14" spans="1:7">
      <c r="A14" s="448">
        <v>13</v>
      </c>
      <c r="B14" s="448" t="s">
        <v>3055</v>
      </c>
      <c r="C14" s="448" t="s">
        <v>3056</v>
      </c>
      <c r="D14" s="448" t="s">
        <v>1312</v>
      </c>
      <c r="E14" s="448" t="s">
        <v>2120</v>
      </c>
      <c r="F14" s="448" t="s">
        <v>3024</v>
      </c>
      <c r="G14" s="448" t="s">
        <v>3057</v>
      </c>
    </row>
    <row r="15" spans="1:7">
      <c r="A15" s="448">
        <v>14</v>
      </c>
      <c r="B15" s="448" t="s">
        <v>3058</v>
      </c>
      <c r="C15" s="448" t="s">
        <v>3042</v>
      </c>
      <c r="D15" s="448" t="s">
        <v>1312</v>
      </c>
      <c r="E15" s="448" t="s">
        <v>2120</v>
      </c>
      <c r="F15" s="448" t="s">
        <v>3024</v>
      </c>
      <c r="G15" s="448" t="s">
        <v>3059</v>
      </c>
    </row>
    <row r="16" spans="1:7">
      <c r="A16" s="448">
        <v>15</v>
      </c>
      <c r="B16" s="448" t="s">
        <v>3060</v>
      </c>
      <c r="C16" s="448" t="s">
        <v>3061</v>
      </c>
      <c r="D16" s="448" t="s">
        <v>1312</v>
      </c>
      <c r="E16" s="448" t="s">
        <v>2120</v>
      </c>
      <c r="F16" s="448" t="s">
        <v>3024</v>
      </c>
      <c r="G16" s="448" t="s">
        <v>3062</v>
      </c>
    </row>
    <row r="17" spans="1:7">
      <c r="A17" s="448">
        <v>16</v>
      </c>
      <c r="B17" s="448" t="s">
        <v>3063</v>
      </c>
      <c r="C17" s="448" t="s">
        <v>3064</v>
      </c>
      <c r="D17" s="448" t="s">
        <v>1312</v>
      </c>
      <c r="E17" s="448" t="s">
        <v>2120</v>
      </c>
      <c r="F17" s="448" t="s">
        <v>3024</v>
      </c>
      <c r="G17" s="448" t="s">
        <v>3065</v>
      </c>
    </row>
    <row r="18" spans="1:7">
      <c r="A18" s="448">
        <v>17</v>
      </c>
      <c r="B18" s="448" t="s">
        <v>3066</v>
      </c>
      <c r="C18" s="448" t="s">
        <v>3067</v>
      </c>
      <c r="D18" s="448" t="s">
        <v>1312</v>
      </c>
      <c r="E18" s="448" t="s">
        <v>2120</v>
      </c>
      <c r="F18" s="448" t="s">
        <v>3024</v>
      </c>
      <c r="G18" s="448" t="s">
        <v>3068</v>
      </c>
    </row>
    <row r="19" spans="1:7">
      <c r="A19" s="448">
        <v>18</v>
      </c>
      <c r="B19" s="448" t="s">
        <v>3069</v>
      </c>
      <c r="C19" s="448" t="s">
        <v>3042</v>
      </c>
      <c r="D19" s="448" t="s">
        <v>1312</v>
      </c>
      <c r="E19" s="448" t="s">
        <v>2120</v>
      </c>
      <c r="F19" s="448" t="s">
        <v>3024</v>
      </c>
      <c r="G19" s="448" t="s">
        <v>3070</v>
      </c>
    </row>
    <row r="20" spans="1:7">
      <c r="A20" s="448">
        <v>19</v>
      </c>
      <c r="B20" s="448" t="s">
        <v>3071</v>
      </c>
      <c r="C20" s="448" t="s">
        <v>3061</v>
      </c>
      <c r="D20" s="448" t="s">
        <v>1312</v>
      </c>
      <c r="E20" s="448" t="s">
        <v>2120</v>
      </c>
      <c r="F20" s="448" t="s">
        <v>3024</v>
      </c>
      <c r="G20" s="448" t="s">
        <v>3072</v>
      </c>
    </row>
    <row r="21" spans="1:7">
      <c r="A21" s="448">
        <v>20</v>
      </c>
      <c r="B21" s="448" t="s">
        <v>3073</v>
      </c>
      <c r="C21" s="448" t="s">
        <v>3064</v>
      </c>
      <c r="D21" s="448" t="s">
        <v>1312</v>
      </c>
      <c r="E21" s="448" t="s">
        <v>2120</v>
      </c>
      <c r="F21" s="448" t="s">
        <v>3024</v>
      </c>
      <c r="G21" s="448" t="s">
        <v>3074</v>
      </c>
    </row>
    <row r="22" spans="1:7">
      <c r="A22" s="448">
        <v>21</v>
      </c>
      <c r="B22" s="448" t="s">
        <v>3075</v>
      </c>
      <c r="C22" s="448" t="s">
        <v>3067</v>
      </c>
      <c r="D22" s="448" t="s">
        <v>1312</v>
      </c>
      <c r="E22" s="448" t="s">
        <v>2120</v>
      </c>
      <c r="F22" s="448" t="s">
        <v>3024</v>
      </c>
      <c r="G22" s="448" t="s">
        <v>3076</v>
      </c>
    </row>
    <row r="23" spans="1:7">
      <c r="A23" s="448">
        <v>22</v>
      </c>
      <c r="B23" s="448" t="s">
        <v>3077</v>
      </c>
      <c r="C23" s="448" t="s">
        <v>3078</v>
      </c>
      <c r="D23" s="448" t="s">
        <v>1312</v>
      </c>
      <c r="E23" s="448" t="s">
        <v>2120</v>
      </c>
      <c r="F23" s="448" t="s">
        <v>3024</v>
      </c>
      <c r="G23" s="448" t="s">
        <v>3079</v>
      </c>
    </row>
    <row r="24" spans="1:7">
      <c r="A24" s="448">
        <v>23</v>
      </c>
      <c r="B24" s="448" t="s">
        <v>3080</v>
      </c>
      <c r="C24" s="448" t="s">
        <v>3030</v>
      </c>
      <c r="D24" s="448" t="s">
        <v>1312</v>
      </c>
      <c r="E24" s="448" t="s">
        <v>2120</v>
      </c>
      <c r="F24" s="448" t="s">
        <v>3024</v>
      </c>
      <c r="G24" s="448" t="s">
        <v>3081</v>
      </c>
    </row>
    <row r="25" spans="1:7">
      <c r="A25" s="448">
        <v>24</v>
      </c>
      <c r="B25" s="448" t="s">
        <v>3082</v>
      </c>
      <c r="C25" s="448" t="s">
        <v>3056</v>
      </c>
      <c r="D25" s="448" t="s">
        <v>1312</v>
      </c>
      <c r="E25" s="448" t="s">
        <v>2120</v>
      </c>
      <c r="F25" s="448" t="s">
        <v>3024</v>
      </c>
      <c r="G25" s="448" t="s">
        <v>3083</v>
      </c>
    </row>
    <row r="26" spans="1:7">
      <c r="A26" s="448">
        <v>25</v>
      </c>
      <c r="B26" s="448" t="s">
        <v>3084</v>
      </c>
      <c r="C26" s="448" t="s">
        <v>3064</v>
      </c>
      <c r="D26" s="448" t="s">
        <v>1312</v>
      </c>
      <c r="E26" s="448" t="s">
        <v>2120</v>
      </c>
      <c r="F26" s="448" t="s">
        <v>3024</v>
      </c>
      <c r="G26" s="448" t="s">
        <v>3085</v>
      </c>
    </row>
    <row r="27" spans="1:7">
      <c r="A27" s="448">
        <v>26</v>
      </c>
      <c r="B27" s="448" t="s">
        <v>3086</v>
      </c>
      <c r="C27" s="448" t="s">
        <v>3067</v>
      </c>
      <c r="D27" s="448" t="s">
        <v>1312</v>
      </c>
      <c r="E27" s="448" t="s">
        <v>2120</v>
      </c>
      <c r="F27" s="448" t="s">
        <v>3024</v>
      </c>
      <c r="G27" s="448" t="s">
        <v>3087</v>
      </c>
    </row>
    <row r="28" spans="1:7">
      <c r="A28" s="448">
        <v>27</v>
      </c>
      <c r="B28" s="448" t="s">
        <v>3088</v>
      </c>
      <c r="C28" s="448" t="s">
        <v>3089</v>
      </c>
      <c r="D28" s="448" t="s">
        <v>1312</v>
      </c>
      <c r="E28" s="448" t="s">
        <v>2120</v>
      </c>
      <c r="F28" s="448" t="s">
        <v>3024</v>
      </c>
      <c r="G28" s="448" t="s">
        <v>3090</v>
      </c>
    </row>
    <row r="29" spans="1:7">
      <c r="A29" s="448">
        <v>28</v>
      </c>
      <c r="B29" s="448" t="s">
        <v>3091</v>
      </c>
      <c r="C29" s="448" t="s">
        <v>3092</v>
      </c>
      <c r="D29" s="448" t="s">
        <v>1312</v>
      </c>
      <c r="E29" s="448" t="s">
        <v>2120</v>
      </c>
      <c r="F29" s="448" t="s">
        <v>3024</v>
      </c>
      <c r="G29" s="448" t="s">
        <v>3093</v>
      </c>
    </row>
    <row r="30" spans="1:7">
      <c r="A30" s="448">
        <v>29</v>
      </c>
      <c r="B30" s="448" t="s">
        <v>3094</v>
      </c>
      <c r="C30" s="448" t="s">
        <v>3095</v>
      </c>
      <c r="D30" s="448" t="s">
        <v>1312</v>
      </c>
      <c r="E30" s="448" t="s">
        <v>2120</v>
      </c>
      <c r="F30" s="448" t="s">
        <v>3024</v>
      </c>
      <c r="G30" s="448" t="s">
        <v>3096</v>
      </c>
    </row>
    <row r="31" spans="1:7">
      <c r="A31" s="448">
        <v>30</v>
      </c>
      <c r="B31" s="448" t="s">
        <v>3097</v>
      </c>
      <c r="C31" s="448" t="s">
        <v>3098</v>
      </c>
      <c r="D31" s="448" t="s">
        <v>1312</v>
      </c>
      <c r="E31" s="448" t="s">
        <v>2120</v>
      </c>
      <c r="F31" s="448" t="s">
        <v>3024</v>
      </c>
      <c r="G31" s="448" t="s">
        <v>3099</v>
      </c>
    </row>
    <row r="32" spans="1:7">
      <c r="A32" s="448">
        <v>31</v>
      </c>
      <c r="B32" s="448" t="s">
        <v>3100</v>
      </c>
      <c r="C32" s="448" t="s">
        <v>3101</v>
      </c>
      <c r="D32" s="448" t="s">
        <v>1312</v>
      </c>
      <c r="E32" s="448" t="s">
        <v>2120</v>
      </c>
      <c r="F32" s="448" t="s">
        <v>3024</v>
      </c>
      <c r="G32" s="448" t="s">
        <v>3102</v>
      </c>
    </row>
    <row r="33" spans="1:7">
      <c r="A33" s="448">
        <v>32</v>
      </c>
      <c r="B33" s="448" t="s">
        <v>3103</v>
      </c>
      <c r="C33" s="448" t="s">
        <v>3078</v>
      </c>
      <c r="D33" s="448" t="s">
        <v>1312</v>
      </c>
      <c r="E33" s="448" t="s">
        <v>2120</v>
      </c>
      <c r="F33" s="448" t="s">
        <v>3024</v>
      </c>
      <c r="G33" s="448" t="s">
        <v>3104</v>
      </c>
    </row>
    <row r="34" spans="1:7">
      <c r="A34" s="448">
        <v>33</v>
      </c>
      <c r="B34" s="448" t="s">
        <v>3105</v>
      </c>
      <c r="C34" s="448" t="s">
        <v>3056</v>
      </c>
      <c r="D34" s="448" t="s">
        <v>1312</v>
      </c>
      <c r="E34" s="448" t="s">
        <v>2120</v>
      </c>
      <c r="F34" s="448" t="s">
        <v>3024</v>
      </c>
      <c r="G34" s="448" t="s">
        <v>3106</v>
      </c>
    </row>
    <row r="35" spans="1:7">
      <c r="A35" s="448">
        <v>34</v>
      </c>
      <c r="B35" s="448" t="s">
        <v>3107</v>
      </c>
      <c r="C35" s="448" t="s">
        <v>3033</v>
      </c>
      <c r="D35" s="448" t="s">
        <v>1312</v>
      </c>
      <c r="E35" s="448" t="s">
        <v>2120</v>
      </c>
      <c r="F35" s="448" t="s">
        <v>3024</v>
      </c>
      <c r="G35" s="448" t="s">
        <v>3108</v>
      </c>
    </row>
    <row r="36" spans="1:7">
      <c r="A36" s="448">
        <v>35</v>
      </c>
      <c r="B36" s="448" t="s">
        <v>3109</v>
      </c>
      <c r="C36" s="448" t="s">
        <v>3064</v>
      </c>
      <c r="D36" s="448" t="s">
        <v>1312</v>
      </c>
      <c r="E36" s="448" t="s">
        <v>2120</v>
      </c>
      <c r="F36" s="448" t="s">
        <v>3024</v>
      </c>
      <c r="G36" s="448" t="s">
        <v>3110</v>
      </c>
    </row>
    <row r="37" spans="1:7">
      <c r="A37" s="448">
        <v>36</v>
      </c>
      <c r="B37" s="448" t="s">
        <v>3111</v>
      </c>
      <c r="C37" s="448" t="s">
        <v>3067</v>
      </c>
      <c r="D37" s="448" t="s">
        <v>1312</v>
      </c>
      <c r="E37" s="448" t="s">
        <v>2120</v>
      </c>
      <c r="F37" s="448" t="s">
        <v>3024</v>
      </c>
      <c r="G37" s="448" t="s">
        <v>3112</v>
      </c>
    </row>
    <row r="38" spans="1:7">
      <c r="A38" s="448">
        <v>37</v>
      </c>
      <c r="B38" s="448" t="s">
        <v>3113</v>
      </c>
      <c r="C38" s="448" t="s">
        <v>3114</v>
      </c>
      <c r="D38" s="448" t="s">
        <v>1312</v>
      </c>
      <c r="E38" s="448" t="s">
        <v>2120</v>
      </c>
      <c r="F38" s="448" t="s">
        <v>3024</v>
      </c>
      <c r="G38" s="448" t="s">
        <v>3115</v>
      </c>
    </row>
    <row r="39" spans="1:7">
      <c r="A39" s="448">
        <v>38</v>
      </c>
      <c r="B39" s="448" t="s">
        <v>3116</v>
      </c>
      <c r="C39" s="448" t="s">
        <v>3117</v>
      </c>
      <c r="D39" s="448" t="s">
        <v>1312</v>
      </c>
      <c r="E39" s="448" t="s">
        <v>2120</v>
      </c>
      <c r="F39" s="448" t="s">
        <v>3024</v>
      </c>
      <c r="G39" s="448" t="s">
        <v>3118</v>
      </c>
    </row>
    <row r="40" spans="1:7">
      <c r="A40" s="448">
        <v>39</v>
      </c>
      <c r="B40" s="448" t="s">
        <v>3119</v>
      </c>
      <c r="C40" s="448" t="s">
        <v>3095</v>
      </c>
      <c r="D40" s="448" t="s">
        <v>1312</v>
      </c>
      <c r="E40" s="448" t="s">
        <v>2120</v>
      </c>
      <c r="F40" s="448" t="s">
        <v>3024</v>
      </c>
      <c r="G40" s="448" t="s">
        <v>3120</v>
      </c>
    </row>
    <row r="41" spans="1:7">
      <c r="A41" s="448">
        <v>40</v>
      </c>
      <c r="B41" s="448" t="s">
        <v>3121</v>
      </c>
      <c r="C41" s="448" t="s">
        <v>3098</v>
      </c>
      <c r="D41" s="448" t="s">
        <v>1312</v>
      </c>
      <c r="E41" s="448" t="s">
        <v>2120</v>
      </c>
      <c r="F41" s="448" t="s">
        <v>3024</v>
      </c>
      <c r="G41" s="448" t="s">
        <v>3122</v>
      </c>
    </row>
    <row r="42" spans="1:7">
      <c r="A42" s="448">
        <v>41</v>
      </c>
      <c r="B42" s="448" t="s">
        <v>3123</v>
      </c>
      <c r="C42" s="448" t="s">
        <v>3101</v>
      </c>
      <c r="D42" s="448" t="s">
        <v>1312</v>
      </c>
      <c r="E42" s="448" t="s">
        <v>2120</v>
      </c>
      <c r="F42" s="448" t="s">
        <v>3024</v>
      </c>
      <c r="G42" s="448" t="s">
        <v>3124</v>
      </c>
    </row>
    <row r="43" spans="1:7">
      <c r="A43" s="448">
        <v>42</v>
      </c>
      <c r="B43" s="448" t="s">
        <v>3125</v>
      </c>
      <c r="C43" s="448" t="s">
        <v>3126</v>
      </c>
      <c r="D43" s="448" t="s">
        <v>1312</v>
      </c>
      <c r="E43" s="448" t="s">
        <v>2120</v>
      </c>
      <c r="F43" s="448" t="s">
        <v>3024</v>
      </c>
      <c r="G43" s="448" t="s">
        <v>3127</v>
      </c>
    </row>
    <row r="44" spans="1:7">
      <c r="A44" s="448">
        <v>43</v>
      </c>
      <c r="B44" s="448" t="s">
        <v>3128</v>
      </c>
      <c r="C44" s="448" t="s">
        <v>3114</v>
      </c>
      <c r="D44" s="448" t="s">
        <v>1312</v>
      </c>
      <c r="E44" s="448" t="s">
        <v>2120</v>
      </c>
      <c r="F44" s="448" t="s">
        <v>3024</v>
      </c>
      <c r="G44" s="448" t="s">
        <v>3129</v>
      </c>
    </row>
    <row r="45" spans="1:7">
      <c r="A45" s="448">
        <v>44</v>
      </c>
      <c r="B45" s="448" t="s">
        <v>3130</v>
      </c>
      <c r="C45" s="448" t="s">
        <v>3117</v>
      </c>
      <c r="D45" s="448" t="s">
        <v>1312</v>
      </c>
      <c r="E45" s="448" t="s">
        <v>2120</v>
      </c>
      <c r="F45" s="448" t="s">
        <v>3024</v>
      </c>
      <c r="G45" s="448" t="s">
        <v>3131</v>
      </c>
    </row>
    <row r="46" spans="1:7">
      <c r="A46" s="448">
        <v>45</v>
      </c>
      <c r="B46" s="448" t="s">
        <v>3132</v>
      </c>
      <c r="C46" s="448" t="s">
        <v>3036</v>
      </c>
      <c r="D46" s="448" t="s">
        <v>1312</v>
      </c>
      <c r="E46" s="448" t="s">
        <v>2120</v>
      </c>
      <c r="F46" s="448" t="s">
        <v>3024</v>
      </c>
      <c r="G46" s="448" t="s">
        <v>3133</v>
      </c>
    </row>
    <row r="47" spans="1:7">
      <c r="A47" s="448">
        <v>46</v>
      </c>
      <c r="B47" s="448" t="s">
        <v>3134</v>
      </c>
      <c r="C47" s="448" t="s">
        <v>3095</v>
      </c>
      <c r="D47" s="448" t="s">
        <v>1312</v>
      </c>
      <c r="E47" s="448" t="s">
        <v>2120</v>
      </c>
      <c r="F47" s="448" t="s">
        <v>3024</v>
      </c>
      <c r="G47" s="448" t="s">
        <v>3135</v>
      </c>
    </row>
    <row r="48" spans="1:7">
      <c r="A48" s="448">
        <v>47</v>
      </c>
      <c r="B48" s="448" t="s">
        <v>3136</v>
      </c>
      <c r="C48" s="448" t="s">
        <v>3117</v>
      </c>
      <c r="D48" s="448" t="s">
        <v>1312</v>
      </c>
      <c r="E48" s="448" t="s">
        <v>2120</v>
      </c>
      <c r="F48" s="448" t="s">
        <v>3024</v>
      </c>
      <c r="G48" s="448" t="s">
        <v>3137</v>
      </c>
    </row>
    <row r="49" spans="1:7">
      <c r="A49" s="448">
        <v>48</v>
      </c>
      <c r="B49" s="448" t="s">
        <v>3138</v>
      </c>
      <c r="C49" s="448" t="s">
        <v>3095</v>
      </c>
      <c r="D49" s="448" t="s">
        <v>1312</v>
      </c>
      <c r="E49" s="448" t="s">
        <v>2120</v>
      </c>
      <c r="F49" s="448" t="s">
        <v>3024</v>
      </c>
      <c r="G49" s="448" t="s">
        <v>3139</v>
      </c>
    </row>
    <row r="50" spans="1:7">
      <c r="A50" s="448">
        <v>49</v>
      </c>
      <c r="B50" s="448" t="s">
        <v>3140</v>
      </c>
      <c r="C50" s="448" t="s">
        <v>3141</v>
      </c>
      <c r="D50" s="448" t="s">
        <v>1312</v>
      </c>
      <c r="E50" s="448" t="s">
        <v>2120</v>
      </c>
      <c r="F50" s="448" t="s">
        <v>3024</v>
      </c>
      <c r="G50" s="448" t="s">
        <v>3142</v>
      </c>
    </row>
    <row r="51" spans="1:7">
      <c r="A51" s="448">
        <v>50</v>
      </c>
      <c r="B51" s="448" t="s">
        <v>3143</v>
      </c>
      <c r="C51" s="448" t="s">
        <v>3039</v>
      </c>
      <c r="D51" s="448" t="s">
        <v>1312</v>
      </c>
      <c r="E51" s="448" t="s">
        <v>2120</v>
      </c>
      <c r="F51" s="448" t="s">
        <v>3024</v>
      </c>
      <c r="G51" s="448" t="s">
        <v>3144</v>
      </c>
    </row>
    <row r="52" spans="1:7">
      <c r="A52" s="448">
        <v>51</v>
      </c>
      <c r="B52" s="448" t="s">
        <v>3145</v>
      </c>
      <c r="C52" s="448" t="s">
        <v>3078</v>
      </c>
      <c r="D52" s="448" t="s">
        <v>1312</v>
      </c>
      <c r="E52" s="448" t="s">
        <v>2120</v>
      </c>
      <c r="F52" s="448" t="s">
        <v>3024</v>
      </c>
      <c r="G52" s="448" t="s">
        <v>3146</v>
      </c>
    </row>
    <row r="53" spans="1:7">
      <c r="A53" s="448">
        <v>52</v>
      </c>
      <c r="B53" s="448" t="s">
        <v>3147</v>
      </c>
      <c r="C53" s="448" t="s">
        <v>3056</v>
      </c>
      <c r="D53" s="448" t="s">
        <v>1312</v>
      </c>
      <c r="E53" s="448" t="s">
        <v>2120</v>
      </c>
      <c r="F53" s="448" t="s">
        <v>3024</v>
      </c>
      <c r="G53" s="448" t="s">
        <v>3148</v>
      </c>
    </row>
    <row r="54" spans="1:7">
      <c r="A54" s="448">
        <v>53</v>
      </c>
      <c r="B54" s="448" t="s">
        <v>3149</v>
      </c>
      <c r="C54" s="448" t="s">
        <v>3023</v>
      </c>
      <c r="D54" s="448" t="s">
        <v>1312</v>
      </c>
      <c r="E54" s="448" t="s">
        <v>2120</v>
      </c>
      <c r="F54" s="448" t="s">
        <v>3024</v>
      </c>
      <c r="G54" s="448" t="s">
        <v>3150</v>
      </c>
    </row>
    <row r="55" spans="1:7">
      <c r="A55" s="448">
        <v>54</v>
      </c>
      <c r="B55" s="448" t="s">
        <v>3151</v>
      </c>
      <c r="C55" s="448" t="s">
        <v>3152</v>
      </c>
      <c r="D55" s="448" t="s">
        <v>1312</v>
      </c>
      <c r="E55" s="448" t="s">
        <v>2120</v>
      </c>
      <c r="F55" s="448" t="s">
        <v>3024</v>
      </c>
      <c r="G55" s="448" t="s">
        <v>3153</v>
      </c>
    </row>
    <row r="56" spans="1:7">
      <c r="A56" s="448">
        <v>55</v>
      </c>
      <c r="B56" s="448" t="s">
        <v>3154</v>
      </c>
      <c r="C56" s="448" t="s">
        <v>3155</v>
      </c>
      <c r="D56" s="448" t="s">
        <v>1312</v>
      </c>
      <c r="E56" s="448" t="s">
        <v>2120</v>
      </c>
      <c r="F56" s="448" t="s">
        <v>3024</v>
      </c>
      <c r="G56" s="448" t="s">
        <v>3156</v>
      </c>
    </row>
    <row r="57" spans="1:7">
      <c r="A57" s="448">
        <v>56</v>
      </c>
      <c r="B57" s="448" t="s">
        <v>3157</v>
      </c>
      <c r="C57" s="448" t="s">
        <v>3158</v>
      </c>
      <c r="D57" s="448" t="s">
        <v>1312</v>
      </c>
      <c r="E57" s="448" t="s">
        <v>2120</v>
      </c>
      <c r="F57" s="448" t="s">
        <v>3024</v>
      </c>
      <c r="G57" s="448" t="s">
        <v>3159</v>
      </c>
    </row>
    <row r="58" spans="1:7">
      <c r="A58" s="448">
        <v>57</v>
      </c>
      <c r="B58" s="448" t="s">
        <v>3160</v>
      </c>
      <c r="C58" s="448" t="s">
        <v>3161</v>
      </c>
      <c r="D58" s="448" t="s">
        <v>1312</v>
      </c>
      <c r="E58" s="448" t="s">
        <v>2120</v>
      </c>
      <c r="F58" s="448" t="s">
        <v>3024</v>
      </c>
      <c r="G58" s="448" t="s">
        <v>3162</v>
      </c>
    </row>
    <row r="59" spans="1:7">
      <c r="A59" s="448">
        <v>58</v>
      </c>
      <c r="B59" s="448" t="s">
        <v>3163</v>
      </c>
      <c r="C59" s="448" t="s">
        <v>3164</v>
      </c>
      <c r="D59" s="448" t="s">
        <v>1312</v>
      </c>
      <c r="E59" s="448" t="s">
        <v>2120</v>
      </c>
      <c r="F59" s="448" t="s">
        <v>3024</v>
      </c>
      <c r="G59" s="448" t="s">
        <v>3165</v>
      </c>
    </row>
    <row r="60" spans="1:7">
      <c r="A60" s="448">
        <v>59</v>
      </c>
      <c r="B60" s="448" t="s">
        <v>3166</v>
      </c>
      <c r="C60" s="448" t="s">
        <v>3167</v>
      </c>
      <c r="D60" s="448" t="s">
        <v>1312</v>
      </c>
      <c r="E60" s="448" t="s">
        <v>2120</v>
      </c>
      <c r="F60" s="448" t="s">
        <v>3024</v>
      </c>
      <c r="G60" s="448" t="s">
        <v>3168</v>
      </c>
    </row>
    <row r="61" spans="1:7">
      <c r="A61" s="448">
        <v>60</v>
      </c>
      <c r="B61" s="448" t="s">
        <v>3169</v>
      </c>
      <c r="C61" s="448" t="s">
        <v>3170</v>
      </c>
      <c r="D61" s="448" t="s">
        <v>1312</v>
      </c>
      <c r="E61" s="448" t="s">
        <v>2120</v>
      </c>
      <c r="F61" s="448" t="s">
        <v>3024</v>
      </c>
      <c r="G61" s="448" t="s">
        <v>3171</v>
      </c>
    </row>
    <row r="62" spans="1:7">
      <c r="A62" s="448">
        <v>61</v>
      </c>
      <c r="B62" s="448" t="s">
        <v>3172</v>
      </c>
      <c r="C62" s="448" t="s">
        <v>3173</v>
      </c>
      <c r="D62" s="448" t="s">
        <v>1312</v>
      </c>
      <c r="E62" s="448" t="s">
        <v>2120</v>
      </c>
      <c r="F62" s="448" t="s">
        <v>3024</v>
      </c>
      <c r="G62" s="448" t="s">
        <v>3174</v>
      </c>
    </row>
    <row r="63" spans="1:7">
      <c r="A63" s="448">
        <v>62</v>
      </c>
      <c r="B63" s="448" t="s">
        <v>3175</v>
      </c>
      <c r="C63" s="448" t="s">
        <v>3176</v>
      </c>
      <c r="D63" s="448" t="s">
        <v>1312</v>
      </c>
      <c r="E63" s="448" t="s">
        <v>2120</v>
      </c>
      <c r="F63" s="448" t="s">
        <v>3024</v>
      </c>
      <c r="G63" s="448" t="s">
        <v>3177</v>
      </c>
    </row>
    <row r="64" spans="1:7">
      <c r="A64" s="448">
        <v>63</v>
      </c>
      <c r="B64" s="448" t="s">
        <v>3178</v>
      </c>
      <c r="C64" s="448" t="s">
        <v>3179</v>
      </c>
      <c r="D64" s="448" t="s">
        <v>1312</v>
      </c>
      <c r="E64" s="448" t="s">
        <v>2120</v>
      </c>
      <c r="F64" s="448" t="s">
        <v>3024</v>
      </c>
      <c r="G64" s="448" t="s">
        <v>3180</v>
      </c>
    </row>
    <row r="65" spans="1:7">
      <c r="A65" s="448">
        <v>64</v>
      </c>
      <c r="B65" s="448" t="s">
        <v>3181</v>
      </c>
      <c r="C65" s="448" t="s">
        <v>3182</v>
      </c>
      <c r="D65" s="448" t="s">
        <v>1312</v>
      </c>
      <c r="E65" s="448" t="s">
        <v>2120</v>
      </c>
      <c r="F65" s="448" t="s">
        <v>3024</v>
      </c>
      <c r="G65" s="448" t="s">
        <v>3183</v>
      </c>
    </row>
    <row r="66" spans="1:7">
      <c r="A66" s="448">
        <v>65</v>
      </c>
      <c r="B66" s="448" t="s">
        <v>3184</v>
      </c>
      <c r="C66" s="448" t="s">
        <v>3185</v>
      </c>
      <c r="D66" s="448" t="s">
        <v>1312</v>
      </c>
      <c r="E66" s="448" t="s">
        <v>2120</v>
      </c>
      <c r="F66" s="448" t="s">
        <v>3024</v>
      </c>
      <c r="G66" s="448" t="s">
        <v>3186</v>
      </c>
    </row>
    <row r="67" spans="1:7">
      <c r="A67" s="448">
        <v>66</v>
      </c>
      <c r="B67" s="448" t="s">
        <v>3187</v>
      </c>
      <c r="C67" s="448" t="s">
        <v>3188</v>
      </c>
      <c r="D67" s="448" t="s">
        <v>1312</v>
      </c>
      <c r="E67" s="448" t="s">
        <v>2120</v>
      </c>
      <c r="F67" s="448" t="s">
        <v>3024</v>
      </c>
      <c r="G67" s="448" t="s">
        <v>3189</v>
      </c>
    </row>
    <row r="68" spans="1:7">
      <c r="A68" s="448">
        <v>67</v>
      </c>
      <c r="B68" s="448" t="s">
        <v>3190</v>
      </c>
      <c r="C68" s="448" t="s">
        <v>3191</v>
      </c>
      <c r="D68" s="448" t="s">
        <v>1312</v>
      </c>
      <c r="E68" s="448" t="s">
        <v>2120</v>
      </c>
      <c r="F68" s="448" t="s">
        <v>3024</v>
      </c>
      <c r="G68" s="448" t="s">
        <v>3192</v>
      </c>
    </row>
    <row r="69" spans="1:7">
      <c r="A69" s="448">
        <v>68</v>
      </c>
      <c r="B69" s="448" t="s">
        <v>3193</v>
      </c>
      <c r="C69" s="448" t="s">
        <v>3194</v>
      </c>
      <c r="D69" s="448" t="s">
        <v>1312</v>
      </c>
      <c r="E69" s="448" t="s">
        <v>2120</v>
      </c>
      <c r="F69" s="448" t="s">
        <v>3024</v>
      </c>
      <c r="G69" s="448" t="s">
        <v>3195</v>
      </c>
    </row>
    <row r="70" spans="1:7">
      <c r="A70" s="448">
        <v>69</v>
      </c>
      <c r="B70" s="448" t="s">
        <v>3196</v>
      </c>
      <c r="C70" s="448" t="s">
        <v>3197</v>
      </c>
      <c r="D70" s="448" t="s">
        <v>1312</v>
      </c>
      <c r="E70" s="448" t="s">
        <v>2120</v>
      </c>
      <c r="F70" s="448" t="s">
        <v>3024</v>
      </c>
      <c r="G70" s="448" t="s">
        <v>3198</v>
      </c>
    </row>
    <row r="71" spans="1:7">
      <c r="A71" s="448">
        <v>70</v>
      </c>
      <c r="B71" s="448" t="s">
        <v>3199</v>
      </c>
      <c r="C71" s="448" t="s">
        <v>3200</v>
      </c>
      <c r="D71" s="448" t="s">
        <v>1312</v>
      </c>
      <c r="E71" s="448" t="s">
        <v>2120</v>
      </c>
      <c r="F71" s="448" t="s">
        <v>3024</v>
      </c>
      <c r="G71" s="448" t="s">
        <v>3201</v>
      </c>
    </row>
    <row r="72" spans="1:7">
      <c r="A72" s="448">
        <v>71</v>
      </c>
      <c r="B72" s="448" t="s">
        <v>3202</v>
      </c>
      <c r="C72" s="448" t="s">
        <v>3203</v>
      </c>
      <c r="D72" s="448" t="s">
        <v>1312</v>
      </c>
      <c r="E72" s="448" t="s">
        <v>2120</v>
      </c>
      <c r="F72" s="448" t="s">
        <v>3024</v>
      </c>
      <c r="G72" s="448" t="s">
        <v>3204</v>
      </c>
    </row>
    <row r="73" spans="1:7">
      <c r="A73" s="448">
        <v>72</v>
      </c>
      <c r="B73" s="448" t="s">
        <v>3205</v>
      </c>
      <c r="C73" s="448" t="s">
        <v>3206</v>
      </c>
      <c r="D73" s="448" t="s">
        <v>1312</v>
      </c>
      <c r="E73" s="448" t="s">
        <v>2120</v>
      </c>
      <c r="F73" s="448" t="s">
        <v>3024</v>
      </c>
      <c r="G73" s="448" t="s">
        <v>3207</v>
      </c>
    </row>
    <row r="74" spans="1:7">
      <c r="A74" s="448">
        <v>73</v>
      </c>
      <c r="B74" s="448" t="s">
        <v>3208</v>
      </c>
      <c r="C74" s="448" t="s">
        <v>3209</v>
      </c>
      <c r="D74" s="448" t="s">
        <v>1312</v>
      </c>
      <c r="E74" s="448" t="s">
        <v>2120</v>
      </c>
      <c r="F74" s="448" t="s">
        <v>3024</v>
      </c>
      <c r="G74" s="448" t="s">
        <v>3210</v>
      </c>
    </row>
    <row r="75" spans="1:7">
      <c r="A75" s="448">
        <v>74</v>
      </c>
      <c r="B75" s="448" t="s">
        <v>3211</v>
      </c>
      <c r="C75" s="448" t="s">
        <v>3212</v>
      </c>
      <c r="D75" s="448" t="s">
        <v>1312</v>
      </c>
      <c r="E75" s="448" t="s">
        <v>2120</v>
      </c>
      <c r="F75" s="448" t="s">
        <v>3024</v>
      </c>
      <c r="G75" s="448" t="s">
        <v>3213</v>
      </c>
    </row>
    <row r="76" spans="1:7">
      <c r="A76" s="448">
        <v>75</v>
      </c>
      <c r="B76" s="448" t="s">
        <v>3214</v>
      </c>
      <c r="C76" s="448" t="s">
        <v>3215</v>
      </c>
      <c r="D76" s="448" t="s">
        <v>1312</v>
      </c>
      <c r="E76" s="448" t="s">
        <v>2120</v>
      </c>
      <c r="F76" s="448" t="s">
        <v>3024</v>
      </c>
      <c r="G76" s="448" t="s">
        <v>3216</v>
      </c>
    </row>
    <row r="77" spans="1:7">
      <c r="A77" s="448">
        <v>76</v>
      </c>
      <c r="B77" s="448" t="s">
        <v>3217</v>
      </c>
      <c r="C77" s="448" t="s">
        <v>3218</v>
      </c>
      <c r="D77" s="448" t="s">
        <v>1312</v>
      </c>
      <c r="E77" s="448" t="s">
        <v>2120</v>
      </c>
      <c r="F77" s="448" t="s">
        <v>3024</v>
      </c>
      <c r="G77" s="448" t="s">
        <v>3219</v>
      </c>
    </row>
    <row r="78" spans="1:7">
      <c r="A78" s="448">
        <v>77</v>
      </c>
      <c r="B78" s="448" t="s">
        <v>3220</v>
      </c>
      <c r="C78" s="448" t="s">
        <v>3221</v>
      </c>
      <c r="D78" s="448" t="s">
        <v>1312</v>
      </c>
      <c r="E78" s="448" t="s">
        <v>2120</v>
      </c>
      <c r="F78" s="448" t="s">
        <v>3024</v>
      </c>
      <c r="G78" s="448" t="s">
        <v>3222</v>
      </c>
    </row>
    <row r="79" spans="1:7">
      <c r="A79" s="448">
        <v>78</v>
      </c>
      <c r="B79" s="448" t="s">
        <v>3223</v>
      </c>
      <c r="C79" s="448" t="s">
        <v>3224</v>
      </c>
      <c r="D79" s="448" t="s">
        <v>1312</v>
      </c>
      <c r="E79" s="448" t="s">
        <v>2120</v>
      </c>
      <c r="F79" s="448" t="s">
        <v>3024</v>
      </c>
      <c r="G79" s="448" t="s">
        <v>3225</v>
      </c>
    </row>
    <row r="80" spans="1:7">
      <c r="A80" s="448">
        <v>79</v>
      </c>
      <c r="B80" s="448" t="s">
        <v>3226</v>
      </c>
      <c r="C80" s="448" t="s">
        <v>3227</v>
      </c>
      <c r="D80" s="448" t="s">
        <v>1312</v>
      </c>
      <c r="E80" s="448" t="s">
        <v>2120</v>
      </c>
      <c r="F80" s="448" t="s">
        <v>3024</v>
      </c>
      <c r="G80" s="448" t="s">
        <v>3228</v>
      </c>
    </row>
    <row r="81" spans="1:7">
      <c r="A81" s="448">
        <v>80</v>
      </c>
      <c r="B81" s="448" t="s">
        <v>3229</v>
      </c>
      <c r="C81" s="448" t="s">
        <v>3230</v>
      </c>
      <c r="D81" s="448" t="s">
        <v>1312</v>
      </c>
      <c r="E81" s="448" t="s">
        <v>2120</v>
      </c>
      <c r="F81" s="448" t="s">
        <v>3024</v>
      </c>
      <c r="G81" s="448" t="s">
        <v>3231</v>
      </c>
    </row>
    <row r="82" spans="1:7">
      <c r="A82" s="448">
        <v>81</v>
      </c>
      <c r="B82" s="448" t="s">
        <v>3232</v>
      </c>
      <c r="C82" s="448" t="s">
        <v>3233</v>
      </c>
      <c r="D82" s="448" t="s">
        <v>1312</v>
      </c>
      <c r="E82" s="448" t="s">
        <v>2120</v>
      </c>
      <c r="F82" s="448" t="s">
        <v>3024</v>
      </c>
      <c r="G82" s="448" t="s">
        <v>3234</v>
      </c>
    </row>
    <row r="83" spans="1:7">
      <c r="A83" s="448">
        <v>82</v>
      </c>
      <c r="B83" s="448" t="s">
        <v>3235</v>
      </c>
      <c r="C83" s="448" t="s">
        <v>3236</v>
      </c>
      <c r="D83" s="448" t="s">
        <v>1312</v>
      </c>
      <c r="E83" s="448" t="s">
        <v>2120</v>
      </c>
      <c r="F83" s="448" t="s">
        <v>3024</v>
      </c>
      <c r="G83" s="448" t="s">
        <v>3237</v>
      </c>
    </row>
    <row r="84" spans="1:7">
      <c r="A84" s="448">
        <v>83</v>
      </c>
      <c r="B84" s="448" t="s">
        <v>3238</v>
      </c>
      <c r="C84" s="448" t="s">
        <v>3239</v>
      </c>
      <c r="D84" s="448" t="s">
        <v>1312</v>
      </c>
      <c r="E84" s="448" t="s">
        <v>2120</v>
      </c>
      <c r="F84" s="448" t="s">
        <v>3024</v>
      </c>
      <c r="G84" s="448" t="s">
        <v>3240</v>
      </c>
    </row>
    <row r="85" spans="1:7">
      <c r="A85" s="448">
        <v>84</v>
      </c>
      <c r="B85" s="448" t="s">
        <v>3241</v>
      </c>
      <c r="C85" s="448" t="s">
        <v>3242</v>
      </c>
      <c r="D85" s="448" t="s">
        <v>1312</v>
      </c>
      <c r="E85" s="448" t="s">
        <v>2120</v>
      </c>
      <c r="F85" s="448" t="s">
        <v>3024</v>
      </c>
      <c r="G85" s="448" t="s">
        <v>3243</v>
      </c>
    </row>
    <row r="86" spans="1:7">
      <c r="A86" s="448">
        <v>85</v>
      </c>
      <c r="B86" s="448" t="s">
        <v>3244</v>
      </c>
      <c r="C86" s="448" t="s">
        <v>3245</v>
      </c>
      <c r="D86" s="448" t="s">
        <v>1312</v>
      </c>
      <c r="E86" s="448" t="s">
        <v>2120</v>
      </c>
      <c r="F86" s="448" t="s">
        <v>3024</v>
      </c>
      <c r="G86" s="448" t="s">
        <v>3246</v>
      </c>
    </row>
    <row r="87" spans="1:7">
      <c r="A87" s="448">
        <v>86</v>
      </c>
      <c r="B87" s="448" t="s">
        <v>3247</v>
      </c>
      <c r="C87" s="448" t="s">
        <v>3233</v>
      </c>
      <c r="D87" s="448" t="s">
        <v>1312</v>
      </c>
      <c r="E87" s="448" t="s">
        <v>2120</v>
      </c>
      <c r="F87" s="448" t="s">
        <v>3024</v>
      </c>
      <c r="G87" s="448" t="s">
        <v>3248</v>
      </c>
    </row>
    <row r="88" spans="1:7">
      <c r="A88" s="448">
        <v>87</v>
      </c>
      <c r="B88" s="448" t="s">
        <v>3249</v>
      </c>
      <c r="C88" s="448" t="s">
        <v>3236</v>
      </c>
      <c r="D88" s="448" t="s">
        <v>1312</v>
      </c>
      <c r="E88" s="448" t="s">
        <v>2120</v>
      </c>
      <c r="F88" s="448" t="s">
        <v>3024</v>
      </c>
      <c r="G88" s="448" t="s">
        <v>3250</v>
      </c>
    </row>
    <row r="89" spans="1:7">
      <c r="A89" s="448">
        <v>88</v>
      </c>
      <c r="B89" s="448" t="s">
        <v>3251</v>
      </c>
      <c r="C89" s="448" t="s">
        <v>3252</v>
      </c>
      <c r="D89" s="448" t="s">
        <v>1312</v>
      </c>
      <c r="E89" s="448" t="s">
        <v>2120</v>
      </c>
      <c r="F89" s="448" t="s">
        <v>3024</v>
      </c>
      <c r="G89" s="448" t="s">
        <v>3253</v>
      </c>
    </row>
    <row r="90" spans="1:7">
      <c r="A90" s="448">
        <v>89</v>
      </c>
      <c r="B90" s="448" t="s">
        <v>3254</v>
      </c>
      <c r="C90" s="448" t="s">
        <v>3242</v>
      </c>
      <c r="D90" s="448" t="s">
        <v>1312</v>
      </c>
      <c r="E90" s="448" t="s">
        <v>2120</v>
      </c>
      <c r="F90" s="448" t="s">
        <v>3024</v>
      </c>
      <c r="G90" s="448" t="s">
        <v>3255</v>
      </c>
    </row>
    <row r="91" spans="1:7">
      <c r="A91" s="448">
        <v>90</v>
      </c>
      <c r="B91" s="448" t="s">
        <v>3256</v>
      </c>
      <c r="C91" s="448" t="s">
        <v>3257</v>
      </c>
      <c r="D91" s="448" t="s">
        <v>1312</v>
      </c>
      <c r="E91" s="448" t="s">
        <v>2120</v>
      </c>
      <c r="F91" s="448" t="s">
        <v>3024</v>
      </c>
      <c r="G91" s="448" t="s">
        <v>3258</v>
      </c>
    </row>
    <row r="92" spans="1:7">
      <c r="A92" s="448">
        <v>91</v>
      </c>
      <c r="B92" s="448" t="s">
        <v>3259</v>
      </c>
      <c r="C92" s="448" t="s">
        <v>3260</v>
      </c>
      <c r="D92" s="448" t="s">
        <v>1312</v>
      </c>
      <c r="E92" s="448" t="s">
        <v>2120</v>
      </c>
      <c r="F92" s="448" t="s">
        <v>3024</v>
      </c>
      <c r="G92" s="448" t="s">
        <v>3261</v>
      </c>
    </row>
    <row r="93" spans="1:7">
      <c r="A93" s="448">
        <v>92</v>
      </c>
      <c r="B93" s="448" t="s">
        <v>3262</v>
      </c>
      <c r="C93" s="448" t="s">
        <v>3263</v>
      </c>
      <c r="D93" s="448" t="s">
        <v>1312</v>
      </c>
      <c r="E93" s="448" t="s">
        <v>2120</v>
      </c>
      <c r="F93" s="448" t="s">
        <v>3024</v>
      </c>
      <c r="G93" s="448" t="s">
        <v>3264</v>
      </c>
    </row>
    <row r="94" spans="1:7">
      <c r="A94" s="448">
        <v>93</v>
      </c>
      <c r="B94" s="448" t="s">
        <v>3265</v>
      </c>
      <c r="C94" s="448" t="s">
        <v>3266</v>
      </c>
      <c r="D94" s="448" t="s">
        <v>1312</v>
      </c>
      <c r="E94" s="448" t="s">
        <v>2120</v>
      </c>
      <c r="F94" s="448" t="s">
        <v>3024</v>
      </c>
      <c r="G94" s="448" t="s">
        <v>3267</v>
      </c>
    </row>
    <row r="95" spans="1:7">
      <c r="A95" s="448">
        <v>94</v>
      </c>
      <c r="B95" s="448" t="s">
        <v>3268</v>
      </c>
      <c r="C95" s="448" t="s">
        <v>3269</v>
      </c>
      <c r="D95" s="448" t="s">
        <v>1312</v>
      </c>
      <c r="E95" s="448" t="s">
        <v>2120</v>
      </c>
      <c r="F95" s="448" t="s">
        <v>3024</v>
      </c>
      <c r="G95" s="448" t="s">
        <v>3270</v>
      </c>
    </row>
    <row r="96" spans="1:7">
      <c r="A96" s="448">
        <v>95</v>
      </c>
      <c r="B96" s="448" t="s">
        <v>3271</v>
      </c>
      <c r="C96" s="448" t="s">
        <v>3272</v>
      </c>
      <c r="D96" s="448" t="s">
        <v>1312</v>
      </c>
      <c r="E96" s="448" t="s">
        <v>2120</v>
      </c>
      <c r="F96" s="448" t="s">
        <v>3024</v>
      </c>
      <c r="G96" s="448" t="s">
        <v>3273</v>
      </c>
    </row>
    <row r="97" spans="1:7">
      <c r="A97" s="448">
        <v>96</v>
      </c>
      <c r="B97" s="448" t="s">
        <v>3274</v>
      </c>
      <c r="C97" s="448" t="s">
        <v>3218</v>
      </c>
      <c r="D97" s="448" t="s">
        <v>1312</v>
      </c>
      <c r="E97" s="448" t="s">
        <v>2120</v>
      </c>
      <c r="F97" s="448" t="s">
        <v>3024</v>
      </c>
      <c r="G97" s="448" t="s">
        <v>3275</v>
      </c>
    </row>
    <row r="98" spans="1:7">
      <c r="A98" s="448">
        <v>97</v>
      </c>
      <c r="B98" s="448" t="s">
        <v>3276</v>
      </c>
      <c r="C98" s="448" t="s">
        <v>3221</v>
      </c>
      <c r="D98" s="448" t="s">
        <v>1312</v>
      </c>
      <c r="E98" s="448" t="s">
        <v>2120</v>
      </c>
      <c r="F98" s="448" t="s">
        <v>3024</v>
      </c>
      <c r="G98" s="448" t="s">
        <v>3277</v>
      </c>
    </row>
    <row r="99" spans="1:7">
      <c r="A99" s="448">
        <v>98</v>
      </c>
      <c r="B99" s="448" t="s">
        <v>3278</v>
      </c>
      <c r="C99" s="448" t="s">
        <v>3279</v>
      </c>
      <c r="D99" s="448" t="s">
        <v>1312</v>
      </c>
      <c r="E99" s="448" t="s">
        <v>2120</v>
      </c>
      <c r="F99" s="448" t="s">
        <v>3024</v>
      </c>
      <c r="G99" s="448" t="s">
        <v>3280</v>
      </c>
    </row>
    <row r="100" spans="1:7">
      <c r="A100" s="448">
        <v>99</v>
      </c>
      <c r="B100" s="448" t="s">
        <v>3281</v>
      </c>
      <c r="C100" s="448" t="s">
        <v>3282</v>
      </c>
      <c r="D100" s="448" t="s">
        <v>1312</v>
      </c>
      <c r="E100" s="448" t="s">
        <v>2120</v>
      </c>
      <c r="F100" s="448" t="s">
        <v>3024</v>
      </c>
      <c r="G100" s="448" t="s">
        <v>3283</v>
      </c>
    </row>
    <row r="101" spans="1:7">
      <c r="A101" s="448">
        <v>100</v>
      </c>
      <c r="B101" s="448" t="s">
        <v>3284</v>
      </c>
      <c r="C101" s="448" t="s">
        <v>3263</v>
      </c>
      <c r="D101" s="448" t="s">
        <v>1312</v>
      </c>
      <c r="E101" s="448" t="s">
        <v>2120</v>
      </c>
      <c r="F101" s="448" t="s">
        <v>3024</v>
      </c>
      <c r="G101" s="448" t="s">
        <v>3285</v>
      </c>
    </row>
    <row r="102" spans="1:7">
      <c r="A102" s="448">
        <v>101</v>
      </c>
      <c r="B102" s="448" t="s">
        <v>3286</v>
      </c>
      <c r="C102" s="448" t="s">
        <v>3266</v>
      </c>
      <c r="D102" s="448" t="s">
        <v>1312</v>
      </c>
      <c r="E102" s="448" t="s">
        <v>2120</v>
      </c>
      <c r="F102" s="448" t="s">
        <v>3024</v>
      </c>
      <c r="G102" s="448" t="s">
        <v>3287</v>
      </c>
    </row>
    <row r="103" spans="1:7">
      <c r="A103" s="448">
        <v>102</v>
      </c>
      <c r="B103" s="448" t="s">
        <v>3288</v>
      </c>
      <c r="C103" s="448" t="s">
        <v>3289</v>
      </c>
      <c r="D103" s="448" t="s">
        <v>1312</v>
      </c>
      <c r="E103" s="448" t="s">
        <v>2120</v>
      </c>
      <c r="F103" s="448" t="s">
        <v>3024</v>
      </c>
      <c r="G103" s="448" t="s">
        <v>3290</v>
      </c>
    </row>
    <row r="104" spans="1:7">
      <c r="A104" s="448">
        <v>103</v>
      </c>
      <c r="B104" s="448" t="s">
        <v>3291</v>
      </c>
      <c r="C104" s="448" t="s">
        <v>3292</v>
      </c>
      <c r="D104" s="448" t="s">
        <v>579</v>
      </c>
      <c r="E104" s="448" t="s">
        <v>2120</v>
      </c>
      <c r="F104" s="448" t="s">
        <v>3024</v>
      </c>
      <c r="G104" s="448" t="s">
        <v>3293</v>
      </c>
    </row>
    <row r="105" spans="1:7">
      <c r="A105" s="448">
        <v>104</v>
      </c>
      <c r="B105" s="448" t="s">
        <v>3294</v>
      </c>
      <c r="C105" s="448" t="s">
        <v>3295</v>
      </c>
      <c r="D105" s="448" t="s">
        <v>579</v>
      </c>
      <c r="E105" s="448" t="s">
        <v>2120</v>
      </c>
      <c r="F105" s="448" t="s">
        <v>3024</v>
      </c>
      <c r="G105" s="448" t="s">
        <v>3296</v>
      </c>
    </row>
    <row r="106" spans="1:7">
      <c r="A106" s="448">
        <v>105</v>
      </c>
      <c r="B106" s="448" t="s">
        <v>3297</v>
      </c>
      <c r="C106" s="448" t="s">
        <v>3298</v>
      </c>
      <c r="D106" s="448" t="s">
        <v>1312</v>
      </c>
      <c r="E106" s="448" t="s">
        <v>2120</v>
      </c>
      <c r="F106" s="448" t="s">
        <v>3024</v>
      </c>
      <c r="G106" s="448" t="s">
        <v>3299</v>
      </c>
    </row>
    <row r="107" spans="1:7">
      <c r="A107" s="448">
        <v>106</v>
      </c>
      <c r="B107" s="448" t="s">
        <v>3300</v>
      </c>
      <c r="C107" s="448" t="s">
        <v>3301</v>
      </c>
      <c r="D107" s="448" t="s">
        <v>1312</v>
      </c>
      <c r="E107" s="448" t="s">
        <v>2120</v>
      </c>
      <c r="F107" s="448" t="s">
        <v>3024</v>
      </c>
      <c r="G107" s="448" t="s">
        <v>3302</v>
      </c>
    </row>
    <row r="108" spans="1:7">
      <c r="A108" s="448">
        <v>107</v>
      </c>
      <c r="B108" s="448" t="s">
        <v>3303</v>
      </c>
      <c r="C108" s="448" t="s">
        <v>3304</v>
      </c>
      <c r="D108" s="448" t="s">
        <v>1312</v>
      </c>
      <c r="E108" s="448" t="s">
        <v>2120</v>
      </c>
      <c r="F108" s="448" t="s">
        <v>3024</v>
      </c>
      <c r="G108" s="448" t="s">
        <v>3305</v>
      </c>
    </row>
    <row r="109" spans="1:7">
      <c r="A109" s="448">
        <v>108</v>
      </c>
      <c r="B109" s="448" t="s">
        <v>3306</v>
      </c>
      <c r="C109" s="448" t="s">
        <v>3307</v>
      </c>
      <c r="D109" s="448" t="s">
        <v>1312</v>
      </c>
      <c r="E109" s="448" t="s">
        <v>2120</v>
      </c>
      <c r="F109" s="448" t="s">
        <v>3024</v>
      </c>
      <c r="G109" s="448" t="s">
        <v>3308</v>
      </c>
    </row>
    <row r="110" spans="1:7">
      <c r="A110" s="448">
        <v>109</v>
      </c>
      <c r="B110" s="448" t="s">
        <v>3309</v>
      </c>
      <c r="C110" s="448" t="s">
        <v>3310</v>
      </c>
      <c r="D110" s="448" t="s">
        <v>1312</v>
      </c>
      <c r="E110" s="448" t="s">
        <v>2120</v>
      </c>
      <c r="F110" s="448" t="s">
        <v>3024</v>
      </c>
      <c r="G110" s="448" t="s">
        <v>3311</v>
      </c>
    </row>
    <row r="111" spans="1:7">
      <c r="A111" s="448">
        <v>110</v>
      </c>
      <c r="B111" s="448" t="s">
        <v>3312</v>
      </c>
      <c r="C111" s="448" t="s">
        <v>3313</v>
      </c>
      <c r="D111" s="448" t="s">
        <v>1312</v>
      </c>
      <c r="E111" s="448" t="s">
        <v>2120</v>
      </c>
      <c r="F111" s="448" t="s">
        <v>3024</v>
      </c>
      <c r="G111" s="448" t="s">
        <v>3314</v>
      </c>
    </row>
    <row r="112" spans="1:7">
      <c r="A112" s="448">
        <v>111</v>
      </c>
      <c r="B112" s="448" t="s">
        <v>3315</v>
      </c>
      <c r="C112" s="448" t="s">
        <v>3316</v>
      </c>
      <c r="D112" s="448" t="s">
        <v>1312</v>
      </c>
      <c r="E112" s="448" t="s">
        <v>2120</v>
      </c>
      <c r="F112" s="448" t="s">
        <v>3024</v>
      </c>
      <c r="G112" s="448" t="s">
        <v>3317</v>
      </c>
    </row>
    <row r="113" spans="1:7">
      <c r="A113" s="448">
        <v>112</v>
      </c>
      <c r="B113" s="448" t="s">
        <v>3318</v>
      </c>
      <c r="C113" s="448" t="s">
        <v>3319</v>
      </c>
      <c r="D113" s="448" t="s">
        <v>1312</v>
      </c>
      <c r="E113" s="448" t="s">
        <v>2120</v>
      </c>
      <c r="F113" s="448" t="s">
        <v>3024</v>
      </c>
      <c r="G113" s="448" t="s">
        <v>3320</v>
      </c>
    </row>
    <row r="114" spans="1:7">
      <c r="A114" s="448">
        <v>113</v>
      </c>
      <c r="B114" s="448" t="s">
        <v>3321</v>
      </c>
      <c r="C114" s="448" t="s">
        <v>3322</v>
      </c>
      <c r="D114" s="448" t="s">
        <v>1312</v>
      </c>
      <c r="E114" s="448" t="s">
        <v>2120</v>
      </c>
      <c r="F114" s="448" t="s">
        <v>3024</v>
      </c>
      <c r="G114" s="448" t="s">
        <v>3323</v>
      </c>
    </row>
    <row r="115" spans="1:7">
      <c r="A115" s="448">
        <v>114</v>
      </c>
      <c r="B115" s="448" t="s">
        <v>3324</v>
      </c>
      <c r="C115" s="448" t="s">
        <v>3325</v>
      </c>
      <c r="D115" s="448" t="s">
        <v>3326</v>
      </c>
      <c r="E115" s="448" t="s">
        <v>2120</v>
      </c>
      <c r="F115" s="448" t="s">
        <v>3024</v>
      </c>
      <c r="G115" s="448" t="s">
        <v>3327</v>
      </c>
    </row>
    <row r="116" spans="1:7">
      <c r="A116" s="448">
        <v>115</v>
      </c>
      <c r="B116" s="448" t="s">
        <v>3328</v>
      </c>
      <c r="C116" s="448" t="s">
        <v>3329</v>
      </c>
      <c r="D116" s="448" t="s">
        <v>3326</v>
      </c>
      <c r="E116" s="448" t="s">
        <v>2120</v>
      </c>
      <c r="F116" s="448" t="s">
        <v>3024</v>
      </c>
      <c r="G116" s="448" t="s">
        <v>3330</v>
      </c>
    </row>
    <row r="117" spans="1:7">
      <c r="A117" s="448">
        <v>116</v>
      </c>
      <c r="B117" s="448" t="s">
        <v>3331</v>
      </c>
      <c r="C117" s="448" t="s">
        <v>3332</v>
      </c>
      <c r="D117" s="448" t="s">
        <v>1312</v>
      </c>
      <c r="E117" s="448" t="s">
        <v>2120</v>
      </c>
      <c r="F117" s="448" t="s">
        <v>3024</v>
      </c>
      <c r="G117" s="448" t="s">
        <v>3333</v>
      </c>
    </row>
    <row r="118" spans="1:7">
      <c r="A118" s="448">
        <v>117</v>
      </c>
      <c r="B118" s="448" t="s">
        <v>3334</v>
      </c>
      <c r="C118" s="448" t="s">
        <v>3335</v>
      </c>
      <c r="D118" s="448" t="s">
        <v>3326</v>
      </c>
      <c r="E118" s="448" t="s">
        <v>2120</v>
      </c>
      <c r="F118" s="448" t="s">
        <v>3024</v>
      </c>
      <c r="G118" s="448" t="s">
        <v>3336</v>
      </c>
    </row>
    <row r="119" spans="1:7">
      <c r="A119" s="448">
        <v>118</v>
      </c>
      <c r="B119" s="448" t="s">
        <v>3337</v>
      </c>
      <c r="C119" s="448" t="s">
        <v>3338</v>
      </c>
      <c r="D119" s="448" t="s">
        <v>3326</v>
      </c>
      <c r="E119" s="448" t="s">
        <v>2120</v>
      </c>
      <c r="F119" s="448" t="s">
        <v>3024</v>
      </c>
      <c r="G119" s="448" t="s">
        <v>3339</v>
      </c>
    </row>
    <row r="120" spans="1:7">
      <c r="A120" s="448">
        <v>119</v>
      </c>
      <c r="B120" s="448" t="s">
        <v>3340</v>
      </c>
      <c r="C120" s="448" t="s">
        <v>3341</v>
      </c>
      <c r="D120" s="448" t="s">
        <v>1312</v>
      </c>
      <c r="E120" s="448" t="s">
        <v>2120</v>
      </c>
      <c r="F120" s="448" t="s">
        <v>3024</v>
      </c>
      <c r="G120" s="448" t="s">
        <v>3342</v>
      </c>
    </row>
    <row r="121" spans="1:7">
      <c r="A121" s="448">
        <v>120</v>
      </c>
      <c r="B121" s="448" t="s">
        <v>3343</v>
      </c>
      <c r="C121" s="448" t="s">
        <v>3344</v>
      </c>
      <c r="D121" s="448" t="s">
        <v>1312</v>
      </c>
      <c r="E121" s="448" t="s">
        <v>2120</v>
      </c>
      <c r="F121" s="448" t="s">
        <v>3024</v>
      </c>
      <c r="G121" s="448" t="s">
        <v>3345</v>
      </c>
    </row>
    <row r="122" spans="1:7">
      <c r="A122" s="448">
        <v>121</v>
      </c>
      <c r="B122" s="448" t="s">
        <v>3346</v>
      </c>
      <c r="C122" s="448" t="s">
        <v>3347</v>
      </c>
      <c r="D122" s="448" t="s">
        <v>1312</v>
      </c>
      <c r="E122" s="448" t="s">
        <v>2120</v>
      </c>
      <c r="F122" s="448" t="s">
        <v>3024</v>
      </c>
      <c r="G122" s="448" t="s">
        <v>3348</v>
      </c>
    </row>
    <row r="123" spans="1:7">
      <c r="A123" s="448">
        <v>122</v>
      </c>
      <c r="B123" s="448" t="s">
        <v>3349</v>
      </c>
      <c r="C123" s="448" t="s">
        <v>3350</v>
      </c>
      <c r="D123" s="448" t="s">
        <v>1312</v>
      </c>
      <c r="E123" s="448" t="s">
        <v>2120</v>
      </c>
      <c r="F123" s="448" t="s">
        <v>3024</v>
      </c>
      <c r="G123" s="448" t="s">
        <v>3351</v>
      </c>
    </row>
    <row r="124" spans="1:7">
      <c r="A124" s="448">
        <v>123</v>
      </c>
      <c r="B124" s="448" t="s">
        <v>3352</v>
      </c>
      <c r="C124" s="448" t="s">
        <v>3353</v>
      </c>
      <c r="D124" s="448" t="s">
        <v>1312</v>
      </c>
      <c r="E124" s="448" t="s">
        <v>2120</v>
      </c>
      <c r="F124" s="448" t="s">
        <v>3024</v>
      </c>
      <c r="G124" s="448" t="s">
        <v>3354</v>
      </c>
    </row>
    <row r="125" spans="1:7">
      <c r="A125" s="448">
        <v>124</v>
      </c>
      <c r="B125" s="448" t="s">
        <v>3355</v>
      </c>
      <c r="C125" s="448" t="s">
        <v>3356</v>
      </c>
      <c r="D125" s="448" t="s">
        <v>1312</v>
      </c>
      <c r="E125" s="448" t="s">
        <v>2120</v>
      </c>
      <c r="F125" s="448" t="s">
        <v>3024</v>
      </c>
      <c r="G125" s="448" t="s">
        <v>3357</v>
      </c>
    </row>
    <row r="126" spans="1:7">
      <c r="A126" s="448">
        <v>125</v>
      </c>
      <c r="B126" s="448" t="s">
        <v>3358</v>
      </c>
      <c r="C126" s="448" t="s">
        <v>3359</v>
      </c>
      <c r="D126" s="448" t="s">
        <v>1312</v>
      </c>
      <c r="E126" s="448" t="s">
        <v>2120</v>
      </c>
      <c r="F126" s="448" t="s">
        <v>3024</v>
      </c>
      <c r="G126" s="448" t="s">
        <v>3360</v>
      </c>
    </row>
    <row r="127" spans="1:7">
      <c r="A127" s="448">
        <v>126</v>
      </c>
      <c r="B127" s="448" t="s">
        <v>3361</v>
      </c>
      <c r="C127" s="448" t="s">
        <v>3362</v>
      </c>
      <c r="D127" s="448" t="s">
        <v>3363</v>
      </c>
      <c r="E127" s="448" t="s">
        <v>2120</v>
      </c>
      <c r="F127" s="448" t="s">
        <v>3024</v>
      </c>
      <c r="G127" s="448" t="s">
        <v>3364</v>
      </c>
    </row>
    <row r="128" spans="1:7">
      <c r="A128" s="448">
        <v>127</v>
      </c>
      <c r="B128" s="448" t="s">
        <v>3365</v>
      </c>
      <c r="C128" s="448" t="s">
        <v>3366</v>
      </c>
      <c r="D128" s="448" t="s">
        <v>3363</v>
      </c>
      <c r="E128" s="448" t="s">
        <v>2120</v>
      </c>
      <c r="F128" s="448" t="s">
        <v>3024</v>
      </c>
      <c r="G128" s="448" t="s">
        <v>3367</v>
      </c>
    </row>
    <row r="129" spans="1:7">
      <c r="A129" s="448">
        <v>128</v>
      </c>
      <c r="B129" s="448" t="s">
        <v>3368</v>
      </c>
      <c r="C129" s="448" t="s">
        <v>3369</v>
      </c>
      <c r="D129" s="448" t="s">
        <v>3363</v>
      </c>
      <c r="E129" s="448" t="s">
        <v>2120</v>
      </c>
      <c r="F129" s="448" t="s">
        <v>3024</v>
      </c>
      <c r="G129" s="448" t="s">
        <v>3370</v>
      </c>
    </row>
    <row r="130" spans="1:7">
      <c r="A130" s="448">
        <v>129</v>
      </c>
      <c r="B130" s="448" t="s">
        <v>3371</v>
      </c>
      <c r="C130" s="448" t="s">
        <v>3372</v>
      </c>
      <c r="D130" s="448" t="s">
        <v>3363</v>
      </c>
      <c r="E130" s="448" t="s">
        <v>2120</v>
      </c>
      <c r="F130" s="448" t="s">
        <v>3024</v>
      </c>
      <c r="G130" s="448" t="s">
        <v>3373</v>
      </c>
    </row>
    <row r="131" spans="1:7">
      <c r="A131" s="448">
        <v>130</v>
      </c>
      <c r="B131" s="448" t="s">
        <v>3374</v>
      </c>
      <c r="C131" s="448" t="s">
        <v>3375</v>
      </c>
      <c r="D131" s="448" t="s">
        <v>3363</v>
      </c>
      <c r="E131" s="448" t="s">
        <v>2120</v>
      </c>
      <c r="F131" s="448" t="s">
        <v>3024</v>
      </c>
      <c r="G131" s="448" t="s">
        <v>3376</v>
      </c>
    </row>
    <row r="132" spans="1:7">
      <c r="A132" s="448">
        <v>131</v>
      </c>
      <c r="B132" s="448" t="s">
        <v>3377</v>
      </c>
      <c r="C132" s="448" t="s">
        <v>3378</v>
      </c>
      <c r="D132" s="448" t="s">
        <v>3363</v>
      </c>
      <c r="E132" s="448" t="s">
        <v>2120</v>
      </c>
      <c r="F132" s="448" t="s">
        <v>3024</v>
      </c>
      <c r="G132" s="448" t="s">
        <v>3379</v>
      </c>
    </row>
    <row r="133" spans="1:7">
      <c r="A133" s="448">
        <v>132</v>
      </c>
      <c r="B133" s="448" t="s">
        <v>3380</v>
      </c>
      <c r="C133" s="448" t="s">
        <v>3381</v>
      </c>
      <c r="D133" s="448" t="s">
        <v>3363</v>
      </c>
      <c r="E133" s="448" t="s">
        <v>2120</v>
      </c>
      <c r="F133" s="448" t="s">
        <v>3024</v>
      </c>
      <c r="G133" s="448" t="s">
        <v>3382</v>
      </c>
    </row>
    <row r="134" spans="1:7">
      <c r="A134" s="448">
        <v>133</v>
      </c>
      <c r="B134" s="448" t="s">
        <v>3383</v>
      </c>
      <c r="C134" s="448" t="s">
        <v>3384</v>
      </c>
      <c r="D134" s="448" t="s">
        <v>3363</v>
      </c>
      <c r="E134" s="448" t="s">
        <v>2120</v>
      </c>
      <c r="F134" s="448" t="s">
        <v>3024</v>
      </c>
      <c r="G134" s="448" t="s">
        <v>3385</v>
      </c>
    </row>
    <row r="135" spans="1:7">
      <c r="A135" s="448">
        <v>134</v>
      </c>
      <c r="B135" s="448" t="s">
        <v>3386</v>
      </c>
      <c r="C135" s="448" t="s">
        <v>3387</v>
      </c>
      <c r="D135" s="448" t="s">
        <v>1312</v>
      </c>
      <c r="E135" s="448" t="s">
        <v>2120</v>
      </c>
      <c r="F135" s="448" t="s">
        <v>3024</v>
      </c>
      <c r="G135" s="448" t="s">
        <v>3388</v>
      </c>
    </row>
    <row r="136" spans="1:7">
      <c r="A136" s="448">
        <v>135</v>
      </c>
      <c r="B136" s="448" t="s">
        <v>3389</v>
      </c>
      <c r="C136" s="448" t="s">
        <v>3390</v>
      </c>
      <c r="D136" s="448" t="s">
        <v>3363</v>
      </c>
      <c r="E136" s="448" t="s">
        <v>2120</v>
      </c>
      <c r="F136" s="448" t="s">
        <v>3024</v>
      </c>
      <c r="G136" s="448" t="s">
        <v>3391</v>
      </c>
    </row>
    <row r="137" spans="1:7">
      <c r="A137" s="448">
        <v>136</v>
      </c>
      <c r="B137" s="448" t="s">
        <v>3392</v>
      </c>
      <c r="C137" s="448" t="s">
        <v>3393</v>
      </c>
      <c r="D137" s="448" t="s">
        <v>3363</v>
      </c>
      <c r="E137" s="448" t="s">
        <v>2120</v>
      </c>
      <c r="F137" s="448" t="s">
        <v>3024</v>
      </c>
      <c r="G137" s="448" t="s">
        <v>3394</v>
      </c>
    </row>
    <row r="138" spans="1:7">
      <c r="A138" s="448">
        <v>137</v>
      </c>
      <c r="B138" s="448" t="s">
        <v>3395</v>
      </c>
      <c r="C138" s="448" t="s">
        <v>3396</v>
      </c>
      <c r="D138" s="448" t="s">
        <v>1312</v>
      </c>
      <c r="E138" s="448" t="s">
        <v>2120</v>
      </c>
      <c r="F138" s="448" t="s">
        <v>3024</v>
      </c>
      <c r="G138" s="448" t="s">
        <v>3397</v>
      </c>
    </row>
    <row r="139" spans="1:7">
      <c r="A139" s="448">
        <v>138</v>
      </c>
      <c r="B139" s="448" t="s">
        <v>3398</v>
      </c>
      <c r="C139" s="448" t="s">
        <v>3399</v>
      </c>
      <c r="D139" s="448" t="s">
        <v>3363</v>
      </c>
      <c r="E139" s="448" t="s">
        <v>2120</v>
      </c>
      <c r="F139" s="448" t="s">
        <v>3024</v>
      </c>
      <c r="G139" s="448" t="s">
        <v>3400</v>
      </c>
    </row>
    <row r="140" spans="1:7">
      <c r="A140" s="448">
        <v>139</v>
      </c>
      <c r="B140" s="448" t="s">
        <v>3401</v>
      </c>
      <c r="C140" s="448" t="s">
        <v>3402</v>
      </c>
      <c r="D140" s="448" t="s">
        <v>3363</v>
      </c>
      <c r="E140" s="448" t="s">
        <v>2120</v>
      </c>
      <c r="F140" s="448" t="s">
        <v>3024</v>
      </c>
      <c r="G140" s="448" t="s">
        <v>3403</v>
      </c>
    </row>
    <row r="141" spans="1:7">
      <c r="A141" s="448">
        <v>140</v>
      </c>
      <c r="B141" s="448" t="s">
        <v>3404</v>
      </c>
      <c r="C141" s="448" t="s">
        <v>3405</v>
      </c>
      <c r="D141" s="448" t="s">
        <v>3363</v>
      </c>
      <c r="E141" s="448" t="s">
        <v>2120</v>
      </c>
      <c r="F141" s="448" t="s">
        <v>3024</v>
      </c>
      <c r="G141" s="448" t="s">
        <v>3406</v>
      </c>
    </row>
    <row r="142" spans="1:7">
      <c r="A142" s="448">
        <v>141</v>
      </c>
      <c r="B142" s="448" t="s">
        <v>3407</v>
      </c>
      <c r="C142" s="448" t="s">
        <v>3408</v>
      </c>
      <c r="D142" s="448" t="s">
        <v>3363</v>
      </c>
      <c r="E142" s="448" t="s">
        <v>2120</v>
      </c>
      <c r="F142" s="448" t="s">
        <v>3024</v>
      </c>
      <c r="G142" s="448" t="s">
        <v>3409</v>
      </c>
    </row>
    <row r="143" spans="1:7">
      <c r="A143" s="448">
        <v>142</v>
      </c>
      <c r="B143" s="448" t="s">
        <v>3410</v>
      </c>
      <c r="C143" s="448" t="s">
        <v>3411</v>
      </c>
      <c r="D143" s="448" t="s">
        <v>1312</v>
      </c>
      <c r="E143" s="448" t="s">
        <v>2120</v>
      </c>
      <c r="F143" s="448" t="s">
        <v>3024</v>
      </c>
      <c r="G143" s="448" t="s">
        <v>3412</v>
      </c>
    </row>
    <row r="144" spans="1:7">
      <c r="A144" s="448">
        <v>143</v>
      </c>
      <c r="B144" s="448" t="s">
        <v>3413</v>
      </c>
      <c r="C144" s="448" t="s">
        <v>3414</v>
      </c>
      <c r="D144" s="448" t="s">
        <v>3363</v>
      </c>
      <c r="E144" s="448" t="s">
        <v>2120</v>
      </c>
      <c r="F144" s="448" t="s">
        <v>3024</v>
      </c>
      <c r="G144" s="448" t="s">
        <v>3415</v>
      </c>
    </row>
    <row r="145" spans="1:7">
      <c r="A145" s="448">
        <v>144</v>
      </c>
      <c r="B145" s="448" t="s">
        <v>3416</v>
      </c>
      <c r="C145" s="448" t="s">
        <v>3417</v>
      </c>
      <c r="D145" s="448" t="s">
        <v>3363</v>
      </c>
      <c r="E145" s="448" t="s">
        <v>2120</v>
      </c>
      <c r="F145" s="448" t="s">
        <v>3024</v>
      </c>
      <c r="G145" s="448" t="s">
        <v>3418</v>
      </c>
    </row>
    <row r="146" spans="1:7">
      <c r="A146" s="448">
        <v>145</v>
      </c>
      <c r="B146" s="448" t="s">
        <v>3419</v>
      </c>
      <c r="C146" s="448" t="s">
        <v>3420</v>
      </c>
      <c r="D146" s="448" t="s">
        <v>3363</v>
      </c>
      <c r="E146" s="448" t="s">
        <v>2120</v>
      </c>
      <c r="F146" s="448" t="s">
        <v>3024</v>
      </c>
      <c r="G146" s="448" t="s">
        <v>3421</v>
      </c>
    </row>
    <row r="147" spans="1:7">
      <c r="A147" s="448">
        <v>146</v>
      </c>
      <c r="B147" s="448" t="s">
        <v>3422</v>
      </c>
      <c r="C147" s="448" t="s">
        <v>3423</v>
      </c>
      <c r="D147" s="448" t="s">
        <v>3363</v>
      </c>
      <c r="E147" s="448" t="s">
        <v>2120</v>
      </c>
      <c r="F147" s="448" t="s">
        <v>3024</v>
      </c>
      <c r="G147" s="448" t="s">
        <v>3424</v>
      </c>
    </row>
    <row r="148" spans="1:7">
      <c r="A148" s="448">
        <v>147</v>
      </c>
      <c r="B148" s="448" t="s">
        <v>3425</v>
      </c>
      <c r="C148" s="448" t="s">
        <v>3390</v>
      </c>
      <c r="D148" s="448" t="s">
        <v>3363</v>
      </c>
      <c r="E148" s="448" t="s">
        <v>2120</v>
      </c>
      <c r="F148" s="448" t="s">
        <v>3024</v>
      </c>
      <c r="G148" s="448" t="s">
        <v>3426</v>
      </c>
    </row>
    <row r="149" spans="1:7">
      <c r="A149" s="448">
        <v>148</v>
      </c>
      <c r="B149" s="448" t="s">
        <v>3427</v>
      </c>
      <c r="C149" s="448" t="s">
        <v>3393</v>
      </c>
      <c r="D149" s="448" t="s">
        <v>3363</v>
      </c>
      <c r="E149" s="448" t="s">
        <v>2120</v>
      </c>
      <c r="F149" s="448" t="s">
        <v>3024</v>
      </c>
      <c r="G149" s="448" t="s">
        <v>3428</v>
      </c>
    </row>
    <row r="150" spans="1:7">
      <c r="A150" s="448">
        <v>149</v>
      </c>
      <c r="B150" s="448" t="s">
        <v>3429</v>
      </c>
      <c r="C150" s="448" t="s">
        <v>3399</v>
      </c>
      <c r="D150" s="448" t="s">
        <v>3363</v>
      </c>
      <c r="E150" s="448" t="s">
        <v>2120</v>
      </c>
      <c r="F150" s="448" t="s">
        <v>3024</v>
      </c>
      <c r="G150" s="448" t="s">
        <v>3430</v>
      </c>
    </row>
    <row r="151" spans="1:7">
      <c r="A151" s="448">
        <v>150</v>
      </c>
      <c r="B151" s="448" t="s">
        <v>3431</v>
      </c>
      <c r="C151" s="448" t="s">
        <v>3402</v>
      </c>
      <c r="D151" s="448" t="s">
        <v>3363</v>
      </c>
      <c r="E151" s="448" t="s">
        <v>2120</v>
      </c>
      <c r="F151" s="448" t="s">
        <v>3024</v>
      </c>
      <c r="G151" s="448" t="s">
        <v>3432</v>
      </c>
    </row>
    <row r="152" spans="1:7">
      <c r="A152" s="448">
        <v>151</v>
      </c>
      <c r="B152" s="448" t="s">
        <v>3433</v>
      </c>
      <c r="C152" s="448" t="s">
        <v>3434</v>
      </c>
      <c r="D152" s="448" t="s">
        <v>3363</v>
      </c>
      <c r="E152" s="448" t="s">
        <v>2120</v>
      </c>
      <c r="F152" s="448" t="s">
        <v>3024</v>
      </c>
      <c r="G152" s="448" t="s">
        <v>3435</v>
      </c>
    </row>
    <row r="153" spans="1:7">
      <c r="A153" s="448">
        <v>152</v>
      </c>
      <c r="B153" s="448" t="s">
        <v>3436</v>
      </c>
      <c r="C153" s="448" t="s">
        <v>3437</v>
      </c>
      <c r="D153" s="448" t="s">
        <v>3363</v>
      </c>
      <c r="E153" s="448" t="s">
        <v>2120</v>
      </c>
      <c r="F153" s="448" t="s">
        <v>3024</v>
      </c>
      <c r="G153" s="448" t="s">
        <v>3438</v>
      </c>
    </row>
    <row r="154" spans="1:7">
      <c r="A154" s="448">
        <v>153</v>
      </c>
      <c r="B154" s="448" t="s">
        <v>3439</v>
      </c>
      <c r="C154" s="448" t="s">
        <v>3414</v>
      </c>
      <c r="D154" s="448" t="s">
        <v>3363</v>
      </c>
      <c r="E154" s="448" t="s">
        <v>2120</v>
      </c>
      <c r="F154" s="448" t="s">
        <v>3024</v>
      </c>
      <c r="G154" s="448" t="s">
        <v>3440</v>
      </c>
    </row>
    <row r="155" spans="1:7">
      <c r="A155" s="448">
        <v>154</v>
      </c>
      <c r="B155" s="448" t="s">
        <v>3441</v>
      </c>
      <c r="C155" s="448" t="s">
        <v>3417</v>
      </c>
      <c r="D155" s="448" t="s">
        <v>3363</v>
      </c>
      <c r="E155" s="448" t="s">
        <v>2120</v>
      </c>
      <c r="F155" s="448" t="s">
        <v>3024</v>
      </c>
      <c r="G155" s="448" t="s">
        <v>3442</v>
      </c>
    </row>
    <row r="156" spans="1:7">
      <c r="A156" s="448">
        <v>155</v>
      </c>
      <c r="B156" s="448" t="s">
        <v>3443</v>
      </c>
      <c r="C156" s="448" t="s">
        <v>3420</v>
      </c>
      <c r="D156" s="448" t="s">
        <v>3363</v>
      </c>
      <c r="E156" s="448" t="s">
        <v>2120</v>
      </c>
      <c r="F156" s="448" t="s">
        <v>3024</v>
      </c>
      <c r="G156" s="448" t="s">
        <v>3444</v>
      </c>
    </row>
    <row r="157" spans="1:7">
      <c r="A157" s="448">
        <v>156</v>
      </c>
      <c r="B157" s="448" t="s">
        <v>3445</v>
      </c>
      <c r="C157" s="448" t="s">
        <v>3423</v>
      </c>
      <c r="D157" s="448" t="s">
        <v>3363</v>
      </c>
      <c r="E157" s="448" t="s">
        <v>2120</v>
      </c>
      <c r="F157" s="448" t="s">
        <v>3024</v>
      </c>
      <c r="G157" s="448" t="s">
        <v>3446</v>
      </c>
    </row>
    <row r="158" spans="1:7">
      <c r="A158" s="448">
        <v>157</v>
      </c>
      <c r="B158" s="448" t="s">
        <v>3447</v>
      </c>
      <c r="C158" s="448" t="s">
        <v>3448</v>
      </c>
      <c r="D158" s="448" t="s">
        <v>3363</v>
      </c>
      <c r="E158" s="448" t="s">
        <v>2120</v>
      </c>
      <c r="F158" s="448" t="s">
        <v>3024</v>
      </c>
      <c r="G158" s="448" t="s">
        <v>3449</v>
      </c>
    </row>
    <row r="159" spans="1:7">
      <c r="A159" s="448">
        <v>158</v>
      </c>
      <c r="B159" s="448" t="s">
        <v>3450</v>
      </c>
      <c r="C159" s="448" t="s">
        <v>3451</v>
      </c>
      <c r="D159" s="448" t="s">
        <v>3363</v>
      </c>
      <c r="E159" s="448" t="s">
        <v>2120</v>
      </c>
      <c r="F159" s="448" t="s">
        <v>3024</v>
      </c>
      <c r="G159" s="448" t="s">
        <v>3452</v>
      </c>
    </row>
    <row r="160" spans="1:7">
      <c r="A160" s="448">
        <v>159</v>
      </c>
      <c r="B160" s="448" t="s">
        <v>3453</v>
      </c>
      <c r="C160" s="448" t="s">
        <v>3454</v>
      </c>
      <c r="D160" s="448" t="s">
        <v>3363</v>
      </c>
      <c r="E160" s="448" t="s">
        <v>2120</v>
      </c>
      <c r="F160" s="448" t="s">
        <v>3024</v>
      </c>
      <c r="G160" s="448" t="s">
        <v>3455</v>
      </c>
    </row>
    <row r="161" spans="1:7">
      <c r="A161" s="448">
        <v>160</v>
      </c>
      <c r="B161" s="448" t="s">
        <v>3456</v>
      </c>
      <c r="C161" s="448" t="s">
        <v>3457</v>
      </c>
      <c r="D161" s="448" t="s">
        <v>3363</v>
      </c>
      <c r="E161" s="448" t="s">
        <v>2120</v>
      </c>
      <c r="F161" s="448" t="s">
        <v>3024</v>
      </c>
      <c r="G161" s="448" t="s">
        <v>3458</v>
      </c>
    </row>
    <row r="162" spans="1:7">
      <c r="A162" s="448">
        <v>161</v>
      </c>
      <c r="B162" s="448" t="s">
        <v>3459</v>
      </c>
      <c r="C162" s="448" t="s">
        <v>3460</v>
      </c>
      <c r="D162" s="448" t="s">
        <v>3363</v>
      </c>
      <c r="E162" s="448" t="s">
        <v>2120</v>
      </c>
      <c r="F162" s="448" t="s">
        <v>3024</v>
      </c>
      <c r="G162" s="448" t="s">
        <v>3461</v>
      </c>
    </row>
    <row r="163" spans="1:7">
      <c r="A163" s="448">
        <v>162</v>
      </c>
      <c r="B163" s="448" t="s">
        <v>3462</v>
      </c>
      <c r="C163" s="448" t="s">
        <v>3463</v>
      </c>
      <c r="D163" s="448" t="s">
        <v>3363</v>
      </c>
      <c r="E163" s="448" t="s">
        <v>2120</v>
      </c>
      <c r="F163" s="448" t="s">
        <v>3024</v>
      </c>
      <c r="G163" s="448" t="s">
        <v>3464</v>
      </c>
    </row>
    <row r="164" spans="1:7">
      <c r="A164" s="448">
        <v>163</v>
      </c>
      <c r="B164" s="448" t="s">
        <v>3465</v>
      </c>
      <c r="C164" s="448" t="s">
        <v>3466</v>
      </c>
      <c r="D164" s="448" t="s">
        <v>3363</v>
      </c>
      <c r="E164" s="448" t="s">
        <v>2120</v>
      </c>
      <c r="F164" s="448" t="s">
        <v>3024</v>
      </c>
      <c r="G164" s="448" t="s">
        <v>3467</v>
      </c>
    </row>
    <row r="165" spans="1:7">
      <c r="A165" s="448">
        <v>164</v>
      </c>
      <c r="B165" s="448" t="s">
        <v>3468</v>
      </c>
      <c r="C165" s="448" t="s">
        <v>3469</v>
      </c>
      <c r="D165" s="448" t="s">
        <v>3363</v>
      </c>
      <c r="E165" s="448" t="s">
        <v>2120</v>
      </c>
      <c r="F165" s="448" t="s">
        <v>3024</v>
      </c>
      <c r="G165" s="448" t="s">
        <v>3470</v>
      </c>
    </row>
    <row r="166" spans="1:7">
      <c r="A166" s="448">
        <v>165</v>
      </c>
      <c r="B166" s="448" t="s">
        <v>3471</v>
      </c>
      <c r="C166" s="448" t="s">
        <v>3414</v>
      </c>
      <c r="D166" s="448" t="s">
        <v>3363</v>
      </c>
      <c r="E166" s="448" t="s">
        <v>2120</v>
      </c>
      <c r="F166" s="448" t="s">
        <v>3024</v>
      </c>
      <c r="G166" s="448" t="s">
        <v>3472</v>
      </c>
    </row>
    <row r="167" spans="1:7">
      <c r="A167" s="448">
        <v>166</v>
      </c>
      <c r="B167" s="448" t="s">
        <v>3473</v>
      </c>
      <c r="C167" s="448" t="s">
        <v>3417</v>
      </c>
      <c r="D167" s="448" t="s">
        <v>3363</v>
      </c>
      <c r="E167" s="448" t="s">
        <v>2120</v>
      </c>
      <c r="F167" s="448" t="s">
        <v>3024</v>
      </c>
      <c r="G167" s="448" t="s">
        <v>3474</v>
      </c>
    </row>
    <row r="168" spans="1:7">
      <c r="A168" s="448">
        <v>167</v>
      </c>
      <c r="B168" s="448" t="s">
        <v>3475</v>
      </c>
      <c r="C168" s="448" t="s">
        <v>3448</v>
      </c>
      <c r="D168" s="448" t="s">
        <v>3363</v>
      </c>
      <c r="E168" s="448" t="s">
        <v>2120</v>
      </c>
      <c r="F168" s="448" t="s">
        <v>3024</v>
      </c>
      <c r="G168" s="448" t="s">
        <v>3476</v>
      </c>
    </row>
    <row r="169" spans="1:7">
      <c r="A169" s="448">
        <v>168</v>
      </c>
      <c r="B169" s="448" t="s">
        <v>3477</v>
      </c>
      <c r="C169" s="448" t="s">
        <v>3451</v>
      </c>
      <c r="D169" s="448" t="s">
        <v>3363</v>
      </c>
      <c r="E169" s="448" t="s">
        <v>2120</v>
      </c>
      <c r="F169" s="448" t="s">
        <v>3024</v>
      </c>
      <c r="G169" s="448" t="s">
        <v>3478</v>
      </c>
    </row>
    <row r="170" spans="1:7">
      <c r="A170" s="448">
        <v>169</v>
      </c>
      <c r="B170" s="448" t="s">
        <v>3479</v>
      </c>
      <c r="C170" s="448" t="s">
        <v>3460</v>
      </c>
      <c r="D170" s="448" t="s">
        <v>3363</v>
      </c>
      <c r="E170" s="448" t="s">
        <v>2120</v>
      </c>
      <c r="F170" s="448" t="s">
        <v>3024</v>
      </c>
      <c r="G170" s="448" t="s">
        <v>3480</v>
      </c>
    </row>
    <row r="171" spans="1:7">
      <c r="A171" s="448">
        <v>170</v>
      </c>
      <c r="B171" s="448" t="s">
        <v>3481</v>
      </c>
      <c r="C171" s="448" t="s">
        <v>3463</v>
      </c>
      <c r="D171" s="448" t="s">
        <v>3363</v>
      </c>
      <c r="E171" s="448" t="s">
        <v>2120</v>
      </c>
      <c r="F171" s="448" t="s">
        <v>3024</v>
      </c>
      <c r="G171" s="448" t="s">
        <v>3482</v>
      </c>
    </row>
    <row r="172" spans="1:7">
      <c r="A172" s="448">
        <v>171</v>
      </c>
      <c r="B172" s="448" t="s">
        <v>3483</v>
      </c>
      <c r="C172" s="448" t="s">
        <v>3484</v>
      </c>
      <c r="D172" s="448" t="s">
        <v>3363</v>
      </c>
      <c r="E172" s="448" t="s">
        <v>2120</v>
      </c>
      <c r="F172" s="448" t="s">
        <v>3024</v>
      </c>
      <c r="G172" s="448" t="s">
        <v>3485</v>
      </c>
    </row>
    <row r="173" spans="1:7">
      <c r="A173" s="448">
        <v>172</v>
      </c>
      <c r="B173" s="448" t="s">
        <v>3486</v>
      </c>
      <c r="C173" s="448" t="s">
        <v>3487</v>
      </c>
      <c r="D173" s="448" t="s">
        <v>3363</v>
      </c>
      <c r="E173" s="448" t="s">
        <v>2120</v>
      </c>
      <c r="F173" s="448" t="s">
        <v>3024</v>
      </c>
      <c r="G173" s="448" t="s">
        <v>3488</v>
      </c>
    </row>
    <row r="174" spans="1:7">
      <c r="A174" s="448">
        <v>173</v>
      </c>
      <c r="B174" s="448" t="s">
        <v>3489</v>
      </c>
      <c r="C174" s="448" t="s">
        <v>3490</v>
      </c>
      <c r="D174" s="448" t="s">
        <v>3363</v>
      </c>
      <c r="E174" s="448" t="s">
        <v>2120</v>
      </c>
      <c r="F174" s="448" t="s">
        <v>3024</v>
      </c>
      <c r="G174" s="448" t="s">
        <v>3491</v>
      </c>
    </row>
    <row r="175" spans="1:7">
      <c r="A175" s="448">
        <v>174</v>
      </c>
      <c r="B175" s="448" t="s">
        <v>3492</v>
      </c>
      <c r="C175" s="448" t="s">
        <v>3493</v>
      </c>
      <c r="D175" s="448" t="s">
        <v>3363</v>
      </c>
      <c r="E175" s="448" t="s">
        <v>2120</v>
      </c>
      <c r="F175" s="448" t="s">
        <v>3024</v>
      </c>
      <c r="G175" s="448" t="s">
        <v>3494</v>
      </c>
    </row>
    <row r="176" spans="1:7">
      <c r="A176" s="448">
        <v>175</v>
      </c>
      <c r="B176" s="448" t="s">
        <v>3495</v>
      </c>
      <c r="C176" s="448" t="s">
        <v>3496</v>
      </c>
      <c r="D176" s="448" t="s">
        <v>1312</v>
      </c>
      <c r="E176" s="448" t="s">
        <v>2120</v>
      </c>
      <c r="F176" s="448" t="s">
        <v>3024</v>
      </c>
      <c r="G176" s="448" t="s">
        <v>3497</v>
      </c>
    </row>
    <row r="177" spans="1:7">
      <c r="A177" s="448">
        <v>176</v>
      </c>
      <c r="B177" s="448" t="s">
        <v>3498</v>
      </c>
      <c r="C177" s="448" t="s">
        <v>3499</v>
      </c>
      <c r="D177" s="448" t="s">
        <v>1312</v>
      </c>
      <c r="E177" s="448" t="s">
        <v>2120</v>
      </c>
      <c r="F177" s="448" t="s">
        <v>3024</v>
      </c>
      <c r="G177" s="448" t="s">
        <v>3500</v>
      </c>
    </row>
    <row r="178" spans="1:7">
      <c r="A178" s="448">
        <v>177</v>
      </c>
      <c r="B178" s="448" t="s">
        <v>3501</v>
      </c>
      <c r="C178" s="448" t="s">
        <v>3502</v>
      </c>
      <c r="D178" s="448" t="s">
        <v>1312</v>
      </c>
      <c r="E178" s="448" t="s">
        <v>2120</v>
      </c>
      <c r="F178" s="448" t="s">
        <v>3024</v>
      </c>
      <c r="G178" s="448" t="s">
        <v>3503</v>
      </c>
    </row>
    <row r="179" spans="1:7">
      <c r="A179" s="448">
        <v>178</v>
      </c>
      <c r="B179" s="448" t="s">
        <v>3504</v>
      </c>
      <c r="C179" s="448" t="s">
        <v>3505</v>
      </c>
      <c r="D179" s="448" t="s">
        <v>1312</v>
      </c>
      <c r="E179" s="448" t="s">
        <v>2120</v>
      </c>
      <c r="F179" s="448" t="s">
        <v>3024</v>
      </c>
      <c r="G179" s="448" t="s">
        <v>3506</v>
      </c>
    </row>
    <row r="180" spans="1:7">
      <c r="A180" s="448">
        <v>179</v>
      </c>
      <c r="B180" s="448" t="s">
        <v>3507</v>
      </c>
      <c r="C180" s="448" t="s">
        <v>3508</v>
      </c>
      <c r="D180" s="448" t="s">
        <v>1312</v>
      </c>
      <c r="E180" s="448" t="s">
        <v>2120</v>
      </c>
      <c r="F180" s="448" t="s">
        <v>3024</v>
      </c>
      <c r="G180" s="448" t="s">
        <v>3509</v>
      </c>
    </row>
    <row r="181" spans="1:7">
      <c r="A181" s="448">
        <v>180</v>
      </c>
      <c r="B181" s="448" t="s">
        <v>3510</v>
      </c>
      <c r="C181" s="448" t="s">
        <v>3511</v>
      </c>
      <c r="D181" s="448" t="s">
        <v>1312</v>
      </c>
      <c r="E181" s="448" t="s">
        <v>2120</v>
      </c>
      <c r="F181" s="448" t="s">
        <v>3024</v>
      </c>
      <c r="G181" s="448" t="s">
        <v>3512</v>
      </c>
    </row>
    <row r="182" spans="1:7">
      <c r="A182" s="448">
        <v>181</v>
      </c>
      <c r="B182" s="448" t="s">
        <v>3513</v>
      </c>
      <c r="C182" s="448" t="s">
        <v>3514</v>
      </c>
      <c r="D182" s="448" t="s">
        <v>1312</v>
      </c>
      <c r="E182" s="448" t="s">
        <v>2120</v>
      </c>
      <c r="F182" s="448" t="s">
        <v>3024</v>
      </c>
      <c r="G182" s="448" t="s">
        <v>3515</v>
      </c>
    </row>
    <row r="183" spans="1:7">
      <c r="A183" s="448">
        <v>182</v>
      </c>
      <c r="B183" s="448" t="s">
        <v>3516</v>
      </c>
      <c r="C183" s="448" t="s">
        <v>3517</v>
      </c>
      <c r="D183" s="448" t="s">
        <v>1312</v>
      </c>
      <c r="E183" s="448" t="s">
        <v>2120</v>
      </c>
      <c r="F183" s="448" t="s">
        <v>3024</v>
      </c>
      <c r="G183" s="448" t="s">
        <v>3518</v>
      </c>
    </row>
    <row r="184" spans="1:7">
      <c r="A184" s="448">
        <v>183</v>
      </c>
      <c r="B184" s="448" t="s">
        <v>3519</v>
      </c>
      <c r="C184" s="448" t="s">
        <v>3520</v>
      </c>
      <c r="D184" s="448" t="s">
        <v>1312</v>
      </c>
      <c r="E184" s="448" t="s">
        <v>2120</v>
      </c>
      <c r="F184" s="448" t="s">
        <v>3024</v>
      </c>
      <c r="G184" s="448" t="s">
        <v>3521</v>
      </c>
    </row>
    <row r="185" spans="1:7">
      <c r="A185" s="448">
        <v>184</v>
      </c>
      <c r="B185" s="448" t="s">
        <v>3522</v>
      </c>
      <c r="C185" s="448" t="s">
        <v>3523</v>
      </c>
      <c r="D185" s="448" t="s">
        <v>1312</v>
      </c>
      <c r="E185" s="448" t="s">
        <v>2120</v>
      </c>
      <c r="F185" s="448" t="s">
        <v>3024</v>
      </c>
      <c r="G185" s="448" t="s">
        <v>3524</v>
      </c>
    </row>
    <row r="186" spans="1:7">
      <c r="A186" s="448">
        <v>185</v>
      </c>
      <c r="B186" s="448" t="s">
        <v>3525</v>
      </c>
      <c r="C186" s="448" t="s">
        <v>3526</v>
      </c>
      <c r="D186" s="448" t="s">
        <v>1312</v>
      </c>
      <c r="E186" s="448" t="s">
        <v>2120</v>
      </c>
      <c r="F186" s="448" t="s">
        <v>3024</v>
      </c>
      <c r="G186" s="448" t="s">
        <v>3527</v>
      </c>
    </row>
    <row r="187" spans="1:7">
      <c r="A187" s="448">
        <v>186</v>
      </c>
      <c r="B187" s="448" t="s">
        <v>3528</v>
      </c>
      <c r="C187" s="448" t="s">
        <v>3529</v>
      </c>
      <c r="D187" s="448" t="s">
        <v>1312</v>
      </c>
      <c r="E187" s="448" t="s">
        <v>2120</v>
      </c>
      <c r="F187" s="448" t="s">
        <v>3024</v>
      </c>
      <c r="G187" s="448" t="s">
        <v>3530</v>
      </c>
    </row>
    <row r="188" spans="1:7">
      <c r="A188" s="448">
        <v>187</v>
      </c>
      <c r="B188" s="448" t="s">
        <v>3531</v>
      </c>
      <c r="C188" s="448" t="s">
        <v>3532</v>
      </c>
      <c r="D188" s="448" t="s">
        <v>1312</v>
      </c>
      <c r="E188" s="448" t="s">
        <v>2120</v>
      </c>
      <c r="F188" s="448" t="s">
        <v>3024</v>
      </c>
      <c r="G188" s="448" t="s">
        <v>3533</v>
      </c>
    </row>
    <row r="189" spans="1:7">
      <c r="A189" s="448">
        <v>188</v>
      </c>
      <c r="B189" s="448" t="s">
        <v>3534</v>
      </c>
      <c r="C189" s="448" t="s">
        <v>3535</v>
      </c>
      <c r="D189" s="448" t="s">
        <v>1312</v>
      </c>
      <c r="E189" s="448" t="s">
        <v>2120</v>
      </c>
      <c r="F189" s="448" t="s">
        <v>3024</v>
      </c>
      <c r="G189" s="448" t="s">
        <v>3536</v>
      </c>
    </row>
    <row r="190" spans="1:7">
      <c r="A190" s="448">
        <v>189</v>
      </c>
      <c r="B190" s="448" t="s">
        <v>3537</v>
      </c>
      <c r="C190" s="448" t="s">
        <v>3538</v>
      </c>
      <c r="D190" s="448" t="s">
        <v>1312</v>
      </c>
      <c r="E190" s="448" t="s">
        <v>2120</v>
      </c>
      <c r="F190" s="448" t="s">
        <v>3024</v>
      </c>
      <c r="G190" s="448" t="s">
        <v>3539</v>
      </c>
    </row>
    <row r="191" spans="1:7">
      <c r="A191" s="448">
        <v>190</v>
      </c>
      <c r="B191" s="448" t="s">
        <v>3540</v>
      </c>
      <c r="C191" s="448" t="s">
        <v>3541</v>
      </c>
      <c r="D191" s="448" t="s">
        <v>1312</v>
      </c>
      <c r="E191" s="448" t="s">
        <v>2120</v>
      </c>
      <c r="F191" s="448" t="s">
        <v>3024</v>
      </c>
      <c r="G191" s="448" t="s">
        <v>3542</v>
      </c>
    </row>
    <row r="192" spans="1:7">
      <c r="A192" s="448">
        <v>191</v>
      </c>
      <c r="B192" s="448" t="s">
        <v>3543</v>
      </c>
      <c r="C192" s="448" t="s">
        <v>3544</v>
      </c>
      <c r="D192" s="448" t="s">
        <v>1312</v>
      </c>
      <c r="E192" s="448" t="s">
        <v>2120</v>
      </c>
      <c r="F192" s="448" t="s">
        <v>3024</v>
      </c>
      <c r="G192" s="448" t="s">
        <v>3545</v>
      </c>
    </row>
    <row r="193" spans="1:7">
      <c r="A193" s="448">
        <v>192</v>
      </c>
      <c r="B193" s="448" t="s">
        <v>3546</v>
      </c>
      <c r="C193" s="448" t="s">
        <v>3547</v>
      </c>
      <c r="D193" s="448" t="s">
        <v>1312</v>
      </c>
      <c r="E193" s="448" t="s">
        <v>2120</v>
      </c>
      <c r="F193" s="448" t="s">
        <v>3024</v>
      </c>
      <c r="G193" s="448" t="s">
        <v>3548</v>
      </c>
    </row>
    <row r="194" spans="1:7">
      <c r="A194" s="448">
        <v>193</v>
      </c>
      <c r="B194" s="448" t="s">
        <v>3549</v>
      </c>
      <c r="C194" s="448" t="s">
        <v>3550</v>
      </c>
      <c r="D194" s="448" t="s">
        <v>1312</v>
      </c>
      <c r="E194" s="448" t="s">
        <v>2120</v>
      </c>
      <c r="F194" s="448" t="s">
        <v>3024</v>
      </c>
      <c r="G194" s="448" t="s">
        <v>3551</v>
      </c>
    </row>
    <row r="195" spans="1:7">
      <c r="A195" s="448">
        <v>194</v>
      </c>
      <c r="B195" s="448" t="s">
        <v>3552</v>
      </c>
      <c r="C195" s="448" t="s">
        <v>3553</v>
      </c>
      <c r="D195" s="448" t="s">
        <v>1312</v>
      </c>
      <c r="E195" s="448" t="s">
        <v>2120</v>
      </c>
      <c r="F195" s="448" t="s">
        <v>3024</v>
      </c>
      <c r="G195" s="448" t="s">
        <v>3554</v>
      </c>
    </row>
    <row r="196" spans="1:7">
      <c r="A196" s="448">
        <v>195</v>
      </c>
      <c r="B196" s="448" t="s">
        <v>3555</v>
      </c>
      <c r="C196" s="448" t="s">
        <v>3556</v>
      </c>
      <c r="D196" s="448" t="s">
        <v>3557</v>
      </c>
      <c r="E196" s="448" t="s">
        <v>2120</v>
      </c>
      <c r="F196" s="448" t="s">
        <v>3024</v>
      </c>
      <c r="G196" s="448" t="s">
        <v>3558</v>
      </c>
    </row>
    <row r="197" spans="1:7">
      <c r="A197" s="448">
        <v>196</v>
      </c>
      <c r="B197" s="448" t="s">
        <v>3559</v>
      </c>
      <c r="C197" s="448" t="s">
        <v>3560</v>
      </c>
      <c r="D197" s="448" t="s">
        <v>3557</v>
      </c>
      <c r="E197" s="448" t="s">
        <v>2120</v>
      </c>
      <c r="F197" s="448" t="s">
        <v>3024</v>
      </c>
      <c r="G197" s="448" t="s">
        <v>3561</v>
      </c>
    </row>
    <row r="198" spans="1:7">
      <c r="A198" s="448">
        <v>197</v>
      </c>
      <c r="B198" s="448" t="s">
        <v>3562</v>
      </c>
      <c r="C198" s="448" t="s">
        <v>3563</v>
      </c>
      <c r="D198" s="448" t="s">
        <v>3557</v>
      </c>
      <c r="E198" s="448" t="s">
        <v>2120</v>
      </c>
      <c r="F198" s="448" t="s">
        <v>3024</v>
      </c>
      <c r="G198" s="448" t="s">
        <v>3564</v>
      </c>
    </row>
    <row r="199" spans="1:7">
      <c r="A199" s="448">
        <v>198</v>
      </c>
      <c r="B199" s="448" t="s">
        <v>3565</v>
      </c>
      <c r="C199" s="448" t="s">
        <v>3566</v>
      </c>
      <c r="D199" s="448" t="s">
        <v>3557</v>
      </c>
      <c r="E199" s="448" t="s">
        <v>2120</v>
      </c>
      <c r="F199" s="448" t="s">
        <v>3024</v>
      </c>
      <c r="G199" s="448" t="s">
        <v>3567</v>
      </c>
    </row>
    <row r="200" spans="1:7">
      <c r="A200" s="448">
        <v>199</v>
      </c>
      <c r="B200" s="448" t="s">
        <v>3568</v>
      </c>
      <c r="C200" s="448" t="s">
        <v>3569</v>
      </c>
      <c r="D200" s="448" t="s">
        <v>3557</v>
      </c>
      <c r="E200" s="448" t="s">
        <v>2120</v>
      </c>
      <c r="F200" s="448" t="s">
        <v>3024</v>
      </c>
      <c r="G200" s="448" t="s">
        <v>3570</v>
      </c>
    </row>
    <row r="201" spans="1:7">
      <c r="A201" s="448">
        <v>200</v>
      </c>
      <c r="B201" s="448" t="s">
        <v>3571</v>
      </c>
      <c r="C201" s="448" t="s">
        <v>3572</v>
      </c>
      <c r="D201" s="448" t="s">
        <v>3557</v>
      </c>
      <c r="E201" s="448" t="s">
        <v>2120</v>
      </c>
      <c r="F201" s="448" t="s">
        <v>3024</v>
      </c>
      <c r="G201" s="448" t="s">
        <v>3333</v>
      </c>
    </row>
    <row r="202" spans="1:7">
      <c r="A202" s="448">
        <v>201</v>
      </c>
      <c r="B202" s="448" t="s">
        <v>3573</v>
      </c>
      <c r="C202" s="448" t="s">
        <v>3574</v>
      </c>
      <c r="D202" s="448" t="s">
        <v>3557</v>
      </c>
      <c r="E202" s="448" t="s">
        <v>2120</v>
      </c>
      <c r="F202" s="448" t="s">
        <v>3024</v>
      </c>
      <c r="G202" s="448" t="s">
        <v>3575</v>
      </c>
    </row>
    <row r="203" spans="1:7">
      <c r="A203" s="448">
        <v>202</v>
      </c>
      <c r="B203" s="448" t="s">
        <v>3576</v>
      </c>
      <c r="C203" s="448" t="s">
        <v>3577</v>
      </c>
      <c r="D203" s="448" t="s">
        <v>3557</v>
      </c>
      <c r="E203" s="448" t="s">
        <v>2120</v>
      </c>
      <c r="F203" s="448" t="s">
        <v>3024</v>
      </c>
      <c r="G203" s="448" t="s">
        <v>3578</v>
      </c>
    </row>
    <row r="204" spans="1:7">
      <c r="A204" s="448">
        <v>203</v>
      </c>
      <c r="B204" s="448" t="s">
        <v>3579</v>
      </c>
      <c r="C204" s="448" t="s">
        <v>3580</v>
      </c>
      <c r="D204" s="448" t="s">
        <v>3557</v>
      </c>
      <c r="E204" s="448" t="s">
        <v>2120</v>
      </c>
      <c r="F204" s="448" t="s">
        <v>3024</v>
      </c>
      <c r="G204" s="448" t="s">
        <v>3581</v>
      </c>
    </row>
    <row r="205" spans="1:7">
      <c r="A205" s="448">
        <v>204</v>
      </c>
      <c r="B205" s="448" t="s">
        <v>3582</v>
      </c>
      <c r="C205" s="448" t="s">
        <v>3583</v>
      </c>
      <c r="D205" s="448" t="s">
        <v>3557</v>
      </c>
      <c r="E205" s="448" t="s">
        <v>2120</v>
      </c>
      <c r="F205" s="448" t="s">
        <v>3024</v>
      </c>
      <c r="G205" s="448" t="s">
        <v>3584</v>
      </c>
    </row>
    <row r="206" spans="1:7">
      <c r="A206" s="448">
        <v>205</v>
      </c>
      <c r="B206" s="448" t="s">
        <v>3585</v>
      </c>
      <c r="C206" s="448" t="s">
        <v>3586</v>
      </c>
      <c r="D206" s="448" t="s">
        <v>3557</v>
      </c>
      <c r="E206" s="448" t="s">
        <v>2120</v>
      </c>
      <c r="F206" s="448" t="s">
        <v>3024</v>
      </c>
      <c r="G206" s="448" t="s">
        <v>3587</v>
      </c>
    </row>
    <row r="207" spans="1:7">
      <c r="A207" s="448">
        <v>206</v>
      </c>
      <c r="B207" s="448" t="s">
        <v>3588</v>
      </c>
      <c r="C207" s="448" t="s">
        <v>3589</v>
      </c>
      <c r="D207" s="448" t="s">
        <v>3557</v>
      </c>
      <c r="E207" s="448" t="s">
        <v>2120</v>
      </c>
      <c r="F207" s="448" t="s">
        <v>3024</v>
      </c>
      <c r="G207" s="448" t="s">
        <v>3590</v>
      </c>
    </row>
    <row r="208" spans="1:7">
      <c r="A208" s="448">
        <v>207</v>
      </c>
      <c r="B208" s="448" t="s">
        <v>3591</v>
      </c>
      <c r="C208" s="448" t="s">
        <v>3592</v>
      </c>
      <c r="D208" s="448" t="s">
        <v>3557</v>
      </c>
      <c r="E208" s="448" t="s">
        <v>2120</v>
      </c>
      <c r="F208" s="448" t="s">
        <v>3024</v>
      </c>
      <c r="G208" s="448" t="s">
        <v>3593</v>
      </c>
    </row>
    <row r="209" spans="1:7">
      <c r="A209" s="448">
        <v>208</v>
      </c>
      <c r="B209" s="448" t="s">
        <v>3594</v>
      </c>
      <c r="C209" s="448" t="s">
        <v>3595</v>
      </c>
      <c r="D209" s="448" t="s">
        <v>1312</v>
      </c>
      <c r="E209" s="448" t="s">
        <v>2120</v>
      </c>
      <c r="F209" s="448" t="s">
        <v>3024</v>
      </c>
      <c r="G209" s="448" t="s">
        <v>3596</v>
      </c>
    </row>
    <row r="210" spans="1:7">
      <c r="A210" s="448">
        <v>209</v>
      </c>
      <c r="B210" s="448" t="s">
        <v>3597</v>
      </c>
      <c r="C210" s="448" t="s">
        <v>3598</v>
      </c>
      <c r="D210" s="448" t="s">
        <v>1312</v>
      </c>
      <c r="E210" s="448" t="s">
        <v>2120</v>
      </c>
      <c r="F210" s="448" t="s">
        <v>3024</v>
      </c>
      <c r="G210" s="448" t="s">
        <v>3599</v>
      </c>
    </row>
    <row r="211" spans="1:7">
      <c r="A211" s="448">
        <v>210</v>
      </c>
      <c r="B211" s="448" t="s">
        <v>3600</v>
      </c>
      <c r="C211" s="448" t="s">
        <v>3601</v>
      </c>
      <c r="D211" s="448" t="s">
        <v>1312</v>
      </c>
      <c r="E211" s="448" t="s">
        <v>2120</v>
      </c>
      <c r="F211" s="448" t="s">
        <v>3024</v>
      </c>
      <c r="G211" s="448" t="s">
        <v>3602</v>
      </c>
    </row>
    <row r="212" spans="1:7">
      <c r="A212" s="448">
        <v>211</v>
      </c>
      <c r="B212" s="448" t="s">
        <v>3603</v>
      </c>
      <c r="C212" s="448" t="s">
        <v>3604</v>
      </c>
      <c r="D212" s="448" t="s">
        <v>1312</v>
      </c>
      <c r="E212" s="448" t="s">
        <v>2120</v>
      </c>
      <c r="F212" s="448" t="s">
        <v>3024</v>
      </c>
      <c r="G212" s="448" t="s">
        <v>3605</v>
      </c>
    </row>
    <row r="213" spans="1:7">
      <c r="A213" s="448">
        <v>212</v>
      </c>
      <c r="B213" s="448" t="s">
        <v>3606</v>
      </c>
      <c r="C213" s="448" t="s">
        <v>3607</v>
      </c>
      <c r="D213" s="448" t="s">
        <v>1312</v>
      </c>
      <c r="E213" s="448" t="s">
        <v>2120</v>
      </c>
      <c r="F213" s="448" t="s">
        <v>3024</v>
      </c>
      <c r="G213" s="448" t="s">
        <v>3608</v>
      </c>
    </row>
    <row r="214" spans="1:7">
      <c r="A214" s="448">
        <v>213</v>
      </c>
      <c r="B214" s="448" t="s">
        <v>3609</v>
      </c>
      <c r="C214" s="448" t="s">
        <v>3610</v>
      </c>
      <c r="D214" s="448" t="s">
        <v>1312</v>
      </c>
      <c r="E214" s="448" t="s">
        <v>2120</v>
      </c>
      <c r="F214" s="448" t="s">
        <v>3024</v>
      </c>
      <c r="G214" s="448" t="s">
        <v>3611</v>
      </c>
    </row>
    <row r="215" spans="1:7">
      <c r="A215" s="448">
        <v>214</v>
      </c>
      <c r="B215" s="448" t="s">
        <v>3612</v>
      </c>
      <c r="C215" s="448" t="s">
        <v>3613</v>
      </c>
      <c r="D215" s="448" t="s">
        <v>1312</v>
      </c>
      <c r="E215" s="448" t="s">
        <v>2120</v>
      </c>
      <c r="F215" s="448" t="s">
        <v>3024</v>
      </c>
      <c r="G215" s="448" t="s">
        <v>3614</v>
      </c>
    </row>
    <row r="216" spans="1:7">
      <c r="A216" s="448">
        <v>215</v>
      </c>
      <c r="B216" s="448" t="s">
        <v>3615</v>
      </c>
      <c r="C216" s="448" t="s">
        <v>3616</v>
      </c>
      <c r="D216" s="448" t="s">
        <v>3617</v>
      </c>
      <c r="E216" s="448" t="s">
        <v>2120</v>
      </c>
      <c r="F216" s="448" t="s">
        <v>3024</v>
      </c>
      <c r="G216" s="448" t="s">
        <v>3618</v>
      </c>
    </row>
    <row r="217" spans="1:7">
      <c r="A217" s="448">
        <v>216</v>
      </c>
      <c r="B217" s="448" t="s">
        <v>3619</v>
      </c>
      <c r="C217" s="448" t="s">
        <v>3620</v>
      </c>
      <c r="D217" s="448" t="s">
        <v>3363</v>
      </c>
      <c r="E217" s="448" t="s">
        <v>2120</v>
      </c>
      <c r="F217" s="448" t="s">
        <v>3024</v>
      </c>
      <c r="G217" s="448" t="s">
        <v>3621</v>
      </c>
    </row>
    <row r="218" spans="1:7">
      <c r="A218" s="448">
        <v>217</v>
      </c>
      <c r="B218" s="448" t="s">
        <v>3622</v>
      </c>
      <c r="C218" s="448" t="s">
        <v>3623</v>
      </c>
      <c r="D218" s="448" t="s">
        <v>3363</v>
      </c>
      <c r="E218" s="448" t="s">
        <v>2120</v>
      </c>
      <c r="F218" s="448" t="s">
        <v>3024</v>
      </c>
      <c r="G218" s="448" t="s">
        <v>3624</v>
      </c>
    </row>
    <row r="219" spans="1:7">
      <c r="A219" s="448">
        <v>218</v>
      </c>
      <c r="B219" s="448" t="s">
        <v>3625</v>
      </c>
      <c r="C219" s="448" t="s">
        <v>3626</v>
      </c>
      <c r="D219" s="448" t="s">
        <v>3363</v>
      </c>
      <c r="E219" s="448" t="s">
        <v>2120</v>
      </c>
      <c r="F219" s="448" t="s">
        <v>3024</v>
      </c>
      <c r="G219" s="448" t="s">
        <v>3627</v>
      </c>
    </row>
    <row r="220" spans="1:7">
      <c r="A220" s="448">
        <v>219</v>
      </c>
      <c r="B220" s="448" t="s">
        <v>3628</v>
      </c>
      <c r="C220" s="448" t="s">
        <v>3629</v>
      </c>
      <c r="D220" s="448" t="s">
        <v>3363</v>
      </c>
      <c r="E220" s="448" t="s">
        <v>2120</v>
      </c>
      <c r="F220" s="448" t="s">
        <v>3024</v>
      </c>
      <c r="G220" s="448" t="s">
        <v>3630</v>
      </c>
    </row>
    <row r="221" spans="1:7">
      <c r="A221" s="448">
        <v>220</v>
      </c>
      <c r="B221" s="448" t="s">
        <v>3631</v>
      </c>
      <c r="C221" s="448" t="s">
        <v>3632</v>
      </c>
      <c r="D221" s="448" t="s">
        <v>3557</v>
      </c>
      <c r="E221" s="448" t="s">
        <v>2120</v>
      </c>
      <c r="F221" s="448" t="s">
        <v>3024</v>
      </c>
      <c r="G221" s="448" t="s">
        <v>3633</v>
      </c>
    </row>
    <row r="222" spans="1:7">
      <c r="A222" s="448">
        <v>221</v>
      </c>
      <c r="B222" s="448" t="s">
        <v>3634</v>
      </c>
      <c r="C222" s="448" t="s">
        <v>3635</v>
      </c>
      <c r="D222" s="448" t="s">
        <v>3557</v>
      </c>
      <c r="E222" s="448" t="s">
        <v>2120</v>
      </c>
      <c r="F222" s="448" t="s">
        <v>3024</v>
      </c>
      <c r="G222" s="448" t="s">
        <v>3636</v>
      </c>
    </row>
    <row r="223" spans="1:7">
      <c r="A223" s="448">
        <v>222</v>
      </c>
      <c r="B223" s="448" t="s">
        <v>3637</v>
      </c>
      <c r="C223" s="448" t="s">
        <v>3638</v>
      </c>
      <c r="D223" s="448" t="s">
        <v>3557</v>
      </c>
      <c r="E223" s="448" t="s">
        <v>2120</v>
      </c>
      <c r="F223" s="448" t="s">
        <v>3024</v>
      </c>
      <c r="G223" s="448" t="s">
        <v>3639</v>
      </c>
    </row>
    <row r="224" spans="1:7">
      <c r="A224" s="448">
        <v>223</v>
      </c>
      <c r="B224" s="448" t="s">
        <v>3640</v>
      </c>
      <c r="C224" s="448" t="s">
        <v>3641</v>
      </c>
      <c r="D224" s="448" t="s">
        <v>3557</v>
      </c>
      <c r="E224" s="448" t="s">
        <v>2120</v>
      </c>
      <c r="F224" s="448" t="s">
        <v>3024</v>
      </c>
      <c r="G224" s="448" t="s">
        <v>3642</v>
      </c>
    </row>
    <row r="225" spans="1:7">
      <c r="A225" s="448">
        <v>224</v>
      </c>
      <c r="B225" s="448" t="s">
        <v>3643</v>
      </c>
      <c r="C225" s="448" t="s">
        <v>3644</v>
      </c>
      <c r="D225" s="448" t="s">
        <v>523</v>
      </c>
      <c r="E225" s="448" t="s">
        <v>2120</v>
      </c>
      <c r="F225" s="448" t="s">
        <v>3024</v>
      </c>
      <c r="G225" s="448" t="s">
        <v>3645</v>
      </c>
    </row>
    <row r="226" spans="1:7">
      <c r="A226" s="448">
        <v>225</v>
      </c>
      <c r="B226" s="448" t="s">
        <v>3646</v>
      </c>
      <c r="C226" s="448" t="s">
        <v>3647</v>
      </c>
      <c r="D226" s="448" t="s">
        <v>523</v>
      </c>
      <c r="E226" s="448" t="s">
        <v>2120</v>
      </c>
      <c r="F226" s="448" t="s">
        <v>3024</v>
      </c>
      <c r="G226" s="448" t="s">
        <v>3648</v>
      </c>
    </row>
    <row r="227" spans="1:7">
      <c r="A227" s="448">
        <v>226</v>
      </c>
      <c r="B227" s="448" t="s">
        <v>3649</v>
      </c>
      <c r="C227" s="448" t="s">
        <v>3650</v>
      </c>
      <c r="D227" s="448" t="s">
        <v>523</v>
      </c>
      <c r="E227" s="448" t="s">
        <v>2120</v>
      </c>
      <c r="F227" s="448" t="s">
        <v>3024</v>
      </c>
      <c r="G227" s="448" t="s">
        <v>3651</v>
      </c>
    </row>
    <row r="228" spans="1:7">
      <c r="A228" s="448">
        <v>227</v>
      </c>
      <c r="B228" s="448" t="s">
        <v>3652</v>
      </c>
      <c r="C228" s="448" t="s">
        <v>3653</v>
      </c>
      <c r="D228" s="448" t="s">
        <v>523</v>
      </c>
      <c r="E228" s="448" t="s">
        <v>2120</v>
      </c>
      <c r="F228" s="448" t="s">
        <v>3024</v>
      </c>
      <c r="G228" s="448" t="s">
        <v>3654</v>
      </c>
    </row>
    <row r="229" spans="1:7">
      <c r="A229" s="448">
        <v>228</v>
      </c>
      <c r="B229" s="448" t="s">
        <v>3655</v>
      </c>
      <c r="C229" s="448" t="s">
        <v>3656</v>
      </c>
      <c r="D229" s="448" t="s">
        <v>523</v>
      </c>
      <c r="E229" s="448" t="s">
        <v>2120</v>
      </c>
      <c r="F229" s="448" t="s">
        <v>3024</v>
      </c>
      <c r="G229" s="448" t="s">
        <v>3657</v>
      </c>
    </row>
    <row r="230" spans="1:7">
      <c r="A230" s="448">
        <v>229</v>
      </c>
      <c r="B230" s="448" t="s">
        <v>3658</v>
      </c>
      <c r="C230" s="448" t="s">
        <v>3659</v>
      </c>
      <c r="D230" s="448" t="s">
        <v>523</v>
      </c>
      <c r="E230" s="448" t="s">
        <v>2120</v>
      </c>
      <c r="F230" s="448" t="s">
        <v>3024</v>
      </c>
      <c r="G230" s="448" t="s">
        <v>3660</v>
      </c>
    </row>
    <row r="231" spans="1:7">
      <c r="A231" s="448">
        <v>230</v>
      </c>
      <c r="B231" s="448" t="s">
        <v>3661</v>
      </c>
      <c r="C231" s="448" t="s">
        <v>3662</v>
      </c>
      <c r="D231" s="448" t="s">
        <v>523</v>
      </c>
      <c r="E231" s="448" t="s">
        <v>2120</v>
      </c>
      <c r="F231" s="448" t="s">
        <v>3024</v>
      </c>
      <c r="G231" s="448" t="s">
        <v>3663</v>
      </c>
    </row>
    <row r="232" spans="1:7">
      <c r="A232" s="448">
        <v>231</v>
      </c>
      <c r="B232" s="448" t="s">
        <v>3664</v>
      </c>
      <c r="C232" s="448" t="s">
        <v>3665</v>
      </c>
      <c r="D232" s="448" t="s">
        <v>523</v>
      </c>
      <c r="E232" s="448" t="s">
        <v>2120</v>
      </c>
      <c r="F232" s="448" t="s">
        <v>3024</v>
      </c>
      <c r="G232" s="448" t="s">
        <v>3666</v>
      </c>
    </row>
    <row r="233" spans="1:7">
      <c r="A233" s="448">
        <v>232</v>
      </c>
      <c r="B233" s="448" t="s">
        <v>3667</v>
      </c>
      <c r="C233" s="448" t="s">
        <v>3668</v>
      </c>
      <c r="D233" s="448" t="s">
        <v>523</v>
      </c>
      <c r="E233" s="448" t="s">
        <v>2120</v>
      </c>
      <c r="F233" s="448" t="s">
        <v>3024</v>
      </c>
      <c r="G233" s="448" t="s">
        <v>3669</v>
      </c>
    </row>
    <row r="234" spans="1:7">
      <c r="A234" s="448">
        <v>233</v>
      </c>
      <c r="B234" s="448" t="s">
        <v>3670</v>
      </c>
      <c r="C234" s="448" t="s">
        <v>3671</v>
      </c>
      <c r="D234" s="448" t="s">
        <v>1312</v>
      </c>
      <c r="E234" s="448" t="s">
        <v>2120</v>
      </c>
      <c r="F234" s="448" t="s">
        <v>3024</v>
      </c>
      <c r="G234" s="448" t="s">
        <v>3672</v>
      </c>
    </row>
    <row r="235" spans="1:7">
      <c r="A235" s="448">
        <v>234</v>
      </c>
      <c r="B235" s="448" t="s">
        <v>3673</v>
      </c>
      <c r="C235" s="448" t="s">
        <v>3674</v>
      </c>
      <c r="D235" s="448" t="s">
        <v>1312</v>
      </c>
      <c r="E235" s="448" t="s">
        <v>2120</v>
      </c>
      <c r="F235" s="448" t="s">
        <v>3024</v>
      </c>
      <c r="G235" s="448" t="s">
        <v>3675</v>
      </c>
    </row>
    <row r="236" spans="1:7">
      <c r="A236" s="448">
        <v>235</v>
      </c>
      <c r="B236" s="448" t="s">
        <v>3676</v>
      </c>
      <c r="C236" s="448" t="s">
        <v>3677</v>
      </c>
      <c r="D236" s="448" t="s">
        <v>1312</v>
      </c>
      <c r="E236" s="448" t="s">
        <v>2120</v>
      </c>
      <c r="F236" s="448" t="s">
        <v>3024</v>
      </c>
      <c r="G236" s="448" t="s">
        <v>3678</v>
      </c>
    </row>
    <row r="237" spans="1:7">
      <c r="A237" s="448">
        <v>236</v>
      </c>
      <c r="B237" s="448" t="s">
        <v>3679</v>
      </c>
      <c r="C237" s="448" t="s">
        <v>3680</v>
      </c>
      <c r="D237" s="448" t="s">
        <v>1312</v>
      </c>
      <c r="E237" s="448" t="s">
        <v>2120</v>
      </c>
      <c r="F237" s="448" t="s">
        <v>3024</v>
      </c>
      <c r="G237" s="448" t="s">
        <v>3681</v>
      </c>
    </row>
    <row r="238" spans="1:7">
      <c r="A238" s="448">
        <v>237</v>
      </c>
      <c r="B238" s="448" t="s">
        <v>3682</v>
      </c>
      <c r="C238" s="448" t="s">
        <v>3683</v>
      </c>
      <c r="D238" s="448" t="s">
        <v>1312</v>
      </c>
      <c r="E238" s="448" t="s">
        <v>2120</v>
      </c>
      <c r="F238" s="448" t="s">
        <v>3024</v>
      </c>
      <c r="G238" s="448" t="s">
        <v>3684</v>
      </c>
    </row>
    <row r="239" spans="1:7">
      <c r="A239" s="448">
        <v>238</v>
      </c>
      <c r="B239" s="448" t="s">
        <v>3685</v>
      </c>
      <c r="C239" s="448" t="s">
        <v>3686</v>
      </c>
      <c r="D239" s="448" t="s">
        <v>1312</v>
      </c>
      <c r="E239" s="448" t="s">
        <v>2120</v>
      </c>
      <c r="F239" s="448" t="s">
        <v>3024</v>
      </c>
      <c r="G239" s="448" t="s">
        <v>3687</v>
      </c>
    </row>
    <row r="240" spans="1:7">
      <c r="A240" s="448">
        <v>239</v>
      </c>
      <c r="B240" s="448" t="s">
        <v>3688</v>
      </c>
      <c r="C240" s="448" t="s">
        <v>3689</v>
      </c>
      <c r="D240" s="448" t="s">
        <v>1312</v>
      </c>
      <c r="E240" s="448" t="s">
        <v>2120</v>
      </c>
      <c r="F240" s="448" t="s">
        <v>3024</v>
      </c>
      <c r="G240" s="448" t="s">
        <v>3690</v>
      </c>
    </row>
    <row r="241" spans="1:7">
      <c r="A241" s="448">
        <v>240</v>
      </c>
      <c r="B241" s="448" t="s">
        <v>3691</v>
      </c>
      <c r="C241" s="448" t="s">
        <v>3692</v>
      </c>
      <c r="D241" s="448" t="s">
        <v>1312</v>
      </c>
      <c r="E241" s="448" t="s">
        <v>2120</v>
      </c>
      <c r="F241" s="448" t="s">
        <v>3024</v>
      </c>
      <c r="G241" s="448" t="s">
        <v>3693</v>
      </c>
    </row>
    <row r="242" spans="1:7">
      <c r="A242" s="448">
        <v>241</v>
      </c>
      <c r="B242" s="448" t="s">
        <v>3694</v>
      </c>
      <c r="C242" s="448" t="s">
        <v>3695</v>
      </c>
      <c r="D242" s="448" t="s">
        <v>1312</v>
      </c>
      <c r="E242" s="448" t="s">
        <v>2120</v>
      </c>
      <c r="F242" s="448" t="s">
        <v>3024</v>
      </c>
      <c r="G242" s="448" t="s">
        <v>3696</v>
      </c>
    </row>
    <row r="243" spans="1:7">
      <c r="A243" s="448">
        <v>242</v>
      </c>
      <c r="B243" s="448" t="s">
        <v>3697</v>
      </c>
      <c r="C243" s="448" t="s">
        <v>3698</v>
      </c>
      <c r="D243" s="448" t="s">
        <v>1312</v>
      </c>
      <c r="E243" s="448" t="s">
        <v>2120</v>
      </c>
      <c r="F243" s="448" t="s">
        <v>3024</v>
      </c>
      <c r="G243" s="448" t="s">
        <v>3699</v>
      </c>
    </row>
    <row r="244" spans="1:7">
      <c r="A244" s="448">
        <v>243</v>
      </c>
      <c r="B244" s="448" t="s">
        <v>3700</v>
      </c>
      <c r="C244" s="448" t="s">
        <v>3701</v>
      </c>
      <c r="D244" s="448" t="s">
        <v>1312</v>
      </c>
      <c r="E244" s="448" t="s">
        <v>2120</v>
      </c>
      <c r="F244" s="448" t="s">
        <v>3024</v>
      </c>
      <c r="G244" s="448" t="s">
        <v>3702</v>
      </c>
    </row>
    <row r="245" spans="1:7">
      <c r="A245" s="448">
        <v>244</v>
      </c>
      <c r="B245" s="448" t="s">
        <v>3703</v>
      </c>
      <c r="C245" s="448" t="s">
        <v>3704</v>
      </c>
      <c r="D245" s="448" t="s">
        <v>3363</v>
      </c>
      <c r="E245" s="448" t="s">
        <v>2120</v>
      </c>
      <c r="F245" s="448" t="s">
        <v>3024</v>
      </c>
      <c r="G245" s="448" t="s">
        <v>3705</v>
      </c>
    </row>
    <row r="246" spans="1:7">
      <c r="A246" s="448">
        <v>245</v>
      </c>
      <c r="B246" s="448" t="s">
        <v>3706</v>
      </c>
      <c r="C246" s="448" t="s">
        <v>3707</v>
      </c>
      <c r="D246" s="448" t="s">
        <v>1312</v>
      </c>
      <c r="E246" s="448" t="s">
        <v>2120</v>
      </c>
      <c r="F246" s="448" t="s">
        <v>3024</v>
      </c>
      <c r="G246" s="448" t="s">
        <v>3708</v>
      </c>
    </row>
    <row r="247" spans="1:7">
      <c r="A247" s="448">
        <v>246</v>
      </c>
      <c r="B247" s="448" t="s">
        <v>3709</v>
      </c>
      <c r="C247" s="448" t="s">
        <v>3710</v>
      </c>
      <c r="D247" s="448" t="s">
        <v>1312</v>
      </c>
      <c r="E247" s="448" t="s">
        <v>2120</v>
      </c>
      <c r="F247" s="448" t="s">
        <v>3024</v>
      </c>
      <c r="G247" s="448" t="s">
        <v>3711</v>
      </c>
    </row>
    <row r="248" spans="1:7">
      <c r="A248" s="448">
        <v>247</v>
      </c>
      <c r="B248" s="448" t="s">
        <v>3712</v>
      </c>
      <c r="C248" s="448" t="s">
        <v>3713</v>
      </c>
      <c r="D248" s="448" t="s">
        <v>1312</v>
      </c>
      <c r="E248" s="448" t="s">
        <v>2120</v>
      </c>
      <c r="F248" s="448" t="s">
        <v>3024</v>
      </c>
      <c r="G248" s="448" t="s">
        <v>3714</v>
      </c>
    </row>
    <row r="249" spans="1:7">
      <c r="A249" s="448">
        <v>248</v>
      </c>
      <c r="B249" s="448" t="s">
        <v>3715</v>
      </c>
      <c r="C249" s="448" t="s">
        <v>3716</v>
      </c>
      <c r="D249" s="448" t="s">
        <v>1312</v>
      </c>
      <c r="E249" s="448" t="s">
        <v>2120</v>
      </c>
      <c r="F249" s="448" t="s">
        <v>3024</v>
      </c>
      <c r="G249" s="448" t="s">
        <v>3717</v>
      </c>
    </row>
    <row r="250" spans="1:7">
      <c r="A250" s="448">
        <v>249</v>
      </c>
      <c r="B250" s="448" t="s">
        <v>3718</v>
      </c>
      <c r="C250" s="448" t="s">
        <v>3719</v>
      </c>
      <c r="D250" s="448" t="s">
        <v>1312</v>
      </c>
      <c r="E250" s="448" t="s">
        <v>2120</v>
      </c>
      <c r="F250" s="448" t="s">
        <v>3024</v>
      </c>
      <c r="G250" s="448" t="s">
        <v>3720</v>
      </c>
    </row>
    <row r="251" spans="1:7">
      <c r="A251" s="448">
        <v>250</v>
      </c>
      <c r="B251" s="448" t="s">
        <v>3721</v>
      </c>
      <c r="C251" s="448" t="s">
        <v>3722</v>
      </c>
      <c r="D251" s="448" t="s">
        <v>1312</v>
      </c>
      <c r="E251" s="448" t="s">
        <v>2120</v>
      </c>
      <c r="F251" s="448" t="s">
        <v>3024</v>
      </c>
      <c r="G251" s="448" t="s">
        <v>3723</v>
      </c>
    </row>
    <row r="252" spans="1:7">
      <c r="A252" s="448">
        <v>251</v>
      </c>
      <c r="B252" s="448" t="s">
        <v>3724</v>
      </c>
      <c r="C252" s="448" t="s">
        <v>3725</v>
      </c>
      <c r="D252" s="448" t="s">
        <v>3726</v>
      </c>
      <c r="E252" s="448" t="s">
        <v>2120</v>
      </c>
      <c r="F252" s="448" t="s">
        <v>3024</v>
      </c>
      <c r="G252" s="448" t="s">
        <v>3727</v>
      </c>
    </row>
    <row r="253" spans="1:7">
      <c r="A253" s="448">
        <v>252</v>
      </c>
      <c r="B253" s="448" t="s">
        <v>3728</v>
      </c>
      <c r="C253" s="448" t="s">
        <v>3729</v>
      </c>
      <c r="D253" s="448" t="s">
        <v>3726</v>
      </c>
      <c r="E253" s="448" t="s">
        <v>2120</v>
      </c>
      <c r="F253" s="448" t="s">
        <v>3024</v>
      </c>
      <c r="G253" s="448" t="s">
        <v>3730</v>
      </c>
    </row>
    <row r="254" spans="1:7">
      <c r="A254" s="448">
        <v>253</v>
      </c>
      <c r="B254" s="448" t="s">
        <v>3731</v>
      </c>
      <c r="C254" s="448" t="s">
        <v>3732</v>
      </c>
      <c r="D254" s="448" t="s">
        <v>3726</v>
      </c>
      <c r="E254" s="448" t="s">
        <v>2120</v>
      </c>
      <c r="F254" s="448" t="s">
        <v>3024</v>
      </c>
      <c r="G254" s="448" t="s">
        <v>3733</v>
      </c>
    </row>
    <row r="255" spans="1:7">
      <c r="A255" s="448">
        <v>254</v>
      </c>
      <c r="B255" s="448" t="s">
        <v>3734</v>
      </c>
      <c r="C255" s="448" t="s">
        <v>3735</v>
      </c>
      <c r="D255" s="448" t="s">
        <v>3726</v>
      </c>
      <c r="E255" s="448" t="s">
        <v>2120</v>
      </c>
      <c r="F255" s="448" t="s">
        <v>3024</v>
      </c>
      <c r="G255" s="448" t="s">
        <v>3736</v>
      </c>
    </row>
    <row r="256" spans="1:7">
      <c r="A256" s="448">
        <v>255</v>
      </c>
      <c r="B256" s="448" t="s">
        <v>3737</v>
      </c>
      <c r="C256" s="448" t="s">
        <v>3738</v>
      </c>
      <c r="D256" s="448" t="s">
        <v>3726</v>
      </c>
      <c r="E256" s="448" t="s">
        <v>2120</v>
      </c>
      <c r="F256" s="448" t="s">
        <v>3024</v>
      </c>
      <c r="G256" s="448" t="s">
        <v>3739</v>
      </c>
    </row>
    <row r="257" spans="1:7">
      <c r="A257" s="448">
        <v>256</v>
      </c>
      <c r="B257" s="448" t="s">
        <v>3740</v>
      </c>
      <c r="C257" s="448" t="s">
        <v>3729</v>
      </c>
      <c r="D257" s="448" t="s">
        <v>3726</v>
      </c>
      <c r="E257" s="448" t="s">
        <v>2120</v>
      </c>
      <c r="F257" s="448" t="s">
        <v>3024</v>
      </c>
      <c r="G257" s="448" t="s">
        <v>3741</v>
      </c>
    </row>
    <row r="258" spans="1:7">
      <c r="A258" s="448">
        <v>257</v>
      </c>
      <c r="B258" s="448" t="s">
        <v>3742</v>
      </c>
      <c r="C258" s="448" t="s">
        <v>3725</v>
      </c>
      <c r="D258" s="448" t="s">
        <v>3726</v>
      </c>
      <c r="E258" s="448" t="s">
        <v>2120</v>
      </c>
      <c r="F258" s="448" t="s">
        <v>3024</v>
      </c>
      <c r="G258" s="448" t="s">
        <v>3743</v>
      </c>
    </row>
    <row r="259" spans="1:7">
      <c r="A259" s="448">
        <v>258</v>
      </c>
      <c r="B259" s="448" t="s">
        <v>3744</v>
      </c>
      <c r="C259" s="448" t="s">
        <v>3732</v>
      </c>
      <c r="D259" s="448" t="s">
        <v>3726</v>
      </c>
      <c r="E259" s="448" t="s">
        <v>2120</v>
      </c>
      <c r="F259" s="448" t="s">
        <v>3024</v>
      </c>
      <c r="G259" s="448" t="s">
        <v>3745</v>
      </c>
    </row>
    <row r="260" spans="1:7">
      <c r="A260" s="448">
        <v>259</v>
      </c>
      <c r="B260" s="448" t="s">
        <v>3746</v>
      </c>
      <c r="C260" s="448" t="s">
        <v>3735</v>
      </c>
      <c r="D260" s="448" t="s">
        <v>3726</v>
      </c>
      <c r="E260" s="448" t="s">
        <v>2120</v>
      </c>
      <c r="F260" s="448" t="s">
        <v>3024</v>
      </c>
      <c r="G260" s="448" t="s">
        <v>3747</v>
      </c>
    </row>
    <row r="261" spans="1:7">
      <c r="A261" s="448">
        <v>260</v>
      </c>
      <c r="B261" s="448" t="s">
        <v>3748</v>
      </c>
      <c r="C261" s="448" t="s">
        <v>3738</v>
      </c>
      <c r="D261" s="448" t="s">
        <v>3726</v>
      </c>
      <c r="E261" s="448" t="s">
        <v>2120</v>
      </c>
      <c r="F261" s="448" t="s">
        <v>3024</v>
      </c>
      <c r="G261" s="448" t="s">
        <v>3749</v>
      </c>
    </row>
    <row r="262" spans="1:7">
      <c r="A262" s="448">
        <v>261</v>
      </c>
      <c r="B262" s="448" t="s">
        <v>3750</v>
      </c>
      <c r="C262" s="448" t="s">
        <v>3751</v>
      </c>
      <c r="D262" s="448" t="s">
        <v>3752</v>
      </c>
      <c r="E262" s="448" t="s">
        <v>3753</v>
      </c>
      <c r="F262" s="448" t="s">
        <v>3024</v>
      </c>
      <c r="G262" s="448" t="s">
        <v>3754</v>
      </c>
    </row>
    <row r="263" spans="1:7">
      <c r="A263" s="448">
        <v>262</v>
      </c>
      <c r="B263" s="448" t="s">
        <v>3755</v>
      </c>
      <c r="C263" s="448" t="s">
        <v>3756</v>
      </c>
      <c r="D263" s="448" t="s">
        <v>3752</v>
      </c>
      <c r="E263" s="448" t="s">
        <v>3753</v>
      </c>
      <c r="F263" s="448" t="s">
        <v>3024</v>
      </c>
      <c r="G263" s="448" t="s">
        <v>3757</v>
      </c>
    </row>
    <row r="264" spans="1:7">
      <c r="A264" s="448">
        <v>263</v>
      </c>
      <c r="B264" s="448" t="s">
        <v>3758</v>
      </c>
      <c r="C264" s="448" t="s">
        <v>3759</v>
      </c>
      <c r="D264" s="448" t="s">
        <v>3752</v>
      </c>
      <c r="E264" s="448" t="s">
        <v>3753</v>
      </c>
      <c r="F264" s="448" t="s">
        <v>3024</v>
      </c>
      <c r="G264" s="448" t="s">
        <v>3760</v>
      </c>
    </row>
    <row r="265" spans="1:7">
      <c r="A265" s="448">
        <v>264</v>
      </c>
      <c r="B265" s="448" t="s">
        <v>3761</v>
      </c>
      <c r="C265" s="448" t="s">
        <v>3762</v>
      </c>
      <c r="D265" s="448" t="s">
        <v>3752</v>
      </c>
      <c r="E265" s="448" t="s">
        <v>3753</v>
      </c>
      <c r="F265" s="448" t="s">
        <v>3024</v>
      </c>
      <c r="G265" s="448" t="s">
        <v>3763</v>
      </c>
    </row>
    <row r="266" spans="1:7">
      <c r="A266" s="448">
        <v>265</v>
      </c>
      <c r="B266" s="448" t="s">
        <v>3764</v>
      </c>
      <c r="C266" s="448" t="s">
        <v>3765</v>
      </c>
      <c r="D266" s="448" t="s">
        <v>3766</v>
      </c>
      <c r="E266" s="448" t="s">
        <v>2120</v>
      </c>
      <c r="F266" s="448" t="s">
        <v>3024</v>
      </c>
      <c r="G266" s="448" t="s">
        <v>3767</v>
      </c>
    </row>
    <row r="267" spans="1:7">
      <c r="A267" s="448">
        <v>266</v>
      </c>
      <c r="B267" s="448" t="s">
        <v>3768</v>
      </c>
      <c r="C267" s="448" t="s">
        <v>3769</v>
      </c>
      <c r="D267" s="448" t="s">
        <v>3766</v>
      </c>
      <c r="E267" s="448" t="s">
        <v>2120</v>
      </c>
      <c r="F267" s="448" t="s">
        <v>3024</v>
      </c>
      <c r="G267" s="448" t="s">
        <v>3770</v>
      </c>
    </row>
    <row r="268" spans="1:7">
      <c r="A268" s="448">
        <v>267</v>
      </c>
      <c r="B268" s="448" t="s">
        <v>3771</v>
      </c>
      <c r="C268" s="448" t="s">
        <v>3772</v>
      </c>
      <c r="D268" s="448" t="s">
        <v>3766</v>
      </c>
      <c r="E268" s="448" t="s">
        <v>2120</v>
      </c>
      <c r="F268" s="448" t="s">
        <v>3024</v>
      </c>
      <c r="G268" s="448" t="s">
        <v>3773</v>
      </c>
    </row>
    <row r="269" spans="1:7">
      <c r="A269" s="448">
        <v>268</v>
      </c>
      <c r="B269" s="448" t="s">
        <v>3774</v>
      </c>
      <c r="C269" s="448" t="s">
        <v>3775</v>
      </c>
      <c r="D269" s="448" t="s">
        <v>3766</v>
      </c>
      <c r="E269" s="448" t="s">
        <v>2120</v>
      </c>
      <c r="F269" s="448" t="s">
        <v>3024</v>
      </c>
      <c r="G269" s="448" t="s">
        <v>3776</v>
      </c>
    </row>
    <row r="270" spans="1:7">
      <c r="A270" s="448">
        <v>269</v>
      </c>
      <c r="B270" s="448" t="s">
        <v>3777</v>
      </c>
      <c r="C270" s="448" t="s">
        <v>3778</v>
      </c>
      <c r="D270" s="448" t="s">
        <v>3766</v>
      </c>
      <c r="E270" s="448" t="s">
        <v>2120</v>
      </c>
      <c r="F270" s="448" t="s">
        <v>3024</v>
      </c>
      <c r="G270" s="448" t="s">
        <v>3779</v>
      </c>
    </row>
    <row r="271" spans="1:7">
      <c r="A271" s="448">
        <v>270</v>
      </c>
      <c r="B271" s="448" t="s">
        <v>3780</v>
      </c>
      <c r="C271" s="448" t="s">
        <v>3781</v>
      </c>
      <c r="D271" s="448" t="s">
        <v>523</v>
      </c>
      <c r="E271" s="448" t="s">
        <v>2120</v>
      </c>
      <c r="F271" s="448" t="s">
        <v>3024</v>
      </c>
      <c r="G271" s="448" t="s">
        <v>3782</v>
      </c>
    </row>
    <row r="272" spans="1:7">
      <c r="A272" s="448">
        <v>271</v>
      </c>
      <c r="B272" s="448" t="s">
        <v>3783</v>
      </c>
      <c r="C272" s="448" t="s">
        <v>3784</v>
      </c>
      <c r="D272" s="448" t="s">
        <v>523</v>
      </c>
      <c r="E272" s="448" t="s">
        <v>2120</v>
      </c>
      <c r="F272" s="448" t="s">
        <v>3024</v>
      </c>
      <c r="G272" s="448" t="s">
        <v>3785</v>
      </c>
    </row>
    <row r="273" spans="1:7">
      <c r="A273" s="448">
        <v>272</v>
      </c>
      <c r="B273" s="448" t="s">
        <v>3786</v>
      </c>
      <c r="C273" s="448" t="s">
        <v>3787</v>
      </c>
      <c r="D273" s="448" t="s">
        <v>523</v>
      </c>
      <c r="E273" s="448" t="s">
        <v>2120</v>
      </c>
      <c r="F273" s="448" t="s">
        <v>3024</v>
      </c>
      <c r="G273" s="448" t="s">
        <v>3788</v>
      </c>
    </row>
    <row r="274" spans="1:7">
      <c r="A274" s="448">
        <v>273</v>
      </c>
      <c r="B274" s="448" t="s">
        <v>3789</v>
      </c>
      <c r="C274" s="448" t="s">
        <v>3790</v>
      </c>
      <c r="D274" s="448" t="s">
        <v>523</v>
      </c>
      <c r="E274" s="448" t="s">
        <v>2120</v>
      </c>
      <c r="F274" s="448" t="s">
        <v>3024</v>
      </c>
      <c r="G274" s="448" t="s">
        <v>3776</v>
      </c>
    </row>
    <row r="275" spans="1:7">
      <c r="A275" s="448">
        <v>274</v>
      </c>
      <c r="B275" s="448" t="s">
        <v>3791</v>
      </c>
      <c r="C275" s="448" t="s">
        <v>3792</v>
      </c>
      <c r="D275" s="448" t="s">
        <v>523</v>
      </c>
      <c r="E275" s="448" t="s">
        <v>2120</v>
      </c>
      <c r="F275" s="448" t="s">
        <v>3024</v>
      </c>
      <c r="G275" s="448" t="s">
        <v>3614</v>
      </c>
    </row>
    <row r="276" spans="1:7">
      <c r="A276" s="448">
        <v>275</v>
      </c>
      <c r="B276" s="448" t="s">
        <v>3793</v>
      </c>
      <c r="C276" s="448" t="s">
        <v>3794</v>
      </c>
      <c r="D276" s="448" t="s">
        <v>523</v>
      </c>
      <c r="E276" s="448" t="s">
        <v>2120</v>
      </c>
      <c r="F276" s="448" t="s">
        <v>3024</v>
      </c>
      <c r="G276" s="448" t="s">
        <v>3795</v>
      </c>
    </row>
    <row r="277" spans="1:7">
      <c r="A277" s="448">
        <v>276</v>
      </c>
      <c r="B277" s="448" t="s">
        <v>3796</v>
      </c>
      <c r="C277" s="448" t="s">
        <v>3797</v>
      </c>
      <c r="D277" s="448" t="s">
        <v>523</v>
      </c>
      <c r="E277" s="448" t="s">
        <v>2120</v>
      </c>
      <c r="F277" s="448" t="s">
        <v>3024</v>
      </c>
      <c r="G277" s="448" t="s">
        <v>3798</v>
      </c>
    </row>
    <row r="278" spans="1:7">
      <c r="A278" s="448">
        <v>277</v>
      </c>
      <c r="B278" s="448" t="s">
        <v>3799</v>
      </c>
      <c r="C278" s="448" t="s">
        <v>3800</v>
      </c>
      <c r="D278" s="448" t="s">
        <v>523</v>
      </c>
      <c r="E278" s="448" t="s">
        <v>2120</v>
      </c>
      <c r="F278" s="448" t="s">
        <v>3024</v>
      </c>
      <c r="G278" s="448" t="s">
        <v>3801</v>
      </c>
    </row>
    <row r="279" spans="1:7">
      <c r="A279" s="448">
        <v>278</v>
      </c>
      <c r="B279" s="448" t="s">
        <v>3802</v>
      </c>
      <c r="C279" s="448" t="s">
        <v>3803</v>
      </c>
      <c r="D279" s="448" t="s">
        <v>523</v>
      </c>
      <c r="E279" s="448" t="s">
        <v>2120</v>
      </c>
      <c r="F279" s="448" t="s">
        <v>3024</v>
      </c>
      <c r="G279" s="448" t="s">
        <v>3804</v>
      </c>
    </row>
    <row r="280" spans="1:7">
      <c r="A280" s="448">
        <v>279</v>
      </c>
      <c r="B280" s="448" t="s">
        <v>3805</v>
      </c>
      <c r="C280" s="448" t="s">
        <v>3806</v>
      </c>
      <c r="D280" s="448" t="s">
        <v>523</v>
      </c>
      <c r="E280" s="448" t="s">
        <v>2120</v>
      </c>
      <c r="F280" s="448" t="s">
        <v>3024</v>
      </c>
      <c r="G280" s="448" t="s">
        <v>3807</v>
      </c>
    </row>
    <row r="281" spans="1:7">
      <c r="A281" s="448">
        <v>280</v>
      </c>
      <c r="B281" s="448" t="s">
        <v>3808</v>
      </c>
      <c r="C281" s="448" t="s">
        <v>3809</v>
      </c>
      <c r="D281" s="448" t="s">
        <v>3810</v>
      </c>
      <c r="E281" s="448" t="s">
        <v>2120</v>
      </c>
      <c r="F281" s="448" t="s">
        <v>3024</v>
      </c>
      <c r="G281" s="448" t="s">
        <v>3811</v>
      </c>
    </row>
    <row r="282" spans="1:7">
      <c r="A282" s="448">
        <v>281</v>
      </c>
      <c r="B282" s="448" t="s">
        <v>3812</v>
      </c>
      <c r="C282" s="448" t="s">
        <v>3813</v>
      </c>
      <c r="D282" s="448" t="s">
        <v>3810</v>
      </c>
      <c r="E282" s="448" t="s">
        <v>2120</v>
      </c>
      <c r="F282" s="448" t="s">
        <v>3024</v>
      </c>
      <c r="G282" s="448" t="s">
        <v>3814</v>
      </c>
    </row>
    <row r="283" spans="1:7">
      <c r="A283" s="448">
        <v>282</v>
      </c>
      <c r="B283" s="448" t="s">
        <v>3815</v>
      </c>
      <c r="C283" s="448" t="s">
        <v>3816</v>
      </c>
      <c r="D283" s="448" t="s">
        <v>3810</v>
      </c>
      <c r="E283" s="448" t="s">
        <v>2120</v>
      </c>
      <c r="F283" s="448" t="s">
        <v>3024</v>
      </c>
      <c r="G283" s="448" t="s">
        <v>3817</v>
      </c>
    </row>
    <row r="284" spans="1:7">
      <c r="A284" s="448">
        <v>283</v>
      </c>
      <c r="B284" s="448" t="s">
        <v>3818</v>
      </c>
      <c r="C284" s="448" t="s">
        <v>3819</v>
      </c>
      <c r="D284" s="448" t="s">
        <v>3810</v>
      </c>
      <c r="E284" s="448" t="s">
        <v>2120</v>
      </c>
      <c r="F284" s="448" t="s">
        <v>3024</v>
      </c>
      <c r="G284" s="448" t="s">
        <v>3820</v>
      </c>
    </row>
    <row r="285" spans="1:7">
      <c r="A285" s="448">
        <v>284</v>
      </c>
      <c r="B285" s="448" t="s">
        <v>3821</v>
      </c>
      <c r="C285" s="448" t="s">
        <v>3822</v>
      </c>
      <c r="D285" s="448" t="s">
        <v>3810</v>
      </c>
      <c r="E285" s="448" t="s">
        <v>2120</v>
      </c>
      <c r="F285" s="448" t="s">
        <v>3024</v>
      </c>
      <c r="G285" s="448" t="s">
        <v>3823</v>
      </c>
    </row>
    <row r="286" spans="1:7">
      <c r="A286" s="448">
        <v>285</v>
      </c>
      <c r="B286" s="448" t="s">
        <v>3824</v>
      </c>
      <c r="C286" s="448" t="s">
        <v>3825</v>
      </c>
      <c r="D286" s="448" t="s">
        <v>3810</v>
      </c>
      <c r="E286" s="448" t="s">
        <v>2120</v>
      </c>
      <c r="F286" s="448" t="s">
        <v>3024</v>
      </c>
      <c r="G286" s="448" t="s">
        <v>3826</v>
      </c>
    </row>
    <row r="287" spans="1:7">
      <c r="A287" s="448">
        <v>286</v>
      </c>
      <c r="B287" s="448" t="s">
        <v>3827</v>
      </c>
      <c r="C287" s="448" t="s">
        <v>3828</v>
      </c>
      <c r="D287" s="448" t="s">
        <v>3810</v>
      </c>
      <c r="E287" s="448" t="s">
        <v>2120</v>
      </c>
      <c r="F287" s="448" t="s">
        <v>3024</v>
      </c>
      <c r="G287" s="448" t="s">
        <v>3150</v>
      </c>
    </row>
    <row r="288" spans="1:7">
      <c r="A288" s="448">
        <v>287</v>
      </c>
      <c r="B288" s="448" t="s">
        <v>3829</v>
      </c>
      <c r="C288" s="448" t="s">
        <v>3830</v>
      </c>
      <c r="D288" s="448" t="s">
        <v>3810</v>
      </c>
      <c r="E288" s="448" t="s">
        <v>2120</v>
      </c>
      <c r="F288" s="448" t="s">
        <v>3024</v>
      </c>
      <c r="G288" s="448" t="s">
        <v>3831</v>
      </c>
    </row>
    <row r="289" spans="1:7">
      <c r="A289" s="448">
        <v>288</v>
      </c>
      <c r="B289" s="448" t="s">
        <v>3832</v>
      </c>
      <c r="C289" s="448" t="s">
        <v>3833</v>
      </c>
      <c r="D289" s="448" t="s">
        <v>3810</v>
      </c>
      <c r="E289" s="448" t="s">
        <v>2120</v>
      </c>
      <c r="F289" s="448" t="s">
        <v>3024</v>
      </c>
      <c r="G289" s="448" t="s">
        <v>3834</v>
      </c>
    </row>
    <row r="290" spans="1:7">
      <c r="A290" s="448">
        <v>289</v>
      </c>
      <c r="B290" s="448" t="s">
        <v>3835</v>
      </c>
      <c r="C290" s="448" t="s">
        <v>3836</v>
      </c>
      <c r="D290" s="448" t="s">
        <v>3810</v>
      </c>
      <c r="E290" s="448" t="s">
        <v>2120</v>
      </c>
      <c r="F290" s="448" t="s">
        <v>3024</v>
      </c>
      <c r="G290" s="448" t="s">
        <v>3837</v>
      </c>
    </row>
    <row r="291" spans="1:7">
      <c r="A291" s="448">
        <v>290</v>
      </c>
      <c r="B291" s="448" t="s">
        <v>3838</v>
      </c>
      <c r="C291" s="448" t="s">
        <v>3839</v>
      </c>
      <c r="D291" s="448" t="s">
        <v>3810</v>
      </c>
      <c r="E291" s="448" t="s">
        <v>2120</v>
      </c>
      <c r="F291" s="448" t="s">
        <v>3024</v>
      </c>
      <c r="G291" s="448" t="s">
        <v>3840</v>
      </c>
    </row>
    <row r="292" spans="1:7">
      <c r="A292" s="448">
        <v>291</v>
      </c>
      <c r="B292" s="448" t="s">
        <v>3841</v>
      </c>
      <c r="C292" s="448" t="s">
        <v>3842</v>
      </c>
      <c r="D292" s="448" t="s">
        <v>3810</v>
      </c>
      <c r="E292" s="448" t="s">
        <v>2120</v>
      </c>
      <c r="F292" s="448" t="s">
        <v>3024</v>
      </c>
      <c r="G292" s="448" t="s">
        <v>3843</v>
      </c>
    </row>
    <row r="293" spans="1:7">
      <c r="A293" s="448">
        <v>292</v>
      </c>
      <c r="B293" s="448" t="s">
        <v>3844</v>
      </c>
      <c r="C293" s="448" t="s">
        <v>3845</v>
      </c>
      <c r="D293" s="448" t="s">
        <v>3810</v>
      </c>
      <c r="E293" s="448" t="s">
        <v>2120</v>
      </c>
      <c r="F293" s="448" t="s">
        <v>3024</v>
      </c>
      <c r="G293" s="448" t="s">
        <v>3846</v>
      </c>
    </row>
    <row r="294" spans="1:7">
      <c r="A294" s="448">
        <v>293</v>
      </c>
      <c r="B294" s="448" t="s">
        <v>3847</v>
      </c>
      <c r="C294" s="448" t="s">
        <v>3848</v>
      </c>
      <c r="D294" s="448" t="s">
        <v>3810</v>
      </c>
      <c r="E294" s="448" t="s">
        <v>2120</v>
      </c>
      <c r="F294" s="448" t="s">
        <v>3024</v>
      </c>
      <c r="G294" s="448" t="s">
        <v>3849</v>
      </c>
    </row>
    <row r="295" spans="1:7">
      <c r="A295" s="448">
        <v>294</v>
      </c>
      <c r="B295" s="448" t="s">
        <v>3850</v>
      </c>
      <c r="C295" s="448" t="s">
        <v>3851</v>
      </c>
      <c r="D295" s="448" t="s">
        <v>3810</v>
      </c>
      <c r="E295" s="448" t="s">
        <v>2120</v>
      </c>
      <c r="F295" s="448" t="s">
        <v>3024</v>
      </c>
      <c r="G295" s="448" t="s">
        <v>3852</v>
      </c>
    </row>
    <row r="296" ht="21.6" spans="1:7">
      <c r="A296" s="448">
        <v>295</v>
      </c>
      <c r="B296" s="448" t="s">
        <v>3853</v>
      </c>
      <c r="C296" s="448" t="s">
        <v>3854</v>
      </c>
      <c r="D296" s="448" t="s">
        <v>3557</v>
      </c>
      <c r="E296" s="448" t="s">
        <v>2120</v>
      </c>
      <c r="F296" s="448" t="s">
        <v>3024</v>
      </c>
      <c r="G296" s="448" t="s">
        <v>3855</v>
      </c>
    </row>
    <row r="297" ht="21.6" spans="1:7">
      <c r="A297" s="448">
        <v>296</v>
      </c>
      <c r="B297" s="448" t="s">
        <v>3856</v>
      </c>
      <c r="C297" s="448" t="s">
        <v>3857</v>
      </c>
      <c r="D297" s="448" t="s">
        <v>3557</v>
      </c>
      <c r="E297" s="448" t="s">
        <v>2120</v>
      </c>
      <c r="F297" s="448" t="s">
        <v>3024</v>
      </c>
      <c r="G297" s="448" t="s">
        <v>3858</v>
      </c>
    </row>
    <row r="298" ht="21.6" spans="1:7">
      <c r="A298" s="448">
        <v>297</v>
      </c>
      <c r="B298" s="448" t="s">
        <v>3859</v>
      </c>
      <c r="C298" s="448" t="s">
        <v>3860</v>
      </c>
      <c r="D298" s="448" t="s">
        <v>3557</v>
      </c>
      <c r="E298" s="448" t="s">
        <v>2120</v>
      </c>
      <c r="F298" s="448" t="s">
        <v>3024</v>
      </c>
      <c r="G298" s="448" t="s">
        <v>3861</v>
      </c>
    </row>
    <row r="299" ht="21.6" spans="1:7">
      <c r="A299" s="448">
        <v>298</v>
      </c>
      <c r="B299" s="448" t="s">
        <v>3862</v>
      </c>
      <c r="C299" s="448" t="s">
        <v>3863</v>
      </c>
      <c r="D299" s="448" t="s">
        <v>3557</v>
      </c>
      <c r="E299" s="448" t="s">
        <v>2120</v>
      </c>
      <c r="F299" s="448" t="s">
        <v>3024</v>
      </c>
      <c r="G299" s="448" t="s">
        <v>3864</v>
      </c>
    </row>
    <row r="300" ht="21.6" spans="1:7">
      <c r="A300" s="448">
        <v>299</v>
      </c>
      <c r="B300" s="448" t="s">
        <v>3865</v>
      </c>
      <c r="C300" s="448" t="s">
        <v>3866</v>
      </c>
      <c r="D300" s="448" t="s">
        <v>3557</v>
      </c>
      <c r="E300" s="448" t="s">
        <v>2120</v>
      </c>
      <c r="F300" s="448" t="s">
        <v>3024</v>
      </c>
      <c r="G300" s="448" t="s">
        <v>3867</v>
      </c>
    </row>
    <row r="301" ht="21.6" spans="1:7">
      <c r="A301" s="448">
        <v>300</v>
      </c>
      <c r="B301" s="448" t="s">
        <v>3868</v>
      </c>
      <c r="C301" s="448" t="s">
        <v>3869</v>
      </c>
      <c r="D301" s="448" t="s">
        <v>3557</v>
      </c>
      <c r="E301" s="448" t="s">
        <v>2120</v>
      </c>
      <c r="F301" s="448" t="s">
        <v>3024</v>
      </c>
      <c r="G301" s="448" t="s">
        <v>3870</v>
      </c>
    </row>
    <row r="302" ht="21.6" spans="1:7">
      <c r="A302" s="448">
        <v>301</v>
      </c>
      <c r="B302" s="448" t="s">
        <v>3871</v>
      </c>
      <c r="C302" s="448" t="s">
        <v>3872</v>
      </c>
      <c r="D302" s="448" t="s">
        <v>3557</v>
      </c>
      <c r="E302" s="448" t="s">
        <v>2120</v>
      </c>
      <c r="F302" s="448" t="s">
        <v>3024</v>
      </c>
      <c r="G302" s="448" t="s">
        <v>3873</v>
      </c>
    </row>
    <row r="303" ht="21.6" spans="1:7">
      <c r="A303" s="448">
        <v>302</v>
      </c>
      <c r="B303" s="448" t="s">
        <v>3874</v>
      </c>
      <c r="C303" s="448" t="s">
        <v>3875</v>
      </c>
      <c r="D303" s="448" t="s">
        <v>3557</v>
      </c>
      <c r="E303" s="448" t="s">
        <v>2120</v>
      </c>
      <c r="F303" s="448" t="s">
        <v>3024</v>
      </c>
      <c r="G303" s="448" t="s">
        <v>3876</v>
      </c>
    </row>
    <row r="304" spans="1:7">
      <c r="A304" s="448">
        <v>303</v>
      </c>
      <c r="B304" s="448" t="s">
        <v>3877</v>
      </c>
      <c r="C304" s="448" t="s">
        <v>3878</v>
      </c>
      <c r="D304" s="448" t="s">
        <v>3879</v>
      </c>
      <c r="E304" s="448" t="s">
        <v>2120</v>
      </c>
      <c r="F304" s="448" t="s">
        <v>3024</v>
      </c>
      <c r="G304" s="448" t="s">
        <v>3880</v>
      </c>
    </row>
    <row r="305" spans="1:7">
      <c r="A305" s="448">
        <v>304</v>
      </c>
      <c r="B305" s="448" t="s">
        <v>3881</v>
      </c>
      <c r="C305" s="448" t="s">
        <v>3882</v>
      </c>
      <c r="D305" s="448" t="s">
        <v>3557</v>
      </c>
      <c r="E305" s="448" t="s">
        <v>2120</v>
      </c>
      <c r="F305" s="448" t="s">
        <v>3024</v>
      </c>
      <c r="G305" s="448" t="s">
        <v>3883</v>
      </c>
    </row>
    <row r="306" spans="1:7">
      <c r="A306" s="448">
        <v>305</v>
      </c>
      <c r="B306" s="448" t="s">
        <v>3884</v>
      </c>
      <c r="C306" s="448" t="s">
        <v>3885</v>
      </c>
      <c r="D306" s="448" t="s">
        <v>3557</v>
      </c>
      <c r="E306" s="448" t="s">
        <v>2120</v>
      </c>
      <c r="F306" s="448" t="s">
        <v>3024</v>
      </c>
      <c r="G306" s="448" t="s">
        <v>3886</v>
      </c>
    </row>
    <row r="307" spans="1:7">
      <c r="A307" s="448">
        <v>306</v>
      </c>
      <c r="B307" s="448" t="s">
        <v>3887</v>
      </c>
      <c r="C307" s="448" t="s">
        <v>3888</v>
      </c>
      <c r="D307" s="448" t="s">
        <v>3557</v>
      </c>
      <c r="E307" s="448" t="s">
        <v>2120</v>
      </c>
      <c r="F307" s="448" t="s">
        <v>3024</v>
      </c>
      <c r="G307" s="448" t="s">
        <v>3889</v>
      </c>
    </row>
    <row r="308" spans="1:7">
      <c r="A308" s="448">
        <v>307</v>
      </c>
      <c r="B308" s="448" t="s">
        <v>3890</v>
      </c>
      <c r="C308" s="448" t="s">
        <v>3891</v>
      </c>
      <c r="D308" s="448" t="s">
        <v>320</v>
      </c>
      <c r="E308" s="448" t="s">
        <v>2120</v>
      </c>
      <c r="F308" s="448" t="s">
        <v>3024</v>
      </c>
      <c r="G308" s="448" t="s">
        <v>3892</v>
      </c>
    </row>
    <row r="309" spans="1:7">
      <c r="A309" s="448">
        <v>308</v>
      </c>
      <c r="B309" s="448" t="s">
        <v>3893</v>
      </c>
      <c r="C309" s="448" t="s">
        <v>3894</v>
      </c>
      <c r="D309" s="448" t="s">
        <v>320</v>
      </c>
      <c r="E309" s="448" t="s">
        <v>2120</v>
      </c>
      <c r="F309" s="448" t="s">
        <v>3024</v>
      </c>
      <c r="G309" s="448" t="s">
        <v>3895</v>
      </c>
    </row>
    <row r="310" spans="1:7">
      <c r="A310" s="448">
        <v>309</v>
      </c>
      <c r="B310" s="448" t="s">
        <v>3896</v>
      </c>
      <c r="C310" s="448" t="s">
        <v>3897</v>
      </c>
      <c r="D310" s="448" t="s">
        <v>320</v>
      </c>
      <c r="E310" s="448" t="s">
        <v>2120</v>
      </c>
      <c r="F310" s="448" t="s">
        <v>3024</v>
      </c>
      <c r="G310" s="448" t="s">
        <v>3898</v>
      </c>
    </row>
    <row r="311" spans="1:7">
      <c r="A311" s="448">
        <v>310</v>
      </c>
      <c r="B311" s="448" t="s">
        <v>3899</v>
      </c>
      <c r="C311" s="448" t="s">
        <v>3900</v>
      </c>
      <c r="D311" s="448" t="s">
        <v>320</v>
      </c>
      <c r="E311" s="448" t="s">
        <v>2120</v>
      </c>
      <c r="F311" s="448" t="s">
        <v>3024</v>
      </c>
      <c r="G311" s="448" t="s">
        <v>3901</v>
      </c>
    </row>
    <row r="312" spans="1:7">
      <c r="A312" s="448">
        <v>311</v>
      </c>
      <c r="B312" s="448" t="s">
        <v>3902</v>
      </c>
      <c r="C312" s="448" t="s">
        <v>3903</v>
      </c>
      <c r="D312" s="448" t="s">
        <v>320</v>
      </c>
      <c r="E312" s="448" t="s">
        <v>2120</v>
      </c>
      <c r="F312" s="448" t="s">
        <v>3024</v>
      </c>
      <c r="G312" s="448" t="s">
        <v>3904</v>
      </c>
    </row>
    <row r="313" spans="1:7">
      <c r="A313" s="448">
        <v>312</v>
      </c>
      <c r="B313" s="448" t="s">
        <v>3905</v>
      </c>
      <c r="C313" s="448" t="s">
        <v>3906</v>
      </c>
      <c r="D313" s="448" t="s">
        <v>320</v>
      </c>
      <c r="E313" s="448" t="s">
        <v>2120</v>
      </c>
      <c r="F313" s="448" t="s">
        <v>3024</v>
      </c>
      <c r="G313" s="448" t="s">
        <v>3907</v>
      </c>
    </row>
    <row r="314" spans="1:7">
      <c r="A314" s="448">
        <v>313</v>
      </c>
      <c r="B314" s="448" t="s">
        <v>3908</v>
      </c>
      <c r="C314" s="448" t="s">
        <v>3909</v>
      </c>
      <c r="D314" s="448" t="s">
        <v>320</v>
      </c>
      <c r="E314" s="448" t="s">
        <v>2120</v>
      </c>
      <c r="F314" s="448" t="s">
        <v>3024</v>
      </c>
      <c r="G314" s="448" t="s">
        <v>3910</v>
      </c>
    </row>
    <row r="315" spans="1:7">
      <c r="A315" s="448">
        <v>314</v>
      </c>
      <c r="B315" s="448" t="s">
        <v>3911</v>
      </c>
      <c r="C315" s="448" t="s">
        <v>3912</v>
      </c>
      <c r="D315" s="448" t="s">
        <v>320</v>
      </c>
      <c r="E315" s="448" t="s">
        <v>2120</v>
      </c>
      <c r="F315" s="448" t="s">
        <v>3024</v>
      </c>
      <c r="G315" s="448" t="s">
        <v>3913</v>
      </c>
    </row>
    <row r="316" spans="1:7">
      <c r="A316" s="448">
        <v>315</v>
      </c>
      <c r="B316" s="448" t="s">
        <v>3914</v>
      </c>
      <c r="C316" s="448" t="s">
        <v>3915</v>
      </c>
      <c r="D316" s="448" t="s">
        <v>320</v>
      </c>
      <c r="E316" s="448" t="s">
        <v>2120</v>
      </c>
      <c r="F316" s="448" t="s">
        <v>3024</v>
      </c>
      <c r="G316" s="448" t="s">
        <v>3916</v>
      </c>
    </row>
    <row r="317" spans="1:7">
      <c r="A317" s="448">
        <v>316</v>
      </c>
      <c r="B317" s="448" t="s">
        <v>3917</v>
      </c>
      <c r="C317" s="448" t="s">
        <v>3918</v>
      </c>
      <c r="D317" s="448" t="s">
        <v>320</v>
      </c>
      <c r="E317" s="448" t="s">
        <v>2120</v>
      </c>
      <c r="F317" s="448" t="s">
        <v>3024</v>
      </c>
      <c r="G317" s="448" t="s">
        <v>3919</v>
      </c>
    </row>
    <row r="318" spans="1:7">
      <c r="A318" s="448">
        <v>317</v>
      </c>
      <c r="B318" s="448" t="s">
        <v>3920</v>
      </c>
      <c r="C318" s="448" t="s">
        <v>3921</v>
      </c>
      <c r="D318" s="448" t="s">
        <v>523</v>
      </c>
      <c r="E318" s="448" t="s">
        <v>2120</v>
      </c>
      <c r="F318" s="448" t="s">
        <v>3024</v>
      </c>
      <c r="G318" s="448" t="s">
        <v>3922</v>
      </c>
    </row>
    <row r="319" spans="1:7">
      <c r="A319" s="448">
        <v>318</v>
      </c>
      <c r="B319" s="448" t="s">
        <v>3923</v>
      </c>
      <c r="C319" s="448" t="s">
        <v>3924</v>
      </c>
      <c r="D319" s="448" t="s">
        <v>523</v>
      </c>
      <c r="E319" s="448" t="s">
        <v>2120</v>
      </c>
      <c r="F319" s="448" t="s">
        <v>3024</v>
      </c>
      <c r="G319" s="448" t="s">
        <v>3925</v>
      </c>
    </row>
    <row r="320" spans="1:7">
      <c r="A320" s="448">
        <v>319</v>
      </c>
      <c r="B320" s="448" t="s">
        <v>3926</v>
      </c>
      <c r="C320" s="448" t="s">
        <v>3927</v>
      </c>
      <c r="D320" s="448" t="s">
        <v>523</v>
      </c>
      <c r="E320" s="448" t="s">
        <v>2120</v>
      </c>
      <c r="F320" s="448" t="s">
        <v>3024</v>
      </c>
      <c r="G320" s="448" t="s">
        <v>3730</v>
      </c>
    </row>
    <row r="321" spans="1:7">
      <c r="A321" s="448">
        <v>320</v>
      </c>
      <c r="B321" s="448" t="s">
        <v>3928</v>
      </c>
      <c r="C321" s="448" t="s">
        <v>3929</v>
      </c>
      <c r="D321" s="448" t="s">
        <v>523</v>
      </c>
      <c r="E321" s="448" t="s">
        <v>2120</v>
      </c>
      <c r="F321" s="448" t="s">
        <v>3024</v>
      </c>
      <c r="G321" s="448" t="s">
        <v>3930</v>
      </c>
    </row>
    <row r="322" spans="1:7">
      <c r="A322" s="448">
        <v>321</v>
      </c>
      <c r="B322" s="448" t="s">
        <v>3931</v>
      </c>
      <c r="C322" s="448" t="s">
        <v>3932</v>
      </c>
      <c r="D322" s="448" t="s">
        <v>523</v>
      </c>
      <c r="E322" s="448" t="s">
        <v>2120</v>
      </c>
      <c r="F322" s="448" t="s">
        <v>3024</v>
      </c>
      <c r="G322" s="448" t="s">
        <v>3773</v>
      </c>
    </row>
    <row r="323" spans="1:7">
      <c r="A323" s="448">
        <v>322</v>
      </c>
      <c r="B323" s="448" t="s">
        <v>3933</v>
      </c>
      <c r="C323" s="448" t="s">
        <v>3934</v>
      </c>
      <c r="D323" s="448" t="s">
        <v>320</v>
      </c>
      <c r="E323" s="448" t="s">
        <v>2120</v>
      </c>
      <c r="F323" s="448" t="s">
        <v>3024</v>
      </c>
      <c r="G323" s="448" t="s">
        <v>3935</v>
      </c>
    </row>
    <row r="324" spans="1:7">
      <c r="A324" s="448">
        <v>323</v>
      </c>
      <c r="B324" s="448" t="s">
        <v>3936</v>
      </c>
      <c r="C324" s="448" t="s">
        <v>3937</v>
      </c>
      <c r="D324" s="448" t="s">
        <v>320</v>
      </c>
      <c r="E324" s="448" t="s">
        <v>2120</v>
      </c>
      <c r="F324" s="448" t="s">
        <v>3024</v>
      </c>
      <c r="G324" s="448" t="s">
        <v>3938</v>
      </c>
    </row>
    <row r="325" spans="1:7">
      <c r="A325" s="448">
        <v>324</v>
      </c>
      <c r="B325" s="448" t="s">
        <v>3939</v>
      </c>
      <c r="C325" s="448" t="s">
        <v>3940</v>
      </c>
      <c r="D325" s="448" t="s">
        <v>320</v>
      </c>
      <c r="E325" s="448" t="s">
        <v>2120</v>
      </c>
      <c r="F325" s="448" t="s">
        <v>3024</v>
      </c>
      <c r="G325" s="448" t="s">
        <v>3941</v>
      </c>
    </row>
    <row r="326" spans="1:7">
      <c r="A326" s="448">
        <v>325</v>
      </c>
      <c r="B326" s="448" t="s">
        <v>3942</v>
      </c>
      <c r="C326" s="448" t="s">
        <v>3943</v>
      </c>
      <c r="D326" s="448" t="s">
        <v>320</v>
      </c>
      <c r="E326" s="448" t="s">
        <v>2120</v>
      </c>
      <c r="F326" s="448" t="s">
        <v>3024</v>
      </c>
      <c r="G326" s="448" t="s">
        <v>3944</v>
      </c>
    </row>
    <row r="327" spans="1:7">
      <c r="A327" s="448">
        <v>326</v>
      </c>
      <c r="B327" s="448" t="s">
        <v>3945</v>
      </c>
      <c r="C327" s="448" t="s">
        <v>3934</v>
      </c>
      <c r="D327" s="448" t="s">
        <v>3946</v>
      </c>
      <c r="E327" s="448" t="s">
        <v>2120</v>
      </c>
      <c r="F327" s="448" t="s">
        <v>3024</v>
      </c>
      <c r="G327" s="448" t="s">
        <v>3947</v>
      </c>
    </row>
    <row r="328" spans="1:7">
      <c r="A328" s="448">
        <v>327</v>
      </c>
      <c r="B328" s="448" t="s">
        <v>3948</v>
      </c>
      <c r="C328" s="448" t="s">
        <v>3937</v>
      </c>
      <c r="D328" s="448" t="s">
        <v>3946</v>
      </c>
      <c r="E328" s="448" t="s">
        <v>2120</v>
      </c>
      <c r="F328" s="448" t="s">
        <v>3024</v>
      </c>
      <c r="G328" s="448" t="s">
        <v>3949</v>
      </c>
    </row>
    <row r="329" spans="1:7">
      <c r="A329" s="448">
        <v>328</v>
      </c>
      <c r="B329" s="448" t="s">
        <v>3950</v>
      </c>
      <c r="C329" s="448" t="s">
        <v>3940</v>
      </c>
      <c r="D329" s="448" t="s">
        <v>3946</v>
      </c>
      <c r="E329" s="448" t="s">
        <v>2120</v>
      </c>
      <c r="F329" s="448" t="s">
        <v>3024</v>
      </c>
      <c r="G329" s="448" t="s">
        <v>3951</v>
      </c>
    </row>
    <row r="330" spans="1:7">
      <c r="A330" s="448">
        <v>329</v>
      </c>
      <c r="B330" s="448" t="s">
        <v>3952</v>
      </c>
      <c r="C330" s="448" t="s">
        <v>3943</v>
      </c>
      <c r="D330" s="448" t="s">
        <v>3946</v>
      </c>
      <c r="E330" s="448" t="s">
        <v>2120</v>
      </c>
      <c r="F330" s="448" t="s">
        <v>3024</v>
      </c>
      <c r="G330" s="448" t="s">
        <v>3953</v>
      </c>
    </row>
    <row r="331" spans="1:7">
      <c r="A331" s="448">
        <v>330</v>
      </c>
      <c r="B331" s="448" t="s">
        <v>3954</v>
      </c>
      <c r="C331" s="448" t="s">
        <v>3955</v>
      </c>
      <c r="D331" s="448" t="s">
        <v>320</v>
      </c>
      <c r="E331" s="448" t="s">
        <v>2120</v>
      </c>
      <c r="F331" s="448" t="s">
        <v>3024</v>
      </c>
      <c r="G331" s="448" t="s">
        <v>3956</v>
      </c>
    </row>
    <row r="332" spans="1:7">
      <c r="A332" s="448">
        <v>331</v>
      </c>
      <c r="B332" s="448" t="s">
        <v>3957</v>
      </c>
      <c r="C332" s="448" t="s">
        <v>3958</v>
      </c>
      <c r="D332" s="448" t="s">
        <v>320</v>
      </c>
      <c r="E332" s="448" t="s">
        <v>2120</v>
      </c>
      <c r="F332" s="448" t="s">
        <v>3024</v>
      </c>
      <c r="G332" s="448" t="s">
        <v>3959</v>
      </c>
    </row>
    <row r="333" spans="1:7">
      <c r="A333" s="448">
        <v>332</v>
      </c>
      <c r="B333" s="448" t="s">
        <v>3960</v>
      </c>
      <c r="C333" s="448" t="s">
        <v>3961</v>
      </c>
      <c r="D333" s="448" t="s">
        <v>320</v>
      </c>
      <c r="E333" s="448" t="s">
        <v>2120</v>
      </c>
      <c r="F333" s="448" t="s">
        <v>3024</v>
      </c>
      <c r="G333" s="448" t="s">
        <v>3962</v>
      </c>
    </row>
    <row r="334" spans="1:7">
      <c r="A334" s="448">
        <v>333</v>
      </c>
      <c r="B334" s="448" t="s">
        <v>3963</v>
      </c>
      <c r="C334" s="448" t="s">
        <v>3964</v>
      </c>
      <c r="D334" s="448" t="s">
        <v>320</v>
      </c>
      <c r="E334" s="448" t="s">
        <v>2120</v>
      </c>
      <c r="F334" s="448" t="s">
        <v>3024</v>
      </c>
      <c r="G334" s="448" t="s">
        <v>3965</v>
      </c>
    </row>
    <row r="335" spans="1:7">
      <c r="A335" s="448">
        <v>334</v>
      </c>
      <c r="B335" s="448" t="s">
        <v>3966</v>
      </c>
      <c r="C335" s="448" t="s">
        <v>3967</v>
      </c>
      <c r="D335" s="448" t="s">
        <v>320</v>
      </c>
      <c r="E335" s="448" t="s">
        <v>2120</v>
      </c>
      <c r="F335" s="448" t="s">
        <v>3024</v>
      </c>
      <c r="G335" s="448" t="s">
        <v>3968</v>
      </c>
    </row>
    <row r="336" spans="1:7">
      <c r="A336" s="448">
        <v>335</v>
      </c>
      <c r="B336" s="448" t="s">
        <v>3969</v>
      </c>
      <c r="C336" s="448" t="s">
        <v>3970</v>
      </c>
      <c r="D336" s="448" t="s">
        <v>320</v>
      </c>
      <c r="E336" s="448" t="s">
        <v>2120</v>
      </c>
      <c r="F336" s="448" t="s">
        <v>3024</v>
      </c>
      <c r="G336" s="448" t="s">
        <v>3971</v>
      </c>
    </row>
    <row r="337" ht="21.6" spans="1:7">
      <c r="A337" s="448">
        <v>336</v>
      </c>
      <c r="B337" s="448" t="s">
        <v>3972</v>
      </c>
      <c r="C337" s="448" t="s">
        <v>3973</v>
      </c>
      <c r="D337" s="448" t="s">
        <v>3974</v>
      </c>
      <c r="E337" s="448" t="s">
        <v>2120</v>
      </c>
      <c r="F337" s="448" t="s">
        <v>3024</v>
      </c>
      <c r="G337" s="448" t="s">
        <v>3975</v>
      </c>
    </row>
    <row r="338" ht="21.6" spans="1:7">
      <c r="A338" s="448">
        <v>337</v>
      </c>
      <c r="B338" s="448" t="s">
        <v>3976</v>
      </c>
      <c r="C338" s="448" t="s">
        <v>3977</v>
      </c>
      <c r="D338" s="448" t="s">
        <v>3974</v>
      </c>
      <c r="E338" s="448" t="s">
        <v>2120</v>
      </c>
      <c r="F338" s="448" t="s">
        <v>3024</v>
      </c>
      <c r="G338" s="448" t="s">
        <v>3978</v>
      </c>
    </row>
    <row r="339" ht="21.6" spans="1:7">
      <c r="A339" s="448">
        <v>338</v>
      </c>
      <c r="B339" s="448" t="s">
        <v>3979</v>
      </c>
      <c r="C339" s="448" t="s">
        <v>3980</v>
      </c>
      <c r="D339" s="448" t="s">
        <v>3974</v>
      </c>
      <c r="E339" s="448" t="s">
        <v>2120</v>
      </c>
      <c r="F339" s="448" t="s">
        <v>3024</v>
      </c>
      <c r="G339" s="448" t="s">
        <v>3981</v>
      </c>
    </row>
    <row r="340" ht="21.6" spans="1:7">
      <c r="A340" s="448">
        <v>339</v>
      </c>
      <c r="B340" s="448" t="s">
        <v>3982</v>
      </c>
      <c r="C340" s="448" t="s">
        <v>3983</v>
      </c>
      <c r="D340" s="448" t="s">
        <v>3974</v>
      </c>
      <c r="E340" s="448" t="s">
        <v>2120</v>
      </c>
      <c r="F340" s="448" t="s">
        <v>3024</v>
      </c>
      <c r="G340" s="448" t="s">
        <v>3984</v>
      </c>
    </row>
    <row r="341" ht="21.6" spans="1:7">
      <c r="A341" s="448">
        <v>340</v>
      </c>
      <c r="B341" s="448" t="s">
        <v>3985</v>
      </c>
      <c r="C341" s="448" t="s">
        <v>3986</v>
      </c>
      <c r="D341" s="448" t="s">
        <v>3974</v>
      </c>
      <c r="E341" s="448" t="s">
        <v>2120</v>
      </c>
      <c r="F341" s="448" t="s">
        <v>3024</v>
      </c>
      <c r="G341" s="448" t="s">
        <v>3987</v>
      </c>
    </row>
    <row r="342" spans="1:7">
      <c r="A342" s="448">
        <v>341</v>
      </c>
      <c r="B342" s="448" t="s">
        <v>3988</v>
      </c>
      <c r="C342" s="448" t="s">
        <v>3955</v>
      </c>
      <c r="D342" s="448" t="s">
        <v>3363</v>
      </c>
      <c r="E342" s="448" t="s">
        <v>2120</v>
      </c>
      <c r="F342" s="448" t="s">
        <v>3024</v>
      </c>
      <c r="G342" s="448" t="s">
        <v>3989</v>
      </c>
    </row>
    <row r="343" spans="1:7">
      <c r="A343" s="448">
        <v>342</v>
      </c>
      <c r="B343" s="448" t="s">
        <v>3990</v>
      </c>
      <c r="C343" s="448" t="s">
        <v>3958</v>
      </c>
      <c r="D343" s="448" t="s">
        <v>3363</v>
      </c>
      <c r="E343" s="448" t="s">
        <v>2120</v>
      </c>
      <c r="F343" s="448" t="s">
        <v>3024</v>
      </c>
      <c r="G343" s="448" t="s">
        <v>3991</v>
      </c>
    </row>
    <row r="344" spans="1:7">
      <c r="A344" s="448">
        <v>343</v>
      </c>
      <c r="B344" s="448" t="s">
        <v>3992</v>
      </c>
      <c r="C344" s="448" t="s">
        <v>3961</v>
      </c>
      <c r="D344" s="448" t="s">
        <v>3363</v>
      </c>
      <c r="E344" s="448" t="s">
        <v>2120</v>
      </c>
      <c r="F344" s="448" t="s">
        <v>3024</v>
      </c>
      <c r="G344" s="448" t="s">
        <v>3993</v>
      </c>
    </row>
    <row r="345" spans="1:7">
      <c r="A345" s="448">
        <v>344</v>
      </c>
      <c r="B345" s="448" t="s">
        <v>3994</v>
      </c>
      <c r="C345" s="448" t="s">
        <v>3967</v>
      </c>
      <c r="D345" s="448" t="s">
        <v>3363</v>
      </c>
      <c r="E345" s="448" t="s">
        <v>2120</v>
      </c>
      <c r="F345" s="448" t="s">
        <v>3024</v>
      </c>
      <c r="G345" s="448" t="s">
        <v>3995</v>
      </c>
    </row>
    <row r="346" spans="1:7">
      <c r="A346" s="448">
        <v>345</v>
      </c>
      <c r="B346" s="448" t="s">
        <v>3996</v>
      </c>
      <c r="C346" s="448" t="s">
        <v>3970</v>
      </c>
      <c r="D346" s="448" t="s">
        <v>3363</v>
      </c>
      <c r="E346" s="448" t="s">
        <v>2120</v>
      </c>
      <c r="F346" s="448" t="s">
        <v>3024</v>
      </c>
      <c r="G346" s="448" t="s">
        <v>3997</v>
      </c>
    </row>
    <row r="347" ht="21.6" spans="1:7">
      <c r="A347" s="448">
        <v>346</v>
      </c>
      <c r="B347" s="448" t="s">
        <v>3998</v>
      </c>
      <c r="C347" s="448" t="s">
        <v>3999</v>
      </c>
      <c r="D347" s="448" t="s">
        <v>320</v>
      </c>
      <c r="E347" s="448" t="s">
        <v>2120</v>
      </c>
      <c r="F347" s="448" t="s">
        <v>3024</v>
      </c>
      <c r="G347" s="448" t="s">
        <v>4000</v>
      </c>
    </row>
    <row r="348" ht="21.6" spans="1:7">
      <c r="A348" s="448">
        <v>347</v>
      </c>
      <c r="B348" s="448" t="s">
        <v>4001</v>
      </c>
      <c r="C348" s="448" t="s">
        <v>4002</v>
      </c>
      <c r="D348" s="448" t="s">
        <v>320</v>
      </c>
      <c r="E348" s="448" t="s">
        <v>2120</v>
      </c>
      <c r="F348" s="448" t="s">
        <v>3024</v>
      </c>
      <c r="G348" s="448" t="s">
        <v>4003</v>
      </c>
    </row>
    <row r="349" ht="21.6" spans="1:7">
      <c r="A349" s="448">
        <v>348</v>
      </c>
      <c r="B349" s="448" t="s">
        <v>4004</v>
      </c>
      <c r="C349" s="448" t="s">
        <v>4005</v>
      </c>
      <c r="D349" s="448" t="s">
        <v>320</v>
      </c>
      <c r="E349" s="448" t="s">
        <v>2120</v>
      </c>
      <c r="F349" s="448" t="s">
        <v>3024</v>
      </c>
      <c r="G349" s="448" t="s">
        <v>4006</v>
      </c>
    </row>
    <row r="350" ht="21.6" spans="1:7">
      <c r="A350" s="448">
        <v>349</v>
      </c>
      <c r="B350" s="448" t="s">
        <v>4007</v>
      </c>
      <c r="C350" s="448" t="s">
        <v>4008</v>
      </c>
      <c r="D350" s="448" t="s">
        <v>320</v>
      </c>
      <c r="E350" s="448" t="s">
        <v>2120</v>
      </c>
      <c r="F350" s="448" t="s">
        <v>3024</v>
      </c>
      <c r="G350" s="448" t="s">
        <v>4009</v>
      </c>
    </row>
    <row r="351" ht="21.6" spans="1:7">
      <c r="A351" s="448">
        <v>350</v>
      </c>
      <c r="B351" s="448" t="s">
        <v>4010</v>
      </c>
      <c r="C351" s="448" t="s">
        <v>4011</v>
      </c>
      <c r="D351" s="448" t="s">
        <v>320</v>
      </c>
      <c r="E351" s="448" t="s">
        <v>2120</v>
      </c>
      <c r="F351" s="448" t="s">
        <v>3024</v>
      </c>
      <c r="G351" s="448" t="s">
        <v>4012</v>
      </c>
    </row>
    <row r="352" ht="21.6" spans="1:7">
      <c r="A352" s="448">
        <v>351</v>
      </c>
      <c r="B352" s="448" t="s">
        <v>4013</v>
      </c>
      <c r="C352" s="448" t="s">
        <v>4014</v>
      </c>
      <c r="D352" s="448" t="s">
        <v>320</v>
      </c>
      <c r="E352" s="448" t="s">
        <v>2120</v>
      </c>
      <c r="F352" s="448" t="s">
        <v>3024</v>
      </c>
      <c r="G352" s="448" t="s">
        <v>4015</v>
      </c>
    </row>
    <row r="353" ht="21.6" spans="1:7">
      <c r="A353" s="448">
        <v>352</v>
      </c>
      <c r="B353" s="448" t="s">
        <v>4016</v>
      </c>
      <c r="C353" s="448" t="s">
        <v>4017</v>
      </c>
      <c r="D353" s="448" t="s">
        <v>320</v>
      </c>
      <c r="E353" s="448" t="s">
        <v>2120</v>
      </c>
      <c r="F353" s="448" t="s">
        <v>3024</v>
      </c>
      <c r="G353" s="448" t="s">
        <v>4018</v>
      </c>
    </row>
    <row r="354" ht="21.6" spans="1:7">
      <c r="A354" s="448">
        <v>353</v>
      </c>
      <c r="B354" s="448" t="s">
        <v>4019</v>
      </c>
      <c r="C354" s="448" t="s">
        <v>4020</v>
      </c>
      <c r="D354" s="448" t="s">
        <v>320</v>
      </c>
      <c r="E354" s="448" t="s">
        <v>2120</v>
      </c>
      <c r="F354" s="448" t="s">
        <v>3024</v>
      </c>
      <c r="G354" s="448" t="s">
        <v>4021</v>
      </c>
    </row>
    <row r="355" ht="21.6" spans="1:7">
      <c r="A355" s="448">
        <v>354</v>
      </c>
      <c r="B355" s="448" t="s">
        <v>4022</v>
      </c>
      <c r="C355" s="448" t="s">
        <v>4023</v>
      </c>
      <c r="D355" s="448" t="s">
        <v>320</v>
      </c>
      <c r="E355" s="448" t="s">
        <v>2120</v>
      </c>
      <c r="F355" s="448" t="s">
        <v>3024</v>
      </c>
      <c r="G355" s="448" t="s">
        <v>4024</v>
      </c>
    </row>
    <row r="356" ht="21.6" spans="1:7">
      <c r="A356" s="448">
        <v>355</v>
      </c>
      <c r="B356" s="448" t="s">
        <v>4025</v>
      </c>
      <c r="C356" s="448" t="s">
        <v>4026</v>
      </c>
      <c r="D356" s="448" t="s">
        <v>320</v>
      </c>
      <c r="E356" s="448" t="s">
        <v>2120</v>
      </c>
      <c r="F356" s="448" t="s">
        <v>3024</v>
      </c>
      <c r="G356" s="448" t="s">
        <v>4027</v>
      </c>
    </row>
    <row r="357" ht="21.6" spans="1:7">
      <c r="A357" s="448">
        <v>356</v>
      </c>
      <c r="B357" s="448" t="s">
        <v>4028</v>
      </c>
      <c r="C357" s="448" t="s">
        <v>4029</v>
      </c>
      <c r="D357" s="448" t="s">
        <v>320</v>
      </c>
      <c r="E357" s="448" t="s">
        <v>2120</v>
      </c>
      <c r="F357" s="448" t="s">
        <v>3024</v>
      </c>
      <c r="G357" s="448" t="s">
        <v>4030</v>
      </c>
    </row>
    <row r="358" ht="21.6" spans="1:7">
      <c r="A358" s="448">
        <v>357</v>
      </c>
      <c r="B358" s="448" t="s">
        <v>4031</v>
      </c>
      <c r="C358" s="448" t="s">
        <v>4032</v>
      </c>
      <c r="D358" s="448" t="s">
        <v>320</v>
      </c>
      <c r="E358" s="448" t="s">
        <v>2120</v>
      </c>
      <c r="F358" s="448" t="s">
        <v>3024</v>
      </c>
      <c r="G358" s="448" t="s">
        <v>4033</v>
      </c>
    </row>
    <row r="359" spans="1:7">
      <c r="A359" s="448">
        <v>358</v>
      </c>
      <c r="B359" s="448" t="s">
        <v>4034</v>
      </c>
      <c r="C359" s="448" t="s">
        <v>4035</v>
      </c>
      <c r="D359" s="448" t="s">
        <v>4036</v>
      </c>
      <c r="E359" s="448" t="s">
        <v>3753</v>
      </c>
      <c r="F359" s="448" t="s">
        <v>3024</v>
      </c>
      <c r="G359" s="448" t="s">
        <v>4037</v>
      </c>
    </row>
    <row r="360" spans="1:7">
      <c r="A360" s="448">
        <v>359</v>
      </c>
      <c r="B360" s="448" t="s">
        <v>4038</v>
      </c>
      <c r="C360" s="448" t="s">
        <v>4039</v>
      </c>
      <c r="D360" s="448" t="s">
        <v>4036</v>
      </c>
      <c r="E360" s="448" t="s">
        <v>3753</v>
      </c>
      <c r="F360" s="448" t="s">
        <v>3024</v>
      </c>
      <c r="G360" s="448" t="s">
        <v>4040</v>
      </c>
    </row>
    <row r="361" spans="1:7">
      <c r="A361" s="448">
        <v>360</v>
      </c>
      <c r="B361" s="448" t="s">
        <v>4041</v>
      </c>
      <c r="C361" s="448" t="s">
        <v>4042</v>
      </c>
      <c r="D361" s="448" t="s">
        <v>523</v>
      </c>
      <c r="E361" s="448" t="s">
        <v>2120</v>
      </c>
      <c r="F361" s="448" t="s">
        <v>3024</v>
      </c>
      <c r="G361" s="448" t="s">
        <v>4043</v>
      </c>
    </row>
    <row r="362" spans="1:7">
      <c r="A362" s="448">
        <v>361</v>
      </c>
      <c r="B362" s="448" t="s">
        <v>4044</v>
      </c>
      <c r="C362" s="448" t="s">
        <v>4045</v>
      </c>
      <c r="D362" s="448" t="s">
        <v>523</v>
      </c>
      <c r="E362" s="448" t="s">
        <v>2120</v>
      </c>
      <c r="F362" s="448" t="s">
        <v>3024</v>
      </c>
      <c r="G362" s="448" t="s">
        <v>4046</v>
      </c>
    </row>
    <row r="363" spans="1:7">
      <c r="A363" s="448">
        <v>362</v>
      </c>
      <c r="B363" s="448" t="s">
        <v>4047</v>
      </c>
      <c r="C363" s="448" t="s">
        <v>4048</v>
      </c>
      <c r="D363" s="448" t="s">
        <v>523</v>
      </c>
      <c r="E363" s="448" t="s">
        <v>2120</v>
      </c>
      <c r="F363" s="448" t="s">
        <v>3024</v>
      </c>
      <c r="G363" s="448" t="s">
        <v>4049</v>
      </c>
    </row>
    <row r="364" spans="1:7">
      <c r="A364" s="448">
        <v>363</v>
      </c>
      <c r="B364" s="448" t="s">
        <v>4050</v>
      </c>
      <c r="C364" s="448" t="s">
        <v>4051</v>
      </c>
      <c r="D364" s="448" t="s">
        <v>1312</v>
      </c>
      <c r="E364" s="448" t="s">
        <v>2120</v>
      </c>
      <c r="F364" s="448" t="s">
        <v>3024</v>
      </c>
      <c r="G364" s="448" t="s">
        <v>4052</v>
      </c>
    </row>
    <row r="365" spans="1:7">
      <c r="A365" s="448">
        <v>364</v>
      </c>
      <c r="B365" s="448" t="s">
        <v>4053</v>
      </c>
      <c r="C365" s="448" t="s">
        <v>4054</v>
      </c>
      <c r="D365" s="448" t="s">
        <v>1312</v>
      </c>
      <c r="E365" s="448" t="s">
        <v>2120</v>
      </c>
      <c r="F365" s="448" t="s">
        <v>3024</v>
      </c>
      <c r="G365" s="448" t="s">
        <v>4055</v>
      </c>
    </row>
    <row r="366" spans="1:7">
      <c r="A366" s="448">
        <v>365</v>
      </c>
      <c r="B366" s="448" t="s">
        <v>4056</v>
      </c>
      <c r="C366" s="448" t="s">
        <v>4057</v>
      </c>
      <c r="D366" s="448" t="s">
        <v>320</v>
      </c>
      <c r="E366" s="448" t="s">
        <v>2120</v>
      </c>
      <c r="F366" s="448" t="s">
        <v>3024</v>
      </c>
      <c r="G366" s="448" t="s">
        <v>4058</v>
      </c>
    </row>
    <row r="367" spans="1:7">
      <c r="A367" s="448">
        <v>366</v>
      </c>
      <c r="B367" s="448" t="s">
        <v>4059</v>
      </c>
      <c r="C367" s="448" t="s">
        <v>4060</v>
      </c>
      <c r="D367" s="448" t="s">
        <v>320</v>
      </c>
      <c r="E367" s="448" t="s">
        <v>2120</v>
      </c>
      <c r="F367" s="448" t="s">
        <v>3024</v>
      </c>
      <c r="G367" s="448" t="s">
        <v>4061</v>
      </c>
    </row>
    <row r="368" spans="1:7">
      <c r="A368" s="448">
        <v>367</v>
      </c>
      <c r="B368" s="448" t="s">
        <v>4062</v>
      </c>
      <c r="C368" s="448" t="s">
        <v>4063</v>
      </c>
      <c r="D368" s="448" t="s">
        <v>320</v>
      </c>
      <c r="E368" s="448" t="s">
        <v>2120</v>
      </c>
      <c r="F368" s="448" t="s">
        <v>3024</v>
      </c>
      <c r="G368" s="448" t="s">
        <v>3773</v>
      </c>
    </row>
    <row r="369" spans="1:7">
      <c r="A369" s="448">
        <v>368</v>
      </c>
      <c r="B369" s="448" t="s">
        <v>4064</v>
      </c>
      <c r="C369" s="448" t="s">
        <v>4065</v>
      </c>
      <c r="D369" s="448" t="s">
        <v>320</v>
      </c>
      <c r="E369" s="448" t="s">
        <v>2120</v>
      </c>
      <c r="F369" s="448" t="s">
        <v>3024</v>
      </c>
      <c r="G369" s="448" t="s">
        <v>4066</v>
      </c>
    </row>
    <row r="370" spans="1:7">
      <c r="A370" s="448">
        <v>369</v>
      </c>
      <c r="B370" s="448" t="s">
        <v>4067</v>
      </c>
      <c r="C370" s="448" t="s">
        <v>4068</v>
      </c>
      <c r="D370" s="448" t="s">
        <v>320</v>
      </c>
      <c r="E370" s="448" t="s">
        <v>2120</v>
      </c>
      <c r="F370" s="448" t="s">
        <v>3024</v>
      </c>
      <c r="G370" s="448" t="s">
        <v>4069</v>
      </c>
    </row>
    <row r="371" spans="1:7">
      <c r="A371" s="448">
        <v>370</v>
      </c>
      <c r="B371" s="448" t="s">
        <v>4070</v>
      </c>
      <c r="C371" s="448" t="s">
        <v>4071</v>
      </c>
      <c r="D371" s="448" t="s">
        <v>523</v>
      </c>
      <c r="E371" s="448" t="s">
        <v>2120</v>
      </c>
      <c r="F371" s="448" t="s">
        <v>3024</v>
      </c>
      <c r="G371" s="448" t="s">
        <v>4072</v>
      </c>
    </row>
    <row r="372" spans="1:7">
      <c r="A372" s="448">
        <v>371</v>
      </c>
      <c r="B372" s="448" t="s">
        <v>4073</v>
      </c>
      <c r="C372" s="448" t="s">
        <v>4074</v>
      </c>
      <c r="D372" s="448" t="s">
        <v>523</v>
      </c>
      <c r="E372" s="448" t="s">
        <v>2120</v>
      </c>
      <c r="F372" s="448" t="s">
        <v>3024</v>
      </c>
      <c r="G372" s="448" t="s">
        <v>4075</v>
      </c>
    </row>
    <row r="373" spans="1:7">
      <c r="A373" s="448">
        <v>372</v>
      </c>
      <c r="B373" s="448" t="s">
        <v>4076</v>
      </c>
      <c r="C373" s="448" t="s">
        <v>4077</v>
      </c>
      <c r="D373" s="448" t="s">
        <v>523</v>
      </c>
      <c r="E373" s="448" t="s">
        <v>2120</v>
      </c>
      <c r="F373" s="448" t="s">
        <v>3024</v>
      </c>
      <c r="G373" s="448" t="s">
        <v>4078</v>
      </c>
    </row>
    <row r="374" spans="1:7">
      <c r="A374" s="448">
        <v>373</v>
      </c>
      <c r="B374" s="448" t="s">
        <v>4079</v>
      </c>
      <c r="C374" s="448" t="s">
        <v>4080</v>
      </c>
      <c r="D374" s="448" t="s">
        <v>523</v>
      </c>
      <c r="E374" s="448" t="s">
        <v>2120</v>
      </c>
      <c r="F374" s="448" t="s">
        <v>3024</v>
      </c>
      <c r="G374" s="448" t="s">
        <v>4081</v>
      </c>
    </row>
    <row r="375" spans="1:7">
      <c r="A375" s="448">
        <v>374</v>
      </c>
      <c r="B375" s="448" t="s">
        <v>4082</v>
      </c>
      <c r="C375" s="448" t="s">
        <v>4083</v>
      </c>
      <c r="D375" s="448" t="s">
        <v>1312</v>
      </c>
      <c r="E375" s="448" t="s">
        <v>2120</v>
      </c>
      <c r="F375" s="448" t="s">
        <v>3024</v>
      </c>
      <c r="G375" s="448" t="s">
        <v>4084</v>
      </c>
    </row>
    <row r="376" spans="1:7">
      <c r="A376" s="448">
        <v>375</v>
      </c>
      <c r="B376" s="448" t="s">
        <v>4085</v>
      </c>
      <c r="C376" s="448" t="s">
        <v>4086</v>
      </c>
      <c r="D376" s="448" t="s">
        <v>1312</v>
      </c>
      <c r="E376" s="448" t="s">
        <v>2120</v>
      </c>
      <c r="F376" s="448" t="s">
        <v>3024</v>
      </c>
      <c r="G376" s="448" t="s">
        <v>4087</v>
      </c>
    </row>
    <row r="377" spans="1:7">
      <c r="A377" s="448">
        <v>376</v>
      </c>
      <c r="B377" s="448" t="s">
        <v>4088</v>
      </c>
      <c r="C377" s="448" t="s">
        <v>4089</v>
      </c>
      <c r="D377" s="448" t="s">
        <v>1312</v>
      </c>
      <c r="E377" s="448" t="s">
        <v>2120</v>
      </c>
      <c r="F377" s="448" t="s">
        <v>3024</v>
      </c>
      <c r="G377" s="448" t="s">
        <v>4090</v>
      </c>
    </row>
    <row r="378" spans="1:7">
      <c r="A378" s="448">
        <v>377</v>
      </c>
      <c r="B378" s="448" t="s">
        <v>4091</v>
      </c>
      <c r="C378" s="448" t="s">
        <v>4092</v>
      </c>
      <c r="D378" s="448" t="s">
        <v>1312</v>
      </c>
      <c r="E378" s="448" t="s">
        <v>2120</v>
      </c>
      <c r="F378" s="448" t="s">
        <v>3024</v>
      </c>
      <c r="G378" s="448" t="s">
        <v>4093</v>
      </c>
    </row>
    <row r="379" spans="1:7">
      <c r="A379" s="448">
        <v>378</v>
      </c>
      <c r="B379" s="448" t="s">
        <v>4094</v>
      </c>
      <c r="C379" s="448" t="s">
        <v>4095</v>
      </c>
      <c r="D379" s="448" t="s">
        <v>1312</v>
      </c>
      <c r="E379" s="448" t="s">
        <v>2120</v>
      </c>
      <c r="F379" s="448" t="s">
        <v>3024</v>
      </c>
      <c r="G379" s="448" t="s">
        <v>4093</v>
      </c>
    </row>
    <row r="380" spans="1:7">
      <c r="A380" s="448">
        <v>379</v>
      </c>
      <c r="B380" s="448" t="s">
        <v>4096</v>
      </c>
      <c r="C380" s="448" t="s">
        <v>4097</v>
      </c>
      <c r="D380" s="448" t="s">
        <v>1312</v>
      </c>
      <c r="E380" s="448" t="s">
        <v>2120</v>
      </c>
      <c r="F380" s="448" t="s">
        <v>3024</v>
      </c>
      <c r="G380" s="448" t="s">
        <v>4098</v>
      </c>
    </row>
    <row r="381" spans="1:7">
      <c r="A381" s="448">
        <v>380</v>
      </c>
      <c r="B381" s="448" t="s">
        <v>4099</v>
      </c>
      <c r="C381" s="448" t="s">
        <v>4100</v>
      </c>
      <c r="D381" s="448" t="s">
        <v>1312</v>
      </c>
      <c r="E381" s="448" t="s">
        <v>2120</v>
      </c>
      <c r="F381" s="448" t="s">
        <v>3024</v>
      </c>
      <c r="G381" s="448" t="s">
        <v>4101</v>
      </c>
    </row>
    <row r="382" spans="1:7">
      <c r="A382" s="448">
        <v>381</v>
      </c>
      <c r="B382" s="448" t="s">
        <v>4102</v>
      </c>
      <c r="C382" s="448" t="s">
        <v>4103</v>
      </c>
      <c r="D382" s="448" t="s">
        <v>1312</v>
      </c>
      <c r="E382" s="448" t="s">
        <v>2120</v>
      </c>
      <c r="F382" s="448" t="s">
        <v>3024</v>
      </c>
      <c r="G382" s="448" t="s">
        <v>4104</v>
      </c>
    </row>
    <row r="383" spans="1:7">
      <c r="A383" s="448">
        <v>382</v>
      </c>
      <c r="B383" s="448" t="s">
        <v>4105</v>
      </c>
      <c r="C383" s="448" t="s">
        <v>4106</v>
      </c>
      <c r="D383" s="448" t="s">
        <v>1312</v>
      </c>
      <c r="E383" s="448" t="s">
        <v>2120</v>
      </c>
      <c r="F383" s="448" t="s">
        <v>3024</v>
      </c>
      <c r="G383" s="448" t="s">
        <v>4107</v>
      </c>
    </row>
    <row r="384" spans="1:7">
      <c r="A384" s="448">
        <v>383</v>
      </c>
      <c r="B384" s="448" t="s">
        <v>4108</v>
      </c>
      <c r="C384" s="448" t="s">
        <v>4109</v>
      </c>
      <c r="D384" s="448" t="s">
        <v>1312</v>
      </c>
      <c r="E384" s="448" t="s">
        <v>2120</v>
      </c>
      <c r="F384" s="448" t="s">
        <v>3024</v>
      </c>
      <c r="G384" s="448" t="s">
        <v>4110</v>
      </c>
    </row>
    <row r="385" spans="1:7">
      <c r="A385" s="448">
        <v>384</v>
      </c>
      <c r="B385" s="448" t="s">
        <v>4111</v>
      </c>
      <c r="C385" s="448" t="s">
        <v>4112</v>
      </c>
      <c r="D385" s="448" t="s">
        <v>1312</v>
      </c>
      <c r="E385" s="448" t="s">
        <v>2120</v>
      </c>
      <c r="F385" s="448" t="s">
        <v>3024</v>
      </c>
      <c r="G385" s="448" t="s">
        <v>4113</v>
      </c>
    </row>
    <row r="386" spans="1:7">
      <c r="A386" s="448">
        <v>385</v>
      </c>
      <c r="B386" s="448" t="s">
        <v>4114</v>
      </c>
      <c r="C386" s="448" t="s">
        <v>4115</v>
      </c>
      <c r="D386" s="448" t="s">
        <v>1312</v>
      </c>
      <c r="E386" s="448" t="s">
        <v>2120</v>
      </c>
      <c r="F386" s="448" t="s">
        <v>3024</v>
      </c>
      <c r="G386" s="448" t="s">
        <v>4116</v>
      </c>
    </row>
    <row r="387" spans="1:7">
      <c r="A387" s="448">
        <v>386</v>
      </c>
      <c r="B387" s="448" t="s">
        <v>4117</v>
      </c>
      <c r="C387" s="448" t="s">
        <v>4118</v>
      </c>
      <c r="D387" s="448" t="s">
        <v>4119</v>
      </c>
      <c r="E387" s="448" t="s">
        <v>2120</v>
      </c>
      <c r="F387" s="448" t="s">
        <v>3024</v>
      </c>
      <c r="G387" s="448" t="s">
        <v>4120</v>
      </c>
    </row>
    <row r="388" spans="1:7">
      <c r="A388" s="448">
        <v>387</v>
      </c>
      <c r="B388" s="448" t="s">
        <v>4121</v>
      </c>
      <c r="C388" s="448" t="s">
        <v>4122</v>
      </c>
      <c r="D388" s="448" t="s">
        <v>1312</v>
      </c>
      <c r="E388" s="448" t="s">
        <v>2120</v>
      </c>
      <c r="F388" s="448" t="s">
        <v>3024</v>
      </c>
      <c r="G388" s="448" t="s">
        <v>4123</v>
      </c>
    </row>
    <row r="389" spans="1:7">
      <c r="A389" s="448">
        <v>388</v>
      </c>
      <c r="B389" s="448" t="s">
        <v>4124</v>
      </c>
      <c r="C389" s="448" t="s">
        <v>4125</v>
      </c>
      <c r="D389" s="448" t="s">
        <v>1312</v>
      </c>
      <c r="E389" s="448" t="s">
        <v>2120</v>
      </c>
      <c r="F389" s="448" t="s">
        <v>3024</v>
      </c>
      <c r="G389" s="448" t="s">
        <v>4126</v>
      </c>
    </row>
    <row r="390" spans="1:7">
      <c r="A390" s="448">
        <v>389</v>
      </c>
      <c r="B390" s="448" t="s">
        <v>4127</v>
      </c>
      <c r="C390" s="448" t="s">
        <v>4128</v>
      </c>
      <c r="D390" s="448" t="s">
        <v>1312</v>
      </c>
      <c r="E390" s="448" t="s">
        <v>2120</v>
      </c>
      <c r="F390" s="448" t="s">
        <v>3024</v>
      </c>
      <c r="G390" s="448" t="s">
        <v>4129</v>
      </c>
    </row>
    <row r="391" spans="1:7">
      <c r="A391" s="448">
        <v>390</v>
      </c>
      <c r="B391" s="448" t="s">
        <v>4130</v>
      </c>
      <c r="C391" s="448" t="s">
        <v>4131</v>
      </c>
      <c r="D391" s="448" t="s">
        <v>1312</v>
      </c>
      <c r="E391" s="448" t="s">
        <v>2120</v>
      </c>
      <c r="F391" s="448" t="s">
        <v>3024</v>
      </c>
      <c r="G391" s="448" t="s">
        <v>4132</v>
      </c>
    </row>
    <row r="392" spans="1:7">
      <c r="A392" s="448">
        <v>391</v>
      </c>
      <c r="B392" s="448" t="s">
        <v>4133</v>
      </c>
      <c r="C392" s="448" t="s">
        <v>4134</v>
      </c>
      <c r="D392" s="448" t="s">
        <v>1312</v>
      </c>
      <c r="E392" s="448" t="s">
        <v>2120</v>
      </c>
      <c r="F392" s="448" t="s">
        <v>3024</v>
      </c>
      <c r="G392" s="448" t="s">
        <v>4135</v>
      </c>
    </row>
    <row r="393" spans="1:7">
      <c r="A393" s="448">
        <v>392</v>
      </c>
      <c r="B393" s="448" t="s">
        <v>4136</v>
      </c>
      <c r="C393" s="448" t="s">
        <v>4137</v>
      </c>
      <c r="D393" s="448" t="s">
        <v>1312</v>
      </c>
      <c r="E393" s="448" t="s">
        <v>2120</v>
      </c>
      <c r="F393" s="448" t="s">
        <v>3024</v>
      </c>
      <c r="G393" s="448" t="s">
        <v>4138</v>
      </c>
    </row>
    <row r="394" spans="1:7">
      <c r="A394" s="448">
        <v>393</v>
      </c>
      <c r="B394" s="448" t="s">
        <v>4139</v>
      </c>
      <c r="C394" s="448" t="s">
        <v>4140</v>
      </c>
      <c r="D394" s="448" t="s">
        <v>1312</v>
      </c>
      <c r="E394" s="448" t="s">
        <v>2120</v>
      </c>
      <c r="F394" s="448" t="s">
        <v>3024</v>
      </c>
      <c r="G394" s="448" t="s">
        <v>4132</v>
      </c>
    </row>
    <row r="395" spans="1:7">
      <c r="A395" s="448">
        <v>394</v>
      </c>
      <c r="B395" s="448" t="s">
        <v>4141</v>
      </c>
      <c r="C395" s="448" t="s">
        <v>4142</v>
      </c>
      <c r="D395" s="448" t="s">
        <v>1312</v>
      </c>
      <c r="E395" s="448" t="s">
        <v>2120</v>
      </c>
      <c r="F395" s="448" t="s">
        <v>3024</v>
      </c>
      <c r="G395" s="448" t="s">
        <v>4143</v>
      </c>
    </row>
    <row r="396" spans="1:7">
      <c r="A396" s="448">
        <v>395</v>
      </c>
      <c r="B396" s="448" t="s">
        <v>4144</v>
      </c>
      <c r="C396" s="448" t="s">
        <v>4145</v>
      </c>
      <c r="D396" s="448" t="s">
        <v>1312</v>
      </c>
      <c r="E396" s="448" t="s">
        <v>2120</v>
      </c>
      <c r="F396" s="448" t="s">
        <v>3024</v>
      </c>
      <c r="G396" s="448" t="s">
        <v>4146</v>
      </c>
    </row>
    <row r="397" spans="1:7">
      <c r="A397" s="448">
        <v>396</v>
      </c>
      <c r="B397" s="448" t="s">
        <v>4147</v>
      </c>
      <c r="C397" s="448" t="s">
        <v>4148</v>
      </c>
      <c r="D397" s="448" t="s">
        <v>1312</v>
      </c>
      <c r="E397" s="448" t="s">
        <v>2120</v>
      </c>
      <c r="F397" s="448" t="s">
        <v>3024</v>
      </c>
      <c r="G397" s="448" t="s">
        <v>4149</v>
      </c>
    </row>
    <row r="398" spans="1:7">
      <c r="A398" s="448">
        <v>397</v>
      </c>
      <c r="B398" s="448" t="s">
        <v>4150</v>
      </c>
      <c r="C398" s="448" t="s">
        <v>4151</v>
      </c>
      <c r="D398" s="448" t="s">
        <v>523</v>
      </c>
      <c r="E398" s="448" t="s">
        <v>2120</v>
      </c>
      <c r="F398" s="448" t="s">
        <v>3024</v>
      </c>
      <c r="G398" s="448" t="s">
        <v>4152</v>
      </c>
    </row>
    <row r="399" spans="1:7">
      <c r="A399" s="448">
        <v>398</v>
      </c>
      <c r="B399" s="448" t="s">
        <v>4153</v>
      </c>
      <c r="C399" s="448" t="s">
        <v>4154</v>
      </c>
      <c r="D399" s="448" t="s">
        <v>523</v>
      </c>
      <c r="E399" s="448" t="s">
        <v>2120</v>
      </c>
      <c r="F399" s="448" t="s">
        <v>3024</v>
      </c>
      <c r="G399" s="448" t="s">
        <v>3741</v>
      </c>
    </row>
    <row r="400" spans="1:7">
      <c r="A400" s="448">
        <v>399</v>
      </c>
      <c r="B400" s="448" t="s">
        <v>4155</v>
      </c>
      <c r="C400" s="448" t="s">
        <v>4156</v>
      </c>
      <c r="D400" s="448" t="s">
        <v>523</v>
      </c>
      <c r="E400" s="448" t="s">
        <v>2120</v>
      </c>
      <c r="F400" s="448" t="s">
        <v>3024</v>
      </c>
      <c r="G400" s="448" t="s">
        <v>3922</v>
      </c>
    </row>
    <row r="401" spans="1:7">
      <c r="A401" s="448">
        <v>400</v>
      </c>
      <c r="B401" s="448" t="s">
        <v>4157</v>
      </c>
      <c r="C401" s="448" t="s">
        <v>4158</v>
      </c>
      <c r="D401" s="448" t="s">
        <v>523</v>
      </c>
      <c r="E401" s="448" t="s">
        <v>2120</v>
      </c>
      <c r="F401" s="448" t="s">
        <v>3024</v>
      </c>
      <c r="G401" s="448" t="s">
        <v>4159</v>
      </c>
    </row>
    <row r="402" spans="1:7">
      <c r="A402" s="448">
        <v>401</v>
      </c>
      <c r="B402" s="448" t="s">
        <v>4160</v>
      </c>
      <c r="C402" s="448" t="s">
        <v>4161</v>
      </c>
      <c r="D402" s="448" t="s">
        <v>523</v>
      </c>
      <c r="E402" s="448" t="s">
        <v>2120</v>
      </c>
      <c r="F402" s="448" t="s">
        <v>3024</v>
      </c>
      <c r="G402" s="448" t="s">
        <v>4162</v>
      </c>
    </row>
    <row r="403" spans="1:7">
      <c r="A403" s="448">
        <v>402</v>
      </c>
      <c r="B403" s="448" t="s">
        <v>4163</v>
      </c>
      <c r="C403" s="448" t="s">
        <v>4164</v>
      </c>
      <c r="D403" s="448" t="s">
        <v>4036</v>
      </c>
      <c r="E403" s="448" t="s">
        <v>3753</v>
      </c>
      <c r="F403" s="448" t="s">
        <v>3024</v>
      </c>
      <c r="G403" s="448" t="s">
        <v>4165</v>
      </c>
    </row>
    <row r="404" spans="1:7">
      <c r="A404" s="448">
        <v>403</v>
      </c>
      <c r="B404" s="448" t="s">
        <v>4166</v>
      </c>
      <c r="C404" s="448" t="s">
        <v>4167</v>
      </c>
      <c r="D404" s="448" t="s">
        <v>4036</v>
      </c>
      <c r="E404" s="448" t="s">
        <v>3753</v>
      </c>
      <c r="F404" s="448" t="s">
        <v>3024</v>
      </c>
      <c r="G404" s="448" t="s">
        <v>4168</v>
      </c>
    </row>
    <row r="405" spans="1:7">
      <c r="A405" s="448">
        <v>404</v>
      </c>
      <c r="B405" s="448" t="s">
        <v>4169</v>
      </c>
      <c r="C405" s="448" t="s">
        <v>4170</v>
      </c>
      <c r="D405" s="448" t="s">
        <v>3879</v>
      </c>
      <c r="E405" s="448" t="s">
        <v>2120</v>
      </c>
      <c r="F405" s="448" t="s">
        <v>3024</v>
      </c>
      <c r="G405" s="448" t="s">
        <v>4171</v>
      </c>
    </row>
    <row r="406" spans="1:7">
      <c r="A406" s="448">
        <v>405</v>
      </c>
      <c r="B406" s="448" t="s">
        <v>4172</v>
      </c>
      <c r="C406" s="448" t="s">
        <v>4173</v>
      </c>
      <c r="D406" s="448" t="s">
        <v>3879</v>
      </c>
      <c r="E406" s="448" t="s">
        <v>2120</v>
      </c>
      <c r="F406" s="448" t="s">
        <v>3024</v>
      </c>
      <c r="G406" s="448" t="s">
        <v>4174</v>
      </c>
    </row>
    <row r="407" spans="1:7">
      <c r="A407" s="448">
        <v>406</v>
      </c>
      <c r="B407" s="448" t="s">
        <v>4175</v>
      </c>
      <c r="C407" s="448" t="s">
        <v>4176</v>
      </c>
      <c r="D407" s="448" t="s">
        <v>3879</v>
      </c>
      <c r="E407" s="448" t="s">
        <v>2120</v>
      </c>
      <c r="F407" s="448" t="s">
        <v>3024</v>
      </c>
      <c r="G407" s="448" t="s">
        <v>4177</v>
      </c>
    </row>
    <row r="408" spans="1:7">
      <c r="A408" s="448">
        <v>407</v>
      </c>
      <c r="B408" s="448" t="s">
        <v>4178</v>
      </c>
      <c r="C408" s="448" t="s">
        <v>4179</v>
      </c>
      <c r="D408" s="448" t="s">
        <v>3879</v>
      </c>
      <c r="E408" s="448" t="s">
        <v>2120</v>
      </c>
      <c r="F408" s="448" t="s">
        <v>3024</v>
      </c>
      <c r="G408" s="448" t="s">
        <v>4180</v>
      </c>
    </row>
    <row r="409" spans="1:7">
      <c r="A409" s="448">
        <v>408</v>
      </c>
      <c r="B409" s="448" t="s">
        <v>4181</v>
      </c>
      <c r="C409" s="448" t="s">
        <v>4182</v>
      </c>
      <c r="D409" s="448" t="s">
        <v>1312</v>
      </c>
      <c r="E409" s="448" t="s">
        <v>2120</v>
      </c>
      <c r="F409" s="448" t="s">
        <v>3024</v>
      </c>
      <c r="G409" s="448" t="s">
        <v>4183</v>
      </c>
    </row>
    <row r="410" spans="1:7">
      <c r="A410" s="448">
        <v>409</v>
      </c>
      <c r="B410" s="448" t="s">
        <v>4184</v>
      </c>
      <c r="C410" s="448" t="s">
        <v>4185</v>
      </c>
      <c r="D410" s="448" t="s">
        <v>1312</v>
      </c>
      <c r="E410" s="448" t="s">
        <v>2120</v>
      </c>
      <c r="F410" s="448" t="s">
        <v>3024</v>
      </c>
      <c r="G410" s="448" t="s">
        <v>4186</v>
      </c>
    </row>
    <row r="411" spans="1:7">
      <c r="A411" s="448">
        <v>410</v>
      </c>
      <c r="B411" s="448" t="s">
        <v>4187</v>
      </c>
      <c r="C411" s="448" t="s">
        <v>4188</v>
      </c>
      <c r="D411" s="448" t="s">
        <v>1312</v>
      </c>
      <c r="E411" s="448" t="s">
        <v>2120</v>
      </c>
      <c r="F411" s="448" t="s">
        <v>3024</v>
      </c>
      <c r="G411" s="448" t="s">
        <v>4189</v>
      </c>
    </row>
    <row r="412" spans="1:7">
      <c r="A412" s="448">
        <v>411</v>
      </c>
      <c r="B412" s="448" t="s">
        <v>4190</v>
      </c>
      <c r="C412" s="448" t="s">
        <v>4191</v>
      </c>
      <c r="D412" s="448" t="s">
        <v>1312</v>
      </c>
      <c r="E412" s="448" t="s">
        <v>2120</v>
      </c>
      <c r="F412" s="448" t="s">
        <v>3024</v>
      </c>
      <c r="G412" s="448" t="s">
        <v>4192</v>
      </c>
    </row>
    <row r="413" spans="1:7">
      <c r="A413" s="448">
        <v>412</v>
      </c>
      <c r="B413" s="448" t="s">
        <v>4193</v>
      </c>
      <c r="C413" s="448" t="s">
        <v>4194</v>
      </c>
      <c r="D413" s="448" t="s">
        <v>523</v>
      </c>
      <c r="E413" s="448" t="s">
        <v>2120</v>
      </c>
      <c r="F413" s="448" t="s">
        <v>3024</v>
      </c>
      <c r="G413" s="448" t="s">
        <v>4195</v>
      </c>
    </row>
    <row r="414" spans="1:7">
      <c r="A414" s="448">
        <v>413</v>
      </c>
      <c r="B414" s="448" t="s">
        <v>4196</v>
      </c>
      <c r="C414" s="448" t="s">
        <v>4197</v>
      </c>
      <c r="D414" s="448" t="s">
        <v>523</v>
      </c>
      <c r="E414" s="448" t="s">
        <v>2120</v>
      </c>
      <c r="F414" s="448" t="s">
        <v>3024</v>
      </c>
      <c r="G414" s="448" t="s">
        <v>4198</v>
      </c>
    </row>
    <row r="415" spans="1:7">
      <c r="A415" s="448">
        <v>414</v>
      </c>
      <c r="B415" s="448" t="s">
        <v>4199</v>
      </c>
      <c r="C415" s="448" t="s">
        <v>4200</v>
      </c>
      <c r="D415" s="448" t="s">
        <v>523</v>
      </c>
      <c r="E415" s="448" t="s">
        <v>2120</v>
      </c>
      <c r="F415" s="448" t="s">
        <v>3024</v>
      </c>
      <c r="G415" s="448" t="s">
        <v>3527</v>
      </c>
    </row>
    <row r="416" spans="1:7">
      <c r="A416" s="448">
        <v>415</v>
      </c>
      <c r="B416" s="448" t="s">
        <v>4201</v>
      </c>
      <c r="C416" s="448" t="s">
        <v>4202</v>
      </c>
      <c r="D416" s="448" t="s">
        <v>523</v>
      </c>
      <c r="E416" s="448" t="s">
        <v>2120</v>
      </c>
      <c r="F416" s="448" t="s">
        <v>3024</v>
      </c>
      <c r="G416" s="448" t="s">
        <v>4203</v>
      </c>
    </row>
    <row r="417" spans="1:7">
      <c r="A417" s="448">
        <v>416</v>
      </c>
      <c r="B417" s="448" t="s">
        <v>4204</v>
      </c>
      <c r="C417" s="448" t="s">
        <v>4205</v>
      </c>
      <c r="D417" s="448" t="s">
        <v>523</v>
      </c>
      <c r="E417" s="448" t="s">
        <v>2120</v>
      </c>
      <c r="F417" s="448" t="s">
        <v>3024</v>
      </c>
      <c r="G417" s="448" t="s">
        <v>4206</v>
      </c>
    </row>
    <row r="418" spans="1:7">
      <c r="A418" s="448">
        <v>417</v>
      </c>
      <c r="B418" s="448" t="s">
        <v>4207</v>
      </c>
      <c r="C418" s="448" t="s">
        <v>2894</v>
      </c>
      <c r="D418" s="448" t="s">
        <v>523</v>
      </c>
      <c r="E418" s="448" t="s">
        <v>2120</v>
      </c>
      <c r="F418" s="448" t="s">
        <v>3024</v>
      </c>
      <c r="G418" s="448" t="s">
        <v>4208</v>
      </c>
    </row>
    <row r="419" spans="1:7">
      <c r="A419" s="448">
        <v>418</v>
      </c>
      <c r="B419" s="448" t="s">
        <v>4209</v>
      </c>
      <c r="C419" s="448" t="s">
        <v>4210</v>
      </c>
      <c r="D419" s="448" t="s">
        <v>523</v>
      </c>
      <c r="E419" s="448" t="s">
        <v>2120</v>
      </c>
      <c r="F419" s="448" t="s">
        <v>3024</v>
      </c>
      <c r="G419" s="448" t="s">
        <v>4211</v>
      </c>
    </row>
    <row r="420" spans="1:7">
      <c r="A420" s="448">
        <v>419</v>
      </c>
      <c r="B420" s="448" t="s">
        <v>4212</v>
      </c>
      <c r="C420" s="448" t="s">
        <v>4213</v>
      </c>
      <c r="D420" s="448" t="s">
        <v>523</v>
      </c>
      <c r="E420" s="448" t="s">
        <v>2120</v>
      </c>
      <c r="F420" s="448" t="s">
        <v>3024</v>
      </c>
      <c r="G420" s="448" t="s">
        <v>3922</v>
      </c>
    </row>
    <row r="421" spans="1:7">
      <c r="A421" s="448">
        <v>420</v>
      </c>
      <c r="B421" s="448" t="s">
        <v>4214</v>
      </c>
      <c r="C421" s="448" t="s">
        <v>4215</v>
      </c>
      <c r="D421" s="448" t="s">
        <v>523</v>
      </c>
      <c r="E421" s="448" t="s">
        <v>2120</v>
      </c>
      <c r="F421" s="448" t="s">
        <v>3024</v>
      </c>
      <c r="G421" s="448" t="s">
        <v>4216</v>
      </c>
    </row>
    <row r="422" spans="1:7">
      <c r="A422" s="448">
        <v>421</v>
      </c>
      <c r="B422" s="448" t="s">
        <v>4217</v>
      </c>
      <c r="C422" s="448" t="s">
        <v>4218</v>
      </c>
      <c r="D422" s="448" t="s">
        <v>523</v>
      </c>
      <c r="E422" s="448" t="s">
        <v>2120</v>
      </c>
      <c r="F422" s="448" t="s">
        <v>3024</v>
      </c>
      <c r="G422" s="448" t="s">
        <v>4219</v>
      </c>
    </row>
    <row r="423" spans="1:7">
      <c r="A423" s="448">
        <v>422</v>
      </c>
      <c r="B423" s="448" t="s">
        <v>4220</v>
      </c>
      <c r="C423" s="448" t="s">
        <v>4221</v>
      </c>
      <c r="D423" s="448" t="s">
        <v>523</v>
      </c>
      <c r="E423" s="448" t="s">
        <v>2120</v>
      </c>
      <c r="F423" s="448" t="s">
        <v>3024</v>
      </c>
      <c r="G423" s="448" t="s">
        <v>4222</v>
      </c>
    </row>
    <row r="424" spans="1:7">
      <c r="A424" s="448">
        <v>423</v>
      </c>
      <c r="B424" s="448" t="s">
        <v>4223</v>
      </c>
      <c r="C424" s="448" t="s">
        <v>4224</v>
      </c>
      <c r="D424" s="448" t="s">
        <v>523</v>
      </c>
      <c r="E424" s="448" t="s">
        <v>2120</v>
      </c>
      <c r="F424" s="448" t="s">
        <v>3024</v>
      </c>
      <c r="G424" s="448" t="s">
        <v>4075</v>
      </c>
    </row>
    <row r="425" spans="1:7">
      <c r="A425" s="448">
        <v>424</v>
      </c>
      <c r="B425" s="448" t="s">
        <v>4225</v>
      </c>
      <c r="C425" s="448" t="s">
        <v>4226</v>
      </c>
      <c r="D425" s="448" t="s">
        <v>523</v>
      </c>
      <c r="E425" s="448" t="s">
        <v>2120</v>
      </c>
      <c r="F425" s="448" t="s">
        <v>3024</v>
      </c>
      <c r="G425" s="448" t="s">
        <v>4227</v>
      </c>
    </row>
    <row r="426" spans="1:7">
      <c r="A426" s="448">
        <v>425</v>
      </c>
      <c r="B426" s="448" t="s">
        <v>4228</v>
      </c>
      <c r="C426" s="448" t="s">
        <v>4229</v>
      </c>
      <c r="D426" s="448" t="s">
        <v>523</v>
      </c>
      <c r="E426" s="448" t="s">
        <v>2120</v>
      </c>
      <c r="F426" s="448" t="s">
        <v>3024</v>
      </c>
      <c r="G426" s="448" t="s">
        <v>4230</v>
      </c>
    </row>
    <row r="427" spans="1:7">
      <c r="A427" s="448">
        <v>426</v>
      </c>
      <c r="B427" s="448" t="s">
        <v>4231</v>
      </c>
      <c r="C427" s="448" t="s">
        <v>4232</v>
      </c>
      <c r="D427" s="448" t="s">
        <v>523</v>
      </c>
      <c r="E427" s="448" t="s">
        <v>2120</v>
      </c>
      <c r="F427" s="448" t="s">
        <v>3024</v>
      </c>
      <c r="G427" s="448" t="s">
        <v>3527</v>
      </c>
    </row>
    <row r="428" spans="1:7">
      <c r="A428" s="448">
        <v>427</v>
      </c>
      <c r="B428" s="448" t="s">
        <v>4233</v>
      </c>
      <c r="C428" s="448" t="s">
        <v>4234</v>
      </c>
      <c r="D428" s="448" t="s">
        <v>523</v>
      </c>
      <c r="E428" s="448" t="s">
        <v>2120</v>
      </c>
      <c r="F428" s="448" t="s">
        <v>3024</v>
      </c>
      <c r="G428" s="448" t="s">
        <v>4235</v>
      </c>
    </row>
    <row r="429" spans="1:7">
      <c r="A429" s="448">
        <v>428</v>
      </c>
      <c r="B429" s="448" t="s">
        <v>4236</v>
      </c>
      <c r="C429" s="448" t="s">
        <v>4237</v>
      </c>
      <c r="D429" s="448" t="s">
        <v>523</v>
      </c>
      <c r="E429" s="448" t="s">
        <v>2120</v>
      </c>
      <c r="F429" s="448" t="s">
        <v>3024</v>
      </c>
      <c r="G429" s="448" t="s">
        <v>4238</v>
      </c>
    </row>
    <row r="430" spans="1:7">
      <c r="A430" s="448">
        <v>429</v>
      </c>
      <c r="B430" s="448" t="s">
        <v>4239</v>
      </c>
      <c r="C430" s="448" t="s">
        <v>4240</v>
      </c>
      <c r="D430" s="448" t="s">
        <v>579</v>
      </c>
      <c r="E430" s="448" t="s">
        <v>2120</v>
      </c>
      <c r="F430" s="448" t="s">
        <v>3024</v>
      </c>
      <c r="G430" s="448" t="s">
        <v>4241</v>
      </c>
    </row>
    <row r="431" spans="1:7">
      <c r="A431" s="448">
        <v>430</v>
      </c>
      <c r="B431" s="448" t="s">
        <v>4242</v>
      </c>
      <c r="C431" s="448" t="s">
        <v>4243</v>
      </c>
      <c r="D431" s="448" t="s">
        <v>579</v>
      </c>
      <c r="E431" s="448" t="s">
        <v>2120</v>
      </c>
      <c r="F431" s="448" t="s">
        <v>3024</v>
      </c>
      <c r="G431" s="448" t="s">
        <v>4244</v>
      </c>
    </row>
    <row r="432" spans="1:7">
      <c r="A432" s="448">
        <v>431</v>
      </c>
      <c r="B432" s="448" t="s">
        <v>4245</v>
      </c>
      <c r="C432" s="448" t="s">
        <v>4246</v>
      </c>
      <c r="D432" s="448" t="s">
        <v>579</v>
      </c>
      <c r="E432" s="448" t="s">
        <v>2120</v>
      </c>
      <c r="F432" s="448" t="s">
        <v>3024</v>
      </c>
      <c r="G432" s="448" t="s">
        <v>4247</v>
      </c>
    </row>
    <row r="433" spans="1:7">
      <c r="A433" s="448">
        <v>432</v>
      </c>
      <c r="B433" s="448" t="s">
        <v>4248</v>
      </c>
      <c r="C433" s="448" t="s">
        <v>4249</v>
      </c>
      <c r="D433" s="448" t="s">
        <v>579</v>
      </c>
      <c r="E433" s="448" t="s">
        <v>2120</v>
      </c>
      <c r="F433" s="448" t="s">
        <v>3024</v>
      </c>
      <c r="G433" s="448" t="s">
        <v>4250</v>
      </c>
    </row>
    <row r="434" spans="1:7">
      <c r="A434" s="448">
        <v>433</v>
      </c>
      <c r="B434" s="448" t="s">
        <v>4251</v>
      </c>
      <c r="C434" s="448" t="s">
        <v>4252</v>
      </c>
      <c r="D434" s="448" t="s">
        <v>320</v>
      </c>
      <c r="E434" s="448" t="s">
        <v>2120</v>
      </c>
      <c r="F434" s="448" t="s">
        <v>3024</v>
      </c>
      <c r="G434" s="448" t="s">
        <v>4253</v>
      </c>
    </row>
    <row r="435" spans="1:7">
      <c r="A435" s="448">
        <v>434</v>
      </c>
      <c r="B435" s="448" t="s">
        <v>4254</v>
      </c>
      <c r="C435" s="448" t="s">
        <v>4255</v>
      </c>
      <c r="D435" s="448" t="s">
        <v>4119</v>
      </c>
      <c r="E435" s="448" t="s">
        <v>2120</v>
      </c>
      <c r="F435" s="448" t="s">
        <v>3024</v>
      </c>
      <c r="G435" s="448" t="s">
        <v>4256</v>
      </c>
    </row>
    <row r="436" spans="1:7">
      <c r="A436" s="448">
        <v>435</v>
      </c>
      <c r="B436" s="448" t="s">
        <v>4257</v>
      </c>
      <c r="C436" s="448" t="s">
        <v>4258</v>
      </c>
      <c r="D436" s="448" t="s">
        <v>4119</v>
      </c>
      <c r="E436" s="448" t="s">
        <v>2120</v>
      </c>
      <c r="F436" s="448" t="s">
        <v>3024</v>
      </c>
      <c r="G436" s="448" t="s">
        <v>4259</v>
      </c>
    </row>
    <row r="437" spans="1:7">
      <c r="A437" s="448">
        <v>436</v>
      </c>
      <c r="B437" s="448" t="s">
        <v>4260</v>
      </c>
      <c r="C437" s="448" t="s">
        <v>4261</v>
      </c>
      <c r="D437" s="448" t="s">
        <v>320</v>
      </c>
      <c r="E437" s="448" t="s">
        <v>2120</v>
      </c>
      <c r="F437" s="448" t="s">
        <v>3024</v>
      </c>
      <c r="G437" s="448" t="s">
        <v>4262</v>
      </c>
    </row>
    <row r="438" spans="1:7">
      <c r="A438" s="448">
        <v>437</v>
      </c>
      <c r="B438" s="448" t="s">
        <v>4263</v>
      </c>
      <c r="C438" s="448" t="s">
        <v>4264</v>
      </c>
      <c r="D438" s="448" t="s">
        <v>320</v>
      </c>
      <c r="E438" s="448" t="s">
        <v>2120</v>
      </c>
      <c r="F438" s="448" t="s">
        <v>3024</v>
      </c>
      <c r="G438" s="448" t="s">
        <v>4265</v>
      </c>
    </row>
    <row r="439" spans="1:7">
      <c r="A439" s="448">
        <v>438</v>
      </c>
      <c r="B439" s="448" t="s">
        <v>4266</v>
      </c>
      <c r="C439" s="448" t="s">
        <v>4267</v>
      </c>
      <c r="D439" s="448" t="s">
        <v>320</v>
      </c>
      <c r="E439" s="448" t="s">
        <v>2120</v>
      </c>
      <c r="F439" s="448" t="s">
        <v>3024</v>
      </c>
      <c r="G439" s="448" t="s">
        <v>4268</v>
      </c>
    </row>
    <row r="440" spans="1:7">
      <c r="A440" s="448">
        <v>439</v>
      </c>
      <c r="B440" s="448" t="s">
        <v>4269</v>
      </c>
      <c r="C440" s="448" t="s">
        <v>4270</v>
      </c>
      <c r="D440" s="448" t="s">
        <v>320</v>
      </c>
      <c r="E440" s="448" t="s">
        <v>2120</v>
      </c>
      <c r="F440" s="448" t="s">
        <v>3024</v>
      </c>
      <c r="G440" s="448" t="s">
        <v>4271</v>
      </c>
    </row>
    <row r="441" spans="1:7">
      <c r="A441" s="448">
        <v>440</v>
      </c>
      <c r="B441" s="448" t="s">
        <v>4272</v>
      </c>
      <c r="C441" s="448" t="s">
        <v>4273</v>
      </c>
      <c r="D441" s="448" t="s">
        <v>4274</v>
      </c>
      <c r="E441" s="448" t="s">
        <v>2120</v>
      </c>
      <c r="F441" s="448" t="s">
        <v>3024</v>
      </c>
      <c r="G441" s="448" t="s">
        <v>4275</v>
      </c>
    </row>
    <row r="442" spans="1:7">
      <c r="A442" s="448">
        <v>441</v>
      </c>
      <c r="B442" s="448" t="s">
        <v>4276</v>
      </c>
      <c r="C442" s="448" t="s">
        <v>4277</v>
      </c>
      <c r="D442" s="448" t="s">
        <v>4274</v>
      </c>
      <c r="E442" s="448" t="s">
        <v>2120</v>
      </c>
      <c r="F442" s="448" t="s">
        <v>3024</v>
      </c>
      <c r="G442" s="448" t="s">
        <v>4278</v>
      </c>
    </row>
    <row r="443" spans="1:7">
      <c r="A443" s="448">
        <v>442</v>
      </c>
      <c r="B443" s="448" t="s">
        <v>4279</v>
      </c>
      <c r="C443" s="448" t="s">
        <v>4280</v>
      </c>
      <c r="D443" s="448" t="s">
        <v>4274</v>
      </c>
      <c r="E443" s="448" t="s">
        <v>2120</v>
      </c>
      <c r="F443" s="448" t="s">
        <v>3024</v>
      </c>
      <c r="G443" s="448" t="s">
        <v>3880</v>
      </c>
    </row>
    <row r="444" spans="1:7">
      <c r="A444" s="448">
        <v>443</v>
      </c>
      <c r="B444" s="448" t="s">
        <v>4281</v>
      </c>
      <c r="C444" s="448" t="s">
        <v>4282</v>
      </c>
      <c r="D444" s="448" t="s">
        <v>4274</v>
      </c>
      <c r="E444" s="448" t="s">
        <v>2120</v>
      </c>
      <c r="F444" s="448" t="s">
        <v>3024</v>
      </c>
      <c r="G444" s="448" t="s">
        <v>4283</v>
      </c>
    </row>
    <row r="445" spans="1:7">
      <c r="A445" s="448">
        <v>444</v>
      </c>
      <c r="B445" s="448" t="s">
        <v>4284</v>
      </c>
      <c r="C445" s="448" t="s">
        <v>4285</v>
      </c>
      <c r="D445" s="448" t="s">
        <v>4274</v>
      </c>
      <c r="E445" s="448" t="s">
        <v>2120</v>
      </c>
      <c r="F445" s="448" t="s">
        <v>3024</v>
      </c>
      <c r="G445" s="448" t="s">
        <v>4286</v>
      </c>
    </row>
    <row r="446" spans="1:7">
      <c r="A446" s="448">
        <v>445</v>
      </c>
      <c r="B446" s="448" t="s">
        <v>4287</v>
      </c>
      <c r="C446" s="448" t="s">
        <v>4288</v>
      </c>
      <c r="D446" s="448" t="s">
        <v>4274</v>
      </c>
      <c r="E446" s="448" t="s">
        <v>2120</v>
      </c>
      <c r="F446" s="448" t="s">
        <v>3024</v>
      </c>
      <c r="G446" s="448" t="s">
        <v>4289</v>
      </c>
    </row>
    <row r="447" spans="1:7">
      <c r="A447" s="448">
        <v>446</v>
      </c>
      <c r="B447" s="448" t="s">
        <v>4290</v>
      </c>
      <c r="C447" s="448" t="s">
        <v>4291</v>
      </c>
      <c r="D447" s="448" t="s">
        <v>4274</v>
      </c>
      <c r="E447" s="448" t="s">
        <v>2120</v>
      </c>
      <c r="F447" s="448" t="s">
        <v>3024</v>
      </c>
      <c r="G447" s="448" t="s">
        <v>4292</v>
      </c>
    </row>
    <row r="448" spans="1:7">
      <c r="A448" s="448">
        <v>447</v>
      </c>
      <c r="B448" s="448" t="s">
        <v>4293</v>
      </c>
      <c r="C448" s="448" t="s">
        <v>4294</v>
      </c>
      <c r="D448" s="448" t="s">
        <v>4274</v>
      </c>
      <c r="E448" s="448" t="s">
        <v>2120</v>
      </c>
      <c r="F448" s="448" t="s">
        <v>3024</v>
      </c>
      <c r="G448" s="448" t="s">
        <v>3773</v>
      </c>
    </row>
    <row r="449" spans="1:7">
      <c r="A449" s="448">
        <v>448</v>
      </c>
      <c r="B449" s="448" t="s">
        <v>4295</v>
      </c>
      <c r="C449" s="448" t="s">
        <v>4296</v>
      </c>
      <c r="D449" s="448" t="s">
        <v>4274</v>
      </c>
      <c r="E449" s="448" t="s">
        <v>2120</v>
      </c>
      <c r="F449" s="448" t="s">
        <v>3024</v>
      </c>
      <c r="G449" s="448" t="s">
        <v>4297</v>
      </c>
    </row>
    <row r="450" spans="1:7">
      <c r="A450" s="448">
        <v>449</v>
      </c>
      <c r="B450" s="448" t="s">
        <v>4298</v>
      </c>
      <c r="C450" s="448" t="s">
        <v>4299</v>
      </c>
      <c r="D450" s="448" t="s">
        <v>523</v>
      </c>
      <c r="E450" s="448" t="s">
        <v>2120</v>
      </c>
      <c r="F450" s="448" t="s">
        <v>3024</v>
      </c>
      <c r="G450" s="448" t="s">
        <v>4300</v>
      </c>
    </row>
    <row r="451" spans="1:7">
      <c r="A451" s="448">
        <v>450</v>
      </c>
      <c r="B451" s="448" t="s">
        <v>4301</v>
      </c>
      <c r="C451" s="448" t="s">
        <v>4302</v>
      </c>
      <c r="D451" s="448" t="s">
        <v>523</v>
      </c>
      <c r="E451" s="448" t="s">
        <v>2120</v>
      </c>
      <c r="F451" s="448" t="s">
        <v>3024</v>
      </c>
      <c r="G451" s="448" t="s">
        <v>4303</v>
      </c>
    </row>
    <row r="452" spans="1:7">
      <c r="A452" s="448">
        <v>451</v>
      </c>
      <c r="B452" s="448" t="s">
        <v>4304</v>
      </c>
      <c r="C452" s="448" t="s">
        <v>4305</v>
      </c>
      <c r="D452" s="448" t="s">
        <v>523</v>
      </c>
      <c r="E452" s="448" t="s">
        <v>2120</v>
      </c>
      <c r="F452" s="448" t="s">
        <v>3024</v>
      </c>
      <c r="G452" s="448" t="s">
        <v>4306</v>
      </c>
    </row>
    <row r="453" spans="1:7">
      <c r="A453" s="448">
        <v>452</v>
      </c>
      <c r="B453" s="448" t="s">
        <v>4307</v>
      </c>
      <c r="C453" s="448" t="s">
        <v>4308</v>
      </c>
      <c r="D453" s="448" t="s">
        <v>523</v>
      </c>
      <c r="E453" s="448" t="s">
        <v>2120</v>
      </c>
      <c r="F453" s="448" t="s">
        <v>3024</v>
      </c>
      <c r="G453" s="448" t="s">
        <v>4309</v>
      </c>
    </row>
    <row r="454" spans="1:7">
      <c r="A454" s="448">
        <v>453</v>
      </c>
      <c r="B454" s="448" t="s">
        <v>4310</v>
      </c>
      <c r="C454" s="448" t="s">
        <v>4311</v>
      </c>
      <c r="D454" s="448" t="s">
        <v>523</v>
      </c>
      <c r="E454" s="448" t="s">
        <v>2120</v>
      </c>
      <c r="F454" s="448" t="s">
        <v>3024</v>
      </c>
      <c r="G454" s="448" t="s">
        <v>4312</v>
      </c>
    </row>
    <row r="455" spans="1:7">
      <c r="A455" s="448">
        <v>454</v>
      </c>
      <c r="B455" s="448" t="s">
        <v>4313</v>
      </c>
      <c r="C455" s="448" t="s">
        <v>4314</v>
      </c>
      <c r="D455" s="448" t="s">
        <v>523</v>
      </c>
      <c r="E455" s="448" t="s">
        <v>2120</v>
      </c>
      <c r="F455" s="448" t="s">
        <v>3024</v>
      </c>
      <c r="G455" s="448" t="s">
        <v>4315</v>
      </c>
    </row>
    <row r="456" spans="1:7">
      <c r="A456" s="448">
        <v>455</v>
      </c>
      <c r="B456" s="448" t="s">
        <v>4316</v>
      </c>
      <c r="C456" s="448" t="s">
        <v>4317</v>
      </c>
      <c r="D456" s="448" t="s">
        <v>523</v>
      </c>
      <c r="E456" s="448" t="s">
        <v>2120</v>
      </c>
      <c r="F456" s="448" t="s">
        <v>3024</v>
      </c>
      <c r="G456" s="448" t="s">
        <v>3736</v>
      </c>
    </row>
    <row r="457" spans="1:7">
      <c r="A457" s="448">
        <v>456</v>
      </c>
      <c r="B457" s="448" t="s">
        <v>4318</v>
      </c>
      <c r="C457" s="448" t="s">
        <v>4319</v>
      </c>
      <c r="D457" s="448" t="s">
        <v>4320</v>
      </c>
      <c r="E457" s="448" t="s">
        <v>2120</v>
      </c>
      <c r="F457" s="448" t="s">
        <v>3024</v>
      </c>
      <c r="G457" s="448" t="s">
        <v>4321</v>
      </c>
    </row>
    <row r="458" spans="1:7">
      <c r="A458" s="448">
        <v>457</v>
      </c>
      <c r="B458" s="448" t="s">
        <v>4322</v>
      </c>
      <c r="C458" s="448" t="s">
        <v>4323</v>
      </c>
      <c r="D458" s="448" t="s">
        <v>4320</v>
      </c>
      <c r="E458" s="448" t="s">
        <v>2120</v>
      </c>
      <c r="F458" s="448" t="s">
        <v>3024</v>
      </c>
      <c r="G458" s="448" t="s">
        <v>4324</v>
      </c>
    </row>
    <row r="459" spans="1:7">
      <c r="A459" s="448">
        <v>458</v>
      </c>
      <c r="B459" s="448" t="s">
        <v>4325</v>
      </c>
      <c r="C459" s="448" t="s">
        <v>4326</v>
      </c>
      <c r="D459" s="448" t="s">
        <v>4320</v>
      </c>
      <c r="E459" s="448" t="s">
        <v>2120</v>
      </c>
      <c r="F459" s="448" t="s">
        <v>3024</v>
      </c>
      <c r="G459" s="448" t="s">
        <v>4327</v>
      </c>
    </row>
    <row r="460" spans="1:7">
      <c r="A460" s="448">
        <v>459</v>
      </c>
      <c r="B460" s="448" t="s">
        <v>4328</v>
      </c>
      <c r="C460" s="448" t="s">
        <v>4329</v>
      </c>
      <c r="D460" s="448" t="s">
        <v>4320</v>
      </c>
      <c r="E460" s="448" t="s">
        <v>2120</v>
      </c>
      <c r="F460" s="448" t="s">
        <v>3024</v>
      </c>
      <c r="G460" s="448" t="s">
        <v>4159</v>
      </c>
    </row>
    <row r="461" spans="1:7">
      <c r="A461" s="448">
        <v>460</v>
      </c>
      <c r="B461" s="448" t="s">
        <v>4330</v>
      </c>
      <c r="C461" s="448" t="s">
        <v>4331</v>
      </c>
      <c r="D461" s="448" t="s">
        <v>4320</v>
      </c>
      <c r="E461" s="448" t="s">
        <v>2120</v>
      </c>
      <c r="F461" s="448" t="s">
        <v>3024</v>
      </c>
      <c r="G461" s="448" t="s">
        <v>4235</v>
      </c>
    </row>
    <row r="462" spans="1:7">
      <c r="A462" s="448">
        <v>461</v>
      </c>
      <c r="B462" s="448" t="s">
        <v>4332</v>
      </c>
      <c r="C462" s="448" t="s">
        <v>4333</v>
      </c>
      <c r="D462" s="448" t="s">
        <v>4320</v>
      </c>
      <c r="E462" s="448" t="s">
        <v>2120</v>
      </c>
      <c r="F462" s="448" t="s">
        <v>3024</v>
      </c>
      <c r="G462" s="448" t="s">
        <v>4334</v>
      </c>
    </row>
    <row r="463" spans="1:7">
      <c r="A463" s="448">
        <v>462</v>
      </c>
      <c r="B463" s="448" t="s">
        <v>4335</v>
      </c>
      <c r="C463" s="448" t="s">
        <v>4336</v>
      </c>
      <c r="D463" s="448" t="s">
        <v>4320</v>
      </c>
      <c r="E463" s="448" t="s">
        <v>2120</v>
      </c>
      <c r="F463" s="448" t="s">
        <v>3024</v>
      </c>
      <c r="G463" s="448" t="s">
        <v>4337</v>
      </c>
    </row>
    <row r="464" spans="1:7">
      <c r="A464" s="448">
        <v>463</v>
      </c>
      <c r="B464" s="448" t="s">
        <v>4338</v>
      </c>
      <c r="C464" s="448" t="s">
        <v>4339</v>
      </c>
      <c r="D464" s="448" t="s">
        <v>4320</v>
      </c>
      <c r="E464" s="448" t="s">
        <v>2120</v>
      </c>
      <c r="F464" s="448" t="s">
        <v>3024</v>
      </c>
      <c r="G464" s="448" t="s">
        <v>4340</v>
      </c>
    </row>
    <row r="465" spans="1:7">
      <c r="A465" s="448">
        <v>464</v>
      </c>
      <c r="B465" s="448" t="s">
        <v>4341</v>
      </c>
      <c r="C465" s="448" t="s">
        <v>4342</v>
      </c>
      <c r="D465" s="448" t="s">
        <v>4320</v>
      </c>
      <c r="E465" s="448" t="s">
        <v>2120</v>
      </c>
      <c r="F465" s="448" t="s">
        <v>3024</v>
      </c>
      <c r="G465" s="448" t="s">
        <v>4343</v>
      </c>
    </row>
    <row r="466" spans="1:7">
      <c r="A466" s="448">
        <v>465</v>
      </c>
      <c r="B466" s="448" t="s">
        <v>4344</v>
      </c>
      <c r="C466" s="448" t="s">
        <v>4345</v>
      </c>
      <c r="D466" s="448" t="s">
        <v>4320</v>
      </c>
      <c r="E466" s="448" t="s">
        <v>2120</v>
      </c>
      <c r="F466" s="448" t="s">
        <v>3024</v>
      </c>
      <c r="G466" s="448" t="s">
        <v>4346</v>
      </c>
    </row>
    <row r="467" spans="1:7">
      <c r="A467" s="448">
        <v>466</v>
      </c>
      <c r="B467" s="448" t="s">
        <v>4347</v>
      </c>
      <c r="C467" s="448" t="s">
        <v>4348</v>
      </c>
      <c r="D467" s="448" t="s">
        <v>4320</v>
      </c>
      <c r="E467" s="448" t="s">
        <v>2120</v>
      </c>
      <c r="F467" s="448" t="s">
        <v>3024</v>
      </c>
      <c r="G467" s="448" t="s">
        <v>4349</v>
      </c>
    </row>
    <row r="468" spans="1:7">
      <c r="A468" s="448">
        <v>467</v>
      </c>
      <c r="B468" s="448" t="s">
        <v>4350</v>
      </c>
      <c r="C468" s="448" t="s">
        <v>4351</v>
      </c>
      <c r="D468" s="448" t="s">
        <v>4320</v>
      </c>
      <c r="E468" s="448" t="s">
        <v>2120</v>
      </c>
      <c r="F468" s="448" t="s">
        <v>3024</v>
      </c>
      <c r="G468" s="448" t="s">
        <v>3602</v>
      </c>
    </row>
    <row r="469" spans="1:7">
      <c r="A469" s="448">
        <v>468</v>
      </c>
      <c r="B469" s="448" t="s">
        <v>4352</v>
      </c>
      <c r="C469" s="448" t="s">
        <v>4353</v>
      </c>
      <c r="D469" s="448" t="s">
        <v>3363</v>
      </c>
      <c r="E469" s="448" t="s">
        <v>2120</v>
      </c>
      <c r="F469" s="448" t="s">
        <v>3024</v>
      </c>
      <c r="G469" s="448" t="s">
        <v>4354</v>
      </c>
    </row>
    <row r="470" spans="1:7">
      <c r="A470" s="448">
        <v>469</v>
      </c>
      <c r="B470" s="448" t="s">
        <v>4355</v>
      </c>
      <c r="C470" s="448" t="s">
        <v>4356</v>
      </c>
      <c r="D470" s="448" t="s">
        <v>3363</v>
      </c>
      <c r="E470" s="448" t="s">
        <v>2120</v>
      </c>
      <c r="F470" s="448" t="s">
        <v>3024</v>
      </c>
      <c r="G470" s="448" t="s">
        <v>4357</v>
      </c>
    </row>
    <row r="471" spans="1:7">
      <c r="A471" s="448">
        <v>470</v>
      </c>
      <c r="B471" s="448" t="s">
        <v>4358</v>
      </c>
      <c r="C471" s="448" t="s">
        <v>4359</v>
      </c>
      <c r="D471" s="448" t="s">
        <v>3363</v>
      </c>
      <c r="E471" s="448" t="s">
        <v>2120</v>
      </c>
      <c r="F471" s="448" t="s">
        <v>3024</v>
      </c>
      <c r="G471" s="448" t="s">
        <v>4360</v>
      </c>
    </row>
    <row r="472" spans="1:7">
      <c r="A472" s="448">
        <v>471</v>
      </c>
      <c r="B472" s="448" t="s">
        <v>4361</v>
      </c>
      <c r="C472" s="448" t="s">
        <v>4362</v>
      </c>
      <c r="D472" s="448" t="s">
        <v>3363</v>
      </c>
      <c r="E472" s="448" t="s">
        <v>2120</v>
      </c>
      <c r="F472" s="448" t="s">
        <v>3024</v>
      </c>
      <c r="G472" s="448" t="s">
        <v>4360</v>
      </c>
    </row>
    <row r="473" spans="1:7">
      <c r="A473" s="448">
        <v>472</v>
      </c>
      <c r="B473" s="448" t="s">
        <v>4363</v>
      </c>
      <c r="C473" s="448" t="s">
        <v>4364</v>
      </c>
      <c r="D473" s="448" t="s">
        <v>3363</v>
      </c>
      <c r="E473" s="448" t="s">
        <v>2120</v>
      </c>
      <c r="F473" s="448" t="s">
        <v>3024</v>
      </c>
      <c r="G473" s="448" t="s">
        <v>4360</v>
      </c>
    </row>
    <row r="474" spans="1:7">
      <c r="A474" s="448">
        <v>473</v>
      </c>
      <c r="B474" s="448" t="s">
        <v>4365</v>
      </c>
      <c r="C474" s="448" t="s">
        <v>4366</v>
      </c>
      <c r="D474" s="448" t="s">
        <v>3363</v>
      </c>
      <c r="E474" s="448" t="s">
        <v>2120</v>
      </c>
      <c r="F474" s="448" t="s">
        <v>3024</v>
      </c>
      <c r="G474" s="448" t="s">
        <v>4360</v>
      </c>
    </row>
    <row r="475" spans="1:7">
      <c r="A475" s="448">
        <v>474</v>
      </c>
      <c r="B475" s="448" t="s">
        <v>4367</v>
      </c>
      <c r="C475" s="448" t="s">
        <v>4368</v>
      </c>
      <c r="D475" s="448" t="s">
        <v>3363</v>
      </c>
      <c r="E475" s="448" t="s">
        <v>2120</v>
      </c>
      <c r="F475" s="448" t="s">
        <v>3024</v>
      </c>
      <c r="G475" s="448" t="s">
        <v>4360</v>
      </c>
    </row>
    <row r="476" spans="1:7">
      <c r="A476" s="448">
        <v>475</v>
      </c>
      <c r="B476" s="448" t="s">
        <v>4369</v>
      </c>
      <c r="C476" s="448" t="s">
        <v>4370</v>
      </c>
      <c r="D476" s="448" t="s">
        <v>3363</v>
      </c>
      <c r="E476" s="448" t="s">
        <v>2120</v>
      </c>
      <c r="F476" s="448" t="s">
        <v>3024</v>
      </c>
      <c r="G476" s="448" t="s">
        <v>4360</v>
      </c>
    </row>
    <row r="477" spans="1:7">
      <c r="A477" s="448">
        <v>476</v>
      </c>
      <c r="B477" s="448" t="s">
        <v>4371</v>
      </c>
      <c r="C477" s="448" t="s">
        <v>4372</v>
      </c>
      <c r="D477" s="448" t="s">
        <v>3363</v>
      </c>
      <c r="E477" s="448" t="s">
        <v>2120</v>
      </c>
      <c r="F477" s="448" t="s">
        <v>3024</v>
      </c>
      <c r="G477" s="448" t="s">
        <v>4360</v>
      </c>
    </row>
    <row r="478" spans="1:7">
      <c r="A478" s="448">
        <v>477</v>
      </c>
      <c r="B478" s="448" t="s">
        <v>4373</v>
      </c>
      <c r="C478" s="448" t="s">
        <v>4374</v>
      </c>
      <c r="D478" s="448" t="s">
        <v>3363</v>
      </c>
      <c r="E478" s="448" t="s">
        <v>2120</v>
      </c>
      <c r="F478" s="448" t="s">
        <v>3024</v>
      </c>
      <c r="G478" s="448" t="s">
        <v>4360</v>
      </c>
    </row>
    <row r="479" spans="1:7">
      <c r="A479" s="448">
        <v>478</v>
      </c>
      <c r="B479" s="448" t="s">
        <v>4375</v>
      </c>
      <c r="C479" s="448" t="s">
        <v>4376</v>
      </c>
      <c r="D479" s="448" t="s">
        <v>3363</v>
      </c>
      <c r="E479" s="448" t="s">
        <v>2120</v>
      </c>
      <c r="F479" s="448" t="s">
        <v>3024</v>
      </c>
      <c r="G479" s="448" t="s">
        <v>4360</v>
      </c>
    </row>
    <row r="480" spans="1:7">
      <c r="A480" s="448">
        <v>479</v>
      </c>
      <c r="B480" s="448" t="s">
        <v>4377</v>
      </c>
      <c r="C480" s="448" t="s">
        <v>4378</v>
      </c>
      <c r="D480" s="448" t="s">
        <v>3363</v>
      </c>
      <c r="E480" s="448" t="s">
        <v>2120</v>
      </c>
      <c r="F480" s="448" t="s">
        <v>3024</v>
      </c>
      <c r="G480" s="448" t="s">
        <v>4360</v>
      </c>
    </row>
    <row r="481" spans="1:7">
      <c r="A481" s="448">
        <v>480</v>
      </c>
      <c r="B481" s="448" t="s">
        <v>4379</v>
      </c>
      <c r="C481" s="448" t="s">
        <v>4380</v>
      </c>
      <c r="D481" s="448" t="s">
        <v>3363</v>
      </c>
      <c r="E481" s="448" t="s">
        <v>2120</v>
      </c>
      <c r="F481" s="448" t="s">
        <v>3024</v>
      </c>
      <c r="G481" s="448" t="s">
        <v>4360</v>
      </c>
    </row>
    <row r="482" spans="1:7">
      <c r="A482" s="448">
        <v>481</v>
      </c>
      <c r="B482" s="448" t="s">
        <v>4381</v>
      </c>
      <c r="C482" s="448" t="s">
        <v>4382</v>
      </c>
      <c r="D482" s="448" t="s">
        <v>3363</v>
      </c>
      <c r="E482" s="448" t="s">
        <v>2120</v>
      </c>
      <c r="F482" s="448" t="s">
        <v>3024</v>
      </c>
      <c r="G482" s="448" t="s">
        <v>4360</v>
      </c>
    </row>
    <row r="483" spans="1:7">
      <c r="A483" s="448">
        <v>482</v>
      </c>
      <c r="B483" s="448" t="s">
        <v>4383</v>
      </c>
      <c r="C483" s="448" t="s">
        <v>4384</v>
      </c>
      <c r="D483" s="448" t="s">
        <v>3363</v>
      </c>
      <c r="E483" s="448" t="s">
        <v>2120</v>
      </c>
      <c r="F483" s="448" t="s">
        <v>3024</v>
      </c>
      <c r="G483" s="448" t="s">
        <v>4360</v>
      </c>
    </row>
    <row r="484" spans="1:7">
      <c r="A484" s="448">
        <v>483</v>
      </c>
      <c r="B484" s="448" t="s">
        <v>4385</v>
      </c>
      <c r="C484" s="448" t="s">
        <v>4386</v>
      </c>
      <c r="D484" s="448" t="s">
        <v>1312</v>
      </c>
      <c r="E484" s="448" t="s">
        <v>2120</v>
      </c>
      <c r="F484" s="448" t="s">
        <v>3024</v>
      </c>
      <c r="G484" s="448" t="s">
        <v>4387</v>
      </c>
    </row>
    <row r="485" spans="1:7">
      <c r="A485" s="448">
        <v>484</v>
      </c>
      <c r="B485" s="448" t="s">
        <v>4388</v>
      </c>
      <c r="C485" s="448" t="s">
        <v>4389</v>
      </c>
      <c r="D485" s="448" t="s">
        <v>1312</v>
      </c>
      <c r="E485" s="448" t="s">
        <v>2120</v>
      </c>
      <c r="F485" s="448" t="s">
        <v>3024</v>
      </c>
      <c r="G485" s="448" t="s">
        <v>4390</v>
      </c>
    </row>
    <row r="486" spans="1:7">
      <c r="A486" s="448">
        <v>485</v>
      </c>
      <c r="B486" s="448" t="s">
        <v>4391</v>
      </c>
      <c r="C486" s="448" t="s">
        <v>4392</v>
      </c>
      <c r="D486" s="448" t="s">
        <v>1312</v>
      </c>
      <c r="E486" s="448" t="s">
        <v>2120</v>
      </c>
      <c r="F486" s="448" t="s">
        <v>3024</v>
      </c>
      <c r="G486" s="448" t="s">
        <v>4393</v>
      </c>
    </row>
    <row r="487" spans="1:7">
      <c r="A487" s="448">
        <v>486</v>
      </c>
      <c r="B487" s="448" t="s">
        <v>4394</v>
      </c>
      <c r="C487" s="448" t="s">
        <v>4386</v>
      </c>
      <c r="D487" s="448" t="s">
        <v>1312</v>
      </c>
      <c r="E487" s="448" t="s">
        <v>2120</v>
      </c>
      <c r="F487" s="448" t="s">
        <v>3024</v>
      </c>
      <c r="G487" s="448" t="s">
        <v>4395</v>
      </c>
    </row>
    <row r="488" spans="1:7">
      <c r="A488" s="448">
        <v>487</v>
      </c>
      <c r="B488" s="448" t="s">
        <v>4396</v>
      </c>
      <c r="C488" s="448" t="s">
        <v>4397</v>
      </c>
      <c r="D488" s="448" t="s">
        <v>1312</v>
      </c>
      <c r="E488" s="448" t="s">
        <v>2120</v>
      </c>
      <c r="F488" s="448" t="s">
        <v>3024</v>
      </c>
      <c r="G488" s="448" t="s">
        <v>4398</v>
      </c>
    </row>
    <row r="489" spans="1:7">
      <c r="A489" s="448">
        <v>488</v>
      </c>
      <c r="B489" s="448" t="s">
        <v>4399</v>
      </c>
      <c r="C489" s="448" t="s">
        <v>4400</v>
      </c>
      <c r="D489" s="448" t="s">
        <v>1312</v>
      </c>
      <c r="E489" s="448" t="s">
        <v>2120</v>
      </c>
      <c r="F489" s="448" t="s">
        <v>3024</v>
      </c>
      <c r="G489" s="448" t="s">
        <v>4401</v>
      </c>
    </row>
    <row r="490" spans="1:7">
      <c r="A490" s="448">
        <v>489</v>
      </c>
      <c r="B490" s="448" t="s">
        <v>4402</v>
      </c>
      <c r="C490" s="448" t="s">
        <v>4392</v>
      </c>
      <c r="D490" s="448" t="s">
        <v>1312</v>
      </c>
      <c r="E490" s="448" t="s">
        <v>2120</v>
      </c>
      <c r="F490" s="448" t="s">
        <v>3024</v>
      </c>
      <c r="G490" s="448" t="s">
        <v>4403</v>
      </c>
    </row>
    <row r="491" spans="1:7">
      <c r="A491" s="448">
        <v>490</v>
      </c>
      <c r="B491" s="448" t="s">
        <v>4404</v>
      </c>
      <c r="C491" s="448" t="s">
        <v>4405</v>
      </c>
      <c r="D491" s="448" t="s">
        <v>1312</v>
      </c>
      <c r="E491" s="448" t="s">
        <v>2120</v>
      </c>
      <c r="F491" s="448" t="s">
        <v>3024</v>
      </c>
      <c r="G491" s="448" t="s">
        <v>4406</v>
      </c>
    </row>
    <row r="492" spans="1:7">
      <c r="A492" s="448">
        <v>491</v>
      </c>
      <c r="B492" s="448" t="s">
        <v>4407</v>
      </c>
      <c r="C492" s="448" t="s">
        <v>4408</v>
      </c>
      <c r="D492" s="448" t="s">
        <v>1312</v>
      </c>
      <c r="E492" s="448" t="s">
        <v>2120</v>
      </c>
      <c r="F492" s="448" t="s">
        <v>3024</v>
      </c>
      <c r="G492" s="448" t="s">
        <v>4409</v>
      </c>
    </row>
    <row r="493" spans="1:7">
      <c r="A493" s="448">
        <v>492</v>
      </c>
      <c r="B493" s="448" t="s">
        <v>4410</v>
      </c>
      <c r="C493" s="448" t="s">
        <v>4411</v>
      </c>
      <c r="D493" s="448" t="s">
        <v>1312</v>
      </c>
      <c r="E493" s="448" t="s">
        <v>2120</v>
      </c>
      <c r="F493" s="448" t="s">
        <v>3024</v>
      </c>
      <c r="G493" s="448" t="s">
        <v>4412</v>
      </c>
    </row>
    <row r="494" spans="1:7">
      <c r="A494" s="448">
        <v>493</v>
      </c>
      <c r="B494" s="448" t="s">
        <v>4413</v>
      </c>
      <c r="C494" s="448" t="s">
        <v>4414</v>
      </c>
      <c r="D494" s="448" t="s">
        <v>1312</v>
      </c>
      <c r="E494" s="448" t="s">
        <v>2120</v>
      </c>
      <c r="F494" s="448" t="s">
        <v>3024</v>
      </c>
      <c r="G494" s="448" t="s">
        <v>4415</v>
      </c>
    </row>
    <row r="495" spans="1:7">
      <c r="A495" s="448">
        <v>494</v>
      </c>
      <c r="B495" s="448" t="s">
        <v>4416</v>
      </c>
      <c r="C495" s="448" t="s">
        <v>4417</v>
      </c>
      <c r="D495" s="448" t="s">
        <v>1312</v>
      </c>
      <c r="E495" s="448" t="s">
        <v>2120</v>
      </c>
      <c r="F495" s="448" t="s">
        <v>3024</v>
      </c>
      <c r="G495" s="448" t="s">
        <v>4418</v>
      </c>
    </row>
    <row r="496" spans="1:7">
      <c r="A496" s="448">
        <v>495</v>
      </c>
      <c r="B496" s="448" t="s">
        <v>4419</v>
      </c>
      <c r="C496" s="448" t="s">
        <v>4420</v>
      </c>
      <c r="D496" s="448" t="s">
        <v>1312</v>
      </c>
      <c r="E496" s="448" t="s">
        <v>2120</v>
      </c>
      <c r="F496" s="448" t="s">
        <v>3024</v>
      </c>
      <c r="G496" s="448" t="s">
        <v>4421</v>
      </c>
    </row>
    <row r="497" spans="1:7">
      <c r="A497" s="448">
        <v>496</v>
      </c>
      <c r="B497" s="448" t="s">
        <v>4422</v>
      </c>
      <c r="C497" s="448" t="s">
        <v>4423</v>
      </c>
      <c r="D497" s="448" t="s">
        <v>1312</v>
      </c>
      <c r="E497" s="448" t="s">
        <v>2120</v>
      </c>
      <c r="F497" s="448" t="s">
        <v>3024</v>
      </c>
      <c r="G497" s="448" t="s">
        <v>4424</v>
      </c>
    </row>
    <row r="498" spans="1:7">
      <c r="A498" s="448">
        <v>497</v>
      </c>
      <c r="B498" s="448" t="s">
        <v>4425</v>
      </c>
      <c r="C498" s="448" t="s">
        <v>4426</v>
      </c>
      <c r="D498" s="448" t="s">
        <v>1312</v>
      </c>
      <c r="E498" s="448" t="s">
        <v>2120</v>
      </c>
      <c r="F498" s="448" t="s">
        <v>3024</v>
      </c>
      <c r="G498" s="448" t="s">
        <v>4427</v>
      </c>
    </row>
    <row r="499" spans="1:7">
      <c r="A499" s="448">
        <v>498</v>
      </c>
      <c r="B499" s="448" t="s">
        <v>4428</v>
      </c>
      <c r="C499" s="448" t="s">
        <v>4429</v>
      </c>
      <c r="D499" s="448" t="s">
        <v>1312</v>
      </c>
      <c r="E499" s="448" t="s">
        <v>2120</v>
      </c>
      <c r="F499" s="448" t="s">
        <v>3024</v>
      </c>
      <c r="G499" s="448" t="s">
        <v>4430</v>
      </c>
    </row>
    <row r="500" spans="1:7">
      <c r="A500" s="448">
        <v>499</v>
      </c>
      <c r="B500" s="448" t="s">
        <v>4431</v>
      </c>
      <c r="C500" s="448" t="s">
        <v>4432</v>
      </c>
      <c r="D500" s="448" t="s">
        <v>1312</v>
      </c>
      <c r="E500" s="448" t="s">
        <v>2120</v>
      </c>
      <c r="F500" s="448" t="s">
        <v>3024</v>
      </c>
      <c r="G500" s="448" t="s">
        <v>4433</v>
      </c>
    </row>
    <row r="501" spans="1:7">
      <c r="A501" s="448">
        <v>500</v>
      </c>
      <c r="B501" s="448" t="s">
        <v>4434</v>
      </c>
      <c r="C501" s="448" t="s">
        <v>4435</v>
      </c>
      <c r="D501" s="448" t="s">
        <v>1312</v>
      </c>
      <c r="E501" s="448" t="s">
        <v>2120</v>
      </c>
      <c r="F501" s="448" t="s">
        <v>3024</v>
      </c>
      <c r="G501" s="448" t="s">
        <v>4436</v>
      </c>
    </row>
    <row r="502" spans="1:7">
      <c r="A502" s="448">
        <v>501</v>
      </c>
      <c r="B502" s="448" t="s">
        <v>4437</v>
      </c>
      <c r="C502" s="448" t="s">
        <v>4438</v>
      </c>
      <c r="D502" s="448" t="s">
        <v>1312</v>
      </c>
      <c r="E502" s="448" t="s">
        <v>2120</v>
      </c>
      <c r="F502" s="448" t="s">
        <v>3024</v>
      </c>
      <c r="G502" s="448" t="s">
        <v>4439</v>
      </c>
    </row>
    <row r="503" spans="1:7">
      <c r="A503" s="448">
        <v>502</v>
      </c>
      <c r="B503" s="448" t="s">
        <v>4440</v>
      </c>
      <c r="C503" s="448" t="s">
        <v>4441</v>
      </c>
      <c r="D503" s="448" t="s">
        <v>1312</v>
      </c>
      <c r="E503" s="448" t="s">
        <v>2120</v>
      </c>
      <c r="F503" s="448" t="s">
        <v>3024</v>
      </c>
      <c r="G503" s="448" t="s">
        <v>4442</v>
      </c>
    </row>
    <row r="504" spans="1:7">
      <c r="A504" s="448">
        <v>503</v>
      </c>
      <c r="B504" s="448" t="s">
        <v>4443</v>
      </c>
      <c r="C504" s="448" t="s">
        <v>4444</v>
      </c>
      <c r="D504" s="448" t="s">
        <v>1312</v>
      </c>
      <c r="E504" s="448" t="s">
        <v>2120</v>
      </c>
      <c r="F504" s="448" t="s">
        <v>3024</v>
      </c>
      <c r="G504" s="448" t="s">
        <v>4445</v>
      </c>
    </row>
    <row r="505" spans="1:7">
      <c r="A505" s="448">
        <v>504</v>
      </c>
      <c r="B505" s="448" t="s">
        <v>4446</v>
      </c>
      <c r="C505" s="448" t="s">
        <v>4447</v>
      </c>
      <c r="D505" s="448" t="s">
        <v>1312</v>
      </c>
      <c r="E505" s="448" t="s">
        <v>2120</v>
      </c>
      <c r="F505" s="448" t="s">
        <v>3024</v>
      </c>
      <c r="G505" s="448" t="s">
        <v>4448</v>
      </c>
    </row>
    <row r="506" spans="1:7">
      <c r="A506" s="448">
        <v>505</v>
      </c>
      <c r="B506" s="448" t="s">
        <v>4449</v>
      </c>
      <c r="C506" s="448" t="s">
        <v>4450</v>
      </c>
      <c r="D506" s="448" t="s">
        <v>1312</v>
      </c>
      <c r="E506" s="448" t="s">
        <v>2120</v>
      </c>
      <c r="F506" s="448" t="s">
        <v>3024</v>
      </c>
      <c r="G506" s="448" t="s">
        <v>4451</v>
      </c>
    </row>
    <row r="507" spans="1:7">
      <c r="A507" s="448">
        <v>506</v>
      </c>
      <c r="B507" s="448" t="s">
        <v>4452</v>
      </c>
      <c r="C507" s="448" t="s">
        <v>4453</v>
      </c>
      <c r="D507" s="448" t="s">
        <v>1312</v>
      </c>
      <c r="E507" s="448" t="s">
        <v>2120</v>
      </c>
      <c r="F507" s="448" t="s">
        <v>3024</v>
      </c>
      <c r="G507" s="448" t="s">
        <v>4454</v>
      </c>
    </row>
    <row r="508" ht="21.6" spans="1:7">
      <c r="A508" s="448">
        <v>507</v>
      </c>
      <c r="B508" s="448" t="s">
        <v>4455</v>
      </c>
      <c r="C508" s="448" t="s">
        <v>4456</v>
      </c>
      <c r="D508" s="448" t="s">
        <v>1312</v>
      </c>
      <c r="E508" s="448" t="s">
        <v>2120</v>
      </c>
      <c r="F508" s="448" t="s">
        <v>3024</v>
      </c>
      <c r="G508" s="448" t="s">
        <v>4457</v>
      </c>
    </row>
    <row r="509" ht="21.6" spans="1:7">
      <c r="A509" s="448">
        <v>508</v>
      </c>
      <c r="B509" s="448" t="s">
        <v>4458</v>
      </c>
      <c r="C509" s="448" t="s">
        <v>4459</v>
      </c>
      <c r="D509" s="448" t="s">
        <v>1312</v>
      </c>
      <c r="E509" s="448" t="s">
        <v>2120</v>
      </c>
      <c r="F509" s="448" t="s">
        <v>3024</v>
      </c>
      <c r="G509" s="448" t="s">
        <v>4460</v>
      </c>
    </row>
    <row r="510" ht="21.6" spans="1:7">
      <c r="A510" s="448">
        <v>509</v>
      </c>
      <c r="B510" s="448" t="s">
        <v>4461</v>
      </c>
      <c r="C510" s="448" t="s">
        <v>4462</v>
      </c>
      <c r="D510" s="448" t="s">
        <v>1312</v>
      </c>
      <c r="E510" s="448" t="s">
        <v>2120</v>
      </c>
      <c r="F510" s="448" t="s">
        <v>3024</v>
      </c>
      <c r="G510" s="448" t="s">
        <v>4463</v>
      </c>
    </row>
    <row r="511" ht="21.6" spans="1:7">
      <c r="A511" s="448">
        <v>510</v>
      </c>
      <c r="B511" s="448" t="s">
        <v>4464</v>
      </c>
      <c r="C511" s="448" t="s">
        <v>4465</v>
      </c>
      <c r="D511" s="448" t="s">
        <v>1312</v>
      </c>
      <c r="E511" s="448" t="s">
        <v>2120</v>
      </c>
      <c r="F511" s="448" t="s">
        <v>3024</v>
      </c>
      <c r="G511" s="448" t="s">
        <v>4466</v>
      </c>
    </row>
    <row r="512" spans="1:7">
      <c r="A512" s="448">
        <v>511</v>
      </c>
      <c r="B512" s="448" t="s">
        <v>4467</v>
      </c>
      <c r="C512" s="448" t="s">
        <v>4468</v>
      </c>
      <c r="D512" s="448" t="s">
        <v>1312</v>
      </c>
      <c r="E512" s="448" t="s">
        <v>2120</v>
      </c>
      <c r="F512" s="448" t="s">
        <v>3024</v>
      </c>
      <c r="G512" s="448" t="s">
        <v>4469</v>
      </c>
    </row>
    <row r="513" spans="1:7">
      <c r="A513" s="448">
        <v>512</v>
      </c>
      <c r="B513" s="448" t="s">
        <v>4470</v>
      </c>
      <c r="C513" s="448" t="s">
        <v>4471</v>
      </c>
      <c r="D513" s="448" t="s">
        <v>1312</v>
      </c>
      <c r="E513" s="448" t="s">
        <v>2120</v>
      </c>
      <c r="F513" s="448" t="s">
        <v>3024</v>
      </c>
      <c r="G513" s="448" t="s">
        <v>4472</v>
      </c>
    </row>
    <row r="514" spans="1:7">
      <c r="A514" s="448">
        <v>513</v>
      </c>
      <c r="B514" s="448" t="s">
        <v>4473</v>
      </c>
      <c r="C514" s="448" t="s">
        <v>4474</v>
      </c>
      <c r="D514" s="448" t="s">
        <v>1312</v>
      </c>
      <c r="E514" s="448" t="s">
        <v>2120</v>
      </c>
      <c r="F514" s="448" t="s">
        <v>3024</v>
      </c>
      <c r="G514" s="448" t="s">
        <v>4475</v>
      </c>
    </row>
    <row r="515" ht="21.6" spans="1:7">
      <c r="A515" s="448">
        <v>514</v>
      </c>
      <c r="B515" s="448" t="s">
        <v>4476</v>
      </c>
      <c r="C515" s="448" t="s">
        <v>4477</v>
      </c>
      <c r="D515" s="448" t="s">
        <v>1312</v>
      </c>
      <c r="E515" s="448" t="s">
        <v>2120</v>
      </c>
      <c r="F515" s="448" t="s">
        <v>3024</v>
      </c>
      <c r="G515" s="448" t="s">
        <v>4478</v>
      </c>
    </row>
    <row r="516" ht="21.6" spans="1:7">
      <c r="A516" s="448">
        <v>515</v>
      </c>
      <c r="B516" s="448" t="s">
        <v>4479</v>
      </c>
      <c r="C516" s="448" t="s">
        <v>4480</v>
      </c>
      <c r="D516" s="448" t="s">
        <v>1312</v>
      </c>
      <c r="E516" s="448" t="s">
        <v>2120</v>
      </c>
      <c r="F516" s="448" t="s">
        <v>3024</v>
      </c>
      <c r="G516" s="448" t="s">
        <v>4481</v>
      </c>
    </row>
    <row r="517" ht="21.6" spans="1:7">
      <c r="A517" s="448">
        <v>516</v>
      </c>
      <c r="B517" s="448" t="s">
        <v>4482</v>
      </c>
      <c r="C517" s="448" t="s">
        <v>4483</v>
      </c>
      <c r="D517" s="448" t="s">
        <v>1312</v>
      </c>
      <c r="E517" s="448" t="s">
        <v>2120</v>
      </c>
      <c r="F517" s="448" t="s">
        <v>3024</v>
      </c>
      <c r="G517" s="448" t="s">
        <v>4484</v>
      </c>
    </row>
    <row r="518" spans="1:7">
      <c r="A518" s="448">
        <v>517</v>
      </c>
      <c r="B518" s="448" t="s">
        <v>4485</v>
      </c>
      <c r="C518" s="448" t="s">
        <v>4486</v>
      </c>
      <c r="D518" s="448" t="s">
        <v>4487</v>
      </c>
      <c r="E518" s="448" t="s">
        <v>2120</v>
      </c>
      <c r="F518" s="448" t="s">
        <v>3024</v>
      </c>
      <c r="G518" s="448" t="s">
        <v>4488</v>
      </c>
    </row>
    <row r="519" spans="1:7">
      <c r="A519" s="448">
        <v>518</v>
      </c>
      <c r="B519" s="448" t="s">
        <v>4489</v>
      </c>
      <c r="C519" s="448" t="s">
        <v>4490</v>
      </c>
      <c r="D519" s="448" t="s">
        <v>4487</v>
      </c>
      <c r="E519" s="448" t="s">
        <v>2120</v>
      </c>
      <c r="F519" s="448" t="s">
        <v>3024</v>
      </c>
      <c r="G519" s="448" t="s">
        <v>4491</v>
      </c>
    </row>
    <row r="520" ht="21.6" spans="1:7">
      <c r="A520" s="448">
        <v>519</v>
      </c>
      <c r="B520" s="448" t="s">
        <v>4492</v>
      </c>
      <c r="C520" s="448" t="s">
        <v>4493</v>
      </c>
      <c r="D520" s="448" t="s">
        <v>4487</v>
      </c>
      <c r="E520" s="448" t="s">
        <v>2120</v>
      </c>
      <c r="F520" s="448" t="s">
        <v>3024</v>
      </c>
      <c r="G520" s="448" t="s">
        <v>4494</v>
      </c>
    </row>
    <row r="521" ht="21.6" spans="1:7">
      <c r="A521" s="448">
        <v>520</v>
      </c>
      <c r="B521" s="448" t="s">
        <v>4495</v>
      </c>
      <c r="C521" s="448" t="s">
        <v>4496</v>
      </c>
      <c r="D521" s="448" t="s">
        <v>4487</v>
      </c>
      <c r="E521" s="448" t="s">
        <v>2120</v>
      </c>
      <c r="F521" s="448" t="s">
        <v>3024</v>
      </c>
      <c r="G521" s="448" t="s">
        <v>4497</v>
      </c>
    </row>
    <row r="522" spans="1:7">
      <c r="A522" s="448">
        <v>521</v>
      </c>
      <c r="B522" s="448" t="s">
        <v>4498</v>
      </c>
      <c r="C522" s="448" t="s">
        <v>4499</v>
      </c>
      <c r="D522" s="448" t="s">
        <v>4036</v>
      </c>
      <c r="E522" s="448" t="s">
        <v>3753</v>
      </c>
      <c r="F522" s="448" t="s">
        <v>3024</v>
      </c>
      <c r="G522" s="448" t="s">
        <v>4500</v>
      </c>
    </row>
    <row r="523" spans="1:7">
      <c r="A523" s="448">
        <v>522</v>
      </c>
      <c r="B523" s="448" t="s">
        <v>4501</v>
      </c>
      <c r="C523" s="448" t="s">
        <v>4502</v>
      </c>
      <c r="D523" s="448" t="s">
        <v>4036</v>
      </c>
      <c r="E523" s="448" t="s">
        <v>3753</v>
      </c>
      <c r="F523" s="448" t="s">
        <v>3024</v>
      </c>
      <c r="G523" s="448" t="s">
        <v>4503</v>
      </c>
    </row>
    <row r="524" spans="1:7">
      <c r="A524" s="448">
        <v>523</v>
      </c>
      <c r="B524" s="448" t="s">
        <v>4504</v>
      </c>
      <c r="C524" s="448" t="s">
        <v>4505</v>
      </c>
      <c r="D524" s="448" t="s">
        <v>4036</v>
      </c>
      <c r="E524" s="448" t="s">
        <v>3753</v>
      </c>
      <c r="F524" s="448" t="s">
        <v>3024</v>
      </c>
      <c r="G524" s="448" t="s">
        <v>4506</v>
      </c>
    </row>
    <row r="525" spans="1:7">
      <c r="A525" s="448">
        <v>524</v>
      </c>
      <c r="B525" s="448" t="s">
        <v>4507</v>
      </c>
      <c r="C525" s="448" t="s">
        <v>4508</v>
      </c>
      <c r="D525" s="448" t="s">
        <v>4036</v>
      </c>
      <c r="E525" s="448" t="s">
        <v>3753</v>
      </c>
      <c r="F525" s="448" t="s">
        <v>3024</v>
      </c>
      <c r="G525" s="448" t="s">
        <v>4509</v>
      </c>
    </row>
    <row r="526" spans="1:7">
      <c r="A526" s="448">
        <v>525</v>
      </c>
      <c r="B526" s="448" t="s">
        <v>4510</v>
      </c>
      <c r="C526" s="448" t="s">
        <v>4511</v>
      </c>
      <c r="D526" s="448" t="s">
        <v>4036</v>
      </c>
      <c r="E526" s="448" t="s">
        <v>3753</v>
      </c>
      <c r="F526" s="448" t="s">
        <v>3024</v>
      </c>
      <c r="G526" s="448" t="s">
        <v>4512</v>
      </c>
    </row>
    <row r="527" spans="1:7">
      <c r="A527" s="448">
        <v>526</v>
      </c>
      <c r="B527" s="448" t="s">
        <v>4513</v>
      </c>
      <c r="C527" s="448" t="s">
        <v>4514</v>
      </c>
      <c r="D527" s="448" t="s">
        <v>4036</v>
      </c>
      <c r="E527" s="448" t="s">
        <v>3753</v>
      </c>
      <c r="F527" s="448" t="s">
        <v>3024</v>
      </c>
      <c r="G527" s="448" t="s">
        <v>4515</v>
      </c>
    </row>
    <row r="528" spans="1:7">
      <c r="A528" s="448">
        <v>527</v>
      </c>
      <c r="B528" s="448" t="s">
        <v>4516</v>
      </c>
      <c r="C528" s="448" t="s">
        <v>4517</v>
      </c>
      <c r="D528" s="448" t="s">
        <v>4036</v>
      </c>
      <c r="E528" s="448" t="s">
        <v>3753</v>
      </c>
      <c r="F528" s="448" t="s">
        <v>3024</v>
      </c>
      <c r="G528" s="448" t="s">
        <v>4518</v>
      </c>
    </row>
    <row r="529" spans="1:7">
      <c r="A529" s="448">
        <v>528</v>
      </c>
      <c r="B529" s="448" t="s">
        <v>4519</v>
      </c>
      <c r="C529" s="448" t="s">
        <v>4520</v>
      </c>
      <c r="D529" s="448" t="s">
        <v>4036</v>
      </c>
      <c r="E529" s="448" t="s">
        <v>3753</v>
      </c>
      <c r="F529" s="448" t="s">
        <v>3024</v>
      </c>
      <c r="G529" s="448" t="s">
        <v>4521</v>
      </c>
    </row>
    <row r="530" spans="1:7">
      <c r="A530" s="448">
        <v>529</v>
      </c>
      <c r="B530" s="448" t="s">
        <v>4522</v>
      </c>
      <c r="C530" s="448" t="s">
        <v>4523</v>
      </c>
      <c r="D530" s="448" t="s">
        <v>4036</v>
      </c>
      <c r="E530" s="448" t="s">
        <v>3753</v>
      </c>
      <c r="F530" s="448" t="s">
        <v>3024</v>
      </c>
      <c r="G530" s="448" t="s">
        <v>4524</v>
      </c>
    </row>
    <row r="531" spans="1:7">
      <c r="A531" s="448">
        <v>530</v>
      </c>
      <c r="B531" s="448" t="s">
        <v>4525</v>
      </c>
      <c r="C531" s="448" t="s">
        <v>4526</v>
      </c>
      <c r="D531" s="448" t="s">
        <v>4036</v>
      </c>
      <c r="E531" s="448" t="s">
        <v>3753</v>
      </c>
      <c r="F531" s="448" t="s">
        <v>3024</v>
      </c>
      <c r="G531" s="448" t="s">
        <v>4527</v>
      </c>
    </row>
    <row r="532" spans="1:7">
      <c r="A532" s="448">
        <v>531</v>
      </c>
      <c r="B532" s="448" t="s">
        <v>4528</v>
      </c>
      <c r="C532" s="448" t="s">
        <v>4529</v>
      </c>
      <c r="D532" s="448" t="s">
        <v>4036</v>
      </c>
      <c r="E532" s="448" t="s">
        <v>3753</v>
      </c>
      <c r="F532" s="448" t="s">
        <v>3024</v>
      </c>
      <c r="G532" s="448" t="s">
        <v>4530</v>
      </c>
    </row>
    <row r="533" spans="1:7">
      <c r="A533" s="448">
        <v>532</v>
      </c>
      <c r="B533" s="448" t="s">
        <v>4531</v>
      </c>
      <c r="C533" s="448" t="s">
        <v>4532</v>
      </c>
      <c r="D533" s="448" t="s">
        <v>4036</v>
      </c>
      <c r="E533" s="448" t="s">
        <v>3753</v>
      </c>
      <c r="F533" s="448" t="s">
        <v>3024</v>
      </c>
      <c r="G533" s="448" t="s">
        <v>3743</v>
      </c>
    </row>
    <row r="534" spans="1:7">
      <c r="A534" s="448">
        <v>533</v>
      </c>
      <c r="B534" s="448" t="s">
        <v>4533</v>
      </c>
      <c r="C534" s="448" t="s">
        <v>4534</v>
      </c>
      <c r="D534" s="448" t="s">
        <v>4535</v>
      </c>
      <c r="E534" s="448" t="s">
        <v>2120</v>
      </c>
      <c r="F534" s="448" t="s">
        <v>3024</v>
      </c>
      <c r="G534" s="448" t="s">
        <v>4536</v>
      </c>
    </row>
    <row r="535" spans="1:7">
      <c r="A535" s="448">
        <v>534</v>
      </c>
      <c r="B535" s="448" t="s">
        <v>4537</v>
      </c>
      <c r="C535" s="448" t="s">
        <v>4538</v>
      </c>
      <c r="D535" s="448" t="s">
        <v>4535</v>
      </c>
      <c r="E535" s="448" t="s">
        <v>2120</v>
      </c>
      <c r="F535" s="448" t="s">
        <v>3024</v>
      </c>
      <c r="G535" s="448" t="s">
        <v>4539</v>
      </c>
    </row>
    <row r="536" spans="1:7">
      <c r="A536" s="448">
        <v>535</v>
      </c>
      <c r="B536" s="448" t="s">
        <v>4540</v>
      </c>
      <c r="C536" s="448" t="s">
        <v>4541</v>
      </c>
      <c r="D536" s="448" t="s">
        <v>4535</v>
      </c>
      <c r="E536" s="448" t="s">
        <v>2120</v>
      </c>
      <c r="F536" s="448" t="s">
        <v>3024</v>
      </c>
      <c r="G536" s="448" t="s">
        <v>4542</v>
      </c>
    </row>
    <row r="537" ht="21.6" spans="1:7">
      <c r="A537" s="448">
        <v>536</v>
      </c>
      <c r="B537" s="448" t="s">
        <v>4543</v>
      </c>
      <c r="C537" s="448" t="s">
        <v>4544</v>
      </c>
      <c r="D537" s="448" t="s">
        <v>4535</v>
      </c>
      <c r="E537" s="448" t="s">
        <v>2120</v>
      </c>
      <c r="F537" s="448" t="s">
        <v>3024</v>
      </c>
      <c r="G537" s="448" t="s">
        <v>4545</v>
      </c>
    </row>
    <row r="538" ht="21.6" spans="1:7">
      <c r="A538" s="448">
        <v>537</v>
      </c>
      <c r="B538" s="448" t="s">
        <v>4546</v>
      </c>
      <c r="C538" s="448" t="s">
        <v>4547</v>
      </c>
      <c r="D538" s="448" t="s">
        <v>4535</v>
      </c>
      <c r="E538" s="448" t="s">
        <v>2120</v>
      </c>
      <c r="F538" s="448" t="s">
        <v>3024</v>
      </c>
      <c r="G538" s="448" t="s">
        <v>4548</v>
      </c>
    </row>
    <row r="539" ht="21.6" spans="1:7">
      <c r="A539" s="448">
        <v>538</v>
      </c>
      <c r="B539" s="448" t="s">
        <v>4549</v>
      </c>
      <c r="C539" s="448" t="s">
        <v>4550</v>
      </c>
      <c r="D539" s="448" t="s">
        <v>4535</v>
      </c>
      <c r="E539" s="448" t="s">
        <v>2120</v>
      </c>
      <c r="F539" s="448" t="s">
        <v>3024</v>
      </c>
      <c r="G539" s="448" t="s">
        <v>4551</v>
      </c>
    </row>
    <row r="540" ht="21.6" spans="1:7">
      <c r="A540" s="448">
        <v>539</v>
      </c>
      <c r="B540" s="448" t="s">
        <v>4552</v>
      </c>
      <c r="C540" s="448" t="s">
        <v>4553</v>
      </c>
      <c r="D540" s="448" t="s">
        <v>4535</v>
      </c>
      <c r="E540" s="448" t="s">
        <v>2120</v>
      </c>
      <c r="F540" s="448" t="s">
        <v>3024</v>
      </c>
      <c r="G540" s="448" t="s">
        <v>4554</v>
      </c>
    </row>
    <row r="541" spans="1:7">
      <c r="A541" s="448">
        <v>540</v>
      </c>
      <c r="B541" s="448" t="s">
        <v>4555</v>
      </c>
      <c r="C541" s="448" t="s">
        <v>4556</v>
      </c>
      <c r="D541" s="448" t="s">
        <v>4557</v>
      </c>
      <c r="E541" s="448" t="s">
        <v>2120</v>
      </c>
      <c r="F541" s="448" t="s">
        <v>3024</v>
      </c>
      <c r="G541" s="448" t="s">
        <v>4558</v>
      </c>
    </row>
    <row r="542" spans="1:7">
      <c r="A542" s="448">
        <v>541</v>
      </c>
      <c r="B542" s="448" t="s">
        <v>4559</v>
      </c>
      <c r="C542" s="448" t="s">
        <v>4560</v>
      </c>
      <c r="D542" s="448" t="s">
        <v>4557</v>
      </c>
      <c r="E542" s="448" t="s">
        <v>2120</v>
      </c>
      <c r="F542" s="448" t="s">
        <v>3024</v>
      </c>
      <c r="G542" s="448" t="s">
        <v>4561</v>
      </c>
    </row>
    <row r="543" spans="1:7">
      <c r="A543" s="448">
        <v>542</v>
      </c>
      <c r="B543" s="448" t="s">
        <v>4562</v>
      </c>
      <c r="C543" s="448" t="s">
        <v>4563</v>
      </c>
      <c r="D543" s="448" t="s">
        <v>4557</v>
      </c>
      <c r="E543" s="448" t="s">
        <v>2120</v>
      </c>
      <c r="F543" s="448" t="s">
        <v>3024</v>
      </c>
      <c r="G543" s="448" t="s">
        <v>4564</v>
      </c>
    </row>
    <row r="544" spans="1:7">
      <c r="A544" s="448">
        <v>543</v>
      </c>
      <c r="B544" s="448" t="s">
        <v>4565</v>
      </c>
      <c r="C544" s="448" t="s">
        <v>4566</v>
      </c>
      <c r="D544" s="448" t="s">
        <v>4557</v>
      </c>
      <c r="E544" s="448" t="s">
        <v>2120</v>
      </c>
      <c r="F544" s="448" t="s">
        <v>3024</v>
      </c>
      <c r="G544" s="448" t="s">
        <v>4567</v>
      </c>
    </row>
    <row r="545" spans="1:7">
      <c r="A545" s="448">
        <v>544</v>
      </c>
      <c r="B545" s="448" t="s">
        <v>4568</v>
      </c>
      <c r="C545" s="448" t="s">
        <v>4569</v>
      </c>
      <c r="D545" s="448" t="s">
        <v>3617</v>
      </c>
      <c r="E545" s="448" t="s">
        <v>2120</v>
      </c>
      <c r="F545" s="448" t="s">
        <v>3024</v>
      </c>
      <c r="G545" s="448" t="s">
        <v>3733</v>
      </c>
    </row>
    <row r="546" spans="1:7">
      <c r="A546" s="448">
        <v>545</v>
      </c>
      <c r="B546" s="448" t="s">
        <v>4570</v>
      </c>
      <c r="C546" s="448" t="s">
        <v>4571</v>
      </c>
      <c r="D546" s="448" t="s">
        <v>4119</v>
      </c>
      <c r="E546" s="448" t="s">
        <v>2120</v>
      </c>
      <c r="F546" s="448" t="s">
        <v>3024</v>
      </c>
      <c r="G546" s="448" t="s">
        <v>4572</v>
      </c>
    </row>
    <row r="547" spans="1:7">
      <c r="A547" s="448">
        <v>546</v>
      </c>
      <c r="B547" s="448" t="s">
        <v>4573</v>
      </c>
      <c r="C547" s="448" t="s">
        <v>4574</v>
      </c>
      <c r="D547" s="448" t="s">
        <v>4119</v>
      </c>
      <c r="E547" s="448" t="s">
        <v>2120</v>
      </c>
      <c r="F547" s="448" t="s">
        <v>3024</v>
      </c>
      <c r="G547" s="448" t="s">
        <v>4575</v>
      </c>
    </row>
    <row r="548" spans="1:7">
      <c r="A548" s="448">
        <v>547</v>
      </c>
      <c r="B548" s="448" t="s">
        <v>4576</v>
      </c>
      <c r="C548" s="448" t="s">
        <v>4577</v>
      </c>
      <c r="D548" s="448" t="s">
        <v>4119</v>
      </c>
      <c r="E548" s="448" t="s">
        <v>2120</v>
      </c>
      <c r="F548" s="448" t="s">
        <v>3024</v>
      </c>
      <c r="G548" s="448" t="s">
        <v>4578</v>
      </c>
    </row>
    <row r="549" spans="1:7">
      <c r="A549" s="448">
        <v>548</v>
      </c>
      <c r="B549" s="448" t="s">
        <v>4579</v>
      </c>
      <c r="C549" s="448" t="s">
        <v>4580</v>
      </c>
      <c r="D549" s="448" t="s">
        <v>4119</v>
      </c>
      <c r="E549" s="448" t="s">
        <v>2120</v>
      </c>
      <c r="F549" s="448" t="s">
        <v>3024</v>
      </c>
      <c r="G549" s="448" t="s">
        <v>4581</v>
      </c>
    </row>
    <row r="550" spans="1:7">
      <c r="A550" s="448">
        <v>549</v>
      </c>
      <c r="B550" s="448" t="s">
        <v>4582</v>
      </c>
      <c r="C550" s="448" t="s">
        <v>4583</v>
      </c>
      <c r="D550" s="448" t="s">
        <v>4119</v>
      </c>
      <c r="E550" s="448" t="s">
        <v>2120</v>
      </c>
      <c r="F550" s="448" t="s">
        <v>3024</v>
      </c>
      <c r="G550" s="448" t="s">
        <v>4584</v>
      </c>
    </row>
    <row r="551" spans="1:7">
      <c r="A551" s="448">
        <v>550</v>
      </c>
      <c r="B551" s="448" t="s">
        <v>4585</v>
      </c>
      <c r="C551" s="448" t="s">
        <v>4586</v>
      </c>
      <c r="D551" s="448" t="s">
        <v>4119</v>
      </c>
      <c r="E551" s="448" t="s">
        <v>2120</v>
      </c>
      <c r="F551" s="448" t="s">
        <v>3024</v>
      </c>
      <c r="G551" s="448" t="s">
        <v>4238</v>
      </c>
    </row>
    <row r="552" spans="1:7">
      <c r="A552" s="448">
        <v>551</v>
      </c>
      <c r="B552" s="448" t="s">
        <v>4587</v>
      </c>
      <c r="C552" s="448" t="s">
        <v>4588</v>
      </c>
      <c r="D552" s="448" t="s">
        <v>4036</v>
      </c>
      <c r="E552" s="448" t="s">
        <v>3753</v>
      </c>
      <c r="F552" s="448" t="s">
        <v>3024</v>
      </c>
      <c r="G552" s="448" t="s">
        <v>4589</v>
      </c>
    </row>
    <row r="553" spans="1:7">
      <c r="A553" s="448">
        <v>552</v>
      </c>
      <c r="B553" s="448" t="s">
        <v>4590</v>
      </c>
      <c r="C553" s="448" t="s">
        <v>4591</v>
      </c>
      <c r="D553" s="448" t="s">
        <v>4036</v>
      </c>
      <c r="E553" s="448" t="s">
        <v>3753</v>
      </c>
      <c r="F553" s="448" t="s">
        <v>3024</v>
      </c>
      <c r="G553" s="448" t="s">
        <v>4592</v>
      </c>
    </row>
    <row r="554" spans="1:7">
      <c r="A554" s="448">
        <v>553</v>
      </c>
      <c r="B554" s="448" t="s">
        <v>4593</v>
      </c>
      <c r="C554" s="448" t="s">
        <v>4594</v>
      </c>
      <c r="D554" s="448" t="s">
        <v>4036</v>
      </c>
      <c r="E554" s="448" t="s">
        <v>3753</v>
      </c>
      <c r="F554" s="448" t="s">
        <v>3024</v>
      </c>
      <c r="G554" s="448" t="s">
        <v>4253</v>
      </c>
    </row>
    <row r="555" spans="1:7">
      <c r="A555" s="448">
        <v>554</v>
      </c>
      <c r="B555" s="448" t="s">
        <v>4595</v>
      </c>
      <c r="C555" s="448" t="s">
        <v>4596</v>
      </c>
      <c r="D555" s="448" t="s">
        <v>4597</v>
      </c>
      <c r="E555" s="448" t="s">
        <v>2120</v>
      </c>
      <c r="F555" s="448" t="s">
        <v>3024</v>
      </c>
      <c r="G555" s="448" t="s">
        <v>4598</v>
      </c>
    </row>
    <row r="556" spans="1:7">
      <c r="A556" s="448">
        <v>555</v>
      </c>
      <c r="B556" s="448" t="s">
        <v>4599</v>
      </c>
      <c r="C556" s="448" t="s">
        <v>4600</v>
      </c>
      <c r="D556" s="448" t="s">
        <v>4597</v>
      </c>
      <c r="E556" s="448" t="s">
        <v>2120</v>
      </c>
      <c r="F556" s="448" t="s">
        <v>3024</v>
      </c>
      <c r="G556" s="448" t="s">
        <v>4601</v>
      </c>
    </row>
    <row r="557" spans="1:7">
      <c r="A557" s="448">
        <v>556</v>
      </c>
      <c r="B557" s="448" t="s">
        <v>4602</v>
      </c>
      <c r="C557" s="448" t="s">
        <v>4603</v>
      </c>
      <c r="D557" s="448" t="s">
        <v>4597</v>
      </c>
      <c r="E557" s="448" t="s">
        <v>2120</v>
      </c>
      <c r="F557" s="448" t="s">
        <v>3024</v>
      </c>
      <c r="G557" s="448" t="s">
        <v>4604</v>
      </c>
    </row>
    <row r="558" spans="1:7">
      <c r="A558" s="448">
        <v>557</v>
      </c>
      <c r="B558" s="448" t="s">
        <v>4605</v>
      </c>
      <c r="C558" s="448" t="s">
        <v>4606</v>
      </c>
      <c r="D558" s="448" t="s">
        <v>4036</v>
      </c>
      <c r="E558" s="448" t="s">
        <v>3753</v>
      </c>
      <c r="F558" s="448" t="s">
        <v>3024</v>
      </c>
      <c r="G558" s="448" t="s">
        <v>4607</v>
      </c>
    </row>
    <row r="559" spans="1:7">
      <c r="A559" s="448">
        <v>558</v>
      </c>
      <c r="B559" s="448" t="s">
        <v>4608</v>
      </c>
      <c r="C559" s="448" t="s">
        <v>4609</v>
      </c>
      <c r="D559" s="448" t="s">
        <v>4036</v>
      </c>
      <c r="E559" s="448" t="s">
        <v>3753</v>
      </c>
      <c r="F559" s="448" t="s">
        <v>3024</v>
      </c>
      <c r="G559" s="448" t="s">
        <v>4610</v>
      </c>
    </row>
    <row r="560" spans="1:7">
      <c r="A560" s="448">
        <v>559</v>
      </c>
      <c r="B560" s="448" t="s">
        <v>4611</v>
      </c>
      <c r="C560" s="448" t="s">
        <v>4612</v>
      </c>
      <c r="D560" s="448" t="s">
        <v>4036</v>
      </c>
      <c r="E560" s="448" t="s">
        <v>3753</v>
      </c>
      <c r="F560" s="448" t="s">
        <v>3024</v>
      </c>
      <c r="G560" s="448" t="s">
        <v>4607</v>
      </c>
    </row>
    <row r="561" spans="1:7">
      <c r="A561" s="448">
        <v>560</v>
      </c>
      <c r="B561" s="448" t="s">
        <v>4613</v>
      </c>
      <c r="C561" s="448" t="s">
        <v>4614</v>
      </c>
      <c r="D561" s="448" t="s">
        <v>4036</v>
      </c>
      <c r="E561" s="448" t="s">
        <v>3753</v>
      </c>
      <c r="F561" s="448" t="s">
        <v>3024</v>
      </c>
      <c r="G561" s="448" t="s">
        <v>4610</v>
      </c>
    </row>
    <row r="562" spans="1:7">
      <c r="A562" s="448">
        <v>561</v>
      </c>
      <c r="B562" s="448" t="s">
        <v>4615</v>
      </c>
      <c r="C562" s="448" t="s">
        <v>4616</v>
      </c>
      <c r="D562" s="448" t="s">
        <v>320</v>
      </c>
      <c r="E562" s="448" t="s">
        <v>2120</v>
      </c>
      <c r="F562" s="448" t="s">
        <v>3024</v>
      </c>
      <c r="G562" s="448" t="s">
        <v>4617</v>
      </c>
    </row>
    <row r="563" spans="1:7">
      <c r="A563" s="448">
        <v>562</v>
      </c>
      <c r="B563" s="448" t="s">
        <v>4618</v>
      </c>
      <c r="C563" s="448" t="s">
        <v>4619</v>
      </c>
      <c r="D563" s="448" t="s">
        <v>320</v>
      </c>
      <c r="E563" s="448" t="s">
        <v>2120</v>
      </c>
      <c r="F563" s="448" t="s">
        <v>3024</v>
      </c>
      <c r="G563" s="448" t="s">
        <v>4620</v>
      </c>
    </row>
    <row r="564" spans="1:7">
      <c r="A564" s="448">
        <v>563</v>
      </c>
      <c r="B564" s="448" t="s">
        <v>4621</v>
      </c>
      <c r="C564" s="448" t="s">
        <v>4622</v>
      </c>
      <c r="D564" s="448" t="s">
        <v>320</v>
      </c>
      <c r="E564" s="448" t="s">
        <v>2120</v>
      </c>
      <c r="F564" s="448" t="s">
        <v>3024</v>
      </c>
      <c r="G564" s="448" t="s">
        <v>4623</v>
      </c>
    </row>
    <row r="565" spans="1:7">
      <c r="A565" s="448">
        <v>564</v>
      </c>
      <c r="B565" s="448" t="s">
        <v>4624</v>
      </c>
      <c r="C565" s="448" t="s">
        <v>4625</v>
      </c>
      <c r="D565" s="448" t="s">
        <v>579</v>
      </c>
      <c r="E565" s="448" t="s">
        <v>2120</v>
      </c>
      <c r="F565" s="448" t="s">
        <v>3024</v>
      </c>
      <c r="G565" s="448" t="s">
        <v>4626</v>
      </c>
    </row>
    <row r="566" spans="1:7">
      <c r="A566" s="448">
        <v>565</v>
      </c>
      <c r="B566" s="448" t="s">
        <v>4627</v>
      </c>
      <c r="C566" s="448" t="s">
        <v>4628</v>
      </c>
      <c r="D566" s="448" t="s">
        <v>579</v>
      </c>
      <c r="E566" s="448" t="s">
        <v>2120</v>
      </c>
      <c r="F566" s="448" t="s">
        <v>3024</v>
      </c>
      <c r="G566" s="448" t="s">
        <v>4629</v>
      </c>
    </row>
    <row r="567" spans="1:7">
      <c r="A567" s="448">
        <v>566</v>
      </c>
      <c r="B567" s="448" t="s">
        <v>4630</v>
      </c>
      <c r="C567" s="448" t="s">
        <v>4631</v>
      </c>
      <c r="D567" s="448" t="s">
        <v>4036</v>
      </c>
      <c r="E567" s="448" t="s">
        <v>3753</v>
      </c>
      <c r="F567" s="448" t="s">
        <v>3024</v>
      </c>
      <c r="G567" s="448" t="s">
        <v>4632</v>
      </c>
    </row>
    <row r="568" spans="1:7">
      <c r="A568" s="448">
        <v>567</v>
      </c>
      <c r="B568" s="448" t="s">
        <v>4633</v>
      </c>
      <c r="C568" s="448" t="s">
        <v>4634</v>
      </c>
      <c r="D568" s="448" t="s">
        <v>4036</v>
      </c>
      <c r="E568" s="448" t="s">
        <v>3753</v>
      </c>
      <c r="F568" s="448" t="s">
        <v>3024</v>
      </c>
      <c r="G568" s="448" t="s">
        <v>4635</v>
      </c>
    </row>
    <row r="569" spans="1:7">
      <c r="A569" s="448">
        <v>568</v>
      </c>
      <c r="B569" s="448" t="s">
        <v>4636</v>
      </c>
      <c r="C569" s="448" t="s">
        <v>4637</v>
      </c>
      <c r="D569" s="448" t="s">
        <v>4036</v>
      </c>
      <c r="E569" s="448" t="s">
        <v>3753</v>
      </c>
      <c r="F569" s="448" t="s">
        <v>3024</v>
      </c>
      <c r="G569" s="448" t="s">
        <v>4638</v>
      </c>
    </row>
    <row r="570" spans="1:7">
      <c r="A570" s="448">
        <v>569</v>
      </c>
      <c r="B570" s="448" t="s">
        <v>4639</v>
      </c>
      <c r="C570" s="448" t="s">
        <v>4640</v>
      </c>
      <c r="D570" s="448" t="s">
        <v>4036</v>
      </c>
      <c r="E570" s="448" t="s">
        <v>3753</v>
      </c>
      <c r="F570" s="448" t="s">
        <v>3024</v>
      </c>
      <c r="G570" s="448" t="s">
        <v>4641</v>
      </c>
    </row>
    <row r="571" spans="1:7">
      <c r="A571" s="448">
        <v>570</v>
      </c>
      <c r="B571" s="448" t="s">
        <v>4642</v>
      </c>
      <c r="C571" s="448" t="s">
        <v>4643</v>
      </c>
      <c r="D571" s="448" t="s">
        <v>4036</v>
      </c>
      <c r="E571" s="448" t="s">
        <v>3753</v>
      </c>
      <c r="F571" s="448" t="s">
        <v>3024</v>
      </c>
      <c r="G571" s="448" t="s">
        <v>4644</v>
      </c>
    </row>
    <row r="572" spans="1:7">
      <c r="A572" s="448">
        <v>571</v>
      </c>
      <c r="B572" s="448" t="s">
        <v>4645</v>
      </c>
      <c r="C572" s="448" t="s">
        <v>4646</v>
      </c>
      <c r="D572" s="448" t="s">
        <v>4036</v>
      </c>
      <c r="E572" s="448" t="s">
        <v>3753</v>
      </c>
      <c r="F572" s="448" t="s">
        <v>3024</v>
      </c>
      <c r="G572" s="448" t="s">
        <v>4647</v>
      </c>
    </row>
    <row r="573" spans="1:7">
      <c r="A573" s="448">
        <v>572</v>
      </c>
      <c r="B573" s="448" t="s">
        <v>4648</v>
      </c>
      <c r="C573" s="448" t="s">
        <v>4649</v>
      </c>
      <c r="D573" s="448" t="s">
        <v>4036</v>
      </c>
      <c r="E573" s="448" t="s">
        <v>3753</v>
      </c>
      <c r="F573" s="448" t="s">
        <v>3024</v>
      </c>
      <c r="G573" s="448" t="s">
        <v>4650</v>
      </c>
    </row>
    <row r="574" spans="1:7">
      <c r="A574" s="448">
        <v>573</v>
      </c>
      <c r="B574" s="448" t="s">
        <v>4651</v>
      </c>
      <c r="C574" s="448" t="s">
        <v>4652</v>
      </c>
      <c r="D574" s="448" t="s">
        <v>4036</v>
      </c>
      <c r="E574" s="448" t="s">
        <v>3753</v>
      </c>
      <c r="F574" s="448" t="s">
        <v>3024</v>
      </c>
      <c r="G574" s="448" t="s">
        <v>4653</v>
      </c>
    </row>
    <row r="575" spans="1:7">
      <c r="A575" s="448">
        <v>574</v>
      </c>
      <c r="B575" s="448" t="s">
        <v>4654</v>
      </c>
      <c r="C575" s="448" t="s">
        <v>4655</v>
      </c>
      <c r="D575" s="448" t="s">
        <v>4036</v>
      </c>
      <c r="E575" s="448" t="s">
        <v>3753</v>
      </c>
      <c r="F575" s="448" t="s">
        <v>3024</v>
      </c>
      <c r="G575" s="448" t="s">
        <v>4656</v>
      </c>
    </row>
    <row r="576" spans="1:7">
      <c r="A576" s="448">
        <v>575</v>
      </c>
      <c r="B576" s="448" t="s">
        <v>4657</v>
      </c>
      <c r="C576" s="448" t="s">
        <v>4658</v>
      </c>
      <c r="D576" s="448" t="s">
        <v>4036</v>
      </c>
      <c r="E576" s="448" t="s">
        <v>3753</v>
      </c>
      <c r="F576" s="448" t="s">
        <v>3024</v>
      </c>
      <c r="G576" s="448" t="s">
        <v>4659</v>
      </c>
    </row>
    <row r="577" spans="1:7">
      <c r="A577" s="448">
        <v>576</v>
      </c>
      <c r="B577" s="448" t="s">
        <v>4660</v>
      </c>
      <c r="C577" s="448" t="s">
        <v>4661</v>
      </c>
      <c r="D577" s="448" t="s">
        <v>4036</v>
      </c>
      <c r="E577" s="448" t="s">
        <v>3753</v>
      </c>
      <c r="F577" s="448" t="s">
        <v>3024</v>
      </c>
      <c r="G577" s="448" t="s">
        <v>4662</v>
      </c>
    </row>
    <row r="578" spans="1:7">
      <c r="A578" s="448">
        <v>577</v>
      </c>
      <c r="B578" s="448" t="s">
        <v>4663</v>
      </c>
      <c r="C578" s="448" t="s">
        <v>4631</v>
      </c>
      <c r="D578" s="448" t="s">
        <v>4036</v>
      </c>
      <c r="E578" s="448" t="s">
        <v>3753</v>
      </c>
      <c r="F578" s="448" t="s">
        <v>3024</v>
      </c>
      <c r="G578" s="448" t="s">
        <v>4664</v>
      </c>
    </row>
    <row r="579" spans="1:7">
      <c r="A579" s="448">
        <v>578</v>
      </c>
      <c r="B579" s="448" t="s">
        <v>4665</v>
      </c>
      <c r="C579" s="448" t="s">
        <v>4634</v>
      </c>
      <c r="D579" s="448" t="s">
        <v>4036</v>
      </c>
      <c r="E579" s="448" t="s">
        <v>3753</v>
      </c>
      <c r="F579" s="448" t="s">
        <v>3024</v>
      </c>
      <c r="G579" s="448" t="s">
        <v>4666</v>
      </c>
    </row>
    <row r="580" spans="1:7">
      <c r="A580" s="448">
        <v>579</v>
      </c>
      <c r="B580" s="448" t="s">
        <v>4667</v>
      </c>
      <c r="C580" s="448" t="s">
        <v>4668</v>
      </c>
      <c r="D580" s="448" t="s">
        <v>4036</v>
      </c>
      <c r="E580" s="448" t="s">
        <v>3753</v>
      </c>
      <c r="F580" s="448" t="s">
        <v>3024</v>
      </c>
      <c r="G580" s="448" t="s">
        <v>4669</v>
      </c>
    </row>
    <row r="581" spans="1:7">
      <c r="A581" s="448">
        <v>580</v>
      </c>
      <c r="B581" s="448" t="s">
        <v>4670</v>
      </c>
      <c r="C581" s="448" t="s">
        <v>4671</v>
      </c>
      <c r="D581" s="448" t="s">
        <v>4036</v>
      </c>
      <c r="E581" s="448" t="s">
        <v>3753</v>
      </c>
      <c r="F581" s="448" t="s">
        <v>3024</v>
      </c>
      <c r="G581" s="448" t="s">
        <v>4672</v>
      </c>
    </row>
    <row r="582" spans="1:7">
      <c r="A582" s="448">
        <v>581</v>
      </c>
      <c r="B582" s="448" t="s">
        <v>4673</v>
      </c>
      <c r="C582" s="448" t="s">
        <v>4674</v>
      </c>
      <c r="D582" s="448" t="s">
        <v>4036</v>
      </c>
      <c r="E582" s="448" t="s">
        <v>3753</v>
      </c>
      <c r="F582" s="448" t="s">
        <v>3024</v>
      </c>
      <c r="G582" s="448" t="s">
        <v>4675</v>
      </c>
    </row>
    <row r="583" spans="1:7">
      <c r="A583" s="448">
        <v>582</v>
      </c>
      <c r="B583" s="448" t="s">
        <v>4676</v>
      </c>
      <c r="C583" s="448" t="s">
        <v>4677</v>
      </c>
      <c r="D583" s="448" t="s">
        <v>4036</v>
      </c>
      <c r="E583" s="448" t="s">
        <v>3753</v>
      </c>
      <c r="F583" s="448" t="s">
        <v>3024</v>
      </c>
      <c r="G583" s="448" t="s">
        <v>4678</v>
      </c>
    </row>
    <row r="584" ht="21.6" spans="1:7">
      <c r="A584" s="448">
        <v>583</v>
      </c>
      <c r="B584" s="448" t="s">
        <v>4679</v>
      </c>
      <c r="C584" s="448" t="s">
        <v>4680</v>
      </c>
      <c r="D584" s="448" t="s">
        <v>4535</v>
      </c>
      <c r="E584" s="448" t="s">
        <v>2120</v>
      </c>
      <c r="F584" s="448" t="s">
        <v>3024</v>
      </c>
      <c r="G584" s="448" t="s">
        <v>4681</v>
      </c>
    </row>
    <row r="585" ht="21.6" spans="1:7">
      <c r="A585" s="448">
        <v>584</v>
      </c>
      <c r="B585" s="448" t="s">
        <v>4682</v>
      </c>
      <c r="C585" s="448" t="s">
        <v>4683</v>
      </c>
      <c r="D585" s="448" t="s">
        <v>4535</v>
      </c>
      <c r="E585" s="448" t="s">
        <v>2120</v>
      </c>
      <c r="F585" s="448" t="s">
        <v>3024</v>
      </c>
      <c r="G585" s="448" t="s">
        <v>4684</v>
      </c>
    </row>
    <row r="586" ht="21.6" spans="1:7">
      <c r="A586" s="448">
        <v>585</v>
      </c>
      <c r="B586" s="448" t="s">
        <v>4685</v>
      </c>
      <c r="C586" s="448" t="s">
        <v>4686</v>
      </c>
      <c r="D586" s="448" t="s">
        <v>4535</v>
      </c>
      <c r="E586" s="448" t="s">
        <v>2120</v>
      </c>
      <c r="F586" s="448" t="s">
        <v>3024</v>
      </c>
      <c r="G586" s="448" t="s">
        <v>4687</v>
      </c>
    </row>
    <row r="587" ht="21.6" spans="1:7">
      <c r="A587" s="448">
        <v>586</v>
      </c>
      <c r="B587" s="448" t="s">
        <v>4688</v>
      </c>
      <c r="C587" s="448" t="s">
        <v>4689</v>
      </c>
      <c r="D587" s="448" t="s">
        <v>4535</v>
      </c>
      <c r="E587" s="448" t="s">
        <v>2120</v>
      </c>
      <c r="F587" s="448" t="s">
        <v>3024</v>
      </c>
      <c r="G587" s="448" t="s">
        <v>4690</v>
      </c>
    </row>
    <row r="588" spans="1:7">
      <c r="A588" s="448">
        <v>587</v>
      </c>
      <c r="B588" s="448" t="s">
        <v>4691</v>
      </c>
      <c r="C588" s="448" t="s">
        <v>4692</v>
      </c>
      <c r="D588" s="448" t="s">
        <v>4036</v>
      </c>
      <c r="E588" s="448" t="s">
        <v>3753</v>
      </c>
      <c r="F588" s="448" t="s">
        <v>3024</v>
      </c>
      <c r="G588" s="448" t="s">
        <v>4693</v>
      </c>
    </row>
    <row r="589" spans="1:7">
      <c r="A589" s="448">
        <v>588</v>
      </c>
      <c r="B589" s="448" t="s">
        <v>4694</v>
      </c>
      <c r="C589" s="448" t="s">
        <v>4695</v>
      </c>
      <c r="D589" s="448" t="s">
        <v>4036</v>
      </c>
      <c r="E589" s="448" t="s">
        <v>3753</v>
      </c>
      <c r="F589" s="448" t="s">
        <v>3024</v>
      </c>
      <c r="G589" s="448" t="s">
        <v>4696</v>
      </c>
    </row>
    <row r="590" spans="1:7">
      <c r="A590" s="448">
        <v>589</v>
      </c>
      <c r="B590" s="448" t="s">
        <v>4697</v>
      </c>
      <c r="C590" s="448" t="s">
        <v>4698</v>
      </c>
      <c r="D590" s="448" t="s">
        <v>4036</v>
      </c>
      <c r="E590" s="448" t="s">
        <v>3753</v>
      </c>
      <c r="F590" s="448" t="s">
        <v>3024</v>
      </c>
      <c r="G590" s="448" t="s">
        <v>4699</v>
      </c>
    </row>
    <row r="591" spans="1:7">
      <c r="A591" s="448">
        <v>590</v>
      </c>
      <c r="B591" s="448" t="s">
        <v>4700</v>
      </c>
      <c r="C591" s="448" t="s">
        <v>4701</v>
      </c>
      <c r="D591" s="448" t="s">
        <v>4036</v>
      </c>
      <c r="E591" s="448" t="s">
        <v>3753</v>
      </c>
      <c r="F591" s="448" t="s">
        <v>3024</v>
      </c>
      <c r="G591" s="448" t="s">
        <v>4702</v>
      </c>
    </row>
    <row r="592" spans="1:7">
      <c r="A592" s="448">
        <v>591</v>
      </c>
      <c r="B592" s="448" t="s">
        <v>4703</v>
      </c>
      <c r="C592" s="448" t="s">
        <v>4704</v>
      </c>
      <c r="D592" s="448" t="s">
        <v>4036</v>
      </c>
      <c r="E592" s="448" t="s">
        <v>3753</v>
      </c>
      <c r="F592" s="448" t="s">
        <v>3024</v>
      </c>
      <c r="G592" s="448" t="s">
        <v>4672</v>
      </c>
    </row>
    <row r="593" spans="1:7">
      <c r="A593" s="448">
        <v>592</v>
      </c>
      <c r="B593" s="448" t="s">
        <v>4705</v>
      </c>
      <c r="C593" s="448" t="s">
        <v>4706</v>
      </c>
      <c r="D593" s="448" t="s">
        <v>4036</v>
      </c>
      <c r="E593" s="448" t="s">
        <v>3753</v>
      </c>
      <c r="F593" s="448" t="s">
        <v>3024</v>
      </c>
      <c r="G593" s="448" t="s">
        <v>4707</v>
      </c>
    </row>
    <row r="594" ht="21.6" spans="1:7">
      <c r="A594" s="448">
        <v>593</v>
      </c>
      <c r="B594" s="448" t="s">
        <v>4708</v>
      </c>
      <c r="C594" s="448" t="s">
        <v>4709</v>
      </c>
      <c r="D594" s="448" t="s">
        <v>523</v>
      </c>
      <c r="E594" s="448" t="s">
        <v>2120</v>
      </c>
      <c r="F594" s="448" t="s">
        <v>3024</v>
      </c>
      <c r="G594" s="448" t="s">
        <v>4346</v>
      </c>
    </row>
    <row r="595" ht="21.6" spans="1:7">
      <c r="A595" s="448">
        <v>594</v>
      </c>
      <c r="B595" s="448" t="s">
        <v>4710</v>
      </c>
      <c r="C595" s="448" t="s">
        <v>4711</v>
      </c>
      <c r="D595" s="448" t="s">
        <v>523</v>
      </c>
      <c r="E595" s="448" t="s">
        <v>2120</v>
      </c>
      <c r="F595" s="448" t="s">
        <v>3024</v>
      </c>
      <c r="G595" s="448" t="s">
        <v>4712</v>
      </c>
    </row>
    <row r="596" ht="21.6" spans="1:7">
      <c r="A596" s="448">
        <v>595</v>
      </c>
      <c r="B596" s="448" t="s">
        <v>4713</v>
      </c>
      <c r="C596" s="448" t="s">
        <v>4714</v>
      </c>
      <c r="D596" s="448" t="s">
        <v>523</v>
      </c>
      <c r="E596" s="448" t="s">
        <v>2120</v>
      </c>
      <c r="F596" s="448" t="s">
        <v>3024</v>
      </c>
      <c r="G596" s="448" t="s">
        <v>4715</v>
      </c>
    </row>
    <row r="597" ht="21.6" spans="1:7">
      <c r="A597" s="448">
        <v>596</v>
      </c>
      <c r="B597" s="448" t="s">
        <v>4716</v>
      </c>
      <c r="C597" s="448" t="s">
        <v>4717</v>
      </c>
      <c r="D597" s="448" t="s">
        <v>523</v>
      </c>
      <c r="E597" s="448" t="s">
        <v>2120</v>
      </c>
      <c r="F597" s="448" t="s">
        <v>3024</v>
      </c>
      <c r="G597" s="448" t="s">
        <v>4718</v>
      </c>
    </row>
    <row r="598" ht="21.6" spans="1:7">
      <c r="A598" s="448">
        <v>597</v>
      </c>
      <c r="B598" s="448" t="s">
        <v>4719</v>
      </c>
      <c r="C598" s="448" t="s">
        <v>4720</v>
      </c>
      <c r="D598" s="448" t="s">
        <v>523</v>
      </c>
      <c r="E598" s="448" t="s">
        <v>2120</v>
      </c>
      <c r="F598" s="448" t="s">
        <v>3024</v>
      </c>
      <c r="G598" s="448" t="s">
        <v>4721</v>
      </c>
    </row>
    <row r="599" ht="21.6" spans="1:7">
      <c r="A599" s="448">
        <v>598</v>
      </c>
      <c r="B599" s="448" t="s">
        <v>4722</v>
      </c>
      <c r="C599" s="448" t="s">
        <v>4723</v>
      </c>
      <c r="D599" s="448" t="s">
        <v>523</v>
      </c>
      <c r="E599" s="448" t="s">
        <v>2120</v>
      </c>
      <c r="F599" s="448" t="s">
        <v>3024</v>
      </c>
      <c r="G599" s="448" t="s">
        <v>4724</v>
      </c>
    </row>
    <row r="600" ht="21.6" spans="1:7">
      <c r="A600" s="448">
        <v>599</v>
      </c>
      <c r="B600" s="448" t="s">
        <v>4725</v>
      </c>
      <c r="C600" s="448" t="s">
        <v>4726</v>
      </c>
      <c r="D600" s="448" t="s">
        <v>523</v>
      </c>
      <c r="E600" s="448" t="s">
        <v>2120</v>
      </c>
      <c r="F600" s="448" t="s">
        <v>3024</v>
      </c>
      <c r="G600" s="448" t="s">
        <v>4727</v>
      </c>
    </row>
    <row r="601" ht="21.6" spans="1:7">
      <c r="A601" s="448">
        <v>600</v>
      </c>
      <c r="B601" s="448" t="s">
        <v>4728</v>
      </c>
      <c r="C601" s="448" t="s">
        <v>4709</v>
      </c>
      <c r="D601" s="448" t="s">
        <v>523</v>
      </c>
      <c r="E601" s="448" t="s">
        <v>2120</v>
      </c>
      <c r="F601" s="448" t="s">
        <v>3024</v>
      </c>
      <c r="G601" s="448" t="s">
        <v>3747</v>
      </c>
    </row>
    <row r="602" ht="21.6" spans="1:7">
      <c r="A602" s="448">
        <v>601</v>
      </c>
      <c r="B602" s="448" t="s">
        <v>4729</v>
      </c>
      <c r="C602" s="448" t="s">
        <v>4711</v>
      </c>
      <c r="D602" s="448" t="s">
        <v>523</v>
      </c>
      <c r="E602" s="448" t="s">
        <v>2120</v>
      </c>
      <c r="F602" s="448" t="s">
        <v>3024</v>
      </c>
      <c r="G602" s="448" t="s">
        <v>4730</v>
      </c>
    </row>
    <row r="603" ht="21.6" spans="1:7">
      <c r="A603" s="448">
        <v>602</v>
      </c>
      <c r="B603" s="448" t="s">
        <v>4731</v>
      </c>
      <c r="C603" s="448" t="s">
        <v>4714</v>
      </c>
      <c r="D603" s="448" t="s">
        <v>523</v>
      </c>
      <c r="E603" s="448" t="s">
        <v>2120</v>
      </c>
      <c r="F603" s="448" t="s">
        <v>3024</v>
      </c>
      <c r="G603" s="448" t="s">
        <v>4732</v>
      </c>
    </row>
    <row r="604" ht="21.6" spans="1:7">
      <c r="A604" s="448">
        <v>603</v>
      </c>
      <c r="B604" s="448" t="s">
        <v>4733</v>
      </c>
      <c r="C604" s="448" t="s">
        <v>4717</v>
      </c>
      <c r="D604" s="448" t="s">
        <v>523</v>
      </c>
      <c r="E604" s="448" t="s">
        <v>2120</v>
      </c>
      <c r="F604" s="448" t="s">
        <v>3024</v>
      </c>
      <c r="G604" s="448" t="s">
        <v>4734</v>
      </c>
    </row>
    <row r="605" ht="21.6" spans="1:7">
      <c r="A605" s="448">
        <v>604</v>
      </c>
      <c r="B605" s="448" t="s">
        <v>4735</v>
      </c>
      <c r="C605" s="448" t="s">
        <v>4736</v>
      </c>
      <c r="D605" s="448" t="s">
        <v>523</v>
      </c>
      <c r="E605" s="448" t="s">
        <v>2120</v>
      </c>
      <c r="F605" s="448" t="s">
        <v>3024</v>
      </c>
      <c r="G605" s="448" t="s">
        <v>4737</v>
      </c>
    </row>
    <row r="606" ht="21.6" spans="1:7">
      <c r="A606" s="448">
        <v>605</v>
      </c>
      <c r="B606" s="448" t="s">
        <v>4738</v>
      </c>
      <c r="C606" s="448" t="s">
        <v>4739</v>
      </c>
      <c r="D606" s="448" t="s">
        <v>523</v>
      </c>
      <c r="E606" s="448" t="s">
        <v>2120</v>
      </c>
      <c r="F606" s="448" t="s">
        <v>3024</v>
      </c>
      <c r="G606" s="448" t="s">
        <v>4740</v>
      </c>
    </row>
    <row r="607" ht="21.6" spans="1:7">
      <c r="A607" s="448">
        <v>606</v>
      </c>
      <c r="B607" s="448" t="s">
        <v>4741</v>
      </c>
      <c r="C607" s="448" t="s">
        <v>4720</v>
      </c>
      <c r="D607" s="448" t="s">
        <v>523</v>
      </c>
      <c r="E607" s="448" t="s">
        <v>2120</v>
      </c>
      <c r="F607" s="448" t="s">
        <v>3024</v>
      </c>
      <c r="G607" s="448" t="s">
        <v>4742</v>
      </c>
    </row>
    <row r="608" ht="21.6" spans="1:7">
      <c r="A608" s="448">
        <v>607</v>
      </c>
      <c r="B608" s="448" t="s">
        <v>4743</v>
      </c>
      <c r="C608" s="448" t="s">
        <v>4723</v>
      </c>
      <c r="D608" s="448" t="s">
        <v>523</v>
      </c>
      <c r="E608" s="448" t="s">
        <v>2120</v>
      </c>
      <c r="F608" s="448" t="s">
        <v>3024</v>
      </c>
      <c r="G608" s="448" t="s">
        <v>4744</v>
      </c>
    </row>
    <row r="609" ht="21.6" spans="1:7">
      <c r="A609" s="448">
        <v>608</v>
      </c>
      <c r="B609" s="448" t="s">
        <v>4745</v>
      </c>
      <c r="C609" s="448" t="s">
        <v>4726</v>
      </c>
      <c r="D609" s="448" t="s">
        <v>523</v>
      </c>
      <c r="E609" s="448" t="s">
        <v>2120</v>
      </c>
      <c r="F609" s="448" t="s">
        <v>3024</v>
      </c>
      <c r="G609" s="448" t="s">
        <v>4746</v>
      </c>
    </row>
    <row r="610" ht="21.6" spans="1:7">
      <c r="A610" s="448">
        <v>609</v>
      </c>
      <c r="B610" s="448" t="s">
        <v>4747</v>
      </c>
      <c r="C610" s="448" t="s">
        <v>4748</v>
      </c>
      <c r="D610" s="448" t="s">
        <v>523</v>
      </c>
      <c r="E610" s="448" t="s">
        <v>2120</v>
      </c>
      <c r="F610" s="448" t="s">
        <v>3024</v>
      </c>
      <c r="G610" s="448" t="s">
        <v>4749</v>
      </c>
    </row>
    <row r="611" ht="21.6" spans="1:7">
      <c r="A611" s="448">
        <v>610</v>
      </c>
      <c r="B611" s="448" t="s">
        <v>4750</v>
      </c>
      <c r="C611" s="448" t="s">
        <v>4751</v>
      </c>
      <c r="D611" s="448" t="s">
        <v>523</v>
      </c>
      <c r="E611" s="448" t="s">
        <v>2120</v>
      </c>
      <c r="F611" s="448" t="s">
        <v>3024</v>
      </c>
      <c r="G611" s="448" t="s">
        <v>4752</v>
      </c>
    </row>
    <row r="612" ht="21.6" spans="1:7">
      <c r="A612" s="448">
        <v>611</v>
      </c>
      <c r="B612" s="448" t="s">
        <v>4753</v>
      </c>
      <c r="C612" s="448" t="s">
        <v>4709</v>
      </c>
      <c r="D612" s="448" t="s">
        <v>523</v>
      </c>
      <c r="E612" s="448" t="s">
        <v>2120</v>
      </c>
      <c r="F612" s="448" t="s">
        <v>3024</v>
      </c>
      <c r="G612" s="448" t="s">
        <v>3530</v>
      </c>
    </row>
    <row r="613" ht="21.6" spans="1:7">
      <c r="A613" s="448">
        <v>612</v>
      </c>
      <c r="B613" s="448" t="s">
        <v>4754</v>
      </c>
      <c r="C613" s="448" t="s">
        <v>4755</v>
      </c>
      <c r="D613" s="448" t="s">
        <v>523</v>
      </c>
      <c r="E613" s="448" t="s">
        <v>2120</v>
      </c>
      <c r="F613" s="448" t="s">
        <v>3024</v>
      </c>
      <c r="G613" s="448" t="s">
        <v>4346</v>
      </c>
    </row>
    <row r="614" ht="21.6" spans="1:7">
      <c r="A614" s="448">
        <v>613</v>
      </c>
      <c r="B614" s="448" t="s">
        <v>4756</v>
      </c>
      <c r="C614" s="448" t="s">
        <v>4714</v>
      </c>
      <c r="D614" s="448" t="s">
        <v>523</v>
      </c>
      <c r="E614" s="448" t="s">
        <v>2120</v>
      </c>
      <c r="F614" s="448" t="s">
        <v>3024</v>
      </c>
      <c r="G614" s="448" t="s">
        <v>4757</v>
      </c>
    </row>
    <row r="615" ht="21.6" spans="1:7">
      <c r="A615" s="448">
        <v>614</v>
      </c>
      <c r="B615" s="448" t="s">
        <v>4758</v>
      </c>
      <c r="C615" s="448" t="s">
        <v>4717</v>
      </c>
      <c r="D615" s="448" t="s">
        <v>523</v>
      </c>
      <c r="E615" s="448" t="s">
        <v>2120</v>
      </c>
      <c r="F615" s="448" t="s">
        <v>3024</v>
      </c>
      <c r="G615" s="448" t="s">
        <v>4759</v>
      </c>
    </row>
    <row r="616" ht="21.6" spans="1:7">
      <c r="A616" s="448">
        <v>615</v>
      </c>
      <c r="B616" s="448" t="s">
        <v>4760</v>
      </c>
      <c r="C616" s="448" t="s">
        <v>4761</v>
      </c>
      <c r="D616" s="448" t="s">
        <v>523</v>
      </c>
      <c r="E616" s="448" t="s">
        <v>2120</v>
      </c>
      <c r="F616" s="448" t="s">
        <v>3024</v>
      </c>
      <c r="G616" s="448" t="s">
        <v>4732</v>
      </c>
    </row>
    <row r="617" ht="21.6" spans="1:7">
      <c r="A617" s="448">
        <v>616</v>
      </c>
      <c r="B617" s="448" t="s">
        <v>4762</v>
      </c>
      <c r="C617" s="448" t="s">
        <v>4723</v>
      </c>
      <c r="D617" s="448" t="s">
        <v>523</v>
      </c>
      <c r="E617" s="448" t="s">
        <v>2120</v>
      </c>
      <c r="F617" s="448" t="s">
        <v>3024</v>
      </c>
      <c r="G617" s="448" t="s">
        <v>4763</v>
      </c>
    </row>
    <row r="618" ht="21.6" spans="1:7">
      <c r="A618" s="448">
        <v>617</v>
      </c>
      <c r="B618" s="448" t="s">
        <v>4764</v>
      </c>
      <c r="C618" s="448" t="s">
        <v>4726</v>
      </c>
      <c r="D618" s="448" t="s">
        <v>523</v>
      </c>
      <c r="E618" s="448" t="s">
        <v>2120</v>
      </c>
      <c r="F618" s="448" t="s">
        <v>3024</v>
      </c>
      <c r="G618" s="448" t="s">
        <v>4765</v>
      </c>
    </row>
    <row r="619" ht="21.6" spans="1:7">
      <c r="A619" s="448">
        <v>618</v>
      </c>
      <c r="B619" s="448" t="s">
        <v>4766</v>
      </c>
      <c r="C619" s="448" t="s">
        <v>4767</v>
      </c>
      <c r="D619" s="448" t="s">
        <v>523</v>
      </c>
      <c r="E619" s="448" t="s">
        <v>2120</v>
      </c>
      <c r="F619" s="448" t="s">
        <v>3024</v>
      </c>
      <c r="G619" s="448" t="s">
        <v>4768</v>
      </c>
    </row>
    <row r="620" ht="21.6" spans="1:7">
      <c r="A620" s="448">
        <v>619</v>
      </c>
      <c r="B620" s="448" t="s">
        <v>4769</v>
      </c>
      <c r="C620" s="448" t="s">
        <v>4770</v>
      </c>
      <c r="D620" s="448" t="s">
        <v>523</v>
      </c>
      <c r="E620" s="448" t="s">
        <v>2120</v>
      </c>
      <c r="F620" s="448" t="s">
        <v>3024</v>
      </c>
      <c r="G620" s="448" t="s">
        <v>4771</v>
      </c>
    </row>
    <row r="621" ht="21.6" spans="1:7">
      <c r="A621" s="448">
        <v>620</v>
      </c>
      <c r="B621" s="448" t="s">
        <v>4772</v>
      </c>
      <c r="C621" s="448" t="s">
        <v>4773</v>
      </c>
      <c r="D621" s="448" t="s">
        <v>523</v>
      </c>
      <c r="E621" s="448" t="s">
        <v>2120</v>
      </c>
      <c r="F621" s="448" t="s">
        <v>3024</v>
      </c>
      <c r="G621" s="448" t="s">
        <v>3699</v>
      </c>
    </row>
    <row r="622" ht="21.6" spans="1:7">
      <c r="A622" s="448">
        <v>621</v>
      </c>
      <c r="B622" s="448" t="s">
        <v>4774</v>
      </c>
      <c r="C622" s="448" t="s">
        <v>4775</v>
      </c>
      <c r="D622" s="448" t="s">
        <v>523</v>
      </c>
      <c r="E622" s="448" t="s">
        <v>2120</v>
      </c>
      <c r="F622" s="448" t="s">
        <v>3024</v>
      </c>
      <c r="G622" s="448" t="s">
        <v>4776</v>
      </c>
    </row>
    <row r="623" ht="21.6" spans="1:7">
      <c r="A623" s="448">
        <v>622</v>
      </c>
      <c r="B623" s="448" t="s">
        <v>4777</v>
      </c>
      <c r="C623" s="448" t="s">
        <v>4778</v>
      </c>
      <c r="D623" s="448" t="s">
        <v>523</v>
      </c>
      <c r="E623" s="448" t="s">
        <v>2120</v>
      </c>
      <c r="F623" s="448" t="s">
        <v>3024</v>
      </c>
      <c r="G623" s="448" t="s">
        <v>4779</v>
      </c>
    </row>
    <row r="624" ht="21.6" spans="1:7">
      <c r="A624" s="448">
        <v>623</v>
      </c>
      <c r="B624" s="448" t="s">
        <v>4780</v>
      </c>
      <c r="C624" s="448" t="s">
        <v>4781</v>
      </c>
      <c r="D624" s="448" t="s">
        <v>523</v>
      </c>
      <c r="E624" s="448" t="s">
        <v>2120</v>
      </c>
      <c r="F624" s="448" t="s">
        <v>3024</v>
      </c>
      <c r="G624" s="448" t="s">
        <v>4049</v>
      </c>
    </row>
    <row r="625" ht="21.6" spans="1:7">
      <c r="A625" s="448">
        <v>624</v>
      </c>
      <c r="B625" s="448" t="s">
        <v>4782</v>
      </c>
      <c r="C625" s="448" t="s">
        <v>4783</v>
      </c>
      <c r="D625" s="448" t="s">
        <v>523</v>
      </c>
      <c r="E625" s="448" t="s">
        <v>2120</v>
      </c>
      <c r="F625" s="448" t="s">
        <v>3024</v>
      </c>
      <c r="G625" s="448" t="s">
        <v>4784</v>
      </c>
    </row>
    <row r="626" ht="21.6" spans="1:7">
      <c r="A626" s="448">
        <v>625</v>
      </c>
      <c r="B626" s="448" t="s">
        <v>4785</v>
      </c>
      <c r="C626" s="448" t="s">
        <v>4786</v>
      </c>
      <c r="D626" s="448" t="s">
        <v>523</v>
      </c>
      <c r="E626" s="448" t="s">
        <v>2120</v>
      </c>
      <c r="F626" s="448" t="s">
        <v>3024</v>
      </c>
      <c r="G626" s="448" t="s">
        <v>4787</v>
      </c>
    </row>
    <row r="627" ht="21.6" spans="1:7">
      <c r="A627" s="448">
        <v>626</v>
      </c>
      <c r="B627" s="448" t="s">
        <v>4788</v>
      </c>
      <c r="C627" s="448" t="s">
        <v>4789</v>
      </c>
      <c r="D627" s="448" t="s">
        <v>523</v>
      </c>
      <c r="E627" s="448" t="s">
        <v>2120</v>
      </c>
      <c r="F627" s="448" t="s">
        <v>3024</v>
      </c>
      <c r="G627" s="448" t="s">
        <v>4790</v>
      </c>
    </row>
    <row r="628" ht="21.6" spans="1:7">
      <c r="A628" s="448">
        <v>627</v>
      </c>
      <c r="B628" s="448" t="s">
        <v>4791</v>
      </c>
      <c r="C628" s="448" t="s">
        <v>4767</v>
      </c>
      <c r="D628" s="448" t="s">
        <v>523</v>
      </c>
      <c r="E628" s="448" t="s">
        <v>2120</v>
      </c>
      <c r="F628" s="448" t="s">
        <v>3024</v>
      </c>
      <c r="G628" s="448" t="s">
        <v>4787</v>
      </c>
    </row>
    <row r="629" ht="21.6" spans="1:7">
      <c r="A629" s="448">
        <v>628</v>
      </c>
      <c r="B629" s="448" t="s">
        <v>4792</v>
      </c>
      <c r="C629" s="448" t="s">
        <v>4770</v>
      </c>
      <c r="D629" s="448" t="s">
        <v>523</v>
      </c>
      <c r="E629" s="448" t="s">
        <v>2120</v>
      </c>
      <c r="F629" s="448" t="s">
        <v>3024</v>
      </c>
      <c r="G629" s="448" t="s">
        <v>4793</v>
      </c>
    </row>
    <row r="630" ht="21.6" spans="1:7">
      <c r="A630" s="448">
        <v>629</v>
      </c>
      <c r="B630" s="448" t="s">
        <v>4794</v>
      </c>
      <c r="C630" s="448" t="s">
        <v>4773</v>
      </c>
      <c r="D630" s="448" t="s">
        <v>523</v>
      </c>
      <c r="E630" s="448" t="s">
        <v>2120</v>
      </c>
      <c r="F630" s="448" t="s">
        <v>3024</v>
      </c>
      <c r="G630" s="448" t="s">
        <v>4795</v>
      </c>
    </row>
    <row r="631" ht="21.6" spans="1:7">
      <c r="A631" s="448">
        <v>630</v>
      </c>
      <c r="B631" s="448" t="s">
        <v>4796</v>
      </c>
      <c r="C631" s="448" t="s">
        <v>4797</v>
      </c>
      <c r="D631" s="448" t="s">
        <v>523</v>
      </c>
      <c r="E631" s="448" t="s">
        <v>2120</v>
      </c>
      <c r="F631" s="448" t="s">
        <v>3024</v>
      </c>
      <c r="G631" s="448" t="s">
        <v>4798</v>
      </c>
    </row>
    <row r="632" ht="21.6" spans="1:7">
      <c r="A632" s="448">
        <v>631</v>
      </c>
      <c r="B632" s="448" t="s">
        <v>4799</v>
      </c>
      <c r="C632" s="448" t="s">
        <v>4800</v>
      </c>
      <c r="D632" s="448" t="s">
        <v>523</v>
      </c>
      <c r="E632" s="448" t="s">
        <v>2120</v>
      </c>
      <c r="F632" s="448" t="s">
        <v>3024</v>
      </c>
      <c r="G632" s="448" t="s">
        <v>4801</v>
      </c>
    </row>
    <row r="633" ht="21.6" spans="1:7">
      <c r="A633" s="448">
        <v>632</v>
      </c>
      <c r="B633" s="448" t="s">
        <v>4802</v>
      </c>
      <c r="C633" s="448" t="s">
        <v>4803</v>
      </c>
      <c r="D633" s="448" t="s">
        <v>523</v>
      </c>
      <c r="E633" s="448" t="s">
        <v>2120</v>
      </c>
      <c r="F633" s="448" t="s">
        <v>3024</v>
      </c>
      <c r="G633" s="448" t="s">
        <v>4804</v>
      </c>
    </row>
    <row r="634" ht="21.6" spans="1:7">
      <c r="A634" s="448">
        <v>633</v>
      </c>
      <c r="B634" s="448" t="s">
        <v>4805</v>
      </c>
      <c r="C634" s="448" t="s">
        <v>4770</v>
      </c>
      <c r="D634" s="448" t="s">
        <v>523</v>
      </c>
      <c r="E634" s="448" t="s">
        <v>2120</v>
      </c>
      <c r="F634" s="448" t="s">
        <v>3024</v>
      </c>
      <c r="G634" s="448" t="s">
        <v>4806</v>
      </c>
    </row>
    <row r="635" ht="21.6" spans="1:7">
      <c r="A635" s="448">
        <v>634</v>
      </c>
      <c r="B635" s="448" t="s">
        <v>4807</v>
      </c>
      <c r="C635" s="448" t="s">
        <v>4773</v>
      </c>
      <c r="D635" s="448" t="s">
        <v>523</v>
      </c>
      <c r="E635" s="448" t="s">
        <v>2120</v>
      </c>
      <c r="F635" s="448" t="s">
        <v>3024</v>
      </c>
      <c r="G635" s="448" t="s">
        <v>4808</v>
      </c>
    </row>
    <row r="636" ht="21.6" spans="1:7">
      <c r="A636" s="448">
        <v>635</v>
      </c>
      <c r="B636" s="448" t="s">
        <v>4809</v>
      </c>
      <c r="C636" s="448" t="s">
        <v>4810</v>
      </c>
      <c r="D636" s="448" t="s">
        <v>523</v>
      </c>
      <c r="E636" s="448" t="s">
        <v>2120</v>
      </c>
      <c r="F636" s="448" t="s">
        <v>3024</v>
      </c>
      <c r="G636" s="448" t="s">
        <v>4746</v>
      </c>
    </row>
    <row r="637" ht="21.6" spans="1:7">
      <c r="A637" s="448">
        <v>636</v>
      </c>
      <c r="B637" s="448" t="s">
        <v>4811</v>
      </c>
      <c r="C637" s="448" t="s">
        <v>4812</v>
      </c>
      <c r="D637" s="448" t="s">
        <v>523</v>
      </c>
      <c r="E637" s="448" t="s">
        <v>2120</v>
      </c>
      <c r="F637" s="448" t="s">
        <v>3024</v>
      </c>
      <c r="G637" s="448" t="s">
        <v>4813</v>
      </c>
    </row>
    <row r="638" ht="21.6" spans="1:7">
      <c r="A638" s="448">
        <v>637</v>
      </c>
      <c r="B638" s="448" t="s">
        <v>4814</v>
      </c>
      <c r="C638" s="448" t="s">
        <v>4815</v>
      </c>
      <c r="D638" s="448" t="s">
        <v>523</v>
      </c>
      <c r="E638" s="448" t="s">
        <v>2120</v>
      </c>
      <c r="F638" s="448" t="s">
        <v>3024</v>
      </c>
      <c r="G638" s="448" t="s">
        <v>4816</v>
      </c>
    </row>
    <row r="639" ht="21.6" spans="1:7">
      <c r="A639" s="448">
        <v>638</v>
      </c>
      <c r="B639" s="448" t="s">
        <v>4817</v>
      </c>
      <c r="C639" s="448" t="s">
        <v>4818</v>
      </c>
      <c r="D639" s="448" t="s">
        <v>523</v>
      </c>
      <c r="E639" s="448" t="s">
        <v>2120</v>
      </c>
      <c r="F639" s="448" t="s">
        <v>3024</v>
      </c>
      <c r="G639" s="448" t="s">
        <v>4081</v>
      </c>
    </row>
    <row r="640" ht="21.6" spans="1:7">
      <c r="A640" s="448">
        <v>639</v>
      </c>
      <c r="B640" s="448" t="s">
        <v>4819</v>
      </c>
      <c r="C640" s="448" t="s">
        <v>4820</v>
      </c>
      <c r="D640" s="448" t="s">
        <v>523</v>
      </c>
      <c r="E640" s="448" t="s">
        <v>2120</v>
      </c>
      <c r="F640" s="448" t="s">
        <v>3024</v>
      </c>
      <c r="G640" s="448" t="s">
        <v>4821</v>
      </c>
    </row>
    <row r="641" ht="21.6" spans="1:7">
      <c r="A641" s="448">
        <v>640</v>
      </c>
      <c r="B641" s="448" t="s">
        <v>4822</v>
      </c>
      <c r="C641" s="448" t="s">
        <v>4823</v>
      </c>
      <c r="D641" s="448" t="s">
        <v>523</v>
      </c>
      <c r="E641" s="448" t="s">
        <v>2120</v>
      </c>
      <c r="F641" s="448" t="s">
        <v>3024</v>
      </c>
      <c r="G641" s="448" t="s">
        <v>4824</v>
      </c>
    </row>
    <row r="642" ht="21.6" spans="1:7">
      <c r="A642" s="448">
        <v>641</v>
      </c>
      <c r="B642" s="448" t="s">
        <v>4825</v>
      </c>
      <c r="C642" s="448" t="s">
        <v>4826</v>
      </c>
      <c r="D642" s="448" t="s">
        <v>523</v>
      </c>
      <c r="E642" s="448" t="s">
        <v>2120</v>
      </c>
      <c r="F642" s="448" t="s">
        <v>3024</v>
      </c>
      <c r="G642" s="448" t="s">
        <v>4827</v>
      </c>
    </row>
    <row r="643" ht="21.6" spans="1:7">
      <c r="A643" s="448">
        <v>642</v>
      </c>
      <c r="B643" s="448" t="s">
        <v>4828</v>
      </c>
      <c r="C643" s="448" t="s">
        <v>4812</v>
      </c>
      <c r="D643" s="448" t="s">
        <v>523</v>
      </c>
      <c r="E643" s="448" t="s">
        <v>2120</v>
      </c>
      <c r="F643" s="448" t="s">
        <v>3024</v>
      </c>
      <c r="G643" s="448" t="s">
        <v>4829</v>
      </c>
    </row>
    <row r="644" ht="21.6" spans="1:7">
      <c r="A644" s="448">
        <v>643</v>
      </c>
      <c r="B644" s="448" t="s">
        <v>4830</v>
      </c>
      <c r="C644" s="448" t="s">
        <v>4815</v>
      </c>
      <c r="D644" s="448" t="s">
        <v>523</v>
      </c>
      <c r="E644" s="448" t="s">
        <v>2120</v>
      </c>
      <c r="F644" s="448" t="s">
        <v>3024</v>
      </c>
      <c r="G644" s="448" t="s">
        <v>4831</v>
      </c>
    </row>
    <row r="645" spans="1:7">
      <c r="A645" s="448">
        <v>644</v>
      </c>
      <c r="B645" s="448" t="s">
        <v>4832</v>
      </c>
      <c r="C645" s="448" t="s">
        <v>4833</v>
      </c>
      <c r="D645" s="448" t="s">
        <v>523</v>
      </c>
      <c r="E645" s="448" t="s">
        <v>2120</v>
      </c>
      <c r="F645" s="448" t="s">
        <v>3024</v>
      </c>
      <c r="G645" s="448" t="s">
        <v>4834</v>
      </c>
    </row>
    <row r="646" spans="1:7">
      <c r="A646" s="448">
        <v>645</v>
      </c>
      <c r="B646" s="448" t="s">
        <v>4835</v>
      </c>
      <c r="C646" s="448" t="s">
        <v>4836</v>
      </c>
      <c r="D646" s="448" t="s">
        <v>523</v>
      </c>
      <c r="E646" s="448" t="s">
        <v>2120</v>
      </c>
      <c r="F646" s="448" t="s">
        <v>3024</v>
      </c>
      <c r="G646" s="448" t="s">
        <v>4837</v>
      </c>
    </row>
    <row r="647" spans="1:7">
      <c r="A647" s="448">
        <v>646</v>
      </c>
      <c r="B647" s="448" t="s">
        <v>4838</v>
      </c>
      <c r="C647" s="448" t="s">
        <v>4839</v>
      </c>
      <c r="D647" s="448" t="s">
        <v>523</v>
      </c>
      <c r="E647" s="448" t="s">
        <v>2120</v>
      </c>
      <c r="F647" s="448" t="s">
        <v>3024</v>
      </c>
      <c r="G647" s="448" t="s">
        <v>4840</v>
      </c>
    </row>
    <row r="648" spans="1:7">
      <c r="A648" s="448">
        <v>647</v>
      </c>
      <c r="B648" s="448" t="s">
        <v>4841</v>
      </c>
      <c r="C648" s="448" t="s">
        <v>4842</v>
      </c>
      <c r="D648" s="448" t="s">
        <v>523</v>
      </c>
      <c r="E648" s="448" t="s">
        <v>2120</v>
      </c>
      <c r="F648" s="448" t="s">
        <v>3024</v>
      </c>
      <c r="G648" s="448" t="s">
        <v>4843</v>
      </c>
    </row>
    <row r="649" spans="1:7">
      <c r="A649" s="448">
        <v>648</v>
      </c>
      <c r="B649" s="448" t="s">
        <v>4844</v>
      </c>
      <c r="C649" s="448" t="s">
        <v>4833</v>
      </c>
      <c r="D649" s="448" t="s">
        <v>523</v>
      </c>
      <c r="E649" s="448" t="s">
        <v>2120</v>
      </c>
      <c r="F649" s="448" t="s">
        <v>3024</v>
      </c>
      <c r="G649" s="448" t="s">
        <v>4152</v>
      </c>
    </row>
    <row r="650" spans="1:7">
      <c r="A650" s="448">
        <v>649</v>
      </c>
      <c r="B650" s="448" t="s">
        <v>4845</v>
      </c>
      <c r="C650" s="448" t="s">
        <v>4836</v>
      </c>
      <c r="D650" s="448" t="s">
        <v>523</v>
      </c>
      <c r="E650" s="448" t="s">
        <v>2120</v>
      </c>
      <c r="F650" s="448" t="s">
        <v>3024</v>
      </c>
      <c r="G650" s="448" t="s">
        <v>4846</v>
      </c>
    </row>
    <row r="651" spans="1:7">
      <c r="A651" s="448">
        <v>650</v>
      </c>
      <c r="B651" s="448" t="s">
        <v>4847</v>
      </c>
      <c r="C651" s="448" t="s">
        <v>4839</v>
      </c>
      <c r="D651" s="448" t="s">
        <v>523</v>
      </c>
      <c r="E651" s="448" t="s">
        <v>2120</v>
      </c>
      <c r="F651" s="448" t="s">
        <v>3024</v>
      </c>
      <c r="G651" s="448" t="s">
        <v>4848</v>
      </c>
    </row>
    <row r="652" spans="1:7">
      <c r="A652" s="448">
        <v>651</v>
      </c>
      <c r="B652" s="448" t="s">
        <v>4849</v>
      </c>
      <c r="C652" s="448" t="s">
        <v>4842</v>
      </c>
      <c r="D652" s="448" t="s">
        <v>523</v>
      </c>
      <c r="E652" s="448" t="s">
        <v>2120</v>
      </c>
      <c r="F652" s="448" t="s">
        <v>3024</v>
      </c>
      <c r="G652" s="448" t="s">
        <v>4850</v>
      </c>
    </row>
    <row r="653" spans="1:7">
      <c r="A653" s="448">
        <v>652</v>
      </c>
      <c r="B653" s="448" t="s">
        <v>4851</v>
      </c>
      <c r="C653" s="448" t="s">
        <v>4852</v>
      </c>
      <c r="D653" s="448" t="s">
        <v>523</v>
      </c>
      <c r="E653" s="448" t="s">
        <v>2120</v>
      </c>
      <c r="F653" s="448" t="s">
        <v>3024</v>
      </c>
      <c r="G653" s="448" t="s">
        <v>4853</v>
      </c>
    </row>
    <row r="654" spans="1:7">
      <c r="A654" s="448">
        <v>653</v>
      </c>
      <c r="B654" s="448" t="s">
        <v>4854</v>
      </c>
      <c r="C654" s="448" t="s">
        <v>4855</v>
      </c>
      <c r="D654" s="448" t="s">
        <v>523</v>
      </c>
      <c r="E654" s="448" t="s">
        <v>2120</v>
      </c>
      <c r="F654" s="448" t="s">
        <v>3024</v>
      </c>
      <c r="G654" s="448" t="s">
        <v>4856</v>
      </c>
    </row>
    <row r="655" spans="1:7">
      <c r="A655" s="448">
        <v>654</v>
      </c>
      <c r="B655" s="448" t="s">
        <v>4857</v>
      </c>
      <c r="C655" s="448" t="s">
        <v>4858</v>
      </c>
      <c r="D655" s="448" t="s">
        <v>523</v>
      </c>
      <c r="E655" s="448" t="s">
        <v>2120</v>
      </c>
      <c r="F655" s="448" t="s">
        <v>3024</v>
      </c>
      <c r="G655" s="448" t="s">
        <v>4859</v>
      </c>
    </row>
    <row r="656" spans="1:7">
      <c r="A656" s="448">
        <v>655</v>
      </c>
      <c r="B656" s="448" t="s">
        <v>4860</v>
      </c>
      <c r="C656" s="448" t="s">
        <v>4861</v>
      </c>
      <c r="D656" s="448" t="s">
        <v>3617</v>
      </c>
      <c r="E656" s="448" t="s">
        <v>2120</v>
      </c>
      <c r="F656" s="448" t="s">
        <v>3024</v>
      </c>
      <c r="G656" s="448" t="s">
        <v>4862</v>
      </c>
    </row>
    <row r="657" spans="1:7">
      <c r="A657" s="448">
        <v>656</v>
      </c>
      <c r="B657" s="448" t="s">
        <v>4863</v>
      </c>
      <c r="C657" s="448" t="s">
        <v>4864</v>
      </c>
      <c r="D657" s="448" t="s">
        <v>4119</v>
      </c>
      <c r="E657" s="448" t="s">
        <v>2120</v>
      </c>
      <c r="F657" s="448" t="s">
        <v>3024</v>
      </c>
      <c r="G657" s="448" t="s">
        <v>4865</v>
      </c>
    </row>
    <row r="658" spans="1:7">
      <c r="A658" s="448">
        <v>657</v>
      </c>
      <c r="B658" s="448" t="s">
        <v>4866</v>
      </c>
      <c r="C658" s="448" t="s">
        <v>4867</v>
      </c>
      <c r="D658" s="448" t="s">
        <v>579</v>
      </c>
      <c r="E658" s="448" t="s">
        <v>2120</v>
      </c>
      <c r="F658" s="448" t="s">
        <v>3024</v>
      </c>
      <c r="G658" s="448" t="s">
        <v>4868</v>
      </c>
    </row>
    <row r="659" spans="1:7">
      <c r="A659" s="448">
        <v>658</v>
      </c>
      <c r="B659" s="448" t="s">
        <v>4869</v>
      </c>
      <c r="C659" s="448" t="s">
        <v>4870</v>
      </c>
      <c r="D659" s="448" t="s">
        <v>579</v>
      </c>
      <c r="E659" s="448" t="s">
        <v>2120</v>
      </c>
      <c r="F659" s="448" t="s">
        <v>3024</v>
      </c>
      <c r="G659" s="448" t="s">
        <v>4871</v>
      </c>
    </row>
    <row r="660" spans="1:7">
      <c r="A660" s="448">
        <v>659</v>
      </c>
      <c r="B660" s="448" t="s">
        <v>4872</v>
      </c>
      <c r="C660" s="448" t="s">
        <v>4873</v>
      </c>
      <c r="D660" s="448" t="s">
        <v>3617</v>
      </c>
      <c r="E660" s="448" t="s">
        <v>2120</v>
      </c>
      <c r="F660" s="448" t="s">
        <v>3024</v>
      </c>
      <c r="G660" s="448" t="s">
        <v>3702</v>
      </c>
    </row>
    <row r="661" spans="1:7">
      <c r="A661" s="448">
        <v>660</v>
      </c>
      <c r="B661" s="448" t="s">
        <v>4874</v>
      </c>
      <c r="C661" s="448" t="s">
        <v>4875</v>
      </c>
      <c r="D661" s="448" t="s">
        <v>3617</v>
      </c>
      <c r="E661" s="448" t="s">
        <v>2120</v>
      </c>
      <c r="F661" s="448" t="s">
        <v>3024</v>
      </c>
      <c r="G661" s="448" t="s">
        <v>4876</v>
      </c>
    </row>
    <row r="662" spans="1:7">
      <c r="A662" s="448">
        <v>661</v>
      </c>
      <c r="B662" s="448" t="s">
        <v>4877</v>
      </c>
      <c r="C662" s="448" t="s">
        <v>4878</v>
      </c>
      <c r="D662" s="448" t="s">
        <v>3617</v>
      </c>
      <c r="E662" s="448" t="s">
        <v>2120</v>
      </c>
      <c r="F662" s="448" t="s">
        <v>3024</v>
      </c>
      <c r="G662" s="448" t="s">
        <v>4879</v>
      </c>
    </row>
    <row r="663" spans="1:7">
      <c r="A663" s="448">
        <v>662</v>
      </c>
      <c r="B663" s="448" t="s">
        <v>4880</v>
      </c>
      <c r="C663" s="448" t="s">
        <v>4881</v>
      </c>
      <c r="D663" s="448" t="s">
        <v>3617</v>
      </c>
      <c r="E663" s="448" t="s">
        <v>2120</v>
      </c>
      <c r="F663" s="448" t="s">
        <v>3024</v>
      </c>
      <c r="G663" s="448" t="s">
        <v>4882</v>
      </c>
    </row>
    <row r="664" spans="1:7">
      <c r="A664" s="448">
        <v>663</v>
      </c>
      <c r="B664" s="448" t="s">
        <v>4883</v>
      </c>
      <c r="C664" s="448" t="s">
        <v>4884</v>
      </c>
      <c r="D664" s="448" t="s">
        <v>3617</v>
      </c>
      <c r="E664" s="448" t="s">
        <v>2120</v>
      </c>
      <c r="F664" s="448" t="s">
        <v>3024</v>
      </c>
      <c r="G664" s="448" t="s">
        <v>4885</v>
      </c>
    </row>
    <row r="665" spans="1:7">
      <c r="A665" s="448">
        <v>664</v>
      </c>
      <c r="B665" s="448" t="s">
        <v>4886</v>
      </c>
      <c r="C665" s="448" t="s">
        <v>4887</v>
      </c>
      <c r="D665" s="448" t="s">
        <v>4888</v>
      </c>
      <c r="E665" s="448" t="s">
        <v>2120</v>
      </c>
      <c r="F665" s="448" t="s">
        <v>3024</v>
      </c>
      <c r="G665" s="448" t="s">
        <v>4889</v>
      </c>
    </row>
    <row r="666" spans="1:7">
      <c r="A666" s="448">
        <v>665</v>
      </c>
      <c r="B666" s="448" t="s">
        <v>4890</v>
      </c>
      <c r="C666" s="448" t="s">
        <v>4891</v>
      </c>
      <c r="D666" s="448" t="s">
        <v>4888</v>
      </c>
      <c r="E666" s="448" t="s">
        <v>2120</v>
      </c>
      <c r="F666" s="448" t="s">
        <v>3024</v>
      </c>
      <c r="G666" s="448" t="s">
        <v>4892</v>
      </c>
    </row>
    <row r="667" spans="1:7">
      <c r="A667" s="448">
        <v>666</v>
      </c>
      <c r="B667" s="448" t="s">
        <v>4893</v>
      </c>
      <c r="C667" s="448" t="s">
        <v>4894</v>
      </c>
      <c r="D667" s="448" t="s">
        <v>4888</v>
      </c>
      <c r="E667" s="448" t="s">
        <v>2120</v>
      </c>
      <c r="F667" s="448" t="s">
        <v>3024</v>
      </c>
      <c r="G667" s="448" t="s">
        <v>4895</v>
      </c>
    </row>
    <row r="668" spans="1:7">
      <c r="A668" s="448">
        <v>667</v>
      </c>
      <c r="B668" s="448" t="s">
        <v>4896</v>
      </c>
      <c r="C668" s="448" t="s">
        <v>4897</v>
      </c>
      <c r="D668" s="448" t="s">
        <v>4888</v>
      </c>
      <c r="E668" s="448" t="s">
        <v>2120</v>
      </c>
      <c r="F668" s="448" t="s">
        <v>3024</v>
      </c>
      <c r="G668" s="448" t="s">
        <v>4898</v>
      </c>
    </row>
    <row r="669" spans="1:7">
      <c r="A669" s="448">
        <v>668</v>
      </c>
      <c r="B669" s="448" t="s">
        <v>4899</v>
      </c>
      <c r="C669" s="448" t="s">
        <v>4900</v>
      </c>
      <c r="D669" s="448" t="s">
        <v>4901</v>
      </c>
      <c r="E669" s="448" t="s">
        <v>2120</v>
      </c>
      <c r="F669" s="448" t="s">
        <v>3024</v>
      </c>
      <c r="G669" s="448" t="s">
        <v>4902</v>
      </c>
    </row>
    <row r="670" spans="1:7">
      <c r="A670" s="448">
        <v>669</v>
      </c>
      <c r="B670" s="448" t="s">
        <v>4903</v>
      </c>
      <c r="C670" s="448" t="s">
        <v>4904</v>
      </c>
      <c r="D670" s="448" t="s">
        <v>4901</v>
      </c>
      <c r="E670" s="448" t="s">
        <v>2120</v>
      </c>
      <c r="F670" s="448" t="s">
        <v>3024</v>
      </c>
      <c r="G670" s="448" t="s">
        <v>4905</v>
      </c>
    </row>
    <row r="671" spans="1:7">
      <c r="A671" s="448">
        <v>670</v>
      </c>
      <c r="B671" s="448" t="s">
        <v>4906</v>
      </c>
      <c r="C671" s="448" t="s">
        <v>4907</v>
      </c>
      <c r="D671" s="448" t="s">
        <v>4901</v>
      </c>
      <c r="E671" s="448" t="s">
        <v>2120</v>
      </c>
      <c r="F671" s="448" t="s">
        <v>3024</v>
      </c>
      <c r="G671" s="448" t="s">
        <v>4908</v>
      </c>
    </row>
    <row r="672" spans="1:7">
      <c r="A672" s="448">
        <v>671</v>
      </c>
      <c r="B672" s="448" t="s">
        <v>4909</v>
      </c>
      <c r="C672" s="448" t="s">
        <v>4910</v>
      </c>
      <c r="D672" s="448" t="s">
        <v>4901</v>
      </c>
      <c r="E672" s="448" t="s">
        <v>2120</v>
      </c>
      <c r="F672" s="448" t="s">
        <v>3024</v>
      </c>
      <c r="G672" s="448" t="s">
        <v>4911</v>
      </c>
    </row>
    <row r="673" spans="1:7">
      <c r="A673" s="448">
        <v>672</v>
      </c>
      <c r="B673" s="448" t="s">
        <v>4912</v>
      </c>
      <c r="C673" s="448" t="s">
        <v>4913</v>
      </c>
      <c r="D673" s="448" t="s">
        <v>4036</v>
      </c>
      <c r="E673" s="448" t="s">
        <v>3753</v>
      </c>
      <c r="F673" s="448" t="s">
        <v>3024</v>
      </c>
      <c r="G673" s="448" t="s">
        <v>4914</v>
      </c>
    </row>
    <row r="674" spans="1:7">
      <c r="A674" s="448">
        <v>673</v>
      </c>
      <c r="B674" s="448" t="s">
        <v>4915</v>
      </c>
      <c r="C674" s="448" t="s">
        <v>4916</v>
      </c>
      <c r="D674" s="448" t="s">
        <v>4535</v>
      </c>
      <c r="E674" s="448" t="s">
        <v>2120</v>
      </c>
      <c r="F674" s="448" t="s">
        <v>3024</v>
      </c>
      <c r="G674" s="448" t="s">
        <v>4917</v>
      </c>
    </row>
    <row r="675" spans="1:7">
      <c r="A675" s="448">
        <v>674</v>
      </c>
      <c r="B675" s="448" t="s">
        <v>4918</v>
      </c>
      <c r="C675" s="448" t="s">
        <v>4919</v>
      </c>
      <c r="D675" s="448" t="s">
        <v>4535</v>
      </c>
      <c r="E675" s="448" t="s">
        <v>2120</v>
      </c>
      <c r="F675" s="448" t="s">
        <v>3024</v>
      </c>
      <c r="G675" s="448" t="s">
        <v>3763</v>
      </c>
    </row>
    <row r="676" spans="1:7">
      <c r="A676" s="448">
        <v>675</v>
      </c>
      <c r="B676" s="448" t="s">
        <v>4920</v>
      </c>
      <c r="C676" s="448" t="s">
        <v>4921</v>
      </c>
      <c r="D676" s="448" t="s">
        <v>4535</v>
      </c>
      <c r="E676" s="448" t="s">
        <v>2120</v>
      </c>
      <c r="F676" s="448" t="s">
        <v>3024</v>
      </c>
      <c r="G676" s="448" t="s">
        <v>4922</v>
      </c>
    </row>
    <row r="677" spans="1:7">
      <c r="A677" s="448">
        <v>676</v>
      </c>
      <c r="B677" s="448" t="s">
        <v>4923</v>
      </c>
      <c r="C677" s="448" t="s">
        <v>4924</v>
      </c>
      <c r="D677" s="448" t="s">
        <v>4036</v>
      </c>
      <c r="E677" s="448" t="s">
        <v>3753</v>
      </c>
      <c r="F677" s="448" t="s">
        <v>3024</v>
      </c>
      <c r="G677" s="448" t="s">
        <v>4925</v>
      </c>
    </row>
    <row r="678" spans="1:7">
      <c r="A678" s="448">
        <v>677</v>
      </c>
      <c r="B678" s="448" t="s">
        <v>4926</v>
      </c>
      <c r="C678" s="448" t="s">
        <v>4927</v>
      </c>
      <c r="D678" s="448" t="s">
        <v>4036</v>
      </c>
      <c r="E678" s="448" t="s">
        <v>3753</v>
      </c>
      <c r="F678" s="448" t="s">
        <v>3024</v>
      </c>
      <c r="G678" s="448" t="s">
        <v>4928</v>
      </c>
    </row>
    <row r="679" spans="1:7">
      <c r="A679" s="448">
        <v>678</v>
      </c>
      <c r="B679" s="448" t="s">
        <v>4929</v>
      </c>
      <c r="C679" s="448" t="s">
        <v>4930</v>
      </c>
      <c r="D679" s="448" t="s">
        <v>4036</v>
      </c>
      <c r="E679" s="448" t="s">
        <v>3753</v>
      </c>
      <c r="F679" s="448" t="s">
        <v>3024</v>
      </c>
      <c r="G679" s="448" t="s">
        <v>4931</v>
      </c>
    </row>
    <row r="680" spans="1:7">
      <c r="A680" s="448">
        <v>679</v>
      </c>
      <c r="B680" s="448" t="s">
        <v>4932</v>
      </c>
      <c r="C680" s="448" t="s">
        <v>4933</v>
      </c>
      <c r="D680" s="448" t="s">
        <v>4036</v>
      </c>
      <c r="E680" s="448" t="s">
        <v>3753</v>
      </c>
      <c r="F680" s="448" t="s">
        <v>3024</v>
      </c>
      <c r="G680" s="448" t="s">
        <v>4934</v>
      </c>
    </row>
    <row r="681" spans="1:7">
      <c r="A681" s="448">
        <v>680</v>
      </c>
      <c r="B681" s="448" t="s">
        <v>4935</v>
      </c>
      <c r="C681" s="448" t="s">
        <v>4936</v>
      </c>
      <c r="D681" s="448" t="s">
        <v>4036</v>
      </c>
      <c r="E681" s="448" t="s">
        <v>3753</v>
      </c>
      <c r="F681" s="448" t="s">
        <v>3024</v>
      </c>
      <c r="G681" s="448" t="s">
        <v>4937</v>
      </c>
    </row>
    <row r="682" spans="1:7">
      <c r="A682" s="448">
        <v>681</v>
      </c>
      <c r="B682" s="448" t="s">
        <v>4938</v>
      </c>
      <c r="C682" s="448" t="s">
        <v>4939</v>
      </c>
      <c r="D682" s="448" t="s">
        <v>4036</v>
      </c>
      <c r="E682" s="448" t="s">
        <v>3753</v>
      </c>
      <c r="F682" s="448" t="s">
        <v>3024</v>
      </c>
      <c r="G682" s="448" t="s">
        <v>4940</v>
      </c>
    </row>
    <row r="683" spans="1:7">
      <c r="A683" s="448">
        <v>682</v>
      </c>
      <c r="B683" s="448" t="s">
        <v>4941</v>
      </c>
      <c r="C683" s="448" t="s">
        <v>4942</v>
      </c>
      <c r="D683" s="448" t="s">
        <v>4036</v>
      </c>
      <c r="E683" s="448" t="s">
        <v>3753</v>
      </c>
      <c r="F683" s="448" t="s">
        <v>3024</v>
      </c>
      <c r="G683" s="448" t="s">
        <v>4943</v>
      </c>
    </row>
    <row r="684" spans="1:7">
      <c r="A684" s="448">
        <v>683</v>
      </c>
      <c r="B684" s="448" t="s">
        <v>4944</v>
      </c>
      <c r="C684" s="448" t="s">
        <v>4945</v>
      </c>
      <c r="D684" s="448" t="s">
        <v>4036</v>
      </c>
      <c r="E684" s="448" t="s">
        <v>3753</v>
      </c>
      <c r="F684" s="448" t="s">
        <v>3024</v>
      </c>
      <c r="G684" s="448" t="s">
        <v>4946</v>
      </c>
    </row>
    <row r="685" ht="21.6" spans="1:7">
      <c r="A685" s="448">
        <v>684</v>
      </c>
      <c r="B685" s="448" t="s">
        <v>4947</v>
      </c>
      <c r="C685" s="448" t="s">
        <v>4948</v>
      </c>
      <c r="D685" s="448" t="s">
        <v>4036</v>
      </c>
      <c r="E685" s="448" t="s">
        <v>3753</v>
      </c>
      <c r="F685" s="448" t="s">
        <v>3024</v>
      </c>
      <c r="G685" s="448" t="s">
        <v>4949</v>
      </c>
    </row>
    <row r="686" ht="21.6" spans="1:7">
      <c r="A686" s="448">
        <v>685</v>
      </c>
      <c r="B686" s="448" t="s">
        <v>4950</v>
      </c>
      <c r="C686" s="448" t="s">
        <v>4951</v>
      </c>
      <c r="D686" s="448" t="s">
        <v>4036</v>
      </c>
      <c r="E686" s="448" t="s">
        <v>3753</v>
      </c>
      <c r="F686" s="448" t="s">
        <v>3024</v>
      </c>
      <c r="G686" s="448" t="s">
        <v>4952</v>
      </c>
    </row>
    <row r="687" ht="21.6" spans="1:7">
      <c r="A687" s="448">
        <v>686</v>
      </c>
      <c r="B687" s="448" t="s">
        <v>4953</v>
      </c>
      <c r="C687" s="448" t="s">
        <v>4954</v>
      </c>
      <c r="D687" s="448" t="s">
        <v>4036</v>
      </c>
      <c r="E687" s="448" t="s">
        <v>3753</v>
      </c>
      <c r="F687" s="448" t="s">
        <v>3024</v>
      </c>
      <c r="G687" s="448" t="s">
        <v>4955</v>
      </c>
    </row>
    <row r="688" ht="21.6" spans="1:7">
      <c r="A688" s="448">
        <v>687</v>
      </c>
      <c r="B688" s="448" t="s">
        <v>4956</v>
      </c>
      <c r="C688" s="448" t="s">
        <v>4957</v>
      </c>
      <c r="D688" s="448" t="s">
        <v>4036</v>
      </c>
      <c r="E688" s="448" t="s">
        <v>3753</v>
      </c>
      <c r="F688" s="448" t="s">
        <v>3024</v>
      </c>
      <c r="G688" s="448" t="s">
        <v>4958</v>
      </c>
    </row>
    <row r="689" spans="1:7">
      <c r="A689" s="448">
        <v>688</v>
      </c>
      <c r="B689" s="448" t="s">
        <v>4959</v>
      </c>
      <c r="C689" s="448" t="s">
        <v>4960</v>
      </c>
      <c r="D689" s="448" t="s">
        <v>4036</v>
      </c>
      <c r="E689" s="448" t="s">
        <v>3753</v>
      </c>
      <c r="F689" s="448" t="s">
        <v>3024</v>
      </c>
      <c r="G689" s="448" t="s">
        <v>4961</v>
      </c>
    </row>
    <row r="690" spans="1:7">
      <c r="A690" s="448">
        <v>689</v>
      </c>
      <c r="B690" s="448" t="s">
        <v>4962</v>
      </c>
      <c r="C690" s="448" t="s">
        <v>4963</v>
      </c>
      <c r="D690" s="448" t="s">
        <v>4036</v>
      </c>
      <c r="E690" s="448" t="s">
        <v>3753</v>
      </c>
      <c r="F690" s="448" t="s">
        <v>3024</v>
      </c>
      <c r="G690" s="448" t="s">
        <v>4964</v>
      </c>
    </row>
    <row r="691" spans="1:7">
      <c r="A691" s="448">
        <v>690</v>
      </c>
      <c r="B691" s="448" t="s">
        <v>4965</v>
      </c>
      <c r="C691" s="448" t="s">
        <v>4966</v>
      </c>
      <c r="D691" s="448" t="s">
        <v>4036</v>
      </c>
      <c r="E691" s="448" t="s">
        <v>3753</v>
      </c>
      <c r="F691" s="448" t="s">
        <v>3024</v>
      </c>
      <c r="G691" s="448" t="s">
        <v>3754</v>
      </c>
    </row>
    <row r="692" spans="1:7">
      <c r="A692" s="448">
        <v>691</v>
      </c>
      <c r="B692" s="448" t="s">
        <v>4967</v>
      </c>
      <c r="C692" s="448" t="s">
        <v>4968</v>
      </c>
      <c r="D692" s="448" t="s">
        <v>4036</v>
      </c>
      <c r="E692" s="448" t="s">
        <v>3753</v>
      </c>
      <c r="F692" s="448" t="s">
        <v>3024</v>
      </c>
      <c r="G692" s="448" t="s">
        <v>4969</v>
      </c>
    </row>
    <row r="693" spans="1:7">
      <c r="A693" s="448">
        <v>692</v>
      </c>
      <c r="B693" s="448" t="s">
        <v>4970</v>
      </c>
      <c r="C693" s="448" t="s">
        <v>4971</v>
      </c>
      <c r="D693" s="448" t="s">
        <v>4036</v>
      </c>
      <c r="E693" s="448" t="s">
        <v>3753</v>
      </c>
      <c r="F693" s="448" t="s">
        <v>3024</v>
      </c>
      <c r="G693" s="448" t="s">
        <v>4972</v>
      </c>
    </row>
    <row r="694" spans="1:7">
      <c r="A694" s="448">
        <v>693</v>
      </c>
      <c r="B694" s="448" t="s">
        <v>4973</v>
      </c>
      <c r="C694" s="448" t="s">
        <v>4974</v>
      </c>
      <c r="D694" s="448" t="s">
        <v>4975</v>
      </c>
      <c r="E694" s="448" t="s">
        <v>2120</v>
      </c>
      <c r="F694" s="448" t="s">
        <v>3024</v>
      </c>
      <c r="G694" s="448" t="s">
        <v>4976</v>
      </c>
    </row>
    <row r="695" spans="1:7">
      <c r="A695" s="448">
        <v>694</v>
      </c>
      <c r="B695" s="448" t="s">
        <v>4977</v>
      </c>
      <c r="C695" s="448" t="s">
        <v>4978</v>
      </c>
      <c r="D695" s="448" t="s">
        <v>4888</v>
      </c>
      <c r="E695" s="448" t="s">
        <v>2120</v>
      </c>
      <c r="F695" s="448" t="s">
        <v>3024</v>
      </c>
      <c r="G695" s="448" t="s">
        <v>4979</v>
      </c>
    </row>
    <row r="696" spans="1:7">
      <c r="A696" s="448">
        <v>695</v>
      </c>
      <c r="B696" s="448" t="s">
        <v>4980</v>
      </c>
      <c r="C696" s="448" t="s">
        <v>4981</v>
      </c>
      <c r="D696" s="448" t="s">
        <v>4888</v>
      </c>
      <c r="E696" s="448" t="s">
        <v>2120</v>
      </c>
      <c r="F696" s="448" t="s">
        <v>3024</v>
      </c>
      <c r="G696" s="448" t="s">
        <v>4982</v>
      </c>
    </row>
    <row r="697" spans="1:7">
      <c r="A697" s="448">
        <v>696</v>
      </c>
      <c r="B697" s="448" t="s">
        <v>4983</v>
      </c>
      <c r="C697" s="448" t="s">
        <v>4984</v>
      </c>
      <c r="D697" s="448" t="s">
        <v>4888</v>
      </c>
      <c r="E697" s="448" t="s">
        <v>2120</v>
      </c>
      <c r="F697" s="448" t="s">
        <v>3024</v>
      </c>
      <c r="G697" s="448" t="s">
        <v>4985</v>
      </c>
    </row>
    <row r="698" spans="1:7">
      <c r="A698" s="448">
        <v>697</v>
      </c>
      <c r="B698" s="448" t="s">
        <v>4986</v>
      </c>
      <c r="C698" s="448" t="s">
        <v>4987</v>
      </c>
      <c r="D698" s="448" t="s">
        <v>4036</v>
      </c>
      <c r="E698" s="448" t="s">
        <v>3753</v>
      </c>
      <c r="F698" s="448" t="s">
        <v>3024</v>
      </c>
      <c r="G698" s="448" t="s">
        <v>4988</v>
      </c>
    </row>
    <row r="699" spans="1:7">
      <c r="A699" s="448">
        <v>698</v>
      </c>
      <c r="B699" s="448" t="s">
        <v>4989</v>
      </c>
      <c r="C699" s="448" t="s">
        <v>4990</v>
      </c>
      <c r="D699" s="448" t="s">
        <v>4036</v>
      </c>
      <c r="E699" s="448" t="s">
        <v>3753</v>
      </c>
      <c r="F699" s="448" t="s">
        <v>3024</v>
      </c>
      <c r="G699" s="448" t="s">
        <v>4991</v>
      </c>
    </row>
    <row r="700" spans="1:7">
      <c r="A700" s="448">
        <v>699</v>
      </c>
      <c r="B700" s="448" t="s">
        <v>4992</v>
      </c>
      <c r="C700" s="448" t="s">
        <v>4993</v>
      </c>
      <c r="D700" s="448" t="s">
        <v>4994</v>
      </c>
      <c r="E700" s="448" t="s">
        <v>3753</v>
      </c>
      <c r="F700" s="448" t="s">
        <v>3024</v>
      </c>
      <c r="G700" s="448" t="s">
        <v>4995</v>
      </c>
    </row>
    <row r="701" spans="1:7">
      <c r="A701" s="448">
        <v>700</v>
      </c>
      <c r="B701" s="448" t="s">
        <v>4996</v>
      </c>
      <c r="C701" s="448" t="s">
        <v>4997</v>
      </c>
      <c r="D701" s="448" t="s">
        <v>4998</v>
      </c>
      <c r="E701" s="448" t="s">
        <v>2120</v>
      </c>
      <c r="F701" s="448" t="s">
        <v>3024</v>
      </c>
      <c r="G701" s="448" t="s">
        <v>4999</v>
      </c>
    </row>
    <row r="702" spans="1:7">
      <c r="A702" s="448">
        <v>701</v>
      </c>
      <c r="B702" s="448" t="s">
        <v>5000</v>
      </c>
      <c r="C702" s="448" t="s">
        <v>5001</v>
      </c>
      <c r="D702" s="448" t="s">
        <v>4535</v>
      </c>
      <c r="E702" s="448" t="s">
        <v>2120</v>
      </c>
      <c r="F702" s="448" t="s">
        <v>3024</v>
      </c>
      <c r="G702" s="448" t="s">
        <v>5002</v>
      </c>
    </row>
    <row r="703" spans="1:7">
      <c r="A703" s="448">
        <v>702</v>
      </c>
      <c r="B703" s="448" t="s">
        <v>5003</v>
      </c>
      <c r="C703" s="448" t="s">
        <v>5004</v>
      </c>
      <c r="D703" s="448" t="s">
        <v>5005</v>
      </c>
      <c r="E703" s="448" t="s">
        <v>3753</v>
      </c>
      <c r="F703" s="448" t="s">
        <v>3024</v>
      </c>
      <c r="G703" s="448" t="s">
        <v>5006</v>
      </c>
    </row>
    <row r="704" spans="1:7">
      <c r="A704" s="448">
        <v>703</v>
      </c>
      <c r="B704" s="448" t="s">
        <v>5007</v>
      </c>
      <c r="C704" s="448" t="s">
        <v>5008</v>
      </c>
      <c r="D704" s="448" t="s">
        <v>5009</v>
      </c>
      <c r="E704" s="448" t="s">
        <v>2120</v>
      </c>
      <c r="F704" s="448" t="s">
        <v>3024</v>
      </c>
      <c r="G704" s="448" t="s">
        <v>5010</v>
      </c>
    </row>
    <row r="705" spans="1:7">
      <c r="A705" s="448">
        <v>704</v>
      </c>
      <c r="B705" s="448" t="s">
        <v>5011</v>
      </c>
      <c r="C705" s="448" t="s">
        <v>5012</v>
      </c>
      <c r="D705" s="448" t="s">
        <v>5009</v>
      </c>
      <c r="E705" s="448" t="s">
        <v>2120</v>
      </c>
      <c r="F705" s="448" t="s">
        <v>3024</v>
      </c>
      <c r="G705" s="448" t="s">
        <v>5013</v>
      </c>
    </row>
    <row r="706" spans="1:7">
      <c r="A706" s="448">
        <v>705</v>
      </c>
      <c r="B706" s="448" t="s">
        <v>5014</v>
      </c>
      <c r="C706" s="448" t="s">
        <v>5015</v>
      </c>
      <c r="D706" s="448" t="s">
        <v>579</v>
      </c>
      <c r="E706" s="448" t="s">
        <v>2120</v>
      </c>
      <c r="F706" s="448" t="s">
        <v>3024</v>
      </c>
      <c r="G706" s="448" t="s">
        <v>5016</v>
      </c>
    </row>
    <row r="707" spans="1:7">
      <c r="A707" s="448">
        <v>706</v>
      </c>
      <c r="B707" s="448" t="s">
        <v>5017</v>
      </c>
      <c r="C707" s="448" t="s">
        <v>5018</v>
      </c>
      <c r="D707" s="448" t="s">
        <v>5009</v>
      </c>
      <c r="E707" s="448" t="s">
        <v>2120</v>
      </c>
      <c r="F707" s="448" t="s">
        <v>3024</v>
      </c>
      <c r="G707" s="448" t="s">
        <v>5019</v>
      </c>
    </row>
    <row r="708" spans="1:7">
      <c r="A708" s="448">
        <v>707</v>
      </c>
      <c r="B708" s="448" t="s">
        <v>5020</v>
      </c>
      <c r="C708" s="448" t="s">
        <v>5021</v>
      </c>
      <c r="D708" s="448" t="s">
        <v>4597</v>
      </c>
      <c r="E708" s="448" t="s">
        <v>2120</v>
      </c>
      <c r="F708" s="448" t="s">
        <v>3024</v>
      </c>
      <c r="G708" s="448" t="s">
        <v>5022</v>
      </c>
    </row>
    <row r="709" spans="1:7">
      <c r="A709" s="448">
        <v>708</v>
      </c>
      <c r="B709" s="448" t="s">
        <v>5023</v>
      </c>
      <c r="C709" s="448" t="s">
        <v>5024</v>
      </c>
      <c r="D709" s="448" t="s">
        <v>4597</v>
      </c>
      <c r="E709" s="448" t="s">
        <v>2120</v>
      </c>
      <c r="F709" s="448" t="s">
        <v>3024</v>
      </c>
      <c r="G709" s="448" t="s">
        <v>5025</v>
      </c>
    </row>
    <row r="710" spans="1:7">
      <c r="A710" s="448">
        <v>709</v>
      </c>
      <c r="B710" s="448" t="s">
        <v>5026</v>
      </c>
      <c r="C710" s="448" t="s">
        <v>5027</v>
      </c>
      <c r="D710" s="448" t="s">
        <v>4597</v>
      </c>
      <c r="E710" s="448" t="s">
        <v>2120</v>
      </c>
      <c r="F710" s="448" t="s">
        <v>3024</v>
      </c>
      <c r="G710" s="448" t="s">
        <v>5028</v>
      </c>
    </row>
    <row r="711" spans="1:7">
      <c r="A711" s="448">
        <v>710</v>
      </c>
      <c r="B711" s="448" t="s">
        <v>5029</v>
      </c>
      <c r="C711" s="448" t="s">
        <v>5030</v>
      </c>
      <c r="D711" s="448" t="s">
        <v>4597</v>
      </c>
      <c r="E711" s="448" t="s">
        <v>2120</v>
      </c>
      <c r="F711" s="448" t="s">
        <v>3024</v>
      </c>
      <c r="G711" s="448" t="s">
        <v>5031</v>
      </c>
    </row>
    <row r="712" spans="1:7">
      <c r="A712" s="448">
        <v>711</v>
      </c>
      <c r="B712" s="448" t="s">
        <v>5032</v>
      </c>
      <c r="C712" s="448" t="s">
        <v>5033</v>
      </c>
      <c r="D712" s="448" t="s">
        <v>4597</v>
      </c>
      <c r="E712" s="448" t="s">
        <v>2120</v>
      </c>
      <c r="F712" s="448" t="s">
        <v>3024</v>
      </c>
      <c r="G712" s="448" t="s">
        <v>5034</v>
      </c>
    </row>
    <row r="713" spans="1:7">
      <c r="A713" s="448">
        <v>712</v>
      </c>
      <c r="B713" s="448" t="s">
        <v>5035</v>
      </c>
      <c r="C713" s="448" t="s">
        <v>5036</v>
      </c>
      <c r="D713" s="448" t="s">
        <v>4597</v>
      </c>
      <c r="E713" s="448" t="s">
        <v>2120</v>
      </c>
      <c r="F713" s="448" t="s">
        <v>3024</v>
      </c>
      <c r="G713" s="448" t="s">
        <v>5037</v>
      </c>
    </row>
    <row r="714" spans="1:7">
      <c r="A714" s="448">
        <v>713</v>
      </c>
      <c r="B714" s="448" t="s">
        <v>5038</v>
      </c>
      <c r="C714" s="448" t="s">
        <v>5039</v>
      </c>
      <c r="D714" s="448" t="s">
        <v>3879</v>
      </c>
      <c r="E714" s="448" t="s">
        <v>2120</v>
      </c>
      <c r="F714" s="448" t="s">
        <v>3024</v>
      </c>
      <c r="G714" s="448" t="s">
        <v>4334</v>
      </c>
    </row>
    <row r="715" spans="1:7">
      <c r="A715" s="448">
        <v>714</v>
      </c>
      <c r="B715" s="448" t="s">
        <v>5040</v>
      </c>
      <c r="C715" s="448" t="s">
        <v>5041</v>
      </c>
      <c r="D715" s="448" t="s">
        <v>3879</v>
      </c>
      <c r="E715" s="448" t="s">
        <v>2120</v>
      </c>
      <c r="F715" s="448" t="s">
        <v>3024</v>
      </c>
      <c r="G715" s="448" t="s">
        <v>4315</v>
      </c>
    </row>
    <row r="716" spans="1:7">
      <c r="A716" s="448">
        <v>715</v>
      </c>
      <c r="B716" s="448" t="s">
        <v>5042</v>
      </c>
      <c r="C716" s="448" t="s">
        <v>5043</v>
      </c>
      <c r="D716" s="448" t="s">
        <v>3879</v>
      </c>
      <c r="E716" s="448" t="s">
        <v>2120</v>
      </c>
      <c r="F716" s="448" t="s">
        <v>3024</v>
      </c>
      <c r="G716" s="448" t="s">
        <v>5044</v>
      </c>
    </row>
    <row r="717" spans="1:7">
      <c r="A717" s="448">
        <v>716</v>
      </c>
      <c r="B717" s="448" t="s">
        <v>5045</v>
      </c>
      <c r="C717" s="448" t="s">
        <v>5046</v>
      </c>
      <c r="D717" s="448" t="s">
        <v>4535</v>
      </c>
      <c r="E717" s="448" t="s">
        <v>2120</v>
      </c>
      <c r="F717" s="448" t="s">
        <v>3024</v>
      </c>
      <c r="G717" s="448" t="s">
        <v>5047</v>
      </c>
    </row>
    <row r="718" spans="1:7">
      <c r="A718" s="448">
        <v>717</v>
      </c>
      <c r="B718" s="448" t="s">
        <v>5048</v>
      </c>
      <c r="C718" s="448" t="s">
        <v>5049</v>
      </c>
      <c r="D718" s="448" t="s">
        <v>4535</v>
      </c>
      <c r="E718" s="448" t="s">
        <v>2120</v>
      </c>
      <c r="F718" s="448" t="s">
        <v>3024</v>
      </c>
      <c r="G718" s="448" t="s">
        <v>5050</v>
      </c>
    </row>
    <row r="719" spans="1:7">
      <c r="A719" s="448">
        <v>718</v>
      </c>
      <c r="B719" s="448" t="s">
        <v>5051</v>
      </c>
      <c r="C719" s="448" t="s">
        <v>5052</v>
      </c>
      <c r="D719" s="448" t="s">
        <v>4535</v>
      </c>
      <c r="E719" s="448" t="s">
        <v>2120</v>
      </c>
      <c r="F719" s="448" t="s">
        <v>3024</v>
      </c>
      <c r="G719" s="448" t="s">
        <v>3747</v>
      </c>
    </row>
    <row r="720" spans="1:7">
      <c r="A720" s="448">
        <v>719</v>
      </c>
      <c r="B720" s="448" t="s">
        <v>5053</v>
      </c>
      <c r="C720" s="448" t="s">
        <v>5054</v>
      </c>
      <c r="D720" s="448" t="s">
        <v>4535</v>
      </c>
      <c r="E720" s="448" t="s">
        <v>2120</v>
      </c>
      <c r="F720" s="448" t="s">
        <v>3024</v>
      </c>
      <c r="G720" s="448" t="s">
        <v>3880</v>
      </c>
    </row>
    <row r="721" spans="1:7">
      <c r="A721" s="448">
        <v>720</v>
      </c>
      <c r="B721" s="448" t="s">
        <v>5055</v>
      </c>
      <c r="C721" s="448" t="s">
        <v>5056</v>
      </c>
      <c r="D721" s="448" t="s">
        <v>4535</v>
      </c>
      <c r="E721" s="448" t="s">
        <v>2120</v>
      </c>
      <c r="F721" s="448" t="s">
        <v>3024</v>
      </c>
      <c r="G721" s="448" t="s">
        <v>5057</v>
      </c>
    </row>
    <row r="722" spans="1:7">
      <c r="A722" s="448">
        <v>721</v>
      </c>
      <c r="B722" s="448" t="s">
        <v>5058</v>
      </c>
      <c r="C722" s="448" t="s">
        <v>5059</v>
      </c>
      <c r="D722" s="448" t="s">
        <v>4535</v>
      </c>
      <c r="E722" s="448" t="s">
        <v>2120</v>
      </c>
      <c r="F722" s="448" t="s">
        <v>3024</v>
      </c>
      <c r="G722" s="448" t="s">
        <v>5060</v>
      </c>
    </row>
    <row r="723" spans="1:7">
      <c r="A723" s="448">
        <v>722</v>
      </c>
      <c r="B723" s="448" t="s">
        <v>5061</v>
      </c>
      <c r="C723" s="448" t="s">
        <v>5062</v>
      </c>
      <c r="D723" s="448" t="s">
        <v>4535</v>
      </c>
      <c r="E723" s="448" t="s">
        <v>2120</v>
      </c>
      <c r="F723" s="448" t="s">
        <v>3024</v>
      </c>
      <c r="G723" s="448" t="s">
        <v>4776</v>
      </c>
    </row>
    <row r="724" spans="1:7">
      <c r="A724" s="448">
        <v>723</v>
      </c>
      <c r="B724" s="448" t="s">
        <v>5063</v>
      </c>
      <c r="C724" s="448" t="s">
        <v>5064</v>
      </c>
      <c r="D724" s="448" t="s">
        <v>4535</v>
      </c>
      <c r="E724" s="448" t="s">
        <v>2120</v>
      </c>
      <c r="F724" s="448" t="s">
        <v>3024</v>
      </c>
      <c r="G724" s="448" t="s">
        <v>4787</v>
      </c>
    </row>
    <row r="725" spans="1:7">
      <c r="A725" s="448">
        <v>724</v>
      </c>
      <c r="B725" s="448" t="s">
        <v>5065</v>
      </c>
      <c r="C725" s="448" t="s">
        <v>5066</v>
      </c>
      <c r="D725" s="448" t="s">
        <v>4535</v>
      </c>
      <c r="E725" s="448" t="s">
        <v>2120</v>
      </c>
      <c r="F725" s="448" t="s">
        <v>3024</v>
      </c>
      <c r="G725" s="448" t="s">
        <v>4793</v>
      </c>
    </row>
    <row r="726" spans="1:7">
      <c r="A726" s="448">
        <v>725</v>
      </c>
      <c r="B726" s="448" t="s">
        <v>5067</v>
      </c>
      <c r="C726" s="448" t="s">
        <v>5068</v>
      </c>
      <c r="D726" s="448" t="s">
        <v>4535</v>
      </c>
      <c r="E726" s="448" t="s">
        <v>2120</v>
      </c>
      <c r="F726" s="448" t="s">
        <v>3024</v>
      </c>
      <c r="G726" s="448" t="s">
        <v>5069</v>
      </c>
    </row>
    <row r="727" spans="1:7">
      <c r="A727" s="448">
        <v>726</v>
      </c>
      <c r="B727" s="448" t="s">
        <v>5070</v>
      </c>
      <c r="C727" s="448" t="s">
        <v>5071</v>
      </c>
      <c r="D727" s="448" t="s">
        <v>4535</v>
      </c>
      <c r="E727" s="448" t="s">
        <v>2120</v>
      </c>
      <c r="F727" s="448" t="s">
        <v>3024</v>
      </c>
      <c r="G727" s="448" t="s">
        <v>5072</v>
      </c>
    </row>
    <row r="728" spans="1:7">
      <c r="A728" s="448">
        <v>727</v>
      </c>
      <c r="B728" s="448" t="s">
        <v>5073</v>
      </c>
      <c r="C728" s="448" t="s">
        <v>5074</v>
      </c>
      <c r="D728" s="448" t="s">
        <v>4535</v>
      </c>
      <c r="E728" s="448" t="s">
        <v>2120</v>
      </c>
      <c r="F728" s="448" t="s">
        <v>3024</v>
      </c>
      <c r="G728" s="448" t="s">
        <v>4081</v>
      </c>
    </row>
    <row r="729" spans="1:7">
      <c r="A729" s="448">
        <v>728</v>
      </c>
      <c r="B729" s="448" t="s">
        <v>5075</v>
      </c>
      <c r="C729" s="448" t="s">
        <v>5076</v>
      </c>
      <c r="D729" s="448" t="s">
        <v>4535</v>
      </c>
      <c r="E729" s="448" t="s">
        <v>2120</v>
      </c>
      <c r="F729" s="448" t="s">
        <v>3024</v>
      </c>
      <c r="G729" s="448" t="s">
        <v>5077</v>
      </c>
    </row>
    <row r="730" spans="1:7">
      <c r="A730" s="448">
        <v>729</v>
      </c>
      <c r="B730" s="448" t="s">
        <v>5078</v>
      </c>
      <c r="C730" s="448" t="s">
        <v>5079</v>
      </c>
      <c r="D730" s="448" t="s">
        <v>4535</v>
      </c>
      <c r="E730" s="448" t="s">
        <v>2120</v>
      </c>
      <c r="F730" s="448" t="s">
        <v>3024</v>
      </c>
      <c r="G730" s="448" t="s">
        <v>3602</v>
      </c>
    </row>
    <row r="731" spans="1:7">
      <c r="A731" s="448">
        <v>730</v>
      </c>
      <c r="B731" s="448" t="s">
        <v>5080</v>
      </c>
      <c r="C731" s="448" t="s">
        <v>5081</v>
      </c>
      <c r="D731" s="448" t="s">
        <v>4535</v>
      </c>
      <c r="E731" s="448" t="s">
        <v>2120</v>
      </c>
      <c r="F731" s="448" t="s">
        <v>3024</v>
      </c>
      <c r="G731" s="448" t="s">
        <v>5082</v>
      </c>
    </row>
    <row r="732" spans="1:7">
      <c r="A732" s="448">
        <v>731</v>
      </c>
      <c r="B732" s="448" t="s">
        <v>5083</v>
      </c>
      <c r="C732" s="448" t="s">
        <v>5084</v>
      </c>
      <c r="D732" s="448" t="s">
        <v>4535</v>
      </c>
      <c r="E732" s="448" t="s">
        <v>2120</v>
      </c>
      <c r="F732" s="448" t="s">
        <v>3024</v>
      </c>
      <c r="G732" s="448" t="s">
        <v>5085</v>
      </c>
    </row>
    <row r="733" spans="1:7">
      <c r="A733" s="448">
        <v>732</v>
      </c>
      <c r="B733" s="448" t="s">
        <v>5086</v>
      </c>
      <c r="C733" s="448" t="s">
        <v>5087</v>
      </c>
      <c r="D733" s="448" t="s">
        <v>4535</v>
      </c>
      <c r="E733" s="448" t="s">
        <v>2120</v>
      </c>
      <c r="F733" s="448" t="s">
        <v>3024</v>
      </c>
      <c r="G733" s="448" t="s">
        <v>5088</v>
      </c>
    </row>
    <row r="734" spans="1:7">
      <c r="A734" s="448">
        <v>733</v>
      </c>
      <c r="B734" s="448" t="s">
        <v>5089</v>
      </c>
      <c r="C734" s="448" t="s">
        <v>5090</v>
      </c>
      <c r="D734" s="448" t="s">
        <v>4535</v>
      </c>
      <c r="E734" s="448" t="s">
        <v>2120</v>
      </c>
      <c r="F734" s="448" t="s">
        <v>3024</v>
      </c>
      <c r="G734" s="448" t="s">
        <v>5091</v>
      </c>
    </row>
    <row r="735" spans="1:7">
      <c r="A735" s="448">
        <v>734</v>
      </c>
      <c r="B735" s="448" t="s">
        <v>5092</v>
      </c>
      <c r="C735" s="448" t="s">
        <v>5093</v>
      </c>
      <c r="D735" s="448" t="s">
        <v>4535</v>
      </c>
      <c r="E735" s="448" t="s">
        <v>2120</v>
      </c>
      <c r="F735" s="448" t="s">
        <v>3024</v>
      </c>
      <c r="G735" s="448" t="s">
        <v>5094</v>
      </c>
    </row>
    <row r="736" spans="1:7">
      <c r="A736" s="448">
        <v>735</v>
      </c>
      <c r="B736" s="448" t="s">
        <v>5095</v>
      </c>
      <c r="C736" s="448" t="s">
        <v>5096</v>
      </c>
      <c r="D736" s="448" t="s">
        <v>4535</v>
      </c>
      <c r="E736" s="448" t="s">
        <v>2120</v>
      </c>
      <c r="F736" s="448" t="s">
        <v>3024</v>
      </c>
      <c r="G736" s="448" t="s">
        <v>5097</v>
      </c>
    </row>
    <row r="737" spans="1:7">
      <c r="A737" s="448">
        <v>736</v>
      </c>
      <c r="B737" s="448" t="s">
        <v>5098</v>
      </c>
      <c r="C737" s="448" t="s">
        <v>5099</v>
      </c>
      <c r="D737" s="448" t="s">
        <v>4535</v>
      </c>
      <c r="E737" s="448" t="s">
        <v>2120</v>
      </c>
      <c r="F737" s="448" t="s">
        <v>3024</v>
      </c>
      <c r="G737" s="448" t="s">
        <v>5100</v>
      </c>
    </row>
    <row r="738" spans="1:7">
      <c r="A738" s="448">
        <v>737</v>
      </c>
      <c r="B738" s="448" t="s">
        <v>5101</v>
      </c>
      <c r="C738" s="448" t="s">
        <v>5102</v>
      </c>
      <c r="D738" s="448" t="s">
        <v>4535</v>
      </c>
      <c r="E738" s="448" t="s">
        <v>2120</v>
      </c>
      <c r="F738" s="448" t="s">
        <v>3024</v>
      </c>
      <c r="G738" s="448" t="s">
        <v>4765</v>
      </c>
    </row>
    <row r="739" spans="1:7">
      <c r="A739" s="448">
        <v>738</v>
      </c>
      <c r="B739" s="448" t="s">
        <v>5103</v>
      </c>
      <c r="C739" s="448" t="s">
        <v>5104</v>
      </c>
      <c r="D739" s="448" t="s">
        <v>523</v>
      </c>
      <c r="E739" s="448" t="s">
        <v>2120</v>
      </c>
      <c r="F739" s="448" t="s">
        <v>3024</v>
      </c>
      <c r="G739" s="448" t="s">
        <v>5105</v>
      </c>
    </row>
    <row r="740" spans="1:7">
      <c r="A740" s="448">
        <v>739</v>
      </c>
      <c r="B740" s="448" t="s">
        <v>5106</v>
      </c>
      <c r="C740" s="448" t="s">
        <v>5107</v>
      </c>
      <c r="D740" s="448" t="s">
        <v>3363</v>
      </c>
      <c r="E740" s="448" t="s">
        <v>2120</v>
      </c>
      <c r="F740" s="448" t="s">
        <v>3024</v>
      </c>
      <c r="G740" s="448" t="s">
        <v>4327</v>
      </c>
    </row>
    <row r="741" spans="1:7">
      <c r="A741" s="448">
        <v>740</v>
      </c>
      <c r="B741" s="448" t="s">
        <v>5108</v>
      </c>
      <c r="C741" s="448" t="s">
        <v>5109</v>
      </c>
      <c r="D741" s="448" t="s">
        <v>3363</v>
      </c>
      <c r="E741" s="448" t="s">
        <v>2120</v>
      </c>
      <c r="F741" s="448" t="s">
        <v>3024</v>
      </c>
      <c r="G741" s="448" t="s">
        <v>5110</v>
      </c>
    </row>
    <row r="742" spans="1:7">
      <c r="A742" s="448">
        <v>741</v>
      </c>
      <c r="B742" s="448" t="s">
        <v>5111</v>
      </c>
      <c r="C742" s="448" t="s">
        <v>5112</v>
      </c>
      <c r="D742" s="448" t="s">
        <v>3363</v>
      </c>
      <c r="E742" s="448" t="s">
        <v>2120</v>
      </c>
      <c r="F742" s="448" t="s">
        <v>3024</v>
      </c>
      <c r="G742" s="448" t="s">
        <v>5044</v>
      </c>
    </row>
    <row r="743" spans="1:7">
      <c r="A743" s="448">
        <v>742</v>
      </c>
      <c r="B743" s="448" t="s">
        <v>5113</v>
      </c>
      <c r="C743" s="448" t="s">
        <v>5114</v>
      </c>
      <c r="D743" s="448" t="s">
        <v>3363</v>
      </c>
      <c r="E743" s="448" t="s">
        <v>2120</v>
      </c>
      <c r="F743" s="448" t="s">
        <v>3024</v>
      </c>
      <c r="G743" s="448" t="s">
        <v>5115</v>
      </c>
    </row>
    <row r="744" spans="1:7">
      <c r="A744" s="448">
        <v>743</v>
      </c>
      <c r="B744" s="448" t="s">
        <v>5116</v>
      </c>
      <c r="C744" s="448" t="s">
        <v>5117</v>
      </c>
      <c r="D744" s="448" t="s">
        <v>3363</v>
      </c>
      <c r="E744" s="448" t="s">
        <v>2120</v>
      </c>
      <c r="F744" s="448" t="s">
        <v>3024</v>
      </c>
      <c r="G744" s="448" t="s">
        <v>5118</v>
      </c>
    </row>
    <row r="745" spans="1:7">
      <c r="A745" s="448">
        <v>744</v>
      </c>
      <c r="B745" s="448" t="s">
        <v>5119</v>
      </c>
      <c r="C745" s="448" t="s">
        <v>5120</v>
      </c>
      <c r="D745" s="448" t="s">
        <v>3363</v>
      </c>
      <c r="E745" s="448" t="s">
        <v>2120</v>
      </c>
      <c r="F745" s="448" t="s">
        <v>3024</v>
      </c>
      <c r="G745" s="448" t="s">
        <v>4315</v>
      </c>
    </row>
    <row r="746" spans="1:7">
      <c r="A746" s="448">
        <v>745</v>
      </c>
      <c r="B746" s="448" t="s">
        <v>5121</v>
      </c>
      <c r="C746" s="448" t="s">
        <v>5122</v>
      </c>
      <c r="D746" s="448" t="s">
        <v>3363</v>
      </c>
      <c r="E746" s="448" t="s">
        <v>2120</v>
      </c>
      <c r="F746" s="448" t="s">
        <v>3024</v>
      </c>
      <c r="G746" s="448" t="s">
        <v>4917</v>
      </c>
    </row>
    <row r="747" spans="1:7">
      <c r="A747" s="448">
        <v>746</v>
      </c>
      <c r="B747" s="448" t="s">
        <v>5123</v>
      </c>
      <c r="C747" s="448" t="s">
        <v>5124</v>
      </c>
      <c r="D747" s="448" t="s">
        <v>3363</v>
      </c>
      <c r="E747" s="448" t="s">
        <v>2120</v>
      </c>
      <c r="F747" s="448" t="s">
        <v>3024</v>
      </c>
      <c r="G747" s="448" t="s">
        <v>4230</v>
      </c>
    </row>
    <row r="748" spans="1:7">
      <c r="A748" s="448">
        <v>747</v>
      </c>
      <c r="B748" s="448" t="s">
        <v>5125</v>
      </c>
      <c r="C748" s="448" t="s">
        <v>5126</v>
      </c>
      <c r="D748" s="448" t="s">
        <v>3363</v>
      </c>
      <c r="E748" s="448" t="s">
        <v>2120</v>
      </c>
      <c r="F748" s="448" t="s">
        <v>3024</v>
      </c>
      <c r="G748" s="448" t="s">
        <v>5127</v>
      </c>
    </row>
    <row r="749" spans="1:7">
      <c r="A749" s="448">
        <v>748</v>
      </c>
      <c r="B749" s="448" t="s">
        <v>5128</v>
      </c>
      <c r="C749" s="448" t="s">
        <v>5129</v>
      </c>
      <c r="D749" s="448" t="s">
        <v>3363</v>
      </c>
      <c r="E749" s="448" t="s">
        <v>2120</v>
      </c>
      <c r="F749" s="448" t="s">
        <v>3024</v>
      </c>
      <c r="G749" s="448" t="s">
        <v>5118</v>
      </c>
    </row>
    <row r="750" spans="1:7">
      <c r="A750" s="448">
        <v>749</v>
      </c>
      <c r="B750" s="448" t="s">
        <v>5130</v>
      </c>
      <c r="C750" s="448" t="s">
        <v>5131</v>
      </c>
      <c r="D750" s="448" t="s">
        <v>4535</v>
      </c>
      <c r="E750" s="448" t="s">
        <v>2120</v>
      </c>
      <c r="F750" s="448" t="s">
        <v>3024</v>
      </c>
      <c r="G750" s="448" t="s">
        <v>5132</v>
      </c>
    </row>
    <row r="751" spans="1:7">
      <c r="A751" s="448">
        <v>750</v>
      </c>
      <c r="B751" s="448" t="s">
        <v>5133</v>
      </c>
      <c r="C751" s="448" t="s">
        <v>5134</v>
      </c>
      <c r="D751" s="448" t="s">
        <v>4535</v>
      </c>
      <c r="E751" s="448" t="s">
        <v>2120</v>
      </c>
      <c r="F751" s="448" t="s">
        <v>3024</v>
      </c>
      <c r="G751" s="448" t="s">
        <v>5050</v>
      </c>
    </row>
    <row r="752" spans="1:7">
      <c r="A752" s="448">
        <v>751</v>
      </c>
      <c r="B752" s="448" t="s">
        <v>5135</v>
      </c>
      <c r="C752" s="448" t="s">
        <v>5136</v>
      </c>
      <c r="D752" s="448" t="s">
        <v>4535</v>
      </c>
      <c r="E752" s="448" t="s">
        <v>2120</v>
      </c>
      <c r="F752" s="448" t="s">
        <v>3024</v>
      </c>
      <c r="G752" s="448" t="s">
        <v>3773</v>
      </c>
    </row>
    <row r="753" spans="1:7">
      <c r="A753" s="448">
        <v>752</v>
      </c>
      <c r="B753" s="448" t="s">
        <v>5137</v>
      </c>
      <c r="C753" s="448" t="s">
        <v>5138</v>
      </c>
      <c r="D753" s="448" t="s">
        <v>4535</v>
      </c>
      <c r="E753" s="448" t="s">
        <v>2120</v>
      </c>
      <c r="F753" s="448" t="s">
        <v>3024</v>
      </c>
      <c r="G753" s="448" t="s">
        <v>4327</v>
      </c>
    </row>
    <row r="754" spans="1:7">
      <c r="A754" s="448">
        <v>753</v>
      </c>
      <c r="B754" s="448" t="s">
        <v>5139</v>
      </c>
      <c r="C754" s="448" t="s">
        <v>5140</v>
      </c>
      <c r="D754" s="448" t="s">
        <v>4535</v>
      </c>
      <c r="E754" s="448" t="s">
        <v>2120</v>
      </c>
      <c r="F754" s="448" t="s">
        <v>3024</v>
      </c>
      <c r="G754" s="448" t="s">
        <v>5050</v>
      </c>
    </row>
    <row r="755" spans="1:7">
      <c r="A755" s="448">
        <v>754</v>
      </c>
      <c r="B755" s="448" t="s">
        <v>5141</v>
      </c>
      <c r="C755" s="448" t="s">
        <v>5142</v>
      </c>
      <c r="D755" s="448" t="s">
        <v>4535</v>
      </c>
      <c r="E755" s="448" t="s">
        <v>2120</v>
      </c>
      <c r="F755" s="448" t="s">
        <v>3024</v>
      </c>
      <c r="G755" s="448" t="s">
        <v>4159</v>
      </c>
    </row>
    <row r="756" spans="1:7">
      <c r="A756" s="448">
        <v>755</v>
      </c>
      <c r="B756" s="448" t="s">
        <v>5143</v>
      </c>
      <c r="C756" s="448" t="s">
        <v>5144</v>
      </c>
      <c r="D756" s="448" t="s">
        <v>4535</v>
      </c>
      <c r="E756" s="448" t="s">
        <v>2120</v>
      </c>
      <c r="F756" s="448" t="s">
        <v>3024</v>
      </c>
      <c r="G756" s="448" t="s">
        <v>4152</v>
      </c>
    </row>
    <row r="757" spans="1:7">
      <c r="A757" s="448">
        <v>756</v>
      </c>
      <c r="B757" s="448" t="s">
        <v>5145</v>
      </c>
      <c r="C757" s="448" t="s">
        <v>5146</v>
      </c>
      <c r="D757" s="448" t="s">
        <v>4535</v>
      </c>
      <c r="E757" s="448" t="s">
        <v>2120</v>
      </c>
      <c r="F757" s="448" t="s">
        <v>3024</v>
      </c>
      <c r="G757" s="448" t="s">
        <v>4235</v>
      </c>
    </row>
    <row r="758" spans="1:7">
      <c r="A758" s="448">
        <v>757</v>
      </c>
      <c r="B758" s="448" t="s">
        <v>5147</v>
      </c>
      <c r="C758" s="448" t="s">
        <v>5148</v>
      </c>
      <c r="D758" s="448" t="s">
        <v>4535</v>
      </c>
      <c r="E758" s="448" t="s">
        <v>2120</v>
      </c>
      <c r="F758" s="448" t="s">
        <v>3024</v>
      </c>
      <c r="G758" s="448" t="s">
        <v>4730</v>
      </c>
    </row>
    <row r="759" spans="1:7">
      <c r="A759" s="448">
        <v>758</v>
      </c>
      <c r="B759" s="448" t="s">
        <v>5149</v>
      </c>
      <c r="C759" s="448" t="s">
        <v>5150</v>
      </c>
      <c r="D759" s="448" t="s">
        <v>4535</v>
      </c>
      <c r="E759" s="448" t="s">
        <v>2120</v>
      </c>
      <c r="F759" s="448" t="s">
        <v>3024</v>
      </c>
      <c r="G759" s="448" t="s">
        <v>5151</v>
      </c>
    </row>
    <row r="760" spans="1:7">
      <c r="A760" s="448">
        <v>759</v>
      </c>
      <c r="B760" s="448" t="s">
        <v>5152</v>
      </c>
      <c r="C760" s="448" t="s">
        <v>5153</v>
      </c>
      <c r="D760" s="448" t="s">
        <v>4535</v>
      </c>
      <c r="E760" s="448" t="s">
        <v>2120</v>
      </c>
      <c r="F760" s="448" t="s">
        <v>3024</v>
      </c>
      <c r="G760" s="448" t="s">
        <v>5069</v>
      </c>
    </row>
    <row r="761" spans="1:7">
      <c r="A761" s="448">
        <v>760</v>
      </c>
      <c r="B761" s="448" t="s">
        <v>5154</v>
      </c>
      <c r="C761" s="448" t="s">
        <v>5155</v>
      </c>
      <c r="D761" s="448" t="s">
        <v>4535</v>
      </c>
      <c r="E761" s="448" t="s">
        <v>2120</v>
      </c>
      <c r="F761" s="448" t="s">
        <v>3024</v>
      </c>
      <c r="G761" s="448" t="s">
        <v>5156</v>
      </c>
    </row>
    <row r="762" spans="1:7">
      <c r="A762" s="448">
        <v>761</v>
      </c>
      <c r="B762" s="448" t="s">
        <v>5157</v>
      </c>
      <c r="C762" s="448" t="s">
        <v>5158</v>
      </c>
      <c r="D762" s="448" t="s">
        <v>4901</v>
      </c>
      <c r="E762" s="448" t="s">
        <v>2120</v>
      </c>
      <c r="F762" s="448" t="s">
        <v>3024</v>
      </c>
      <c r="G762" s="448" t="s">
        <v>5159</v>
      </c>
    </row>
    <row r="763" spans="1:7">
      <c r="A763" s="448">
        <v>762</v>
      </c>
      <c r="B763" s="448" t="s">
        <v>5160</v>
      </c>
      <c r="C763" s="448" t="s">
        <v>5161</v>
      </c>
      <c r="D763" s="448" t="s">
        <v>4901</v>
      </c>
      <c r="E763" s="448" t="s">
        <v>2120</v>
      </c>
      <c r="F763" s="448" t="s">
        <v>3024</v>
      </c>
      <c r="G763" s="448" t="s">
        <v>5162</v>
      </c>
    </row>
    <row r="764" spans="1:7">
      <c r="A764" s="448">
        <v>763</v>
      </c>
      <c r="B764" s="448" t="s">
        <v>5163</v>
      </c>
      <c r="C764" s="448" t="s">
        <v>5164</v>
      </c>
      <c r="D764" s="448" t="s">
        <v>4901</v>
      </c>
      <c r="E764" s="448" t="s">
        <v>2120</v>
      </c>
      <c r="F764" s="448" t="s">
        <v>3024</v>
      </c>
      <c r="G764" s="448" t="s">
        <v>5165</v>
      </c>
    </row>
    <row r="765" spans="1:7">
      <c r="A765" s="448">
        <v>764</v>
      </c>
      <c r="B765" s="448" t="s">
        <v>5166</v>
      </c>
      <c r="C765" s="448" t="s">
        <v>5167</v>
      </c>
      <c r="D765" s="448" t="s">
        <v>4901</v>
      </c>
      <c r="E765" s="448" t="s">
        <v>2120</v>
      </c>
      <c r="F765" s="448" t="s">
        <v>3024</v>
      </c>
      <c r="G765" s="448" t="s">
        <v>5168</v>
      </c>
    </row>
    <row r="766" spans="1:7">
      <c r="A766" s="448">
        <v>765</v>
      </c>
      <c r="B766" s="448" t="s">
        <v>5169</v>
      </c>
      <c r="C766" s="448" t="s">
        <v>5170</v>
      </c>
      <c r="D766" s="448" t="s">
        <v>4901</v>
      </c>
      <c r="E766" s="448" t="s">
        <v>2120</v>
      </c>
      <c r="F766" s="448" t="s">
        <v>3024</v>
      </c>
      <c r="G766" s="448" t="s">
        <v>5171</v>
      </c>
    </row>
    <row r="767" spans="1:7">
      <c r="A767" s="448">
        <v>766</v>
      </c>
      <c r="B767" s="448" t="s">
        <v>5172</v>
      </c>
      <c r="C767" s="448" t="s">
        <v>5173</v>
      </c>
      <c r="D767" s="448" t="s">
        <v>4901</v>
      </c>
      <c r="E767" s="448" t="s">
        <v>2120</v>
      </c>
      <c r="F767" s="448" t="s">
        <v>3024</v>
      </c>
      <c r="G767" s="448" t="s">
        <v>5174</v>
      </c>
    </row>
    <row r="768" spans="1:7">
      <c r="A768" s="448">
        <v>767</v>
      </c>
      <c r="B768" s="448" t="s">
        <v>5175</v>
      </c>
      <c r="C768" s="448" t="s">
        <v>5176</v>
      </c>
      <c r="D768" s="448" t="s">
        <v>4901</v>
      </c>
      <c r="E768" s="448" t="s">
        <v>2120</v>
      </c>
      <c r="F768" s="448" t="s">
        <v>3024</v>
      </c>
      <c r="G768" s="448" t="s">
        <v>5177</v>
      </c>
    </row>
    <row r="769" spans="1:7">
      <c r="A769" s="448">
        <v>768</v>
      </c>
      <c r="B769" s="448" t="s">
        <v>5178</v>
      </c>
      <c r="C769" s="448" t="s">
        <v>5179</v>
      </c>
      <c r="D769" s="448" t="s">
        <v>4901</v>
      </c>
      <c r="E769" s="448" t="s">
        <v>2120</v>
      </c>
      <c r="F769" s="448" t="s">
        <v>3024</v>
      </c>
      <c r="G769" s="448" t="s">
        <v>5180</v>
      </c>
    </row>
    <row r="770" spans="1:7">
      <c r="A770" s="448">
        <v>769</v>
      </c>
      <c r="B770" s="448" t="s">
        <v>5181</v>
      </c>
      <c r="C770" s="448" t="s">
        <v>5182</v>
      </c>
      <c r="D770" s="448" t="s">
        <v>4901</v>
      </c>
      <c r="E770" s="448" t="s">
        <v>2120</v>
      </c>
      <c r="F770" s="448" t="s">
        <v>3024</v>
      </c>
      <c r="G770" s="448" t="s">
        <v>5171</v>
      </c>
    </row>
    <row r="771" spans="1:7">
      <c r="A771" s="448">
        <v>770</v>
      </c>
      <c r="B771" s="448" t="s">
        <v>5183</v>
      </c>
      <c r="C771" s="448" t="s">
        <v>5184</v>
      </c>
      <c r="D771" s="448" t="s">
        <v>4901</v>
      </c>
      <c r="E771" s="448" t="s">
        <v>2120</v>
      </c>
      <c r="F771" s="448" t="s">
        <v>3024</v>
      </c>
      <c r="G771" s="448" t="s">
        <v>5185</v>
      </c>
    </row>
    <row r="772" spans="1:7">
      <c r="A772" s="448">
        <v>771</v>
      </c>
      <c r="B772" s="448" t="s">
        <v>5186</v>
      </c>
      <c r="C772" s="448" t="s">
        <v>5187</v>
      </c>
      <c r="D772" s="448" t="s">
        <v>4901</v>
      </c>
      <c r="E772" s="448" t="s">
        <v>2120</v>
      </c>
      <c r="F772" s="448" t="s">
        <v>3024</v>
      </c>
      <c r="G772" s="448" t="s">
        <v>5177</v>
      </c>
    </row>
    <row r="773" spans="1:7">
      <c r="A773" s="448">
        <v>772</v>
      </c>
      <c r="B773" s="448" t="s">
        <v>5188</v>
      </c>
      <c r="C773" s="448" t="s">
        <v>5189</v>
      </c>
      <c r="D773" s="448" t="s">
        <v>4901</v>
      </c>
      <c r="E773" s="448" t="s">
        <v>2120</v>
      </c>
      <c r="F773" s="448" t="s">
        <v>3024</v>
      </c>
      <c r="G773" s="448" t="s">
        <v>5180</v>
      </c>
    </row>
    <row r="774" spans="1:7">
      <c r="A774" s="448">
        <v>773</v>
      </c>
      <c r="B774" s="448" t="s">
        <v>5190</v>
      </c>
      <c r="C774" s="448" t="s">
        <v>5191</v>
      </c>
      <c r="D774" s="448" t="s">
        <v>4975</v>
      </c>
      <c r="E774" s="448" t="s">
        <v>2120</v>
      </c>
      <c r="F774" s="448" t="s">
        <v>3024</v>
      </c>
      <c r="G774" s="448" t="s">
        <v>5192</v>
      </c>
    </row>
    <row r="775" spans="1:7">
      <c r="A775" s="448">
        <v>774</v>
      </c>
      <c r="B775" s="448" t="s">
        <v>5193</v>
      </c>
      <c r="C775" s="448" t="s">
        <v>5194</v>
      </c>
      <c r="D775" s="448" t="s">
        <v>4975</v>
      </c>
      <c r="E775" s="448" t="s">
        <v>2120</v>
      </c>
      <c r="F775" s="448" t="s">
        <v>3024</v>
      </c>
      <c r="G775" s="448" t="s">
        <v>5195</v>
      </c>
    </row>
    <row r="776" spans="1:7">
      <c r="A776" s="448">
        <v>775</v>
      </c>
      <c r="B776" s="448" t="s">
        <v>5196</v>
      </c>
      <c r="C776" s="448" t="s">
        <v>5197</v>
      </c>
      <c r="D776" s="448" t="s">
        <v>4975</v>
      </c>
      <c r="E776" s="448" t="s">
        <v>2120</v>
      </c>
      <c r="F776" s="448" t="s">
        <v>3024</v>
      </c>
      <c r="G776" s="448" t="s">
        <v>5198</v>
      </c>
    </row>
    <row r="777" spans="1:7">
      <c r="A777" s="448">
        <v>776</v>
      </c>
      <c r="B777" s="448" t="s">
        <v>5199</v>
      </c>
      <c r="C777" s="448" t="s">
        <v>5200</v>
      </c>
      <c r="D777" s="448" t="s">
        <v>4036</v>
      </c>
      <c r="E777" s="448" t="s">
        <v>3753</v>
      </c>
      <c r="F777" s="448" t="s">
        <v>3024</v>
      </c>
      <c r="G777" s="448" t="s">
        <v>5201</v>
      </c>
    </row>
    <row r="778" spans="1:7">
      <c r="A778" s="448">
        <v>777</v>
      </c>
      <c r="B778" s="448" t="s">
        <v>5202</v>
      </c>
      <c r="C778" s="448" t="s">
        <v>5203</v>
      </c>
      <c r="D778" s="448" t="s">
        <v>4036</v>
      </c>
      <c r="E778" s="448" t="s">
        <v>3753</v>
      </c>
      <c r="F778" s="448" t="s">
        <v>3024</v>
      </c>
      <c r="G778" s="448" t="s">
        <v>5204</v>
      </c>
    </row>
    <row r="779" spans="1:7">
      <c r="A779" s="448">
        <v>778</v>
      </c>
      <c r="B779" s="448" t="s">
        <v>5205</v>
      </c>
      <c r="C779" s="448" t="s">
        <v>5206</v>
      </c>
      <c r="D779" s="448" t="s">
        <v>4036</v>
      </c>
      <c r="E779" s="448" t="s">
        <v>3753</v>
      </c>
      <c r="F779" s="448" t="s">
        <v>3024</v>
      </c>
      <c r="G779" s="448" t="s">
        <v>5207</v>
      </c>
    </row>
    <row r="780" spans="1:7">
      <c r="A780" s="448">
        <v>779</v>
      </c>
      <c r="B780" s="448" t="s">
        <v>5208</v>
      </c>
      <c r="C780" s="448" t="s">
        <v>5209</v>
      </c>
      <c r="D780" s="448" t="s">
        <v>4036</v>
      </c>
      <c r="E780" s="448" t="s">
        <v>3753</v>
      </c>
      <c r="F780" s="448" t="s">
        <v>3024</v>
      </c>
      <c r="G780" s="448" t="s">
        <v>5210</v>
      </c>
    </row>
    <row r="781" spans="1:7">
      <c r="A781" s="448">
        <v>780</v>
      </c>
      <c r="B781" s="448" t="s">
        <v>5211</v>
      </c>
      <c r="C781" s="448" t="s">
        <v>5212</v>
      </c>
      <c r="D781" s="448" t="s">
        <v>1312</v>
      </c>
      <c r="E781" s="448" t="s">
        <v>2120</v>
      </c>
      <c r="F781" s="448" t="s">
        <v>3024</v>
      </c>
      <c r="G781" s="448" t="s">
        <v>5213</v>
      </c>
    </row>
    <row r="782" spans="1:7">
      <c r="A782" s="448">
        <v>781</v>
      </c>
      <c r="B782" s="448" t="s">
        <v>5214</v>
      </c>
      <c r="C782" s="448" t="s">
        <v>5215</v>
      </c>
      <c r="D782" s="448" t="s">
        <v>1312</v>
      </c>
      <c r="E782" s="448" t="s">
        <v>2120</v>
      </c>
      <c r="F782" s="448" t="s">
        <v>3024</v>
      </c>
      <c r="G782" s="448" t="s">
        <v>5216</v>
      </c>
    </row>
    <row r="783" spans="1:7">
      <c r="A783" s="448">
        <v>782</v>
      </c>
      <c r="B783" s="448" t="s">
        <v>5217</v>
      </c>
      <c r="C783" s="448" t="s">
        <v>5218</v>
      </c>
      <c r="D783" s="448" t="s">
        <v>1312</v>
      </c>
      <c r="E783" s="448" t="s">
        <v>2120</v>
      </c>
      <c r="F783" s="448" t="s">
        <v>3024</v>
      </c>
      <c r="G783" s="448" t="s">
        <v>5219</v>
      </c>
    </row>
    <row r="784" spans="1:7">
      <c r="A784" s="448">
        <v>783</v>
      </c>
      <c r="B784" s="448" t="s">
        <v>5220</v>
      </c>
      <c r="C784" s="448" t="s">
        <v>5221</v>
      </c>
      <c r="D784" s="448" t="s">
        <v>1312</v>
      </c>
      <c r="E784" s="448" t="s">
        <v>2120</v>
      </c>
      <c r="F784" s="448" t="s">
        <v>3024</v>
      </c>
      <c r="G784" s="448" t="s">
        <v>5222</v>
      </c>
    </row>
    <row r="785" spans="1:7">
      <c r="A785" s="448">
        <v>784</v>
      </c>
      <c r="B785" s="448" t="s">
        <v>5223</v>
      </c>
      <c r="C785" s="448" t="s">
        <v>5224</v>
      </c>
      <c r="D785" s="448" t="s">
        <v>3363</v>
      </c>
      <c r="E785" s="448" t="s">
        <v>2120</v>
      </c>
      <c r="F785" s="448" t="s">
        <v>3024</v>
      </c>
      <c r="G785" s="448" t="s">
        <v>5105</v>
      </c>
    </row>
    <row r="786" spans="1:7">
      <c r="A786" s="448">
        <v>785</v>
      </c>
      <c r="B786" s="448" t="s">
        <v>5225</v>
      </c>
      <c r="C786" s="448" t="s">
        <v>5226</v>
      </c>
      <c r="D786" s="448" t="s">
        <v>3363</v>
      </c>
      <c r="E786" s="448" t="s">
        <v>2120</v>
      </c>
      <c r="F786" s="448" t="s">
        <v>3024</v>
      </c>
      <c r="G786" s="448" t="s">
        <v>5097</v>
      </c>
    </row>
    <row r="787" spans="1:7">
      <c r="A787" s="448">
        <v>786</v>
      </c>
      <c r="B787" s="448" t="s">
        <v>5227</v>
      </c>
      <c r="C787" s="448" t="s">
        <v>5228</v>
      </c>
      <c r="D787" s="448" t="s">
        <v>3363</v>
      </c>
      <c r="E787" s="448" t="s">
        <v>2120</v>
      </c>
      <c r="F787" s="448" t="s">
        <v>3024</v>
      </c>
      <c r="G787" s="448" t="s">
        <v>5229</v>
      </c>
    </row>
    <row r="788" spans="1:7">
      <c r="A788" s="448">
        <v>787</v>
      </c>
      <c r="B788" s="448" t="s">
        <v>5230</v>
      </c>
      <c r="C788" s="448" t="s">
        <v>5231</v>
      </c>
      <c r="D788" s="448" t="s">
        <v>1312</v>
      </c>
      <c r="E788" s="448" t="s">
        <v>2120</v>
      </c>
      <c r="F788" s="448" t="s">
        <v>3024</v>
      </c>
      <c r="G788" s="448" t="s">
        <v>5232</v>
      </c>
    </row>
    <row r="789" spans="1:7">
      <c r="A789" s="448">
        <v>788</v>
      </c>
      <c r="B789" s="448" t="s">
        <v>5233</v>
      </c>
      <c r="C789" s="448" t="s">
        <v>5234</v>
      </c>
      <c r="D789" s="448" t="s">
        <v>1312</v>
      </c>
      <c r="E789" s="448" t="s">
        <v>2120</v>
      </c>
      <c r="F789" s="448" t="s">
        <v>3024</v>
      </c>
      <c r="G789" s="448" t="s">
        <v>5235</v>
      </c>
    </row>
    <row r="790" spans="1:7">
      <c r="A790" s="448">
        <v>789</v>
      </c>
      <c r="B790" s="448" t="s">
        <v>5236</v>
      </c>
      <c r="C790" s="448" t="s">
        <v>5237</v>
      </c>
      <c r="D790" s="448" t="s">
        <v>4557</v>
      </c>
      <c r="E790" s="448" t="s">
        <v>2120</v>
      </c>
      <c r="F790" s="448" t="s">
        <v>3024</v>
      </c>
      <c r="G790" s="448" t="s">
        <v>5238</v>
      </c>
    </row>
    <row r="791" spans="1:7">
      <c r="A791" s="448">
        <v>790</v>
      </c>
      <c r="B791" s="448" t="s">
        <v>5239</v>
      </c>
      <c r="C791" s="448" t="s">
        <v>5240</v>
      </c>
      <c r="D791" s="448" t="s">
        <v>4557</v>
      </c>
      <c r="E791" s="448" t="s">
        <v>2120</v>
      </c>
      <c r="F791" s="448" t="s">
        <v>3024</v>
      </c>
      <c r="G791" s="448" t="s">
        <v>5241</v>
      </c>
    </row>
    <row r="792" spans="1:7">
      <c r="A792" s="448">
        <v>791</v>
      </c>
      <c r="B792" s="448" t="s">
        <v>5242</v>
      </c>
      <c r="C792" s="448" t="s">
        <v>5243</v>
      </c>
      <c r="D792" s="448" t="s">
        <v>4557</v>
      </c>
      <c r="E792" s="448" t="s">
        <v>2120</v>
      </c>
      <c r="F792" s="448" t="s">
        <v>3024</v>
      </c>
      <c r="G792" s="448" t="s">
        <v>5244</v>
      </c>
    </row>
    <row r="793" spans="1:7">
      <c r="A793" s="448">
        <v>792</v>
      </c>
      <c r="B793" s="448" t="s">
        <v>5245</v>
      </c>
      <c r="C793" s="448" t="s">
        <v>5246</v>
      </c>
      <c r="D793" s="448" t="s">
        <v>4557</v>
      </c>
      <c r="E793" s="448" t="s">
        <v>2120</v>
      </c>
      <c r="F793" s="448" t="s">
        <v>3024</v>
      </c>
      <c r="G793" s="448" t="s">
        <v>5247</v>
      </c>
    </row>
    <row r="794" spans="1:7">
      <c r="A794" s="448">
        <v>793</v>
      </c>
      <c r="B794" s="448" t="s">
        <v>5248</v>
      </c>
      <c r="C794" s="448" t="s">
        <v>5237</v>
      </c>
      <c r="D794" s="448" t="s">
        <v>4557</v>
      </c>
      <c r="E794" s="448" t="s">
        <v>2120</v>
      </c>
      <c r="F794" s="448" t="s">
        <v>3024</v>
      </c>
      <c r="G794" s="448" t="s">
        <v>5249</v>
      </c>
    </row>
    <row r="795" spans="1:7">
      <c r="A795" s="448">
        <v>794</v>
      </c>
      <c r="B795" s="448" t="s">
        <v>5250</v>
      </c>
      <c r="C795" s="448" t="s">
        <v>5251</v>
      </c>
      <c r="D795" s="448" t="s">
        <v>4557</v>
      </c>
      <c r="E795" s="448" t="s">
        <v>2120</v>
      </c>
      <c r="F795" s="448" t="s">
        <v>3024</v>
      </c>
      <c r="G795" s="448" t="s">
        <v>4690</v>
      </c>
    </row>
    <row r="796" spans="1:7">
      <c r="A796" s="448">
        <v>795</v>
      </c>
      <c r="B796" s="448" t="s">
        <v>5252</v>
      </c>
      <c r="C796" s="448" t="s">
        <v>5253</v>
      </c>
      <c r="D796" s="448" t="s">
        <v>4557</v>
      </c>
      <c r="E796" s="448" t="s">
        <v>2120</v>
      </c>
      <c r="F796" s="448" t="s">
        <v>3024</v>
      </c>
      <c r="G796" s="448" t="s">
        <v>5254</v>
      </c>
    </row>
    <row r="797" spans="1:7">
      <c r="A797" s="448">
        <v>796</v>
      </c>
      <c r="B797" s="448" t="s">
        <v>5255</v>
      </c>
      <c r="C797" s="448" t="s">
        <v>5240</v>
      </c>
      <c r="D797" s="448" t="s">
        <v>4557</v>
      </c>
      <c r="E797" s="448" t="s">
        <v>2120</v>
      </c>
      <c r="F797" s="448" t="s">
        <v>3024</v>
      </c>
      <c r="G797" s="448" t="s">
        <v>4690</v>
      </c>
    </row>
    <row r="798" spans="1:7">
      <c r="A798" s="448">
        <v>797</v>
      </c>
      <c r="B798" s="448" t="s">
        <v>5256</v>
      </c>
      <c r="C798" s="448" t="s">
        <v>5243</v>
      </c>
      <c r="D798" s="448" t="s">
        <v>4557</v>
      </c>
      <c r="E798" s="448" t="s">
        <v>2120</v>
      </c>
      <c r="F798" s="448" t="s">
        <v>3024</v>
      </c>
      <c r="G798" s="448" t="s">
        <v>5254</v>
      </c>
    </row>
    <row r="799" spans="1:7">
      <c r="A799" s="448">
        <v>798</v>
      </c>
      <c r="B799" s="448" t="s">
        <v>5257</v>
      </c>
      <c r="C799" s="448" t="s">
        <v>5246</v>
      </c>
      <c r="D799" s="448" t="s">
        <v>4557</v>
      </c>
      <c r="E799" s="448" t="s">
        <v>2120</v>
      </c>
      <c r="F799" s="448" t="s">
        <v>3024</v>
      </c>
      <c r="G799" s="448" t="s">
        <v>5258</v>
      </c>
    </row>
    <row r="800" spans="1:7">
      <c r="A800" s="448">
        <v>799</v>
      </c>
      <c r="B800" s="448" t="s">
        <v>5259</v>
      </c>
      <c r="C800" s="448" t="s">
        <v>5260</v>
      </c>
      <c r="D800" s="448" t="s">
        <v>4036</v>
      </c>
      <c r="E800" s="448" t="s">
        <v>3753</v>
      </c>
      <c r="F800" s="448" t="s">
        <v>3024</v>
      </c>
      <c r="G800" s="448" t="s">
        <v>3773</v>
      </c>
    </row>
    <row r="801" spans="1:7">
      <c r="A801" s="448">
        <v>800</v>
      </c>
      <c r="B801" s="448" t="s">
        <v>5261</v>
      </c>
      <c r="C801" s="448" t="s">
        <v>5251</v>
      </c>
      <c r="D801" s="448" t="s">
        <v>4557</v>
      </c>
      <c r="E801" s="448" t="s">
        <v>2120</v>
      </c>
      <c r="F801" s="448" t="s">
        <v>3024</v>
      </c>
      <c r="G801" s="448" t="s">
        <v>5262</v>
      </c>
    </row>
    <row r="802" spans="1:7">
      <c r="A802" s="448">
        <v>801</v>
      </c>
      <c r="B802" s="448" t="s">
        <v>5263</v>
      </c>
      <c r="C802" s="448" t="s">
        <v>5264</v>
      </c>
      <c r="D802" s="448" t="s">
        <v>4036</v>
      </c>
      <c r="E802" s="448" t="s">
        <v>3753</v>
      </c>
      <c r="F802" s="448" t="s">
        <v>3024</v>
      </c>
      <c r="G802" s="448" t="s">
        <v>5265</v>
      </c>
    </row>
    <row r="803" spans="1:7">
      <c r="A803" s="448">
        <v>802</v>
      </c>
      <c r="B803" s="448" t="s">
        <v>5266</v>
      </c>
      <c r="C803" s="448" t="s">
        <v>5267</v>
      </c>
      <c r="D803" s="448" t="s">
        <v>4036</v>
      </c>
      <c r="E803" s="448" t="s">
        <v>3753</v>
      </c>
      <c r="F803" s="448" t="s">
        <v>3024</v>
      </c>
      <c r="G803" s="448" t="s">
        <v>3741</v>
      </c>
    </row>
    <row r="804" spans="1:7">
      <c r="A804" s="448">
        <v>803</v>
      </c>
      <c r="B804" s="448" t="s">
        <v>5268</v>
      </c>
      <c r="C804" s="448" t="s">
        <v>5269</v>
      </c>
      <c r="D804" s="448" t="s">
        <v>4036</v>
      </c>
      <c r="E804" s="448" t="s">
        <v>3753</v>
      </c>
      <c r="F804" s="448" t="s">
        <v>3024</v>
      </c>
      <c r="G804" s="448" t="s">
        <v>3602</v>
      </c>
    </row>
    <row r="805" spans="1:7">
      <c r="A805" s="448">
        <v>804</v>
      </c>
      <c r="B805" s="448" t="s">
        <v>5270</v>
      </c>
      <c r="C805" s="448" t="s">
        <v>5271</v>
      </c>
      <c r="D805" s="448" t="s">
        <v>4036</v>
      </c>
      <c r="E805" s="448" t="s">
        <v>3753</v>
      </c>
      <c r="F805" s="448" t="s">
        <v>3024</v>
      </c>
      <c r="G805" s="448" t="s">
        <v>5272</v>
      </c>
    </row>
    <row r="806" spans="1:7">
      <c r="A806" s="448">
        <v>805</v>
      </c>
      <c r="B806" s="448" t="s">
        <v>5273</v>
      </c>
      <c r="C806" s="448" t="s">
        <v>5274</v>
      </c>
      <c r="D806" s="448" t="s">
        <v>4036</v>
      </c>
      <c r="E806" s="448" t="s">
        <v>3753</v>
      </c>
      <c r="F806" s="448" t="s">
        <v>3024</v>
      </c>
      <c r="G806" s="448" t="s">
        <v>3733</v>
      </c>
    </row>
    <row r="807" spans="1:7">
      <c r="A807" s="448">
        <v>806</v>
      </c>
      <c r="B807" s="448" t="s">
        <v>5275</v>
      </c>
      <c r="C807" s="448" t="s">
        <v>5276</v>
      </c>
      <c r="D807" s="448" t="s">
        <v>523</v>
      </c>
      <c r="E807" s="448" t="s">
        <v>2120</v>
      </c>
      <c r="F807" s="448" t="s">
        <v>3024</v>
      </c>
      <c r="G807" s="448" t="s">
        <v>5277</v>
      </c>
    </row>
    <row r="808" spans="1:7">
      <c r="A808" s="448">
        <v>807</v>
      </c>
      <c r="B808" s="448" t="s">
        <v>5278</v>
      </c>
      <c r="C808" s="448" t="s">
        <v>5279</v>
      </c>
      <c r="D808" s="448" t="s">
        <v>523</v>
      </c>
      <c r="E808" s="448" t="s">
        <v>2120</v>
      </c>
      <c r="F808" s="448" t="s">
        <v>3024</v>
      </c>
      <c r="G808" s="448" t="s">
        <v>5277</v>
      </c>
    </row>
    <row r="809" spans="1:7">
      <c r="A809" s="448">
        <v>808</v>
      </c>
      <c r="B809" s="448" t="s">
        <v>5280</v>
      </c>
      <c r="C809" s="448" t="s">
        <v>5281</v>
      </c>
      <c r="D809" s="448" t="s">
        <v>523</v>
      </c>
      <c r="E809" s="448" t="s">
        <v>2120</v>
      </c>
      <c r="F809" s="448" t="s">
        <v>3024</v>
      </c>
      <c r="G809" s="448" t="s">
        <v>3773</v>
      </c>
    </row>
    <row r="810" spans="1:7">
      <c r="A810" s="448">
        <v>809</v>
      </c>
      <c r="B810" s="448" t="s">
        <v>5282</v>
      </c>
      <c r="C810" s="448" t="s">
        <v>5283</v>
      </c>
      <c r="D810" s="448" t="s">
        <v>5284</v>
      </c>
      <c r="E810" s="448" t="s">
        <v>2120</v>
      </c>
      <c r="F810" s="448" t="s">
        <v>3024</v>
      </c>
      <c r="G810" s="448" t="s">
        <v>4475</v>
      </c>
    </row>
    <row r="811" spans="1:7">
      <c r="A811" s="448">
        <v>810</v>
      </c>
      <c r="B811" s="448" t="s">
        <v>5285</v>
      </c>
      <c r="C811" s="448" t="s">
        <v>5286</v>
      </c>
      <c r="D811" s="448" t="s">
        <v>5284</v>
      </c>
      <c r="E811" s="448" t="s">
        <v>2120</v>
      </c>
      <c r="F811" s="448" t="s">
        <v>3024</v>
      </c>
      <c r="G811" s="448" t="s">
        <v>5287</v>
      </c>
    </row>
    <row r="812" spans="1:7">
      <c r="A812" s="448">
        <v>811</v>
      </c>
      <c r="B812" s="448" t="s">
        <v>5288</v>
      </c>
      <c r="C812" s="448" t="s">
        <v>5253</v>
      </c>
      <c r="D812" s="448" t="s">
        <v>4557</v>
      </c>
      <c r="E812" s="448" t="s">
        <v>2120</v>
      </c>
      <c r="F812" s="448" t="s">
        <v>3024</v>
      </c>
      <c r="G812" s="448" t="s">
        <v>5289</v>
      </c>
    </row>
    <row r="813" spans="1:7">
      <c r="A813" s="448">
        <v>812</v>
      </c>
      <c r="B813" s="448" t="s">
        <v>5290</v>
      </c>
      <c r="C813" s="448" t="s">
        <v>5291</v>
      </c>
      <c r="D813" s="448" t="s">
        <v>5284</v>
      </c>
      <c r="E813" s="448" t="s">
        <v>2120</v>
      </c>
      <c r="F813" s="448" t="s">
        <v>3024</v>
      </c>
      <c r="G813" s="448" t="s">
        <v>4003</v>
      </c>
    </row>
    <row r="814" spans="1:7">
      <c r="A814" s="448">
        <v>813</v>
      </c>
      <c r="B814" s="448" t="s">
        <v>5292</v>
      </c>
      <c r="C814" s="448" t="s">
        <v>5293</v>
      </c>
      <c r="D814" s="448" t="s">
        <v>5284</v>
      </c>
      <c r="E814" s="448" t="s">
        <v>2120</v>
      </c>
      <c r="F814" s="448" t="s">
        <v>3024</v>
      </c>
      <c r="G814" s="448" t="s">
        <v>5294</v>
      </c>
    </row>
    <row r="815" spans="1:7">
      <c r="A815" s="448">
        <v>814</v>
      </c>
      <c r="B815" s="448" t="s">
        <v>5295</v>
      </c>
      <c r="C815" s="448" t="s">
        <v>5296</v>
      </c>
      <c r="D815" s="448" t="s">
        <v>5284</v>
      </c>
      <c r="E815" s="448" t="s">
        <v>2120</v>
      </c>
      <c r="F815" s="448" t="s">
        <v>3024</v>
      </c>
      <c r="G815" s="448" t="s">
        <v>4475</v>
      </c>
    </row>
    <row r="816" spans="1:7">
      <c r="A816" s="448">
        <v>815</v>
      </c>
      <c r="B816" s="448" t="s">
        <v>5297</v>
      </c>
      <c r="C816" s="448" t="s">
        <v>5298</v>
      </c>
      <c r="D816" s="448" t="s">
        <v>5284</v>
      </c>
      <c r="E816" s="448" t="s">
        <v>2120</v>
      </c>
      <c r="F816" s="448" t="s">
        <v>3024</v>
      </c>
      <c r="G816" s="448" t="s">
        <v>5299</v>
      </c>
    </row>
    <row r="817" spans="1:7">
      <c r="A817" s="448">
        <v>816</v>
      </c>
      <c r="B817" s="448" t="s">
        <v>5300</v>
      </c>
      <c r="C817" s="448" t="s">
        <v>5301</v>
      </c>
      <c r="D817" s="448" t="s">
        <v>5284</v>
      </c>
      <c r="E817" s="448" t="s">
        <v>2120</v>
      </c>
      <c r="F817" s="448" t="s">
        <v>3024</v>
      </c>
      <c r="G817" s="448" t="s">
        <v>4681</v>
      </c>
    </row>
    <row r="818" spans="1:7">
      <c r="A818" s="448">
        <v>817</v>
      </c>
      <c r="B818" s="448" t="s">
        <v>5302</v>
      </c>
      <c r="C818" s="448" t="s">
        <v>5303</v>
      </c>
      <c r="D818" s="448" t="s">
        <v>5284</v>
      </c>
      <c r="E818" s="448" t="s">
        <v>2120</v>
      </c>
      <c r="F818" s="448" t="s">
        <v>3024</v>
      </c>
      <c r="G818" s="448" t="s">
        <v>5304</v>
      </c>
    </row>
    <row r="819" spans="1:7">
      <c r="A819" s="448">
        <v>818</v>
      </c>
      <c r="B819" s="448" t="s">
        <v>5305</v>
      </c>
      <c r="C819" s="448" t="s">
        <v>5306</v>
      </c>
      <c r="D819" s="448" t="s">
        <v>5284</v>
      </c>
      <c r="E819" s="448" t="s">
        <v>2120</v>
      </c>
      <c r="F819" s="448" t="s">
        <v>3024</v>
      </c>
      <c r="G819" s="448" t="s">
        <v>5299</v>
      </c>
    </row>
    <row r="820" spans="1:7">
      <c r="A820" s="448">
        <v>819</v>
      </c>
      <c r="B820" s="448" t="s">
        <v>5307</v>
      </c>
      <c r="C820" s="448" t="s">
        <v>5240</v>
      </c>
      <c r="D820" s="448" t="s">
        <v>4557</v>
      </c>
      <c r="E820" s="448" t="s">
        <v>2120</v>
      </c>
      <c r="F820" s="448" t="s">
        <v>3024</v>
      </c>
      <c r="G820" s="448" t="s">
        <v>5308</v>
      </c>
    </row>
    <row r="821" spans="1:7">
      <c r="A821" s="448">
        <v>820</v>
      </c>
      <c r="B821" s="448" t="s">
        <v>5309</v>
      </c>
      <c r="C821" s="448" t="s">
        <v>5243</v>
      </c>
      <c r="D821" s="448" t="s">
        <v>4557</v>
      </c>
      <c r="E821" s="448" t="s">
        <v>2120</v>
      </c>
      <c r="F821" s="448" t="s">
        <v>3024</v>
      </c>
      <c r="G821" s="448" t="s">
        <v>5310</v>
      </c>
    </row>
    <row r="822" spans="1:7">
      <c r="A822" s="448">
        <v>821</v>
      </c>
      <c r="B822" s="448" t="s">
        <v>5311</v>
      </c>
      <c r="C822" s="448" t="s">
        <v>5246</v>
      </c>
      <c r="D822" s="448" t="s">
        <v>4557</v>
      </c>
      <c r="E822" s="448" t="s">
        <v>2120</v>
      </c>
      <c r="F822" s="448" t="s">
        <v>3024</v>
      </c>
      <c r="G822" s="448" t="s">
        <v>5312</v>
      </c>
    </row>
    <row r="823" spans="1:7">
      <c r="A823" s="448">
        <v>822</v>
      </c>
      <c r="B823" s="448" t="s">
        <v>5313</v>
      </c>
      <c r="C823" s="448" t="s">
        <v>5237</v>
      </c>
      <c r="D823" s="448" t="s">
        <v>4557</v>
      </c>
      <c r="E823" s="448" t="s">
        <v>2120</v>
      </c>
      <c r="F823" s="448" t="s">
        <v>3024</v>
      </c>
      <c r="G823" s="448" t="s">
        <v>5314</v>
      </c>
    </row>
    <row r="824" spans="1:7">
      <c r="A824" s="448">
        <v>823</v>
      </c>
      <c r="B824" s="448" t="s">
        <v>5315</v>
      </c>
      <c r="C824" s="448" t="s">
        <v>5251</v>
      </c>
      <c r="D824" s="448" t="s">
        <v>4557</v>
      </c>
      <c r="E824" s="448" t="s">
        <v>2120</v>
      </c>
      <c r="F824" s="448" t="s">
        <v>3024</v>
      </c>
      <c r="G824" s="448" t="s">
        <v>5316</v>
      </c>
    </row>
    <row r="825" spans="1:7">
      <c r="A825" s="448">
        <v>824</v>
      </c>
      <c r="B825" s="448" t="s">
        <v>5317</v>
      </c>
      <c r="C825" s="448" t="s">
        <v>5253</v>
      </c>
      <c r="D825" s="448" t="s">
        <v>4557</v>
      </c>
      <c r="E825" s="448" t="s">
        <v>2120</v>
      </c>
      <c r="F825" s="448" t="s">
        <v>3024</v>
      </c>
      <c r="G825" s="448" t="s">
        <v>5318</v>
      </c>
    </row>
    <row r="826" spans="1:7">
      <c r="A826" s="448">
        <v>825</v>
      </c>
      <c r="B826" s="448" t="s">
        <v>5319</v>
      </c>
      <c r="C826" s="448" t="s">
        <v>5320</v>
      </c>
      <c r="D826" s="448" t="s">
        <v>1312</v>
      </c>
      <c r="E826" s="448" t="s">
        <v>2120</v>
      </c>
      <c r="F826" s="448" t="s">
        <v>3024</v>
      </c>
      <c r="G826" s="448" t="s">
        <v>5321</v>
      </c>
    </row>
    <row r="827" spans="1:7">
      <c r="A827" s="448">
        <v>826</v>
      </c>
      <c r="B827" s="448" t="s">
        <v>5322</v>
      </c>
      <c r="C827" s="448" t="s">
        <v>5323</v>
      </c>
      <c r="D827" s="448" t="s">
        <v>1312</v>
      </c>
      <c r="E827" s="448" t="s">
        <v>2120</v>
      </c>
      <c r="F827" s="448" t="s">
        <v>3024</v>
      </c>
      <c r="G827" s="448" t="s">
        <v>5254</v>
      </c>
    </row>
    <row r="828" spans="1:7">
      <c r="A828" s="448">
        <v>827</v>
      </c>
      <c r="B828" s="448" t="s">
        <v>5324</v>
      </c>
      <c r="C828" s="448" t="s">
        <v>5325</v>
      </c>
      <c r="D828" s="448" t="s">
        <v>1312</v>
      </c>
      <c r="E828" s="448" t="s">
        <v>2120</v>
      </c>
      <c r="F828" s="448" t="s">
        <v>3024</v>
      </c>
      <c r="G828" s="448" t="s">
        <v>5326</v>
      </c>
    </row>
    <row r="829" spans="1:7">
      <c r="A829" s="448">
        <v>828</v>
      </c>
      <c r="B829" s="448" t="s">
        <v>5327</v>
      </c>
      <c r="C829" s="448" t="s">
        <v>5328</v>
      </c>
      <c r="D829" s="448" t="s">
        <v>1312</v>
      </c>
      <c r="E829" s="448" t="s">
        <v>2120</v>
      </c>
      <c r="F829" s="448" t="s">
        <v>3024</v>
      </c>
      <c r="G829" s="448" t="s">
        <v>5277</v>
      </c>
    </row>
    <row r="830" spans="1:7">
      <c r="A830" s="448">
        <v>829</v>
      </c>
      <c r="B830" s="448" t="s">
        <v>5329</v>
      </c>
      <c r="C830" s="448" t="s">
        <v>5330</v>
      </c>
      <c r="D830" s="448" t="s">
        <v>5284</v>
      </c>
      <c r="E830" s="448" t="s">
        <v>2120</v>
      </c>
      <c r="F830" s="448" t="s">
        <v>3024</v>
      </c>
      <c r="G830" s="448" t="s">
        <v>5331</v>
      </c>
    </row>
    <row r="831" spans="1:7">
      <c r="A831" s="448">
        <v>830</v>
      </c>
      <c r="B831" s="448" t="s">
        <v>5332</v>
      </c>
      <c r="C831" s="448" t="s">
        <v>5333</v>
      </c>
      <c r="D831" s="448" t="s">
        <v>5284</v>
      </c>
      <c r="E831" s="448" t="s">
        <v>2120</v>
      </c>
      <c r="F831" s="448" t="s">
        <v>3024</v>
      </c>
      <c r="G831" s="448" t="s">
        <v>5249</v>
      </c>
    </row>
    <row r="832" spans="1:7">
      <c r="A832" s="448">
        <v>831</v>
      </c>
      <c r="B832" s="448" t="s">
        <v>5334</v>
      </c>
      <c r="C832" s="448" t="s">
        <v>5335</v>
      </c>
      <c r="D832" s="448" t="s">
        <v>5284</v>
      </c>
      <c r="E832" s="448" t="s">
        <v>2120</v>
      </c>
      <c r="F832" s="448" t="s">
        <v>3024</v>
      </c>
      <c r="G832" s="448" t="s">
        <v>4003</v>
      </c>
    </row>
    <row r="833" spans="1:7">
      <c r="A833" s="448">
        <v>832</v>
      </c>
      <c r="B833" s="448" t="s">
        <v>5336</v>
      </c>
      <c r="C833" s="448" t="s">
        <v>5337</v>
      </c>
      <c r="D833" s="448" t="s">
        <v>5338</v>
      </c>
      <c r="E833" s="448" t="s">
        <v>2120</v>
      </c>
      <c r="F833" s="448" t="s">
        <v>3024</v>
      </c>
      <c r="G833" s="448" t="s">
        <v>5339</v>
      </c>
    </row>
    <row r="834" spans="1:7">
      <c r="A834" s="448">
        <v>833</v>
      </c>
      <c r="B834" s="448" t="s">
        <v>5340</v>
      </c>
      <c r="C834" s="448" t="s">
        <v>5341</v>
      </c>
      <c r="D834" s="448" t="s">
        <v>5342</v>
      </c>
      <c r="E834" s="448" t="s">
        <v>2120</v>
      </c>
      <c r="F834" s="448" t="s">
        <v>3024</v>
      </c>
      <c r="G834" s="448" t="s">
        <v>4746</v>
      </c>
    </row>
    <row r="835" spans="1:7">
      <c r="A835" s="448">
        <v>834</v>
      </c>
      <c r="B835" s="448" t="s">
        <v>5343</v>
      </c>
      <c r="C835" s="448" t="s">
        <v>5344</v>
      </c>
      <c r="D835" s="448" t="s">
        <v>5338</v>
      </c>
      <c r="E835" s="448" t="s">
        <v>2120</v>
      </c>
      <c r="F835" s="448" t="s">
        <v>3024</v>
      </c>
      <c r="G835" s="448" t="s">
        <v>5277</v>
      </c>
    </row>
    <row r="836" spans="1:7">
      <c r="A836" s="448">
        <v>835</v>
      </c>
      <c r="B836" s="448" t="s">
        <v>5345</v>
      </c>
      <c r="C836" s="448" t="s">
        <v>5346</v>
      </c>
      <c r="D836" s="448" t="s">
        <v>5338</v>
      </c>
      <c r="E836" s="448" t="s">
        <v>2120</v>
      </c>
      <c r="F836" s="448" t="s">
        <v>3024</v>
      </c>
      <c r="G836" s="448" t="s">
        <v>5321</v>
      </c>
    </row>
    <row r="837" spans="1:7">
      <c r="A837" s="448">
        <v>836</v>
      </c>
      <c r="B837" s="448" t="s">
        <v>5347</v>
      </c>
      <c r="C837" s="448" t="s">
        <v>5348</v>
      </c>
      <c r="D837" s="448" t="s">
        <v>3617</v>
      </c>
      <c r="E837" s="448" t="s">
        <v>2120</v>
      </c>
      <c r="F837" s="448" t="s">
        <v>3024</v>
      </c>
      <c r="G837" s="448" t="s">
        <v>5258</v>
      </c>
    </row>
    <row r="838" spans="1:7">
      <c r="A838" s="448">
        <v>837</v>
      </c>
      <c r="B838" s="448" t="s">
        <v>5349</v>
      </c>
      <c r="C838" s="448" t="s">
        <v>5350</v>
      </c>
      <c r="D838" s="448" t="s">
        <v>3617</v>
      </c>
      <c r="E838" s="448" t="s">
        <v>2120</v>
      </c>
      <c r="F838" s="448" t="s">
        <v>3024</v>
      </c>
      <c r="G838" s="448" t="s">
        <v>5351</v>
      </c>
    </row>
    <row r="839" spans="1:7">
      <c r="A839" s="448">
        <v>838</v>
      </c>
      <c r="B839" s="448" t="s">
        <v>5352</v>
      </c>
      <c r="C839" s="448" t="s">
        <v>5353</v>
      </c>
      <c r="D839" s="448" t="s">
        <v>3617</v>
      </c>
      <c r="E839" s="448" t="s">
        <v>2120</v>
      </c>
      <c r="F839" s="448" t="s">
        <v>3024</v>
      </c>
      <c r="G839" s="448" t="s">
        <v>5354</v>
      </c>
    </row>
    <row r="840" spans="1:7">
      <c r="A840" s="448">
        <v>839</v>
      </c>
      <c r="B840" s="448" t="s">
        <v>5355</v>
      </c>
      <c r="C840" s="448" t="s">
        <v>5356</v>
      </c>
      <c r="D840" s="448" t="s">
        <v>3617</v>
      </c>
      <c r="E840" s="448" t="s">
        <v>2120</v>
      </c>
      <c r="F840" s="448" t="s">
        <v>3024</v>
      </c>
      <c r="G840" s="448" t="s">
        <v>5357</v>
      </c>
    </row>
    <row r="841" spans="1:7">
      <c r="A841" s="448">
        <v>840</v>
      </c>
      <c r="B841" s="448" t="s">
        <v>5358</v>
      </c>
      <c r="C841" s="448" t="s">
        <v>5359</v>
      </c>
      <c r="D841" s="448" t="s">
        <v>3617</v>
      </c>
      <c r="E841" s="448" t="s">
        <v>2120</v>
      </c>
      <c r="F841" s="448" t="s">
        <v>3024</v>
      </c>
      <c r="G841" s="448" t="s">
        <v>5249</v>
      </c>
    </row>
    <row r="842" spans="1:7">
      <c r="A842" s="448">
        <v>841</v>
      </c>
      <c r="B842" s="448" t="s">
        <v>5360</v>
      </c>
      <c r="C842" s="448" t="s">
        <v>5361</v>
      </c>
      <c r="D842" s="448" t="s">
        <v>3617</v>
      </c>
      <c r="E842" s="448" t="s">
        <v>2120</v>
      </c>
      <c r="F842" s="448" t="s">
        <v>3024</v>
      </c>
      <c r="G842" s="448" t="s">
        <v>4690</v>
      </c>
    </row>
    <row r="843" spans="1:7">
      <c r="A843" s="448">
        <v>842</v>
      </c>
      <c r="B843" s="448" t="s">
        <v>5362</v>
      </c>
      <c r="C843" s="448" t="s">
        <v>5363</v>
      </c>
      <c r="D843" s="448" t="s">
        <v>3617</v>
      </c>
      <c r="E843" s="448" t="s">
        <v>2120</v>
      </c>
      <c r="F843" s="448" t="s">
        <v>3024</v>
      </c>
      <c r="G843" s="448" t="s">
        <v>5321</v>
      </c>
    </row>
    <row r="844" spans="1:7">
      <c r="A844" s="448">
        <v>843</v>
      </c>
      <c r="B844" s="448" t="s">
        <v>5364</v>
      </c>
      <c r="C844" s="448" t="s">
        <v>5365</v>
      </c>
      <c r="D844" s="448" t="s">
        <v>3617</v>
      </c>
      <c r="E844" s="448" t="s">
        <v>2120</v>
      </c>
      <c r="F844" s="448" t="s">
        <v>3024</v>
      </c>
      <c r="G844" s="448" t="s">
        <v>4746</v>
      </c>
    </row>
    <row r="845" spans="1:7">
      <c r="A845" s="448">
        <v>844</v>
      </c>
      <c r="B845" s="448" t="s">
        <v>5366</v>
      </c>
      <c r="C845" s="448" t="s">
        <v>5367</v>
      </c>
      <c r="D845" s="448" t="s">
        <v>5368</v>
      </c>
      <c r="E845" s="448" t="s">
        <v>2120</v>
      </c>
      <c r="F845" s="448" t="s">
        <v>3024</v>
      </c>
      <c r="G845" s="448" t="s">
        <v>5369</v>
      </c>
    </row>
    <row r="846" spans="1:7">
      <c r="A846" s="448">
        <v>845</v>
      </c>
      <c r="B846" s="448" t="s">
        <v>5370</v>
      </c>
      <c r="C846" s="448" t="s">
        <v>5371</v>
      </c>
      <c r="D846" s="448" t="s">
        <v>4901</v>
      </c>
      <c r="E846" s="448" t="s">
        <v>2120</v>
      </c>
      <c r="F846" s="448" t="s">
        <v>3024</v>
      </c>
      <c r="G846" s="448" t="s">
        <v>5372</v>
      </c>
    </row>
    <row r="847" spans="1:7">
      <c r="A847" s="448">
        <v>846</v>
      </c>
      <c r="B847" s="448" t="s">
        <v>5373</v>
      </c>
      <c r="C847" s="448" t="s">
        <v>5374</v>
      </c>
      <c r="D847" s="448" t="s">
        <v>4901</v>
      </c>
      <c r="E847" s="448" t="s">
        <v>2120</v>
      </c>
      <c r="F847" s="448" t="s">
        <v>3024</v>
      </c>
      <c r="G847" s="448" t="s">
        <v>4684</v>
      </c>
    </row>
    <row r="848" spans="1:7">
      <c r="A848" s="448">
        <v>847</v>
      </c>
      <c r="B848" s="448" t="s">
        <v>5375</v>
      </c>
      <c r="C848" s="448" t="s">
        <v>5376</v>
      </c>
      <c r="D848" s="448" t="s">
        <v>4901</v>
      </c>
      <c r="E848" s="448" t="s">
        <v>2120</v>
      </c>
      <c r="F848" s="448" t="s">
        <v>3024</v>
      </c>
      <c r="G848" s="448" t="s">
        <v>5377</v>
      </c>
    </row>
    <row r="849" spans="1:7">
      <c r="A849" s="448">
        <v>848</v>
      </c>
      <c r="B849" s="448" t="s">
        <v>5378</v>
      </c>
      <c r="C849" s="448" t="s">
        <v>5379</v>
      </c>
      <c r="D849" s="448" t="s">
        <v>4901</v>
      </c>
      <c r="E849" s="448" t="s">
        <v>2120</v>
      </c>
      <c r="F849" s="448" t="s">
        <v>3024</v>
      </c>
      <c r="G849" s="448" t="s">
        <v>4687</v>
      </c>
    </row>
    <row r="850" spans="1:7">
      <c r="A850" s="448">
        <v>849</v>
      </c>
      <c r="B850" s="448" t="s">
        <v>5380</v>
      </c>
      <c r="C850" s="448" t="s">
        <v>5381</v>
      </c>
      <c r="D850" s="448" t="s">
        <v>4901</v>
      </c>
      <c r="E850" s="448" t="s">
        <v>2120</v>
      </c>
      <c r="F850" s="448" t="s">
        <v>3024</v>
      </c>
      <c r="G850" s="448" t="s">
        <v>5382</v>
      </c>
    </row>
    <row r="851" spans="1:7">
      <c r="A851" s="448">
        <v>850</v>
      </c>
      <c r="B851" s="448" t="s">
        <v>5383</v>
      </c>
      <c r="C851" s="448" t="s">
        <v>5384</v>
      </c>
      <c r="D851" s="448" t="s">
        <v>4901</v>
      </c>
      <c r="E851" s="448" t="s">
        <v>2120</v>
      </c>
      <c r="F851" s="448" t="s">
        <v>3024</v>
      </c>
      <c r="G851" s="448" t="s">
        <v>5385</v>
      </c>
    </row>
    <row r="852" spans="1:7">
      <c r="A852" s="448">
        <v>851</v>
      </c>
      <c r="B852" s="448" t="s">
        <v>5386</v>
      </c>
      <c r="C852" s="448" t="s">
        <v>5387</v>
      </c>
      <c r="D852" s="448" t="s">
        <v>4901</v>
      </c>
      <c r="E852" s="448" t="s">
        <v>2120</v>
      </c>
      <c r="F852" s="448" t="s">
        <v>3024</v>
      </c>
      <c r="G852" s="448" t="s">
        <v>5388</v>
      </c>
    </row>
    <row r="853" spans="1:7">
      <c r="A853" s="448">
        <v>852</v>
      </c>
      <c r="B853" s="448" t="s">
        <v>5389</v>
      </c>
      <c r="C853" s="448" t="s">
        <v>5390</v>
      </c>
      <c r="D853" s="448" t="s">
        <v>4901</v>
      </c>
      <c r="E853" s="448" t="s">
        <v>2120</v>
      </c>
      <c r="F853" s="448" t="s">
        <v>3024</v>
      </c>
      <c r="G853" s="448" t="s">
        <v>5326</v>
      </c>
    </row>
    <row r="854" spans="1:7">
      <c r="A854" s="448">
        <v>853</v>
      </c>
      <c r="B854" s="448" t="s">
        <v>5391</v>
      </c>
      <c r="C854" s="448" t="s">
        <v>5392</v>
      </c>
      <c r="D854" s="448" t="s">
        <v>4901</v>
      </c>
      <c r="E854" s="448" t="s">
        <v>2120</v>
      </c>
      <c r="F854" s="448" t="s">
        <v>3024</v>
      </c>
      <c r="G854" s="448" t="s">
        <v>5393</v>
      </c>
    </row>
    <row r="855" spans="1:7">
      <c r="A855" s="448">
        <v>854</v>
      </c>
      <c r="B855" s="448" t="s">
        <v>5394</v>
      </c>
      <c r="C855" s="448" t="s">
        <v>5395</v>
      </c>
      <c r="D855" s="448" t="s">
        <v>4901</v>
      </c>
      <c r="E855" s="448" t="s">
        <v>2120</v>
      </c>
      <c r="F855" s="448" t="s">
        <v>3024</v>
      </c>
      <c r="G855" s="448" t="s">
        <v>5396</v>
      </c>
    </row>
    <row r="856" spans="1:7">
      <c r="A856" s="448">
        <v>855</v>
      </c>
      <c r="B856" s="448" t="s">
        <v>5397</v>
      </c>
      <c r="C856" s="448" t="s">
        <v>5398</v>
      </c>
      <c r="D856" s="448" t="s">
        <v>4901</v>
      </c>
      <c r="E856" s="448" t="s">
        <v>2120</v>
      </c>
      <c r="F856" s="448" t="s">
        <v>3024</v>
      </c>
      <c r="G856" s="448" t="s">
        <v>5399</v>
      </c>
    </row>
    <row r="857" spans="1:7">
      <c r="A857" s="448">
        <v>856</v>
      </c>
      <c r="B857" s="448" t="s">
        <v>5400</v>
      </c>
      <c r="C857" s="448" t="s">
        <v>5401</v>
      </c>
      <c r="D857" s="448" t="s">
        <v>4901</v>
      </c>
      <c r="E857" s="448" t="s">
        <v>2120</v>
      </c>
      <c r="F857" s="448" t="s">
        <v>3024</v>
      </c>
      <c r="G857" s="448" t="s">
        <v>5402</v>
      </c>
    </row>
    <row r="858" spans="1:7">
      <c r="A858" s="448">
        <v>857</v>
      </c>
      <c r="B858" s="448" t="s">
        <v>5403</v>
      </c>
      <c r="C858" s="448" t="s">
        <v>5404</v>
      </c>
      <c r="D858" s="448" t="s">
        <v>4901</v>
      </c>
      <c r="E858" s="448" t="s">
        <v>2120</v>
      </c>
      <c r="F858" s="448" t="s">
        <v>3024</v>
      </c>
      <c r="G858" s="448" t="s">
        <v>5238</v>
      </c>
    </row>
    <row r="859" spans="1:7">
      <c r="A859" s="448">
        <v>858</v>
      </c>
      <c r="B859" s="448" t="s">
        <v>5405</v>
      </c>
      <c r="C859" s="448" t="s">
        <v>5406</v>
      </c>
      <c r="D859" s="448" t="s">
        <v>4901</v>
      </c>
      <c r="E859" s="448" t="s">
        <v>2120</v>
      </c>
      <c r="F859" s="448" t="s">
        <v>3024</v>
      </c>
      <c r="G859" s="448" t="s">
        <v>4360</v>
      </c>
    </row>
    <row r="860" spans="1:7">
      <c r="A860" s="448">
        <v>859</v>
      </c>
      <c r="B860" s="448" t="s">
        <v>5407</v>
      </c>
      <c r="C860" s="448" t="s">
        <v>5408</v>
      </c>
      <c r="D860" s="448" t="s">
        <v>4901</v>
      </c>
      <c r="E860" s="448" t="s">
        <v>2120</v>
      </c>
      <c r="F860" s="448" t="s">
        <v>3024</v>
      </c>
      <c r="G860" s="448" t="s">
        <v>5409</v>
      </c>
    </row>
    <row r="861" spans="1:7">
      <c r="A861" s="448">
        <v>860</v>
      </c>
      <c r="B861" s="448" t="s">
        <v>5410</v>
      </c>
      <c r="C861" s="448" t="s">
        <v>5411</v>
      </c>
      <c r="D861" s="448" t="s">
        <v>4901</v>
      </c>
      <c r="E861" s="448" t="s">
        <v>2120</v>
      </c>
      <c r="F861" s="448" t="s">
        <v>3024</v>
      </c>
      <c r="G861" s="448" t="s">
        <v>5412</v>
      </c>
    </row>
    <row r="862" spans="1:7">
      <c r="A862" s="448">
        <v>861</v>
      </c>
      <c r="B862" s="448" t="s">
        <v>5413</v>
      </c>
      <c r="C862" s="448" t="s">
        <v>5414</v>
      </c>
      <c r="D862" s="448" t="s">
        <v>4901</v>
      </c>
      <c r="E862" s="448" t="s">
        <v>2120</v>
      </c>
      <c r="F862" s="448" t="s">
        <v>3024</v>
      </c>
      <c r="G862" s="448" t="s">
        <v>5354</v>
      </c>
    </row>
    <row r="863" spans="1:7">
      <c r="A863" s="448">
        <v>862</v>
      </c>
      <c r="B863" s="448" t="s">
        <v>5415</v>
      </c>
      <c r="C863" s="448" t="s">
        <v>5416</v>
      </c>
      <c r="D863" s="448" t="s">
        <v>5417</v>
      </c>
      <c r="E863" s="448" t="s">
        <v>2120</v>
      </c>
      <c r="F863" s="448" t="s">
        <v>3024</v>
      </c>
      <c r="G863" s="448" t="s">
        <v>5277</v>
      </c>
    </row>
    <row r="864" spans="1:7">
      <c r="A864" s="448">
        <v>863</v>
      </c>
      <c r="B864" s="448" t="s">
        <v>5418</v>
      </c>
      <c r="C864" s="448" t="s">
        <v>5419</v>
      </c>
      <c r="D864" s="448" t="s">
        <v>4901</v>
      </c>
      <c r="E864" s="448" t="s">
        <v>2120</v>
      </c>
      <c r="F864" s="448" t="s">
        <v>3024</v>
      </c>
      <c r="G864" s="448" t="s">
        <v>5420</v>
      </c>
    </row>
    <row r="865" spans="1:7">
      <c r="A865" s="448">
        <v>864</v>
      </c>
      <c r="B865" s="448" t="s">
        <v>5421</v>
      </c>
      <c r="C865" s="448" t="s">
        <v>5422</v>
      </c>
      <c r="D865" s="448" t="s">
        <v>4901</v>
      </c>
      <c r="E865" s="448" t="s">
        <v>2120</v>
      </c>
      <c r="F865" s="448" t="s">
        <v>3024</v>
      </c>
      <c r="G865" s="448" t="s">
        <v>5423</v>
      </c>
    </row>
    <row r="866" spans="1:7">
      <c r="A866" s="448">
        <v>865</v>
      </c>
      <c r="B866" s="448" t="s">
        <v>5424</v>
      </c>
      <c r="C866" s="448" t="s">
        <v>5425</v>
      </c>
      <c r="D866" s="448" t="s">
        <v>4901</v>
      </c>
      <c r="E866" s="448" t="s">
        <v>2120</v>
      </c>
      <c r="F866" s="448" t="s">
        <v>3024</v>
      </c>
      <c r="G866" s="448" t="s">
        <v>5426</v>
      </c>
    </row>
    <row r="867" spans="1:7">
      <c r="A867" s="448">
        <v>866</v>
      </c>
      <c r="B867" s="448" t="s">
        <v>5427</v>
      </c>
      <c r="C867" s="448" t="s">
        <v>5428</v>
      </c>
      <c r="D867" s="448" t="s">
        <v>4901</v>
      </c>
      <c r="E867" s="448" t="s">
        <v>2120</v>
      </c>
      <c r="F867" s="448" t="s">
        <v>3024</v>
      </c>
      <c r="G867" s="448" t="s">
        <v>5429</v>
      </c>
    </row>
    <row r="868" spans="1:7">
      <c r="A868" s="448">
        <v>867</v>
      </c>
      <c r="B868" s="448" t="s">
        <v>5430</v>
      </c>
      <c r="C868" s="448" t="s">
        <v>5431</v>
      </c>
      <c r="D868" s="448" t="s">
        <v>4901</v>
      </c>
      <c r="E868" s="448" t="s">
        <v>2120</v>
      </c>
      <c r="F868" s="448" t="s">
        <v>3024</v>
      </c>
      <c r="G868" s="448" t="s">
        <v>5432</v>
      </c>
    </row>
    <row r="869" spans="1:7">
      <c r="A869" s="448">
        <v>868</v>
      </c>
      <c r="B869" s="448" t="s">
        <v>5433</v>
      </c>
      <c r="C869" s="448" t="s">
        <v>5434</v>
      </c>
      <c r="D869" s="448" t="s">
        <v>4901</v>
      </c>
      <c r="E869" s="448" t="s">
        <v>2120</v>
      </c>
      <c r="F869" s="448" t="s">
        <v>3024</v>
      </c>
      <c r="G869" s="448" t="s">
        <v>5435</v>
      </c>
    </row>
    <row r="870" spans="1:7">
      <c r="A870" s="448">
        <v>869</v>
      </c>
      <c r="B870" s="448" t="s">
        <v>5436</v>
      </c>
      <c r="C870" s="448" t="s">
        <v>5437</v>
      </c>
      <c r="D870" s="448" t="s">
        <v>4901</v>
      </c>
      <c r="E870" s="448" t="s">
        <v>2120</v>
      </c>
      <c r="F870" s="448" t="s">
        <v>3024</v>
      </c>
      <c r="G870" s="448" t="s">
        <v>5438</v>
      </c>
    </row>
    <row r="871" spans="1:7">
      <c r="A871" s="448">
        <v>870</v>
      </c>
      <c r="B871" s="448" t="s">
        <v>5439</v>
      </c>
      <c r="C871" s="448" t="s">
        <v>5440</v>
      </c>
      <c r="D871" s="448" t="s">
        <v>5417</v>
      </c>
      <c r="E871" s="448" t="s">
        <v>2120</v>
      </c>
      <c r="F871" s="448" t="s">
        <v>3024</v>
      </c>
      <c r="G871" s="448" t="s">
        <v>5277</v>
      </c>
    </row>
    <row r="872" spans="1:7">
      <c r="A872" s="448">
        <v>871</v>
      </c>
      <c r="B872" s="448" t="s">
        <v>5441</v>
      </c>
      <c r="C872" s="448" t="s">
        <v>5442</v>
      </c>
      <c r="D872" s="448" t="s">
        <v>5417</v>
      </c>
      <c r="E872" s="448" t="s">
        <v>2120</v>
      </c>
      <c r="F872" s="448" t="s">
        <v>3024</v>
      </c>
      <c r="G872" s="448" t="s">
        <v>4746</v>
      </c>
    </row>
    <row r="873" spans="1:7">
      <c r="A873" s="448">
        <v>872</v>
      </c>
      <c r="B873" s="448" t="s">
        <v>5443</v>
      </c>
      <c r="C873" s="448" t="s">
        <v>5444</v>
      </c>
      <c r="D873" s="448" t="s">
        <v>523</v>
      </c>
      <c r="E873" s="448" t="s">
        <v>2120</v>
      </c>
      <c r="F873" s="448" t="s">
        <v>3024</v>
      </c>
      <c r="G873" s="448" t="s">
        <v>4690</v>
      </c>
    </row>
    <row r="874" spans="1:7">
      <c r="A874" s="448">
        <v>873</v>
      </c>
      <c r="B874" s="448" t="s">
        <v>5445</v>
      </c>
      <c r="C874" s="448" t="s">
        <v>5446</v>
      </c>
      <c r="D874" s="448" t="s">
        <v>523</v>
      </c>
      <c r="E874" s="448" t="s">
        <v>2120</v>
      </c>
      <c r="F874" s="448" t="s">
        <v>3024</v>
      </c>
      <c r="G874" s="448" t="s">
        <v>5258</v>
      </c>
    </row>
    <row r="875" spans="1:7">
      <c r="A875" s="448">
        <v>874</v>
      </c>
      <c r="B875" s="448" t="s">
        <v>5447</v>
      </c>
      <c r="C875" s="448" t="s">
        <v>5448</v>
      </c>
      <c r="D875" s="448" t="s">
        <v>523</v>
      </c>
      <c r="E875" s="448" t="s">
        <v>2120</v>
      </c>
      <c r="F875" s="448" t="s">
        <v>3024</v>
      </c>
      <c r="G875" s="448" t="s">
        <v>4684</v>
      </c>
    </row>
    <row r="876" spans="1:7">
      <c r="A876" s="448">
        <v>875</v>
      </c>
      <c r="B876" s="448" t="s">
        <v>5449</v>
      </c>
      <c r="C876" s="448" t="s">
        <v>5450</v>
      </c>
      <c r="D876" s="448" t="s">
        <v>523</v>
      </c>
      <c r="E876" s="448" t="s">
        <v>2120</v>
      </c>
      <c r="F876" s="448" t="s">
        <v>3024</v>
      </c>
      <c r="G876" s="448" t="s">
        <v>4472</v>
      </c>
    </row>
    <row r="877" spans="1:7">
      <c r="A877" s="448">
        <v>876</v>
      </c>
      <c r="B877" s="448" t="s">
        <v>5451</v>
      </c>
      <c r="C877" s="448" t="s">
        <v>5452</v>
      </c>
      <c r="D877" s="448" t="s">
        <v>523</v>
      </c>
      <c r="E877" s="448" t="s">
        <v>2120</v>
      </c>
      <c r="F877" s="448" t="s">
        <v>3024</v>
      </c>
      <c r="G877" s="448" t="s">
        <v>4681</v>
      </c>
    </row>
    <row r="878" spans="1:7">
      <c r="A878" s="448">
        <v>877</v>
      </c>
      <c r="B878" s="448" t="s">
        <v>5453</v>
      </c>
      <c r="C878" s="448" t="s">
        <v>5454</v>
      </c>
      <c r="D878" s="448" t="s">
        <v>523</v>
      </c>
      <c r="E878" s="448" t="s">
        <v>2120</v>
      </c>
      <c r="F878" s="448" t="s">
        <v>3024</v>
      </c>
      <c r="G878" s="448" t="s">
        <v>5372</v>
      </c>
    </row>
    <row r="879" spans="1:7">
      <c r="A879" s="448">
        <v>878</v>
      </c>
      <c r="B879" s="448" t="s">
        <v>5455</v>
      </c>
      <c r="C879" s="448" t="s">
        <v>5456</v>
      </c>
      <c r="D879" s="448" t="s">
        <v>523</v>
      </c>
      <c r="E879" s="448" t="s">
        <v>2120</v>
      </c>
      <c r="F879" s="448" t="s">
        <v>3024</v>
      </c>
      <c r="G879" s="448" t="s">
        <v>4746</v>
      </c>
    </row>
    <row r="880" spans="1:7">
      <c r="A880" s="448">
        <v>879</v>
      </c>
      <c r="B880" s="448" t="s">
        <v>5457</v>
      </c>
      <c r="C880" s="448" t="s">
        <v>5458</v>
      </c>
      <c r="D880" s="448" t="s">
        <v>523</v>
      </c>
      <c r="E880" s="448" t="s">
        <v>2120</v>
      </c>
      <c r="F880" s="448" t="s">
        <v>3024</v>
      </c>
      <c r="G880" s="448" t="s">
        <v>5369</v>
      </c>
    </row>
    <row r="881" spans="1:7">
      <c r="A881" s="448">
        <v>880</v>
      </c>
      <c r="B881" s="448" t="s">
        <v>5459</v>
      </c>
      <c r="C881" s="448" t="s">
        <v>5460</v>
      </c>
      <c r="D881" s="448" t="s">
        <v>523</v>
      </c>
      <c r="E881" s="448" t="s">
        <v>2120</v>
      </c>
      <c r="F881" s="448" t="s">
        <v>3024</v>
      </c>
      <c r="G881" s="448" t="s">
        <v>5369</v>
      </c>
    </row>
    <row r="882" spans="1:7">
      <c r="A882" s="448">
        <v>881</v>
      </c>
      <c r="B882" s="448" t="s">
        <v>5461</v>
      </c>
      <c r="C882" s="448" t="s">
        <v>5462</v>
      </c>
      <c r="D882" s="448" t="s">
        <v>523</v>
      </c>
      <c r="E882" s="448" t="s">
        <v>2120</v>
      </c>
      <c r="F882" s="448" t="s">
        <v>3024</v>
      </c>
      <c r="G882" s="448" t="s">
        <v>5299</v>
      </c>
    </row>
    <row r="883" spans="1:7">
      <c r="A883" s="448">
        <v>882</v>
      </c>
      <c r="B883" s="448" t="s">
        <v>5463</v>
      </c>
      <c r="C883" s="448" t="s">
        <v>5464</v>
      </c>
      <c r="D883" s="448" t="s">
        <v>523</v>
      </c>
      <c r="E883" s="448" t="s">
        <v>2120</v>
      </c>
      <c r="F883" s="448" t="s">
        <v>3024</v>
      </c>
      <c r="G883" s="448" t="s">
        <v>5299</v>
      </c>
    </row>
    <row r="884" spans="1:7">
      <c r="A884" s="448">
        <v>883</v>
      </c>
      <c r="B884" s="448" t="s">
        <v>5465</v>
      </c>
      <c r="C884" s="448" t="s">
        <v>5466</v>
      </c>
      <c r="D884" s="448" t="s">
        <v>523</v>
      </c>
      <c r="E884" s="448" t="s">
        <v>2120</v>
      </c>
      <c r="F884" s="448" t="s">
        <v>3024</v>
      </c>
      <c r="G884" s="448" t="s">
        <v>4123</v>
      </c>
    </row>
    <row r="885" spans="1:7">
      <c r="A885" s="448">
        <v>884</v>
      </c>
      <c r="B885" s="448" t="s">
        <v>5467</v>
      </c>
      <c r="C885" s="448" t="s">
        <v>5468</v>
      </c>
      <c r="D885" s="448" t="s">
        <v>5338</v>
      </c>
      <c r="E885" s="448" t="s">
        <v>2120</v>
      </c>
      <c r="F885" s="448" t="s">
        <v>3024</v>
      </c>
      <c r="G885" s="448" t="s">
        <v>4472</v>
      </c>
    </row>
    <row r="886" spans="1:7">
      <c r="A886" s="448">
        <v>885</v>
      </c>
      <c r="B886" s="448" t="s">
        <v>5469</v>
      </c>
      <c r="C886" s="448" t="s">
        <v>5470</v>
      </c>
      <c r="D886" s="448" t="s">
        <v>5338</v>
      </c>
      <c r="E886" s="448" t="s">
        <v>2120</v>
      </c>
      <c r="F886" s="448" t="s">
        <v>3024</v>
      </c>
      <c r="G886" s="448" t="s">
        <v>5321</v>
      </c>
    </row>
    <row r="887" spans="1:7">
      <c r="A887" s="448">
        <v>886</v>
      </c>
      <c r="B887" s="448" t="s">
        <v>5471</v>
      </c>
      <c r="C887" s="448" t="s">
        <v>5472</v>
      </c>
      <c r="D887" s="448" t="s">
        <v>3617</v>
      </c>
      <c r="E887" s="448" t="s">
        <v>2120</v>
      </c>
      <c r="F887" s="448" t="s">
        <v>3024</v>
      </c>
      <c r="G887" s="448" t="s">
        <v>5277</v>
      </c>
    </row>
    <row r="888" spans="1:7">
      <c r="A888" s="448">
        <v>887</v>
      </c>
      <c r="B888" s="448" t="s">
        <v>5473</v>
      </c>
      <c r="C888" s="448" t="s">
        <v>5474</v>
      </c>
      <c r="D888" s="448" t="s">
        <v>3617</v>
      </c>
      <c r="E888" s="448" t="s">
        <v>2120</v>
      </c>
      <c r="F888" s="448" t="s">
        <v>3024</v>
      </c>
      <c r="G888" s="448" t="s">
        <v>4746</v>
      </c>
    </row>
    <row r="889" spans="1:7">
      <c r="A889" s="448">
        <v>888</v>
      </c>
      <c r="B889" s="448" t="s">
        <v>5475</v>
      </c>
      <c r="C889" s="448" t="s">
        <v>5476</v>
      </c>
      <c r="D889" s="448" t="s">
        <v>3363</v>
      </c>
      <c r="E889" s="448" t="s">
        <v>2120</v>
      </c>
      <c r="F889" s="448" t="s">
        <v>3024</v>
      </c>
      <c r="G889" s="448" t="s">
        <v>5339</v>
      </c>
    </row>
    <row r="890" spans="1:7">
      <c r="A890" s="448">
        <v>889</v>
      </c>
      <c r="B890" s="448" t="s">
        <v>5477</v>
      </c>
      <c r="C890" s="448" t="s">
        <v>5478</v>
      </c>
      <c r="D890" s="448" t="s">
        <v>3363</v>
      </c>
      <c r="E890" s="448" t="s">
        <v>2120</v>
      </c>
      <c r="F890" s="448" t="s">
        <v>3024</v>
      </c>
      <c r="G890" s="448" t="s">
        <v>3675</v>
      </c>
    </row>
    <row r="891" spans="1:7">
      <c r="A891" s="448">
        <v>890</v>
      </c>
      <c r="B891" s="448" t="s">
        <v>5479</v>
      </c>
      <c r="C891" s="448" t="s">
        <v>5480</v>
      </c>
      <c r="D891" s="448" t="s">
        <v>3363</v>
      </c>
      <c r="E891" s="448" t="s">
        <v>2120</v>
      </c>
      <c r="F891" s="448" t="s">
        <v>3024</v>
      </c>
      <c r="G891" s="448" t="s">
        <v>5321</v>
      </c>
    </row>
    <row r="892" spans="1:7">
      <c r="A892" s="448">
        <v>891</v>
      </c>
      <c r="B892" s="448" t="s">
        <v>5481</v>
      </c>
      <c r="C892" s="448" t="s">
        <v>5482</v>
      </c>
      <c r="D892" s="448" t="s">
        <v>3363</v>
      </c>
      <c r="E892" s="448" t="s">
        <v>2120</v>
      </c>
      <c r="F892" s="448" t="s">
        <v>3024</v>
      </c>
      <c r="G892" s="448" t="s">
        <v>3342</v>
      </c>
    </row>
    <row r="893" spans="1:7">
      <c r="A893" s="448">
        <v>892</v>
      </c>
      <c r="B893" s="448" t="s">
        <v>5483</v>
      </c>
      <c r="C893" s="448" t="s">
        <v>5484</v>
      </c>
      <c r="D893" s="448" t="s">
        <v>3363</v>
      </c>
      <c r="E893" s="448" t="s">
        <v>2120</v>
      </c>
      <c r="F893" s="448" t="s">
        <v>3024</v>
      </c>
      <c r="G893" s="448" t="s">
        <v>5249</v>
      </c>
    </row>
    <row r="894" spans="1:7">
      <c r="A894" s="448">
        <v>893</v>
      </c>
      <c r="B894" s="448" t="s">
        <v>5485</v>
      </c>
      <c r="C894" s="448" t="s">
        <v>5486</v>
      </c>
      <c r="D894" s="448" t="s">
        <v>3363</v>
      </c>
      <c r="E894" s="448" t="s">
        <v>2120</v>
      </c>
      <c r="F894" s="448" t="s">
        <v>3024</v>
      </c>
      <c r="G894" s="448" t="s">
        <v>5487</v>
      </c>
    </row>
    <row r="895" spans="1:7">
      <c r="A895" s="448">
        <v>894</v>
      </c>
      <c r="B895" s="448" t="s">
        <v>5488</v>
      </c>
      <c r="C895" s="448" t="s">
        <v>5489</v>
      </c>
      <c r="D895" s="448" t="s">
        <v>1312</v>
      </c>
      <c r="E895" s="448" t="s">
        <v>2120</v>
      </c>
      <c r="F895" s="448" t="s">
        <v>3024</v>
      </c>
      <c r="G895" s="448" t="s">
        <v>5369</v>
      </c>
    </row>
    <row r="896" spans="1:7">
      <c r="A896" s="448">
        <v>895</v>
      </c>
      <c r="B896" s="448" t="s">
        <v>5490</v>
      </c>
      <c r="C896" s="448" t="s">
        <v>5491</v>
      </c>
      <c r="D896" s="448" t="s">
        <v>1312</v>
      </c>
      <c r="E896" s="448" t="s">
        <v>2120</v>
      </c>
      <c r="F896" s="448" t="s">
        <v>3024</v>
      </c>
      <c r="G896" s="448" t="s">
        <v>5299</v>
      </c>
    </row>
    <row r="897" spans="1:7">
      <c r="A897" s="448">
        <v>896</v>
      </c>
      <c r="B897" s="448" t="s">
        <v>5492</v>
      </c>
      <c r="C897" s="448" t="s">
        <v>5493</v>
      </c>
      <c r="D897" s="448" t="s">
        <v>1312</v>
      </c>
      <c r="E897" s="448" t="s">
        <v>2120</v>
      </c>
      <c r="F897" s="448" t="s">
        <v>3024</v>
      </c>
      <c r="G897" s="448" t="s">
        <v>4123</v>
      </c>
    </row>
    <row r="898" spans="1:7">
      <c r="A898" s="448">
        <v>897</v>
      </c>
      <c r="B898" s="448" t="s">
        <v>5494</v>
      </c>
      <c r="C898" s="448" t="s">
        <v>5495</v>
      </c>
      <c r="D898" s="448" t="s">
        <v>1312</v>
      </c>
      <c r="E898" s="448" t="s">
        <v>2120</v>
      </c>
      <c r="F898" s="448" t="s">
        <v>3024</v>
      </c>
      <c r="G898" s="448" t="s">
        <v>5369</v>
      </c>
    </row>
    <row r="899" spans="1:7">
      <c r="A899" s="448">
        <v>898</v>
      </c>
      <c r="B899" s="448" t="s">
        <v>5496</v>
      </c>
      <c r="C899" s="448" t="s">
        <v>5497</v>
      </c>
      <c r="D899" s="448" t="s">
        <v>1312</v>
      </c>
      <c r="E899" s="448" t="s">
        <v>2120</v>
      </c>
      <c r="F899" s="448" t="s">
        <v>3024</v>
      </c>
      <c r="G899" s="448" t="s">
        <v>5277</v>
      </c>
    </row>
    <row r="900" spans="1:7">
      <c r="A900" s="448">
        <v>899</v>
      </c>
      <c r="B900" s="448" t="s">
        <v>5498</v>
      </c>
      <c r="C900" s="448" t="s">
        <v>5499</v>
      </c>
      <c r="D900" s="448" t="s">
        <v>3617</v>
      </c>
      <c r="E900" s="448" t="s">
        <v>2120</v>
      </c>
      <c r="F900" s="448" t="s">
        <v>3024</v>
      </c>
      <c r="G900" s="448" t="s">
        <v>5331</v>
      </c>
    </row>
    <row r="901" spans="1:7">
      <c r="A901" s="448">
        <v>900</v>
      </c>
      <c r="B901" s="448" t="s">
        <v>5500</v>
      </c>
      <c r="C901" s="448" t="s">
        <v>5501</v>
      </c>
      <c r="D901" s="448" t="s">
        <v>3617</v>
      </c>
      <c r="E901" s="448" t="s">
        <v>2120</v>
      </c>
      <c r="F901" s="448" t="s">
        <v>3024</v>
      </c>
      <c r="G901" s="448" t="s">
        <v>5354</v>
      </c>
    </row>
    <row r="902" spans="1:7">
      <c r="A902" s="448">
        <v>901</v>
      </c>
      <c r="B902" s="448" t="s">
        <v>5502</v>
      </c>
      <c r="C902" s="448" t="s">
        <v>5503</v>
      </c>
      <c r="D902" s="448" t="s">
        <v>3617</v>
      </c>
      <c r="E902" s="448" t="s">
        <v>2120</v>
      </c>
      <c r="F902" s="448" t="s">
        <v>3024</v>
      </c>
      <c r="G902" s="448" t="s">
        <v>5504</v>
      </c>
    </row>
    <row r="903" spans="1:7">
      <c r="A903" s="448">
        <v>902</v>
      </c>
      <c r="B903" s="448" t="s">
        <v>5505</v>
      </c>
      <c r="C903" s="448" t="s">
        <v>5506</v>
      </c>
      <c r="D903" s="448" t="s">
        <v>3617</v>
      </c>
      <c r="E903" s="448" t="s">
        <v>2120</v>
      </c>
      <c r="F903" s="448" t="s">
        <v>3024</v>
      </c>
      <c r="G903" s="448" t="s">
        <v>5507</v>
      </c>
    </row>
    <row r="904" spans="1:7">
      <c r="A904" s="448">
        <v>903</v>
      </c>
      <c r="B904" s="448" t="s">
        <v>5508</v>
      </c>
      <c r="C904" s="448" t="s">
        <v>5509</v>
      </c>
      <c r="D904" s="448" t="s">
        <v>3617</v>
      </c>
      <c r="E904" s="448" t="s">
        <v>2120</v>
      </c>
      <c r="F904" s="448" t="s">
        <v>3024</v>
      </c>
      <c r="G904" s="448" t="s">
        <v>5510</v>
      </c>
    </row>
    <row r="905" spans="1:7">
      <c r="A905" s="448">
        <v>904</v>
      </c>
      <c r="B905" s="448" t="s">
        <v>5511</v>
      </c>
      <c r="C905" s="448" t="s">
        <v>5512</v>
      </c>
      <c r="D905" s="448" t="s">
        <v>3617</v>
      </c>
      <c r="E905" s="448" t="s">
        <v>2120</v>
      </c>
      <c r="F905" s="448" t="s">
        <v>3024</v>
      </c>
      <c r="G905" s="448" t="s">
        <v>5513</v>
      </c>
    </row>
    <row r="906" spans="1:7">
      <c r="A906" s="448">
        <v>905</v>
      </c>
      <c r="B906" s="448" t="s">
        <v>5514</v>
      </c>
      <c r="C906" s="448" t="s">
        <v>5515</v>
      </c>
      <c r="D906" s="448" t="s">
        <v>3617</v>
      </c>
      <c r="E906" s="448" t="s">
        <v>2120</v>
      </c>
      <c r="F906" s="448" t="s">
        <v>3024</v>
      </c>
      <c r="G906" s="448" t="s">
        <v>5516</v>
      </c>
    </row>
    <row r="907" spans="1:7">
      <c r="A907" s="448">
        <v>906</v>
      </c>
      <c r="B907" s="448" t="s">
        <v>5517</v>
      </c>
      <c r="C907" s="448" t="s">
        <v>5518</v>
      </c>
      <c r="D907" s="448" t="s">
        <v>3617</v>
      </c>
      <c r="E907" s="448" t="s">
        <v>2120</v>
      </c>
      <c r="F907" s="448" t="s">
        <v>3024</v>
      </c>
      <c r="G907" s="448" t="s">
        <v>5519</v>
      </c>
    </row>
    <row r="908" spans="1:7">
      <c r="A908" s="448">
        <v>907</v>
      </c>
      <c r="B908" s="448" t="s">
        <v>5520</v>
      </c>
      <c r="C908" s="448" t="s">
        <v>5521</v>
      </c>
      <c r="D908" s="448" t="s">
        <v>3617</v>
      </c>
      <c r="E908" s="448" t="s">
        <v>2120</v>
      </c>
      <c r="F908" s="448" t="s">
        <v>3024</v>
      </c>
      <c r="G908" s="448" t="s">
        <v>5522</v>
      </c>
    </row>
    <row r="909" spans="1:7">
      <c r="A909" s="448">
        <v>908</v>
      </c>
      <c r="B909" s="448" t="s">
        <v>5523</v>
      </c>
      <c r="C909" s="448" t="s">
        <v>5524</v>
      </c>
      <c r="D909" s="448" t="s">
        <v>3617</v>
      </c>
      <c r="E909" s="448" t="s">
        <v>2120</v>
      </c>
      <c r="F909" s="448" t="s">
        <v>3024</v>
      </c>
      <c r="G909" s="448" t="s">
        <v>5525</v>
      </c>
    </row>
    <row r="910" spans="1:7">
      <c r="A910" s="448">
        <v>909</v>
      </c>
      <c r="B910" s="448" t="s">
        <v>5526</v>
      </c>
      <c r="C910" s="448" t="s">
        <v>5527</v>
      </c>
      <c r="D910" s="448" t="s">
        <v>5528</v>
      </c>
      <c r="E910" s="448" t="s">
        <v>2120</v>
      </c>
      <c r="F910" s="448" t="s">
        <v>3024</v>
      </c>
      <c r="G910" s="448" t="s">
        <v>5529</v>
      </c>
    </row>
    <row r="911" spans="1:7">
      <c r="A911" s="448">
        <v>910</v>
      </c>
      <c r="B911" s="448" t="s">
        <v>5530</v>
      </c>
      <c r="C911" s="448" t="s">
        <v>5531</v>
      </c>
      <c r="D911" s="448" t="s">
        <v>5528</v>
      </c>
      <c r="E911" s="448" t="s">
        <v>2120</v>
      </c>
      <c r="F911" s="448" t="s">
        <v>3024</v>
      </c>
      <c r="G911" s="448" t="s">
        <v>5532</v>
      </c>
    </row>
    <row r="912" spans="1:7">
      <c r="A912" s="448">
        <v>911</v>
      </c>
      <c r="B912" s="448" t="s">
        <v>5533</v>
      </c>
      <c r="C912" s="448" t="s">
        <v>5534</v>
      </c>
      <c r="D912" s="448" t="s">
        <v>5528</v>
      </c>
      <c r="E912" s="448" t="s">
        <v>2120</v>
      </c>
      <c r="F912" s="448" t="s">
        <v>3024</v>
      </c>
      <c r="G912" s="448" t="s">
        <v>5535</v>
      </c>
    </row>
    <row r="913" spans="1:7">
      <c r="A913" s="448">
        <v>912</v>
      </c>
      <c r="B913" s="448" t="s">
        <v>5536</v>
      </c>
      <c r="C913" s="448" t="s">
        <v>5537</v>
      </c>
      <c r="D913" s="448" t="s">
        <v>5528</v>
      </c>
      <c r="E913" s="448" t="s">
        <v>2120</v>
      </c>
      <c r="F913" s="448" t="s">
        <v>3024</v>
      </c>
      <c r="G913" s="448" t="s">
        <v>5538</v>
      </c>
    </row>
    <row r="914" spans="1:7">
      <c r="A914" s="448">
        <v>913</v>
      </c>
      <c r="B914" s="448" t="s">
        <v>5539</v>
      </c>
      <c r="C914" s="448" t="s">
        <v>5540</v>
      </c>
      <c r="D914" s="448" t="s">
        <v>5528</v>
      </c>
      <c r="E914" s="448" t="s">
        <v>2120</v>
      </c>
      <c r="F914" s="448" t="s">
        <v>3024</v>
      </c>
      <c r="G914" s="448" t="s">
        <v>5541</v>
      </c>
    </row>
    <row r="915" spans="1:7">
      <c r="A915" s="448">
        <v>914</v>
      </c>
      <c r="B915" s="448" t="s">
        <v>5542</v>
      </c>
      <c r="C915" s="448" t="s">
        <v>5543</v>
      </c>
      <c r="D915" s="448" t="s">
        <v>5528</v>
      </c>
      <c r="E915" s="448" t="s">
        <v>2120</v>
      </c>
      <c r="F915" s="448" t="s">
        <v>3024</v>
      </c>
      <c r="G915" s="448" t="s">
        <v>5544</v>
      </c>
    </row>
    <row r="916" spans="1:7">
      <c r="A916" s="448">
        <v>915</v>
      </c>
      <c r="B916" s="448" t="s">
        <v>5545</v>
      </c>
      <c r="C916" s="448" t="s">
        <v>5546</v>
      </c>
      <c r="D916" s="448" t="s">
        <v>5284</v>
      </c>
      <c r="E916" s="448" t="s">
        <v>2120</v>
      </c>
      <c r="F916" s="448" t="s">
        <v>3024</v>
      </c>
      <c r="G916" s="448" t="s">
        <v>4690</v>
      </c>
    </row>
    <row r="917" spans="1:7">
      <c r="A917" s="448">
        <v>916</v>
      </c>
      <c r="B917" s="448" t="s">
        <v>5547</v>
      </c>
      <c r="C917" s="448" t="s">
        <v>5548</v>
      </c>
      <c r="D917" s="448" t="s">
        <v>5284</v>
      </c>
      <c r="E917" s="448" t="s">
        <v>2120</v>
      </c>
      <c r="F917" s="448" t="s">
        <v>3024</v>
      </c>
      <c r="G917" s="448" t="s">
        <v>5299</v>
      </c>
    </row>
    <row r="918" spans="1:7">
      <c r="A918" s="448">
        <v>917</v>
      </c>
      <c r="B918" s="448" t="s">
        <v>5549</v>
      </c>
      <c r="C918" s="448" t="s">
        <v>5550</v>
      </c>
      <c r="D918" s="448" t="s">
        <v>5284</v>
      </c>
      <c r="E918" s="448" t="s">
        <v>2120</v>
      </c>
      <c r="F918" s="448" t="s">
        <v>3024</v>
      </c>
      <c r="G918" s="448" t="s">
        <v>5487</v>
      </c>
    </row>
    <row r="919" spans="1:7">
      <c r="A919" s="448">
        <v>918</v>
      </c>
      <c r="B919" s="448" t="s">
        <v>5551</v>
      </c>
      <c r="C919" s="448" t="s">
        <v>5552</v>
      </c>
      <c r="D919" s="448" t="s">
        <v>5284</v>
      </c>
      <c r="E919" s="448" t="s">
        <v>2120</v>
      </c>
      <c r="F919" s="448" t="s">
        <v>3024</v>
      </c>
      <c r="G919" s="448" t="s">
        <v>4003</v>
      </c>
    </row>
    <row r="920" spans="1:7">
      <c r="A920" s="448">
        <v>919</v>
      </c>
      <c r="B920" s="448" t="s">
        <v>5553</v>
      </c>
      <c r="C920" s="448" t="s">
        <v>5554</v>
      </c>
      <c r="D920" s="448" t="s">
        <v>5284</v>
      </c>
      <c r="E920" s="448" t="s">
        <v>2120</v>
      </c>
      <c r="F920" s="448" t="s">
        <v>3024</v>
      </c>
      <c r="G920" s="448" t="s">
        <v>5331</v>
      </c>
    </row>
    <row r="921" spans="1:7">
      <c r="A921" s="448">
        <v>920</v>
      </c>
      <c r="B921" s="448" t="s">
        <v>5555</v>
      </c>
      <c r="C921" s="448" t="s">
        <v>5556</v>
      </c>
      <c r="D921" s="448" t="s">
        <v>5284</v>
      </c>
      <c r="E921" s="448" t="s">
        <v>2120</v>
      </c>
      <c r="F921" s="448" t="s">
        <v>3024</v>
      </c>
      <c r="G921" s="448" t="s">
        <v>5557</v>
      </c>
    </row>
    <row r="922" spans="1:7">
      <c r="A922" s="448">
        <v>921</v>
      </c>
      <c r="B922" s="448" t="s">
        <v>5558</v>
      </c>
      <c r="C922" s="448" t="s">
        <v>5559</v>
      </c>
      <c r="D922" s="448" t="s">
        <v>5284</v>
      </c>
      <c r="E922" s="448" t="s">
        <v>2120</v>
      </c>
      <c r="F922" s="448" t="s">
        <v>3024</v>
      </c>
      <c r="G922" s="448" t="s">
        <v>5423</v>
      </c>
    </row>
    <row r="923" spans="1:7">
      <c r="A923" s="448">
        <v>922</v>
      </c>
      <c r="B923" s="448" t="s">
        <v>5560</v>
      </c>
      <c r="C923" s="448" t="s">
        <v>5561</v>
      </c>
      <c r="D923" s="448" t="s">
        <v>5284</v>
      </c>
      <c r="E923" s="448" t="s">
        <v>2120</v>
      </c>
      <c r="F923" s="448" t="s">
        <v>3024</v>
      </c>
      <c r="G923" s="448" t="s">
        <v>4123</v>
      </c>
    </row>
    <row r="924" spans="1:7">
      <c r="A924" s="448">
        <v>923</v>
      </c>
      <c r="B924" s="448" t="s">
        <v>5562</v>
      </c>
      <c r="C924" s="448" t="s">
        <v>5563</v>
      </c>
      <c r="D924" s="448" t="s">
        <v>5284</v>
      </c>
      <c r="E924" s="448" t="s">
        <v>2120</v>
      </c>
      <c r="F924" s="448" t="s">
        <v>3024</v>
      </c>
      <c r="G924" s="448" t="s">
        <v>5299</v>
      </c>
    </row>
    <row r="925" spans="1:7">
      <c r="A925" s="448">
        <v>924</v>
      </c>
      <c r="B925" s="448" t="s">
        <v>5564</v>
      </c>
      <c r="C925" s="448" t="s">
        <v>5565</v>
      </c>
      <c r="D925" s="448" t="s">
        <v>5284</v>
      </c>
      <c r="E925" s="448" t="s">
        <v>2120</v>
      </c>
      <c r="F925" s="448" t="s">
        <v>3024</v>
      </c>
      <c r="G925" s="448" t="s">
        <v>4003</v>
      </c>
    </row>
    <row r="926" spans="1:7">
      <c r="A926" s="448">
        <v>925</v>
      </c>
      <c r="B926" s="448" t="s">
        <v>5566</v>
      </c>
      <c r="C926" s="448" t="s">
        <v>5567</v>
      </c>
      <c r="D926" s="448" t="s">
        <v>5284</v>
      </c>
      <c r="E926" s="448" t="s">
        <v>2120</v>
      </c>
      <c r="F926" s="448" t="s">
        <v>3024</v>
      </c>
      <c r="G926" s="448" t="s">
        <v>4746</v>
      </c>
    </row>
    <row r="927" spans="1:7">
      <c r="A927" s="448">
        <v>926</v>
      </c>
      <c r="B927" s="448" t="s">
        <v>5568</v>
      </c>
      <c r="C927" s="448" t="s">
        <v>5569</v>
      </c>
      <c r="D927" s="448" t="s">
        <v>5284</v>
      </c>
      <c r="E927" s="448" t="s">
        <v>2120</v>
      </c>
      <c r="F927" s="448" t="s">
        <v>3024</v>
      </c>
      <c r="G927" s="448" t="s">
        <v>5369</v>
      </c>
    </row>
    <row r="928" spans="1:7">
      <c r="A928" s="448">
        <v>927</v>
      </c>
      <c r="B928" s="448" t="s">
        <v>5570</v>
      </c>
      <c r="C928" s="448" t="s">
        <v>5571</v>
      </c>
      <c r="D928" s="448" t="s">
        <v>5338</v>
      </c>
      <c r="E928" s="448" t="s">
        <v>2120</v>
      </c>
      <c r="F928" s="448" t="s">
        <v>3024</v>
      </c>
      <c r="G928" s="448" t="s">
        <v>5249</v>
      </c>
    </row>
    <row r="929" spans="1:7">
      <c r="A929" s="448">
        <v>928</v>
      </c>
      <c r="B929" s="448" t="s">
        <v>5572</v>
      </c>
      <c r="C929" s="448" t="s">
        <v>5573</v>
      </c>
      <c r="D929" s="448" t="s">
        <v>5338</v>
      </c>
      <c r="E929" s="448" t="s">
        <v>2120</v>
      </c>
      <c r="F929" s="448" t="s">
        <v>3024</v>
      </c>
      <c r="G929" s="448" t="s">
        <v>5321</v>
      </c>
    </row>
    <row r="930" spans="1:7">
      <c r="A930" s="448">
        <v>929</v>
      </c>
      <c r="B930" s="448" t="s">
        <v>5574</v>
      </c>
      <c r="C930" s="448" t="s">
        <v>5575</v>
      </c>
      <c r="D930" s="448" t="s">
        <v>5338</v>
      </c>
      <c r="E930" s="448" t="s">
        <v>2120</v>
      </c>
      <c r="F930" s="448" t="s">
        <v>3024</v>
      </c>
      <c r="G930" s="448" t="s">
        <v>5304</v>
      </c>
    </row>
    <row r="931" spans="1:7">
      <c r="A931" s="448">
        <v>930</v>
      </c>
      <c r="B931" s="448" t="s">
        <v>5576</v>
      </c>
      <c r="C931" s="448" t="s">
        <v>5577</v>
      </c>
      <c r="D931" s="448" t="s">
        <v>5338</v>
      </c>
      <c r="E931" s="448" t="s">
        <v>2120</v>
      </c>
      <c r="F931" s="448" t="s">
        <v>3024</v>
      </c>
      <c r="G931" s="448" t="s">
        <v>5258</v>
      </c>
    </row>
    <row r="932" spans="1:7">
      <c r="A932" s="448">
        <v>931</v>
      </c>
      <c r="B932" s="448" t="s">
        <v>5578</v>
      </c>
      <c r="C932" s="448" t="s">
        <v>5579</v>
      </c>
      <c r="D932" s="448" t="s">
        <v>5338</v>
      </c>
      <c r="E932" s="448" t="s">
        <v>2120</v>
      </c>
      <c r="F932" s="448" t="s">
        <v>3024</v>
      </c>
      <c r="G932" s="448" t="s">
        <v>5326</v>
      </c>
    </row>
    <row r="933" spans="1:7">
      <c r="A933" s="448">
        <v>932</v>
      </c>
      <c r="B933" s="448" t="s">
        <v>5580</v>
      </c>
      <c r="C933" s="448" t="s">
        <v>5581</v>
      </c>
      <c r="D933" s="448" t="s">
        <v>5338</v>
      </c>
      <c r="E933" s="448" t="s">
        <v>2120</v>
      </c>
      <c r="F933" s="448" t="s">
        <v>3024</v>
      </c>
      <c r="G933" s="448" t="s">
        <v>5393</v>
      </c>
    </row>
    <row r="934" spans="1:7">
      <c r="A934" s="448">
        <v>933</v>
      </c>
      <c r="B934" s="448" t="s">
        <v>5582</v>
      </c>
      <c r="C934" s="448" t="s">
        <v>5583</v>
      </c>
      <c r="D934" s="448" t="s">
        <v>523</v>
      </c>
      <c r="E934" s="448" t="s">
        <v>2120</v>
      </c>
      <c r="F934" s="448" t="s">
        <v>3024</v>
      </c>
      <c r="G934" s="448" t="s">
        <v>4003</v>
      </c>
    </row>
    <row r="935" spans="1:7">
      <c r="A935" s="448">
        <v>934</v>
      </c>
      <c r="B935" s="448" t="s">
        <v>5584</v>
      </c>
      <c r="C935" s="448" t="s">
        <v>5585</v>
      </c>
      <c r="D935" s="448" t="s">
        <v>523</v>
      </c>
      <c r="E935" s="448" t="s">
        <v>2120</v>
      </c>
      <c r="F935" s="448" t="s">
        <v>3024</v>
      </c>
      <c r="G935" s="448" t="s">
        <v>5249</v>
      </c>
    </row>
    <row r="936" spans="1:7">
      <c r="A936" s="448">
        <v>935</v>
      </c>
      <c r="B936" s="448" t="s">
        <v>5586</v>
      </c>
      <c r="C936" s="448" t="s">
        <v>5587</v>
      </c>
      <c r="D936" s="448" t="s">
        <v>523</v>
      </c>
      <c r="E936" s="448" t="s">
        <v>2120</v>
      </c>
      <c r="F936" s="448" t="s">
        <v>3024</v>
      </c>
      <c r="G936" s="448" t="s">
        <v>5487</v>
      </c>
    </row>
    <row r="937" spans="1:7">
      <c r="A937" s="448">
        <v>936</v>
      </c>
      <c r="B937" s="448" t="s">
        <v>5588</v>
      </c>
      <c r="C937" s="448" t="s">
        <v>5589</v>
      </c>
      <c r="D937" s="448" t="s">
        <v>523</v>
      </c>
      <c r="E937" s="448" t="s">
        <v>2120</v>
      </c>
      <c r="F937" s="448" t="s">
        <v>3024</v>
      </c>
      <c r="G937" s="448" t="s">
        <v>5254</v>
      </c>
    </row>
    <row r="938" spans="1:7">
      <c r="A938" s="448">
        <v>937</v>
      </c>
      <c r="B938" s="448" t="s">
        <v>5590</v>
      </c>
      <c r="C938" s="448" t="s">
        <v>5591</v>
      </c>
      <c r="D938" s="448" t="s">
        <v>523</v>
      </c>
      <c r="E938" s="448" t="s">
        <v>2120</v>
      </c>
      <c r="F938" s="448" t="s">
        <v>3024</v>
      </c>
      <c r="G938" s="448" t="s">
        <v>4681</v>
      </c>
    </row>
    <row r="939" spans="1:7">
      <c r="A939" s="448">
        <v>938</v>
      </c>
      <c r="B939" s="448" t="s">
        <v>5592</v>
      </c>
      <c r="C939" s="448" t="s">
        <v>5593</v>
      </c>
      <c r="D939" s="448" t="s">
        <v>523</v>
      </c>
      <c r="E939" s="448" t="s">
        <v>2120</v>
      </c>
      <c r="F939" s="448" t="s">
        <v>3024</v>
      </c>
      <c r="G939" s="448" t="s">
        <v>5277</v>
      </c>
    </row>
    <row r="940" spans="1:7">
      <c r="A940" s="448">
        <v>939</v>
      </c>
      <c r="B940" s="448" t="s">
        <v>5594</v>
      </c>
      <c r="C940" s="448" t="s">
        <v>5595</v>
      </c>
      <c r="D940" s="448" t="s">
        <v>523</v>
      </c>
      <c r="E940" s="448" t="s">
        <v>2120</v>
      </c>
      <c r="F940" s="448" t="s">
        <v>3024</v>
      </c>
      <c r="G940" s="448" t="s">
        <v>4746</v>
      </c>
    </row>
    <row r="941" spans="1:7">
      <c r="A941" s="448">
        <v>940</v>
      </c>
      <c r="B941" s="448" t="s">
        <v>5596</v>
      </c>
      <c r="C941" s="448" t="s">
        <v>5597</v>
      </c>
      <c r="D941" s="448" t="s">
        <v>523</v>
      </c>
      <c r="E941" s="448" t="s">
        <v>2120</v>
      </c>
      <c r="F941" s="448" t="s">
        <v>3024</v>
      </c>
      <c r="G941" s="448" t="s">
        <v>5369</v>
      </c>
    </row>
    <row r="942" spans="1:7">
      <c r="A942" s="448">
        <v>941</v>
      </c>
      <c r="B942" s="448" t="s">
        <v>5598</v>
      </c>
      <c r="C942" s="448" t="s">
        <v>5599</v>
      </c>
      <c r="D942" s="448" t="s">
        <v>523</v>
      </c>
      <c r="E942" s="448" t="s">
        <v>2120</v>
      </c>
      <c r="F942" s="448" t="s">
        <v>3024</v>
      </c>
      <c r="G942" s="448" t="s">
        <v>5369</v>
      </c>
    </row>
    <row r="943" spans="1:7">
      <c r="A943" s="448">
        <v>942</v>
      </c>
      <c r="B943" s="448" t="s">
        <v>5600</v>
      </c>
      <c r="C943" s="448" t="s">
        <v>5601</v>
      </c>
      <c r="D943" s="448" t="s">
        <v>5338</v>
      </c>
      <c r="E943" s="448" t="s">
        <v>2120</v>
      </c>
      <c r="F943" s="448" t="s">
        <v>3024</v>
      </c>
      <c r="G943" s="448" t="s">
        <v>4690</v>
      </c>
    </row>
    <row r="944" spans="1:7">
      <c r="A944" s="448">
        <v>943</v>
      </c>
      <c r="B944" s="448" t="s">
        <v>5602</v>
      </c>
      <c r="C944" s="448" t="s">
        <v>5603</v>
      </c>
      <c r="D944" s="448" t="s">
        <v>5338</v>
      </c>
      <c r="E944" s="448" t="s">
        <v>2120</v>
      </c>
      <c r="F944" s="448" t="s">
        <v>3024</v>
      </c>
      <c r="G944" s="448" t="s">
        <v>5304</v>
      </c>
    </row>
    <row r="945" spans="1:7">
      <c r="A945" s="448">
        <v>944</v>
      </c>
      <c r="B945" s="448" t="s">
        <v>5604</v>
      </c>
      <c r="C945" s="448" t="s">
        <v>5605</v>
      </c>
      <c r="D945" s="448" t="s">
        <v>3617</v>
      </c>
      <c r="E945" s="448" t="s">
        <v>2120</v>
      </c>
      <c r="F945" s="448" t="s">
        <v>3024</v>
      </c>
      <c r="G945" s="448" t="s">
        <v>5304</v>
      </c>
    </row>
    <row r="946" spans="1:7">
      <c r="A946" s="448">
        <v>945</v>
      </c>
      <c r="B946" s="448" t="s">
        <v>5606</v>
      </c>
      <c r="C946" s="448" t="s">
        <v>5607</v>
      </c>
      <c r="D946" s="448" t="s">
        <v>3879</v>
      </c>
      <c r="E946" s="448" t="s">
        <v>2120</v>
      </c>
      <c r="F946" s="448" t="s">
        <v>3024</v>
      </c>
      <c r="G946" s="448" t="s">
        <v>5156</v>
      </c>
    </row>
    <row r="947" spans="1:7">
      <c r="A947" s="448">
        <v>946</v>
      </c>
      <c r="B947" s="448" t="s">
        <v>5608</v>
      </c>
      <c r="C947" s="448" t="s">
        <v>5609</v>
      </c>
      <c r="D947" s="448" t="s">
        <v>523</v>
      </c>
      <c r="E947" s="448" t="s">
        <v>2120</v>
      </c>
      <c r="F947" s="448" t="s">
        <v>3024</v>
      </c>
      <c r="G947" s="448" t="s">
        <v>3773</v>
      </c>
    </row>
    <row r="948" spans="1:7">
      <c r="A948" s="448">
        <v>947</v>
      </c>
      <c r="B948" s="448" t="s">
        <v>5610</v>
      </c>
      <c r="C948" s="448" t="s">
        <v>5611</v>
      </c>
      <c r="D948" s="448" t="s">
        <v>4487</v>
      </c>
      <c r="E948" s="448" t="s">
        <v>2120</v>
      </c>
      <c r="F948" s="448" t="s">
        <v>3024</v>
      </c>
      <c r="G948" s="448" t="s">
        <v>5487</v>
      </c>
    </row>
    <row r="949" spans="1:7">
      <c r="A949" s="448">
        <v>948</v>
      </c>
      <c r="B949" s="448" t="s">
        <v>5612</v>
      </c>
      <c r="C949" s="448" t="s">
        <v>5613</v>
      </c>
      <c r="D949" s="448" t="s">
        <v>4320</v>
      </c>
      <c r="E949" s="448" t="s">
        <v>2120</v>
      </c>
      <c r="F949" s="448" t="s">
        <v>3024</v>
      </c>
      <c r="G949" s="448" t="s">
        <v>5277</v>
      </c>
    </row>
    <row r="950" spans="1:7">
      <c r="A950" s="448">
        <v>949</v>
      </c>
      <c r="B950" s="448" t="s">
        <v>5614</v>
      </c>
      <c r="C950" s="448" t="s">
        <v>5615</v>
      </c>
      <c r="D950" s="448" t="s">
        <v>4487</v>
      </c>
      <c r="E950" s="448" t="s">
        <v>2120</v>
      </c>
      <c r="F950" s="448" t="s">
        <v>3024</v>
      </c>
      <c r="G950" s="448" t="s">
        <v>3773</v>
      </c>
    </row>
    <row r="951" spans="1:7">
      <c r="A951" s="448">
        <v>950</v>
      </c>
      <c r="B951" s="448" t="s">
        <v>5616</v>
      </c>
      <c r="C951" s="448" t="s">
        <v>5617</v>
      </c>
      <c r="D951" s="448" t="s">
        <v>4487</v>
      </c>
      <c r="E951" s="448" t="s">
        <v>2120</v>
      </c>
      <c r="F951" s="448" t="s">
        <v>3024</v>
      </c>
      <c r="G951" s="448" t="s">
        <v>4746</v>
      </c>
    </row>
    <row r="952" spans="1:7">
      <c r="A952" s="448">
        <v>951</v>
      </c>
      <c r="B952" s="448" t="s">
        <v>5618</v>
      </c>
      <c r="C952" s="448" t="s">
        <v>5619</v>
      </c>
      <c r="D952" s="448" t="s">
        <v>4036</v>
      </c>
      <c r="E952" s="448" t="s">
        <v>3753</v>
      </c>
      <c r="F952" s="448" t="s">
        <v>3024</v>
      </c>
      <c r="G952" s="448" t="s">
        <v>5019</v>
      </c>
    </row>
    <row r="953" spans="1:7">
      <c r="A953" s="448">
        <v>952</v>
      </c>
      <c r="B953" s="448" t="s">
        <v>5620</v>
      </c>
      <c r="C953" s="448" t="s">
        <v>5621</v>
      </c>
      <c r="D953" s="448" t="s">
        <v>4036</v>
      </c>
      <c r="E953" s="448" t="s">
        <v>3753</v>
      </c>
      <c r="F953" s="448" t="s">
        <v>3024</v>
      </c>
      <c r="G953" s="448" t="s">
        <v>5622</v>
      </c>
    </row>
    <row r="954" spans="1:7">
      <c r="A954" s="448">
        <v>953</v>
      </c>
      <c r="B954" s="448" t="s">
        <v>5623</v>
      </c>
      <c r="C954" s="448" t="s">
        <v>5624</v>
      </c>
      <c r="D954" s="448" t="s">
        <v>4036</v>
      </c>
      <c r="E954" s="448" t="s">
        <v>3753</v>
      </c>
      <c r="F954" s="448" t="s">
        <v>3024</v>
      </c>
      <c r="G954" s="448" t="s">
        <v>5625</v>
      </c>
    </row>
    <row r="955" spans="1:7">
      <c r="A955" s="448">
        <v>954</v>
      </c>
      <c r="B955" s="448" t="s">
        <v>5626</v>
      </c>
      <c r="C955" s="448" t="s">
        <v>5627</v>
      </c>
      <c r="D955" s="448" t="s">
        <v>4036</v>
      </c>
      <c r="E955" s="448" t="s">
        <v>3753</v>
      </c>
      <c r="F955" s="448" t="s">
        <v>3024</v>
      </c>
      <c r="G955" s="448" t="s">
        <v>5628</v>
      </c>
    </row>
    <row r="956" spans="1:7">
      <c r="A956" s="448">
        <v>955</v>
      </c>
      <c r="B956" s="448" t="s">
        <v>5629</v>
      </c>
      <c r="C956" s="448" t="s">
        <v>5630</v>
      </c>
      <c r="D956" s="448" t="s">
        <v>5631</v>
      </c>
      <c r="E956" s="448" t="s">
        <v>3753</v>
      </c>
      <c r="F956" s="448" t="s">
        <v>3024</v>
      </c>
      <c r="G956" s="448" t="s">
        <v>5632</v>
      </c>
    </row>
    <row r="957" spans="1:7">
      <c r="A957" s="448">
        <v>956</v>
      </c>
      <c r="B957" s="448" t="s">
        <v>5633</v>
      </c>
      <c r="C957" s="448" t="s">
        <v>5634</v>
      </c>
      <c r="D957" s="448" t="s">
        <v>320</v>
      </c>
      <c r="E957" s="448" t="s">
        <v>2120</v>
      </c>
      <c r="F957" s="448" t="s">
        <v>3024</v>
      </c>
      <c r="G957" s="448" t="s">
        <v>5635</v>
      </c>
    </row>
    <row r="958" spans="1:7">
      <c r="A958" s="448">
        <v>957</v>
      </c>
      <c r="B958" s="448" t="s">
        <v>5636</v>
      </c>
      <c r="C958" s="448" t="s">
        <v>5637</v>
      </c>
      <c r="D958" s="448" t="s">
        <v>523</v>
      </c>
      <c r="E958" s="448" t="s">
        <v>2120</v>
      </c>
      <c r="F958" s="448" t="s">
        <v>3024</v>
      </c>
      <c r="G958" s="448" t="s">
        <v>3773</v>
      </c>
    </row>
    <row r="959" spans="1:7">
      <c r="A959" s="448">
        <v>958</v>
      </c>
      <c r="B959" s="448" t="s">
        <v>5638</v>
      </c>
      <c r="C959" s="448" t="s">
        <v>5639</v>
      </c>
      <c r="D959" s="448" t="s">
        <v>523</v>
      </c>
      <c r="E959" s="448" t="s">
        <v>2120</v>
      </c>
      <c r="F959" s="448" t="s">
        <v>3024</v>
      </c>
      <c r="G959" s="448" t="s">
        <v>5277</v>
      </c>
    </row>
    <row r="960" spans="1:7">
      <c r="A960" s="448">
        <v>959</v>
      </c>
      <c r="B960" s="448" t="s">
        <v>5640</v>
      </c>
      <c r="C960" s="448" t="s">
        <v>5641</v>
      </c>
      <c r="D960" s="448" t="s">
        <v>523</v>
      </c>
      <c r="E960" s="448" t="s">
        <v>2120</v>
      </c>
      <c r="F960" s="448" t="s">
        <v>3024</v>
      </c>
      <c r="G960" s="448" t="s">
        <v>3773</v>
      </c>
    </row>
    <row r="961" spans="1:7">
      <c r="A961" s="448">
        <v>960</v>
      </c>
      <c r="B961" s="448" t="s">
        <v>5642</v>
      </c>
      <c r="C961" s="448" t="s">
        <v>5643</v>
      </c>
      <c r="D961" s="448" t="s">
        <v>4535</v>
      </c>
      <c r="E961" s="448" t="s">
        <v>2120</v>
      </c>
      <c r="F961" s="448" t="s">
        <v>3024</v>
      </c>
      <c r="G961" s="448" t="s">
        <v>5277</v>
      </c>
    </row>
    <row r="962" spans="1:7">
      <c r="A962" s="448">
        <v>961</v>
      </c>
      <c r="B962" s="448" t="s">
        <v>5644</v>
      </c>
      <c r="C962" s="448" t="s">
        <v>5645</v>
      </c>
      <c r="D962" s="448" t="s">
        <v>4535</v>
      </c>
      <c r="E962" s="448" t="s">
        <v>2120</v>
      </c>
      <c r="F962" s="448" t="s">
        <v>3024</v>
      </c>
      <c r="G962" s="448" t="s">
        <v>3773</v>
      </c>
    </row>
    <row r="963" spans="1:7">
      <c r="A963" s="448">
        <v>962</v>
      </c>
      <c r="B963" s="448" t="s">
        <v>5646</v>
      </c>
      <c r="C963" s="448" t="s">
        <v>5647</v>
      </c>
      <c r="D963" s="448" t="s">
        <v>4975</v>
      </c>
      <c r="E963" s="448" t="s">
        <v>2120</v>
      </c>
      <c r="F963" s="448" t="s">
        <v>3024</v>
      </c>
      <c r="G963" s="448" t="s">
        <v>5326</v>
      </c>
    </row>
    <row r="964" spans="1:7">
      <c r="A964" s="448">
        <v>963</v>
      </c>
      <c r="B964" s="448" t="s">
        <v>5648</v>
      </c>
      <c r="C964" s="448" t="s">
        <v>5649</v>
      </c>
      <c r="D964" s="448" t="s">
        <v>4901</v>
      </c>
      <c r="E964" s="448" t="s">
        <v>2120</v>
      </c>
      <c r="F964" s="448" t="s">
        <v>3024</v>
      </c>
      <c r="G964" s="448" t="s">
        <v>5287</v>
      </c>
    </row>
    <row r="965" spans="1:7">
      <c r="A965" s="448">
        <v>964</v>
      </c>
      <c r="B965" s="448" t="s">
        <v>5650</v>
      </c>
      <c r="C965" s="448" t="s">
        <v>5651</v>
      </c>
      <c r="D965" s="448" t="s">
        <v>3617</v>
      </c>
      <c r="E965" s="448" t="s">
        <v>2120</v>
      </c>
      <c r="F965" s="448" t="s">
        <v>3024</v>
      </c>
      <c r="G965" s="448" t="s">
        <v>5312</v>
      </c>
    </row>
    <row r="966" spans="1:7">
      <c r="A966" s="448">
        <v>965</v>
      </c>
      <c r="B966" s="448" t="s">
        <v>5652</v>
      </c>
      <c r="C966" s="448" t="s">
        <v>5653</v>
      </c>
      <c r="D966" s="448" t="s">
        <v>3617</v>
      </c>
      <c r="E966" s="448" t="s">
        <v>2120</v>
      </c>
      <c r="F966" s="448" t="s">
        <v>3024</v>
      </c>
      <c r="G966" s="448" t="s">
        <v>5654</v>
      </c>
    </row>
    <row r="967" spans="1:7">
      <c r="A967" s="448">
        <v>966</v>
      </c>
      <c r="B967" s="448" t="s">
        <v>5655</v>
      </c>
      <c r="C967" s="448" t="s">
        <v>5656</v>
      </c>
      <c r="D967" s="448" t="s">
        <v>3617</v>
      </c>
      <c r="E967" s="448" t="s">
        <v>2120</v>
      </c>
      <c r="F967" s="448" t="s">
        <v>3024</v>
      </c>
      <c r="G967" s="448" t="s">
        <v>5657</v>
      </c>
    </row>
    <row r="968" spans="1:7">
      <c r="A968" s="448">
        <v>967</v>
      </c>
      <c r="B968" s="448" t="s">
        <v>5658</v>
      </c>
      <c r="C968" s="448" t="s">
        <v>5659</v>
      </c>
      <c r="D968" s="448" t="s">
        <v>5660</v>
      </c>
      <c r="E968" s="448" t="s">
        <v>2120</v>
      </c>
      <c r="F968" s="448" t="s">
        <v>3024</v>
      </c>
      <c r="G968" s="448" t="s">
        <v>5661</v>
      </c>
    </row>
    <row r="969" spans="1:7">
      <c r="A969" s="448">
        <v>968</v>
      </c>
      <c r="B969" s="448" t="s">
        <v>5662</v>
      </c>
      <c r="C969" s="448" t="s">
        <v>5663</v>
      </c>
      <c r="D969" s="448" t="s">
        <v>5660</v>
      </c>
      <c r="E969" s="448" t="s">
        <v>2120</v>
      </c>
      <c r="F969" s="448" t="s">
        <v>3024</v>
      </c>
      <c r="G969" s="448" t="s">
        <v>5664</v>
      </c>
    </row>
    <row r="970" spans="1:7">
      <c r="A970" s="448">
        <v>969</v>
      </c>
      <c r="B970" s="448" t="s">
        <v>5665</v>
      </c>
      <c r="C970" s="448" t="s">
        <v>5666</v>
      </c>
      <c r="D970" s="448" t="s">
        <v>3617</v>
      </c>
      <c r="E970" s="448" t="s">
        <v>2120</v>
      </c>
      <c r="F970" s="448" t="s">
        <v>3024</v>
      </c>
      <c r="G970" s="448" t="s">
        <v>5420</v>
      </c>
    </row>
    <row r="971" spans="1:7">
      <c r="A971" s="448">
        <v>970</v>
      </c>
      <c r="B971" s="448" t="s">
        <v>5667</v>
      </c>
      <c r="C971" s="448" t="s">
        <v>5668</v>
      </c>
      <c r="D971" s="448" t="s">
        <v>3617</v>
      </c>
      <c r="E971" s="448" t="s">
        <v>2120</v>
      </c>
      <c r="F971" s="448" t="s">
        <v>3024</v>
      </c>
      <c r="G971" s="448" t="s">
        <v>5299</v>
      </c>
    </row>
    <row r="972" spans="1:7">
      <c r="A972" s="448">
        <v>971</v>
      </c>
      <c r="B972" s="448" t="s">
        <v>5669</v>
      </c>
      <c r="C972" s="448" t="s">
        <v>5670</v>
      </c>
      <c r="D972" s="448" t="s">
        <v>3617</v>
      </c>
      <c r="E972" s="448" t="s">
        <v>2120</v>
      </c>
      <c r="F972" s="448" t="s">
        <v>3024</v>
      </c>
      <c r="G972" s="448" t="s">
        <v>5664</v>
      </c>
    </row>
    <row r="973" spans="1:7">
      <c r="A973" s="448">
        <v>972</v>
      </c>
      <c r="B973" s="448" t="s">
        <v>5671</v>
      </c>
      <c r="C973" s="448" t="s">
        <v>5672</v>
      </c>
      <c r="D973" s="448" t="s">
        <v>3617</v>
      </c>
      <c r="E973" s="448" t="s">
        <v>2120</v>
      </c>
      <c r="F973" s="448" t="s">
        <v>3024</v>
      </c>
      <c r="G973" s="448" t="s">
        <v>4475</v>
      </c>
    </row>
    <row r="974" spans="1:7">
      <c r="A974" s="448">
        <v>973</v>
      </c>
      <c r="B974" s="448" t="s">
        <v>5673</v>
      </c>
      <c r="C974" s="448" t="s">
        <v>5674</v>
      </c>
      <c r="D974" s="448" t="s">
        <v>3617</v>
      </c>
      <c r="E974" s="448" t="s">
        <v>2120</v>
      </c>
      <c r="F974" s="448" t="s">
        <v>3024</v>
      </c>
      <c r="G974" s="448" t="s">
        <v>5657</v>
      </c>
    </row>
    <row r="975" spans="1:7">
      <c r="A975" s="448">
        <v>974</v>
      </c>
      <c r="B975" s="448" t="s">
        <v>5675</v>
      </c>
      <c r="C975" s="448" t="s">
        <v>5676</v>
      </c>
      <c r="D975" s="448" t="s">
        <v>3617</v>
      </c>
      <c r="E975" s="448" t="s">
        <v>2120</v>
      </c>
      <c r="F975" s="448" t="s">
        <v>3024</v>
      </c>
      <c r="G975" s="448" t="s">
        <v>4003</v>
      </c>
    </row>
    <row r="976" spans="1:7">
      <c r="A976" s="448">
        <v>975</v>
      </c>
      <c r="B976" s="448" t="s">
        <v>5677</v>
      </c>
      <c r="C976" s="448" t="s">
        <v>5678</v>
      </c>
      <c r="D976" s="448" t="s">
        <v>5417</v>
      </c>
      <c r="E976" s="448" t="s">
        <v>2120</v>
      </c>
      <c r="F976" s="448" t="s">
        <v>3024</v>
      </c>
      <c r="G976" s="448" t="s">
        <v>5326</v>
      </c>
    </row>
    <row r="977" spans="1:7">
      <c r="A977" s="448">
        <v>976</v>
      </c>
      <c r="B977" s="448" t="s">
        <v>5679</v>
      </c>
      <c r="C977" s="448" t="s">
        <v>5680</v>
      </c>
      <c r="D977" s="448" t="s">
        <v>5417</v>
      </c>
      <c r="E977" s="448" t="s">
        <v>2120</v>
      </c>
      <c r="F977" s="448" t="s">
        <v>3024</v>
      </c>
      <c r="G977" s="448" t="s">
        <v>5377</v>
      </c>
    </row>
    <row r="978" spans="1:7">
      <c r="A978" s="448">
        <v>977</v>
      </c>
      <c r="B978" s="448" t="s">
        <v>5681</v>
      </c>
      <c r="C978" s="448" t="s">
        <v>5682</v>
      </c>
      <c r="D978" s="448" t="s">
        <v>5417</v>
      </c>
      <c r="E978" s="448" t="s">
        <v>2120</v>
      </c>
      <c r="F978" s="448" t="s">
        <v>3024</v>
      </c>
      <c r="G978" s="448" t="s">
        <v>5661</v>
      </c>
    </row>
    <row r="979" spans="1:7">
      <c r="A979" s="448">
        <v>978</v>
      </c>
      <c r="B979" s="448" t="s">
        <v>5683</v>
      </c>
      <c r="C979" s="448" t="s">
        <v>5684</v>
      </c>
      <c r="D979" s="448" t="s">
        <v>5417</v>
      </c>
      <c r="E979" s="448" t="s">
        <v>2120</v>
      </c>
      <c r="F979" s="448" t="s">
        <v>3024</v>
      </c>
      <c r="G979" s="448" t="s">
        <v>4684</v>
      </c>
    </row>
    <row r="980" spans="1:7">
      <c r="A980" s="448">
        <v>979</v>
      </c>
      <c r="B980" s="448" t="s">
        <v>5685</v>
      </c>
      <c r="C980" s="448" t="s">
        <v>5686</v>
      </c>
      <c r="D980" s="448" t="s">
        <v>5417</v>
      </c>
      <c r="E980" s="448" t="s">
        <v>2120</v>
      </c>
      <c r="F980" s="448" t="s">
        <v>3024</v>
      </c>
      <c r="G980" s="448" t="s">
        <v>5541</v>
      </c>
    </row>
    <row r="981" spans="1:7">
      <c r="A981" s="448">
        <v>980</v>
      </c>
      <c r="B981" s="448" t="s">
        <v>5687</v>
      </c>
      <c r="C981" s="448" t="s">
        <v>5688</v>
      </c>
      <c r="D981" s="448" t="s">
        <v>4901</v>
      </c>
      <c r="E981" s="448" t="s">
        <v>2120</v>
      </c>
      <c r="F981" s="448" t="s">
        <v>3024</v>
      </c>
      <c r="G981" s="448" t="s">
        <v>5299</v>
      </c>
    </row>
    <row r="982" spans="1:7">
      <c r="A982" s="448">
        <v>981</v>
      </c>
      <c r="B982" s="448" t="s">
        <v>5689</v>
      </c>
      <c r="C982" s="448" t="s">
        <v>5690</v>
      </c>
      <c r="D982" s="448" t="s">
        <v>4901</v>
      </c>
      <c r="E982" s="448" t="s">
        <v>2120</v>
      </c>
      <c r="F982" s="448" t="s">
        <v>3024</v>
      </c>
      <c r="G982" s="448" t="s">
        <v>4123</v>
      </c>
    </row>
    <row r="983" spans="1:7">
      <c r="A983" s="448">
        <v>982</v>
      </c>
      <c r="B983" s="448" t="s">
        <v>5691</v>
      </c>
      <c r="C983" s="448" t="s">
        <v>5692</v>
      </c>
      <c r="D983" s="448" t="s">
        <v>5693</v>
      </c>
      <c r="E983" s="448" t="s">
        <v>2120</v>
      </c>
      <c r="F983" s="448" t="s">
        <v>3024</v>
      </c>
      <c r="G983" s="448" t="s">
        <v>3639</v>
      </c>
    </row>
    <row r="984" spans="1:7">
      <c r="A984" s="448">
        <v>983</v>
      </c>
      <c r="B984" s="448" t="s">
        <v>5694</v>
      </c>
      <c r="C984" s="448" t="s">
        <v>5695</v>
      </c>
      <c r="D984" s="448" t="s">
        <v>5693</v>
      </c>
      <c r="E984" s="448" t="s">
        <v>2120</v>
      </c>
      <c r="F984" s="448" t="s">
        <v>3024</v>
      </c>
      <c r="G984" s="448" t="s">
        <v>5696</v>
      </c>
    </row>
    <row r="985" spans="1:7">
      <c r="A985" s="448">
        <v>984</v>
      </c>
      <c r="B985" s="448" t="s">
        <v>5697</v>
      </c>
      <c r="C985" s="448" t="s">
        <v>5698</v>
      </c>
      <c r="D985" s="448" t="s">
        <v>3617</v>
      </c>
      <c r="E985" s="448" t="s">
        <v>2120</v>
      </c>
      <c r="F985" s="448" t="s">
        <v>3024</v>
      </c>
      <c r="G985" s="448" t="s">
        <v>5304</v>
      </c>
    </row>
    <row r="986" spans="1:7">
      <c r="A986" s="448">
        <v>985</v>
      </c>
      <c r="B986" s="448" t="s">
        <v>5699</v>
      </c>
      <c r="C986" s="448" t="s">
        <v>5700</v>
      </c>
      <c r="D986" s="448" t="s">
        <v>3617</v>
      </c>
      <c r="E986" s="448" t="s">
        <v>2120</v>
      </c>
      <c r="F986" s="448" t="s">
        <v>3024</v>
      </c>
      <c r="G986" s="448" t="s">
        <v>5254</v>
      </c>
    </row>
    <row r="987" spans="1:7">
      <c r="A987" s="448">
        <v>986</v>
      </c>
      <c r="B987" s="448" t="s">
        <v>5701</v>
      </c>
      <c r="C987" s="448" t="s">
        <v>5702</v>
      </c>
      <c r="D987" s="448" t="s">
        <v>3617</v>
      </c>
      <c r="E987" s="448" t="s">
        <v>2120</v>
      </c>
      <c r="F987" s="448" t="s">
        <v>3024</v>
      </c>
      <c r="G987" s="448" t="s">
        <v>5354</v>
      </c>
    </row>
    <row r="988" spans="1:7">
      <c r="A988" s="448">
        <v>987</v>
      </c>
      <c r="B988" s="448" t="s">
        <v>5703</v>
      </c>
      <c r="C988" s="448" t="s">
        <v>5704</v>
      </c>
      <c r="D988" s="448" t="s">
        <v>3617</v>
      </c>
      <c r="E988" s="448" t="s">
        <v>2120</v>
      </c>
      <c r="F988" s="448" t="s">
        <v>3024</v>
      </c>
      <c r="G988" s="448" t="s">
        <v>5705</v>
      </c>
    </row>
    <row r="989" spans="1:7">
      <c r="A989" s="448">
        <v>988</v>
      </c>
      <c r="B989" s="448" t="s">
        <v>5706</v>
      </c>
      <c r="C989" s="448" t="s">
        <v>5707</v>
      </c>
      <c r="D989" s="448" t="s">
        <v>3617</v>
      </c>
      <c r="E989" s="448" t="s">
        <v>2120</v>
      </c>
      <c r="F989" s="448" t="s">
        <v>3024</v>
      </c>
      <c r="G989" s="448" t="s">
        <v>5708</v>
      </c>
    </row>
    <row r="990" spans="1:7">
      <c r="A990" s="448">
        <v>989</v>
      </c>
      <c r="B990" s="448" t="s">
        <v>5709</v>
      </c>
      <c r="C990" s="448" t="s">
        <v>5710</v>
      </c>
      <c r="D990" s="448" t="s">
        <v>3617</v>
      </c>
      <c r="E990" s="448" t="s">
        <v>2120</v>
      </c>
      <c r="F990" s="448" t="s">
        <v>3024</v>
      </c>
      <c r="G990" s="448" t="s">
        <v>5711</v>
      </c>
    </row>
    <row r="991" spans="1:7">
      <c r="A991" s="448">
        <v>990</v>
      </c>
      <c r="B991" s="448" t="s">
        <v>5712</v>
      </c>
      <c r="C991" s="448" t="s">
        <v>5713</v>
      </c>
      <c r="D991" s="448" t="s">
        <v>3617</v>
      </c>
      <c r="E991" s="448" t="s">
        <v>2120</v>
      </c>
      <c r="F991" s="448" t="s">
        <v>3024</v>
      </c>
      <c r="G991" s="448" t="s">
        <v>5326</v>
      </c>
    </row>
    <row r="992" spans="1:7">
      <c r="A992" s="448">
        <v>991</v>
      </c>
      <c r="B992" s="448" t="s">
        <v>5714</v>
      </c>
      <c r="C992" s="448" t="s">
        <v>5715</v>
      </c>
      <c r="D992" s="448" t="s">
        <v>3617</v>
      </c>
      <c r="E992" s="448" t="s">
        <v>2120</v>
      </c>
      <c r="F992" s="448" t="s">
        <v>3024</v>
      </c>
      <c r="G992" s="448" t="s">
        <v>5716</v>
      </c>
    </row>
    <row r="993" spans="1:7">
      <c r="A993" s="448">
        <v>992</v>
      </c>
      <c r="B993" s="448" t="s">
        <v>5717</v>
      </c>
      <c r="C993" s="448" t="s">
        <v>5718</v>
      </c>
      <c r="D993" s="448" t="s">
        <v>3617</v>
      </c>
      <c r="E993" s="448" t="s">
        <v>2120</v>
      </c>
      <c r="F993" s="448" t="s">
        <v>3024</v>
      </c>
      <c r="G993" s="448" t="s">
        <v>5719</v>
      </c>
    </row>
    <row r="994" spans="1:7">
      <c r="A994" s="448">
        <v>993</v>
      </c>
      <c r="B994" s="448" t="s">
        <v>5720</v>
      </c>
      <c r="C994" s="448" t="s">
        <v>5721</v>
      </c>
      <c r="D994" s="448" t="s">
        <v>3617</v>
      </c>
      <c r="E994" s="448" t="s">
        <v>2120</v>
      </c>
      <c r="F994" s="448" t="s">
        <v>3024</v>
      </c>
      <c r="G994" s="448" t="s">
        <v>5722</v>
      </c>
    </row>
    <row r="995" spans="1:7">
      <c r="A995" s="448">
        <v>994</v>
      </c>
      <c r="B995" s="448" t="s">
        <v>5723</v>
      </c>
      <c r="C995" s="448" t="s">
        <v>5724</v>
      </c>
      <c r="D995" s="448" t="s">
        <v>3617</v>
      </c>
      <c r="E995" s="448" t="s">
        <v>2120</v>
      </c>
      <c r="F995" s="448" t="s">
        <v>3024</v>
      </c>
      <c r="G995" s="448" t="s">
        <v>5725</v>
      </c>
    </row>
    <row r="996" spans="1:7">
      <c r="A996" s="448">
        <v>995</v>
      </c>
      <c r="B996" s="448" t="s">
        <v>5726</v>
      </c>
      <c r="C996" s="448" t="s">
        <v>5727</v>
      </c>
      <c r="D996" s="448" t="s">
        <v>3617</v>
      </c>
      <c r="E996" s="448" t="s">
        <v>2120</v>
      </c>
      <c r="F996" s="448" t="s">
        <v>3024</v>
      </c>
      <c r="G996" s="448" t="s">
        <v>4681</v>
      </c>
    </row>
    <row r="997" spans="1:7">
      <c r="A997" s="448">
        <v>996</v>
      </c>
      <c r="B997" s="448" t="s">
        <v>5728</v>
      </c>
      <c r="C997" s="448" t="s">
        <v>5729</v>
      </c>
      <c r="D997" s="448" t="s">
        <v>3617</v>
      </c>
      <c r="E997" s="448" t="s">
        <v>2120</v>
      </c>
      <c r="F997" s="448" t="s">
        <v>3024</v>
      </c>
      <c r="G997" s="448" t="s">
        <v>4684</v>
      </c>
    </row>
    <row r="998" spans="1:7">
      <c r="A998" s="448">
        <v>997</v>
      </c>
      <c r="B998" s="448" t="s">
        <v>5730</v>
      </c>
      <c r="C998" s="448" t="s">
        <v>5731</v>
      </c>
      <c r="D998" s="448" t="s">
        <v>3617</v>
      </c>
      <c r="E998" s="448" t="s">
        <v>2120</v>
      </c>
      <c r="F998" s="448" t="s">
        <v>3024</v>
      </c>
      <c r="G998" s="448" t="s">
        <v>5382</v>
      </c>
    </row>
    <row r="999" spans="1:7">
      <c r="A999" s="448">
        <v>998</v>
      </c>
      <c r="B999" s="448" t="s">
        <v>5732</v>
      </c>
      <c r="C999" s="448" t="s">
        <v>5733</v>
      </c>
      <c r="D999" s="448" t="s">
        <v>3617</v>
      </c>
      <c r="E999" s="448" t="s">
        <v>2120</v>
      </c>
      <c r="F999" s="448" t="s">
        <v>3024</v>
      </c>
      <c r="G999" s="448" t="s">
        <v>5734</v>
      </c>
    </row>
    <row r="1000" spans="1:7">
      <c r="A1000" s="448">
        <v>999</v>
      </c>
      <c r="B1000" s="448" t="s">
        <v>5735</v>
      </c>
      <c r="C1000" s="448" t="s">
        <v>5736</v>
      </c>
      <c r="D1000" s="448" t="s">
        <v>5660</v>
      </c>
      <c r="E1000" s="448" t="s">
        <v>2120</v>
      </c>
      <c r="F1000" s="448" t="s">
        <v>3024</v>
      </c>
      <c r="G1000" s="448" t="s">
        <v>5737</v>
      </c>
    </row>
    <row r="1001" spans="1:7">
      <c r="A1001" s="448">
        <v>1000</v>
      </c>
      <c r="B1001" s="448" t="s">
        <v>5738</v>
      </c>
      <c r="C1001" s="448" t="s">
        <v>5739</v>
      </c>
      <c r="D1001" s="448" t="s">
        <v>3879</v>
      </c>
      <c r="E1001" s="448" t="s">
        <v>2120</v>
      </c>
      <c r="F1001" s="448" t="s">
        <v>3024</v>
      </c>
      <c r="G1001" s="448" t="s">
        <v>5740</v>
      </c>
    </row>
    <row r="1002" spans="1:7">
      <c r="A1002" s="448">
        <v>1001</v>
      </c>
      <c r="B1002" s="448" t="s">
        <v>5741</v>
      </c>
      <c r="C1002" s="448" t="s">
        <v>5742</v>
      </c>
      <c r="D1002" s="448" t="s">
        <v>3879</v>
      </c>
      <c r="E1002" s="448" t="s">
        <v>2120</v>
      </c>
      <c r="F1002" s="448" t="s">
        <v>3024</v>
      </c>
      <c r="G1002" s="448" t="s">
        <v>5743</v>
      </c>
    </row>
    <row r="1003" spans="1:7">
      <c r="A1003" s="448">
        <v>1002</v>
      </c>
      <c r="B1003" s="448" t="s">
        <v>5744</v>
      </c>
      <c r="C1003" s="448" t="s">
        <v>5745</v>
      </c>
      <c r="D1003" s="448" t="s">
        <v>4320</v>
      </c>
      <c r="E1003" s="448" t="s">
        <v>2120</v>
      </c>
      <c r="F1003" s="448" t="s">
        <v>3024</v>
      </c>
      <c r="G1003" s="448" t="s">
        <v>5746</v>
      </c>
    </row>
    <row r="1004" spans="1:7">
      <c r="A1004" s="448">
        <v>1003</v>
      </c>
      <c r="B1004" s="448" t="s">
        <v>5747</v>
      </c>
      <c r="C1004" s="448" t="s">
        <v>5748</v>
      </c>
      <c r="D1004" s="448" t="s">
        <v>4320</v>
      </c>
      <c r="E1004" s="448" t="s">
        <v>2120</v>
      </c>
      <c r="F1004" s="448" t="s">
        <v>3024</v>
      </c>
      <c r="G1004" s="448" t="s">
        <v>3385</v>
      </c>
    </row>
    <row r="1005" spans="1:7">
      <c r="A1005" s="448">
        <v>1004</v>
      </c>
      <c r="B1005" s="448" t="s">
        <v>5749</v>
      </c>
      <c r="C1005" s="448" t="s">
        <v>5750</v>
      </c>
      <c r="D1005" s="448" t="s">
        <v>3879</v>
      </c>
      <c r="E1005" s="448" t="s">
        <v>2120</v>
      </c>
      <c r="F1005" s="448" t="s">
        <v>3024</v>
      </c>
      <c r="G1005" s="448" t="s">
        <v>4790</v>
      </c>
    </row>
    <row r="1006" spans="1:7">
      <c r="A1006" s="448">
        <v>1005</v>
      </c>
      <c r="B1006" s="448" t="s">
        <v>5751</v>
      </c>
      <c r="C1006" s="448" t="s">
        <v>5752</v>
      </c>
      <c r="D1006" s="448" t="s">
        <v>3879</v>
      </c>
      <c r="E1006" s="448" t="s">
        <v>2120</v>
      </c>
      <c r="F1006" s="448" t="s">
        <v>3024</v>
      </c>
      <c r="G1006" s="448" t="s">
        <v>5753</v>
      </c>
    </row>
    <row r="1007" spans="1:7">
      <c r="A1007" s="448">
        <v>1006</v>
      </c>
      <c r="B1007" s="448" t="s">
        <v>5754</v>
      </c>
      <c r="C1007" s="448" t="s">
        <v>5755</v>
      </c>
      <c r="D1007" s="448" t="s">
        <v>3879</v>
      </c>
      <c r="E1007" s="448" t="s">
        <v>2120</v>
      </c>
      <c r="F1007" s="448" t="s">
        <v>3024</v>
      </c>
      <c r="G1007" s="448" t="s">
        <v>5756</v>
      </c>
    </row>
    <row r="1008" spans="1:7">
      <c r="A1008" s="448">
        <v>1007</v>
      </c>
      <c r="B1008" s="448" t="s">
        <v>5757</v>
      </c>
      <c r="C1008" s="448" t="s">
        <v>5758</v>
      </c>
      <c r="D1008" s="448" t="s">
        <v>3879</v>
      </c>
      <c r="E1008" s="448" t="s">
        <v>2120</v>
      </c>
      <c r="F1008" s="448" t="s">
        <v>3024</v>
      </c>
      <c r="G1008" s="448" t="s">
        <v>5759</v>
      </c>
    </row>
    <row r="1009" spans="1:7">
      <c r="A1009" s="448">
        <v>1008</v>
      </c>
      <c r="B1009" s="448" t="s">
        <v>5760</v>
      </c>
      <c r="C1009" s="448" t="s">
        <v>5761</v>
      </c>
      <c r="D1009" s="448" t="s">
        <v>3879</v>
      </c>
      <c r="E1009" s="448" t="s">
        <v>2120</v>
      </c>
      <c r="F1009" s="448" t="s">
        <v>3024</v>
      </c>
      <c r="G1009" s="448" t="s">
        <v>5762</v>
      </c>
    </row>
    <row r="1010" spans="1:7">
      <c r="A1010" s="448">
        <v>1009</v>
      </c>
      <c r="B1010" s="448" t="s">
        <v>5763</v>
      </c>
      <c r="C1010" s="448" t="s">
        <v>5764</v>
      </c>
      <c r="D1010" s="448" t="s">
        <v>3879</v>
      </c>
      <c r="E1010" s="448" t="s">
        <v>2120</v>
      </c>
      <c r="F1010" s="448" t="s">
        <v>3024</v>
      </c>
      <c r="G1010" s="448" t="s">
        <v>5765</v>
      </c>
    </row>
    <row r="1011" spans="1:7">
      <c r="A1011" s="448">
        <v>1010</v>
      </c>
      <c r="B1011" s="448" t="s">
        <v>5766</v>
      </c>
      <c r="C1011" s="448" t="s">
        <v>5767</v>
      </c>
      <c r="D1011" s="448" t="s">
        <v>3879</v>
      </c>
      <c r="E1011" s="448" t="s">
        <v>2120</v>
      </c>
      <c r="F1011" s="448" t="s">
        <v>3024</v>
      </c>
      <c r="G1011" s="448" t="s">
        <v>5768</v>
      </c>
    </row>
    <row r="1012" spans="1:7">
      <c r="A1012" s="448">
        <v>1011</v>
      </c>
      <c r="B1012" s="448" t="s">
        <v>5769</v>
      </c>
      <c r="C1012" s="448" t="s">
        <v>5770</v>
      </c>
      <c r="D1012" s="448" t="s">
        <v>3879</v>
      </c>
      <c r="E1012" s="448" t="s">
        <v>2120</v>
      </c>
      <c r="F1012" s="448" t="s">
        <v>3024</v>
      </c>
      <c r="G1012" s="448" t="s">
        <v>5771</v>
      </c>
    </row>
    <row r="1013" spans="1:7">
      <c r="A1013" s="448">
        <v>1012</v>
      </c>
      <c r="B1013" s="448" t="s">
        <v>5772</v>
      </c>
      <c r="C1013" s="448" t="s">
        <v>5773</v>
      </c>
      <c r="D1013" s="448" t="s">
        <v>5774</v>
      </c>
      <c r="E1013" s="448" t="s">
        <v>2120</v>
      </c>
      <c r="F1013" s="448" t="s">
        <v>3024</v>
      </c>
      <c r="G1013" s="448" t="s">
        <v>5775</v>
      </c>
    </row>
    <row r="1014" spans="1:7">
      <c r="A1014" s="448">
        <v>1013</v>
      </c>
      <c r="B1014" s="448" t="s">
        <v>5776</v>
      </c>
      <c r="C1014" s="448" t="s">
        <v>5777</v>
      </c>
      <c r="D1014" s="448" t="s">
        <v>5774</v>
      </c>
      <c r="E1014" s="448" t="s">
        <v>2120</v>
      </c>
      <c r="F1014" s="448" t="s">
        <v>3024</v>
      </c>
      <c r="G1014" s="448" t="s">
        <v>5091</v>
      </c>
    </row>
    <row r="1015" spans="1:7">
      <c r="A1015" s="448">
        <v>1014</v>
      </c>
      <c r="B1015" s="448" t="s">
        <v>5778</v>
      </c>
      <c r="C1015" s="448" t="s">
        <v>5779</v>
      </c>
      <c r="D1015" s="448" t="s">
        <v>5774</v>
      </c>
      <c r="E1015" s="448" t="s">
        <v>2120</v>
      </c>
      <c r="F1015" s="448" t="s">
        <v>3024</v>
      </c>
      <c r="G1015" s="448" t="s">
        <v>4219</v>
      </c>
    </row>
    <row r="1016" spans="1:7">
      <c r="A1016" s="448">
        <v>1015</v>
      </c>
      <c r="B1016" s="448" t="s">
        <v>5780</v>
      </c>
      <c r="C1016" s="448" t="s">
        <v>5781</v>
      </c>
      <c r="D1016" s="448" t="s">
        <v>5774</v>
      </c>
      <c r="E1016" s="448" t="s">
        <v>2120</v>
      </c>
      <c r="F1016" s="448" t="s">
        <v>3024</v>
      </c>
      <c r="G1016" s="448" t="s">
        <v>5782</v>
      </c>
    </row>
    <row r="1017" spans="1:7">
      <c r="A1017" s="448">
        <v>1016</v>
      </c>
      <c r="B1017" s="448" t="s">
        <v>5783</v>
      </c>
      <c r="C1017" s="448" t="s">
        <v>5784</v>
      </c>
      <c r="D1017" s="448" t="s">
        <v>5774</v>
      </c>
      <c r="E1017" s="448" t="s">
        <v>2120</v>
      </c>
      <c r="F1017" s="448" t="s">
        <v>3024</v>
      </c>
      <c r="G1017" s="448" t="s">
        <v>3779</v>
      </c>
    </row>
    <row r="1018" spans="1:7">
      <c r="A1018" s="448">
        <v>1017</v>
      </c>
      <c r="B1018" s="448" t="s">
        <v>5785</v>
      </c>
      <c r="C1018" s="448" t="s">
        <v>5786</v>
      </c>
      <c r="D1018" s="448" t="s">
        <v>5774</v>
      </c>
      <c r="E1018" s="448" t="s">
        <v>2120</v>
      </c>
      <c r="F1018" s="448" t="s">
        <v>3024</v>
      </c>
      <c r="G1018" s="448" t="s">
        <v>5787</v>
      </c>
    </row>
    <row r="1019" spans="1:7">
      <c r="A1019" s="448">
        <v>1018</v>
      </c>
      <c r="B1019" s="448" t="s">
        <v>5788</v>
      </c>
      <c r="C1019" s="448" t="s">
        <v>5789</v>
      </c>
      <c r="D1019" s="448" t="s">
        <v>1312</v>
      </c>
      <c r="E1019" s="448" t="s">
        <v>2120</v>
      </c>
      <c r="F1019" s="448" t="s">
        <v>3024</v>
      </c>
      <c r="G1019" s="448" t="s">
        <v>5072</v>
      </c>
    </row>
    <row r="1020" spans="1:7">
      <c r="A1020" s="448">
        <v>1019</v>
      </c>
      <c r="B1020" s="448" t="s">
        <v>5790</v>
      </c>
      <c r="C1020" s="448" t="s">
        <v>5791</v>
      </c>
      <c r="D1020" s="448" t="s">
        <v>1312</v>
      </c>
      <c r="E1020" s="448" t="s">
        <v>2120</v>
      </c>
      <c r="F1020" s="448" t="s">
        <v>3024</v>
      </c>
      <c r="G1020" s="448" t="s">
        <v>5792</v>
      </c>
    </row>
    <row r="1021" spans="1:7">
      <c r="A1021" s="448">
        <v>1020</v>
      </c>
      <c r="B1021" s="448" t="s">
        <v>5793</v>
      </c>
      <c r="C1021" s="448" t="s">
        <v>5794</v>
      </c>
      <c r="D1021" s="448" t="s">
        <v>1312</v>
      </c>
      <c r="E1021" s="448" t="s">
        <v>2120</v>
      </c>
      <c r="F1021" s="448" t="s">
        <v>3024</v>
      </c>
      <c r="G1021" s="448" t="s">
        <v>5795</v>
      </c>
    </row>
    <row r="1022" spans="1:7">
      <c r="A1022" s="448">
        <v>1021</v>
      </c>
      <c r="B1022" s="448" t="s">
        <v>5796</v>
      </c>
      <c r="C1022" s="448" t="s">
        <v>5797</v>
      </c>
      <c r="D1022" s="448" t="s">
        <v>1312</v>
      </c>
      <c r="E1022" s="448" t="s">
        <v>2120</v>
      </c>
      <c r="F1022" s="448" t="s">
        <v>3024</v>
      </c>
      <c r="G1022" s="448" t="s">
        <v>5798</v>
      </c>
    </row>
    <row r="1023" spans="1:7">
      <c r="A1023" s="448">
        <v>1022</v>
      </c>
      <c r="B1023" s="448" t="s">
        <v>5799</v>
      </c>
      <c r="C1023" s="448" t="s">
        <v>5800</v>
      </c>
      <c r="D1023" s="448" t="s">
        <v>1312</v>
      </c>
      <c r="E1023" s="448" t="s">
        <v>2120</v>
      </c>
      <c r="F1023" s="448" t="s">
        <v>3024</v>
      </c>
      <c r="G1023" s="448" t="s">
        <v>5801</v>
      </c>
    </row>
    <row r="1024" spans="1:7">
      <c r="A1024" s="448">
        <v>1023</v>
      </c>
      <c r="B1024" s="448" t="s">
        <v>5802</v>
      </c>
      <c r="C1024" s="448" t="s">
        <v>5803</v>
      </c>
      <c r="D1024" s="448" t="s">
        <v>1312</v>
      </c>
      <c r="E1024" s="448" t="s">
        <v>2120</v>
      </c>
      <c r="F1024" s="448" t="s">
        <v>3024</v>
      </c>
      <c r="G1024" s="448" t="s">
        <v>5804</v>
      </c>
    </row>
    <row r="1025" spans="1:7">
      <c r="A1025" s="448">
        <v>1024</v>
      </c>
      <c r="B1025" s="448" t="s">
        <v>5805</v>
      </c>
      <c r="C1025" s="448" t="s">
        <v>5806</v>
      </c>
      <c r="D1025" s="448" t="s">
        <v>1312</v>
      </c>
      <c r="E1025" s="448" t="s">
        <v>2120</v>
      </c>
      <c r="F1025" s="448" t="s">
        <v>3024</v>
      </c>
      <c r="G1025" s="448" t="s">
        <v>5807</v>
      </c>
    </row>
    <row r="1026" spans="1:7">
      <c r="A1026" s="448">
        <v>1025</v>
      </c>
      <c r="B1026" s="448" t="s">
        <v>5808</v>
      </c>
      <c r="C1026" s="448" t="s">
        <v>5809</v>
      </c>
      <c r="D1026" s="448" t="s">
        <v>1312</v>
      </c>
      <c r="E1026" s="448" t="s">
        <v>2120</v>
      </c>
      <c r="F1026" s="448" t="s">
        <v>3024</v>
      </c>
      <c r="G1026" s="448" t="s">
        <v>5810</v>
      </c>
    </row>
    <row r="1027" spans="1:7">
      <c r="A1027" s="448">
        <v>1026</v>
      </c>
      <c r="B1027" s="448" t="s">
        <v>5811</v>
      </c>
      <c r="C1027" s="448" t="s">
        <v>5812</v>
      </c>
      <c r="D1027" s="448" t="s">
        <v>1312</v>
      </c>
      <c r="E1027" s="448" t="s">
        <v>2120</v>
      </c>
      <c r="F1027" s="448" t="s">
        <v>3024</v>
      </c>
      <c r="G1027" s="448" t="s">
        <v>5813</v>
      </c>
    </row>
    <row r="1028" spans="1:7">
      <c r="A1028" s="448">
        <v>1027</v>
      </c>
      <c r="B1028" s="448" t="s">
        <v>5814</v>
      </c>
      <c r="C1028" s="448" t="s">
        <v>5815</v>
      </c>
      <c r="D1028" s="448" t="s">
        <v>5816</v>
      </c>
      <c r="E1028" s="448" t="s">
        <v>2120</v>
      </c>
      <c r="F1028" s="448" t="s">
        <v>3024</v>
      </c>
      <c r="G1028" s="448" t="s">
        <v>5817</v>
      </c>
    </row>
    <row r="1029" spans="1:7">
      <c r="A1029" s="448">
        <v>1028</v>
      </c>
      <c r="B1029" s="448" t="s">
        <v>5818</v>
      </c>
      <c r="C1029" s="448" t="s">
        <v>5819</v>
      </c>
      <c r="D1029" s="448" t="s">
        <v>5816</v>
      </c>
      <c r="E1029" s="448" t="s">
        <v>2120</v>
      </c>
      <c r="F1029" s="448" t="s">
        <v>3024</v>
      </c>
      <c r="G1029" s="448" t="s">
        <v>5820</v>
      </c>
    </row>
    <row r="1030" spans="1:7">
      <c r="A1030" s="448">
        <v>1029</v>
      </c>
      <c r="B1030" s="448" t="s">
        <v>5821</v>
      </c>
      <c r="C1030" s="448" t="s">
        <v>5822</v>
      </c>
      <c r="D1030" s="448" t="s">
        <v>5816</v>
      </c>
      <c r="E1030" s="448" t="s">
        <v>2120</v>
      </c>
      <c r="F1030" s="448" t="s">
        <v>3024</v>
      </c>
      <c r="G1030" s="448" t="s">
        <v>5091</v>
      </c>
    </row>
    <row r="1031" spans="1:7">
      <c r="A1031" s="448">
        <v>1030</v>
      </c>
      <c r="B1031" s="448" t="s">
        <v>5823</v>
      </c>
      <c r="C1031" s="448" t="s">
        <v>5824</v>
      </c>
      <c r="D1031" s="448" t="s">
        <v>5816</v>
      </c>
      <c r="E1031" s="448" t="s">
        <v>2120</v>
      </c>
      <c r="F1031" s="448" t="s">
        <v>3024</v>
      </c>
      <c r="G1031" s="448" t="s">
        <v>5825</v>
      </c>
    </row>
    <row r="1032" spans="1:7">
      <c r="A1032" s="448">
        <v>1031</v>
      </c>
      <c r="B1032" s="448" t="s">
        <v>5826</v>
      </c>
      <c r="C1032" s="448" t="s">
        <v>5827</v>
      </c>
      <c r="D1032" s="448" t="s">
        <v>5816</v>
      </c>
      <c r="E1032" s="448" t="s">
        <v>2120</v>
      </c>
      <c r="F1032" s="448" t="s">
        <v>3024</v>
      </c>
      <c r="G1032" s="448" t="s">
        <v>5787</v>
      </c>
    </row>
    <row r="1033" spans="1:7">
      <c r="A1033" s="448">
        <v>1032</v>
      </c>
      <c r="B1033" s="448" t="s">
        <v>5828</v>
      </c>
      <c r="C1033" s="448" t="s">
        <v>5829</v>
      </c>
      <c r="D1033" s="448" t="s">
        <v>5816</v>
      </c>
      <c r="E1033" s="448" t="s">
        <v>2120</v>
      </c>
      <c r="F1033" s="448" t="s">
        <v>3024</v>
      </c>
      <c r="G1033" s="448" t="s">
        <v>5830</v>
      </c>
    </row>
    <row r="1034" spans="1:7">
      <c r="A1034" s="448">
        <v>1033</v>
      </c>
      <c r="B1034" s="448" t="s">
        <v>5831</v>
      </c>
      <c r="C1034" s="448" t="s">
        <v>5832</v>
      </c>
      <c r="D1034" s="448" t="s">
        <v>5816</v>
      </c>
      <c r="E1034" s="448" t="s">
        <v>2120</v>
      </c>
      <c r="F1034" s="448" t="s">
        <v>3024</v>
      </c>
      <c r="G1034" s="448" t="s">
        <v>5833</v>
      </c>
    </row>
    <row r="1035" spans="1:7">
      <c r="A1035" s="448">
        <v>1034</v>
      </c>
      <c r="B1035" s="448" t="s">
        <v>5834</v>
      </c>
      <c r="C1035" s="448" t="s">
        <v>5835</v>
      </c>
      <c r="D1035" s="448" t="s">
        <v>5816</v>
      </c>
      <c r="E1035" s="448" t="s">
        <v>2120</v>
      </c>
      <c r="F1035" s="448" t="s">
        <v>3024</v>
      </c>
      <c r="G1035" s="448" t="s">
        <v>5836</v>
      </c>
    </row>
    <row r="1036" spans="1:7">
      <c r="A1036" s="448">
        <v>1035</v>
      </c>
      <c r="B1036" s="448" t="s">
        <v>5837</v>
      </c>
      <c r="C1036" s="448" t="s">
        <v>5838</v>
      </c>
      <c r="D1036" s="448" t="s">
        <v>5816</v>
      </c>
      <c r="E1036" s="448" t="s">
        <v>2120</v>
      </c>
      <c r="F1036" s="448" t="s">
        <v>3024</v>
      </c>
      <c r="G1036" s="448" t="s">
        <v>4554</v>
      </c>
    </row>
    <row r="1037" spans="1:7">
      <c r="A1037" s="448">
        <v>1036</v>
      </c>
      <c r="B1037" s="448" t="s">
        <v>5839</v>
      </c>
      <c r="C1037" s="448" t="s">
        <v>5840</v>
      </c>
      <c r="D1037" s="448" t="s">
        <v>5816</v>
      </c>
      <c r="E1037" s="448" t="s">
        <v>2120</v>
      </c>
      <c r="F1037" s="448" t="s">
        <v>3024</v>
      </c>
      <c r="G1037" s="448" t="s">
        <v>5841</v>
      </c>
    </row>
    <row r="1038" spans="1:7">
      <c r="A1038" s="448">
        <v>1037</v>
      </c>
      <c r="B1038" s="448" t="s">
        <v>5842</v>
      </c>
      <c r="C1038" s="448" t="s">
        <v>5843</v>
      </c>
      <c r="D1038" s="448" t="s">
        <v>1312</v>
      </c>
      <c r="E1038" s="448" t="s">
        <v>2120</v>
      </c>
      <c r="F1038" s="448" t="s">
        <v>3024</v>
      </c>
      <c r="G1038" s="448" t="s">
        <v>5844</v>
      </c>
    </row>
    <row r="1039" spans="1:7">
      <c r="A1039" s="448">
        <v>1038</v>
      </c>
      <c r="B1039" s="448" t="s">
        <v>5845</v>
      </c>
      <c r="C1039" s="448" t="s">
        <v>5846</v>
      </c>
      <c r="D1039" s="448" t="s">
        <v>1312</v>
      </c>
      <c r="E1039" s="448" t="s">
        <v>2120</v>
      </c>
      <c r="F1039" s="448" t="s">
        <v>3024</v>
      </c>
      <c r="G1039" s="448" t="s">
        <v>5847</v>
      </c>
    </row>
    <row r="1040" spans="1:7">
      <c r="A1040" s="448">
        <v>1039</v>
      </c>
      <c r="B1040" s="448" t="s">
        <v>5848</v>
      </c>
      <c r="C1040" s="448" t="s">
        <v>5849</v>
      </c>
      <c r="D1040" s="448" t="s">
        <v>1312</v>
      </c>
      <c r="E1040" s="448" t="s">
        <v>2120</v>
      </c>
      <c r="F1040" s="448" t="s">
        <v>3024</v>
      </c>
      <c r="G1040" s="448" t="s">
        <v>4712</v>
      </c>
    </row>
    <row r="1041" spans="1:7">
      <c r="A1041" s="448">
        <v>1040</v>
      </c>
      <c r="B1041" s="448" t="s">
        <v>5850</v>
      </c>
      <c r="C1041" s="448" t="s">
        <v>5851</v>
      </c>
      <c r="D1041" s="448" t="s">
        <v>1312</v>
      </c>
      <c r="E1041" s="448" t="s">
        <v>2120</v>
      </c>
      <c r="F1041" s="448" t="s">
        <v>3024</v>
      </c>
      <c r="G1041" s="448" t="s">
        <v>5852</v>
      </c>
    </row>
    <row r="1042" spans="1:7">
      <c r="A1042" s="448">
        <v>1041</v>
      </c>
      <c r="B1042" s="448" t="s">
        <v>5853</v>
      </c>
      <c r="C1042" s="448" t="s">
        <v>5854</v>
      </c>
      <c r="D1042" s="448" t="s">
        <v>1312</v>
      </c>
      <c r="E1042" s="448" t="s">
        <v>2120</v>
      </c>
      <c r="F1042" s="448" t="s">
        <v>3024</v>
      </c>
      <c r="G1042" s="448" t="s">
        <v>5855</v>
      </c>
    </row>
    <row r="1043" spans="1:7">
      <c r="A1043" s="448">
        <v>1042</v>
      </c>
      <c r="B1043" s="448" t="s">
        <v>5856</v>
      </c>
      <c r="C1043" s="448" t="s">
        <v>5857</v>
      </c>
      <c r="D1043" s="448" t="s">
        <v>1312</v>
      </c>
      <c r="E1043" s="448" t="s">
        <v>2120</v>
      </c>
      <c r="F1043" s="448" t="s">
        <v>3024</v>
      </c>
      <c r="G1043" s="448" t="s">
        <v>5858</v>
      </c>
    </row>
    <row r="1044" spans="1:7">
      <c r="A1044" s="448">
        <v>1043</v>
      </c>
      <c r="B1044" s="448" t="s">
        <v>5859</v>
      </c>
      <c r="C1044" s="448" t="s">
        <v>5860</v>
      </c>
      <c r="D1044" s="448" t="s">
        <v>1312</v>
      </c>
      <c r="E1044" s="448" t="s">
        <v>2120</v>
      </c>
      <c r="F1044" s="448" t="s">
        <v>3024</v>
      </c>
      <c r="G1044" s="448" t="s">
        <v>5861</v>
      </c>
    </row>
    <row r="1045" spans="1:7">
      <c r="A1045" s="448">
        <v>1044</v>
      </c>
      <c r="B1045" s="448" t="s">
        <v>5862</v>
      </c>
      <c r="C1045" s="448" t="s">
        <v>5863</v>
      </c>
      <c r="D1045" s="448" t="s">
        <v>1312</v>
      </c>
      <c r="E1045" s="448" t="s">
        <v>2120</v>
      </c>
      <c r="F1045" s="448" t="s">
        <v>3024</v>
      </c>
      <c r="G1045" s="448" t="s">
        <v>5864</v>
      </c>
    </row>
    <row r="1046" spans="1:7">
      <c r="A1046" s="448">
        <v>1045</v>
      </c>
      <c r="B1046" s="448" t="s">
        <v>5865</v>
      </c>
      <c r="C1046" s="448" t="s">
        <v>5866</v>
      </c>
      <c r="D1046" s="448" t="s">
        <v>3617</v>
      </c>
      <c r="E1046" s="448" t="s">
        <v>2120</v>
      </c>
      <c r="F1046" s="448" t="s">
        <v>3024</v>
      </c>
      <c r="G1046" s="448" t="s">
        <v>5867</v>
      </c>
    </row>
    <row r="1047" spans="1:7">
      <c r="A1047" s="448">
        <v>1046</v>
      </c>
      <c r="B1047" s="448" t="s">
        <v>5868</v>
      </c>
      <c r="C1047" s="448" t="s">
        <v>5869</v>
      </c>
      <c r="D1047" s="448" t="s">
        <v>3617</v>
      </c>
      <c r="E1047" s="448" t="s">
        <v>2120</v>
      </c>
      <c r="F1047" s="448" t="s">
        <v>3024</v>
      </c>
      <c r="G1047" s="448" t="s">
        <v>5870</v>
      </c>
    </row>
    <row r="1048" spans="1:7">
      <c r="A1048" s="448">
        <v>1047</v>
      </c>
      <c r="B1048" s="448" t="s">
        <v>5871</v>
      </c>
      <c r="C1048" s="448" t="s">
        <v>5872</v>
      </c>
      <c r="D1048" s="448" t="s">
        <v>3617</v>
      </c>
      <c r="E1048" s="448" t="s">
        <v>2120</v>
      </c>
      <c r="F1048" s="448" t="s">
        <v>3024</v>
      </c>
      <c r="G1048" s="448" t="s">
        <v>5873</v>
      </c>
    </row>
    <row r="1049" spans="1:7">
      <c r="A1049" s="448">
        <v>1048</v>
      </c>
      <c r="B1049" s="448" t="s">
        <v>5874</v>
      </c>
      <c r="C1049" s="448" t="s">
        <v>5875</v>
      </c>
      <c r="D1049" s="448" t="s">
        <v>3617</v>
      </c>
      <c r="E1049" s="448" t="s">
        <v>2120</v>
      </c>
      <c r="F1049" s="448" t="s">
        <v>3024</v>
      </c>
      <c r="G1049" s="448" t="s">
        <v>5876</v>
      </c>
    </row>
    <row r="1050" spans="1:7">
      <c r="A1050" s="448">
        <v>1049</v>
      </c>
      <c r="B1050" s="448" t="s">
        <v>5877</v>
      </c>
      <c r="C1050" s="448" t="s">
        <v>5875</v>
      </c>
      <c r="D1050" s="448" t="s">
        <v>3617</v>
      </c>
      <c r="E1050" s="448" t="s">
        <v>2120</v>
      </c>
      <c r="F1050" s="448" t="s">
        <v>3024</v>
      </c>
      <c r="G1050" s="448" t="s">
        <v>5878</v>
      </c>
    </row>
    <row r="1051" spans="1:7">
      <c r="A1051" s="448">
        <v>1050</v>
      </c>
      <c r="B1051" s="448" t="s">
        <v>5879</v>
      </c>
      <c r="C1051" s="448" t="s">
        <v>5880</v>
      </c>
      <c r="D1051" s="448" t="s">
        <v>1312</v>
      </c>
      <c r="E1051" s="448" t="s">
        <v>2120</v>
      </c>
      <c r="F1051" s="448" t="s">
        <v>3024</v>
      </c>
      <c r="G1051" s="448" t="s">
        <v>5881</v>
      </c>
    </row>
    <row r="1052" spans="1:7">
      <c r="A1052" s="448">
        <v>1051</v>
      </c>
      <c r="B1052" s="448" t="s">
        <v>5882</v>
      </c>
      <c r="C1052" s="448" t="s">
        <v>5883</v>
      </c>
      <c r="D1052" s="448" t="s">
        <v>1312</v>
      </c>
      <c r="E1052" s="448" t="s">
        <v>2120</v>
      </c>
      <c r="F1052" s="448" t="s">
        <v>3024</v>
      </c>
      <c r="G1052" s="448" t="s">
        <v>4430</v>
      </c>
    </row>
    <row r="1053" spans="1:7">
      <c r="A1053" s="448">
        <v>1052</v>
      </c>
      <c r="B1053" s="448" t="s">
        <v>5884</v>
      </c>
      <c r="C1053" s="448" t="s">
        <v>5885</v>
      </c>
      <c r="D1053" s="448" t="s">
        <v>1312</v>
      </c>
      <c r="E1053" s="448" t="s">
        <v>2120</v>
      </c>
      <c r="F1053" s="448" t="s">
        <v>3024</v>
      </c>
      <c r="G1053" s="448" t="s">
        <v>5886</v>
      </c>
    </row>
    <row r="1054" spans="1:7">
      <c r="A1054" s="448">
        <v>1053</v>
      </c>
      <c r="B1054" s="448" t="s">
        <v>5887</v>
      </c>
      <c r="C1054" s="448" t="s">
        <v>5888</v>
      </c>
      <c r="D1054" s="448" t="s">
        <v>1312</v>
      </c>
      <c r="E1054" s="448" t="s">
        <v>2120</v>
      </c>
      <c r="F1054" s="448" t="s">
        <v>3024</v>
      </c>
      <c r="G1054" s="448" t="s">
        <v>5094</v>
      </c>
    </row>
    <row r="1055" spans="1:7">
      <c r="A1055" s="448">
        <v>1054</v>
      </c>
      <c r="B1055" s="448" t="s">
        <v>5889</v>
      </c>
      <c r="C1055" s="448" t="s">
        <v>5890</v>
      </c>
      <c r="D1055" s="448" t="s">
        <v>1312</v>
      </c>
      <c r="E1055" s="448" t="s">
        <v>2120</v>
      </c>
      <c r="F1055" s="448" t="s">
        <v>3024</v>
      </c>
      <c r="G1055" s="448" t="s">
        <v>5891</v>
      </c>
    </row>
    <row r="1056" spans="1:7">
      <c r="A1056" s="448">
        <v>1055</v>
      </c>
      <c r="B1056" s="448" t="s">
        <v>5892</v>
      </c>
      <c r="C1056" s="448" t="s">
        <v>5893</v>
      </c>
      <c r="D1056" s="448" t="s">
        <v>1312</v>
      </c>
      <c r="E1056" s="448" t="s">
        <v>2120</v>
      </c>
      <c r="F1056" s="448" t="s">
        <v>3024</v>
      </c>
      <c r="G1056" s="448" t="s">
        <v>5894</v>
      </c>
    </row>
    <row r="1057" spans="1:7">
      <c r="A1057" s="448">
        <v>1056</v>
      </c>
      <c r="B1057" s="448" t="s">
        <v>5895</v>
      </c>
      <c r="C1057" s="448" t="s">
        <v>5896</v>
      </c>
      <c r="D1057" s="448" t="s">
        <v>1312</v>
      </c>
      <c r="E1057" s="448" t="s">
        <v>2120</v>
      </c>
      <c r="F1057" s="448" t="s">
        <v>3024</v>
      </c>
      <c r="G1057" s="448" t="s">
        <v>5897</v>
      </c>
    </row>
    <row r="1058" spans="1:7">
      <c r="A1058" s="448">
        <v>1057</v>
      </c>
      <c r="B1058" s="448" t="s">
        <v>5898</v>
      </c>
      <c r="C1058" s="448" t="s">
        <v>5899</v>
      </c>
      <c r="D1058" s="448" t="s">
        <v>1312</v>
      </c>
      <c r="E1058" s="448" t="s">
        <v>2120</v>
      </c>
      <c r="F1058" s="448" t="s">
        <v>3024</v>
      </c>
      <c r="G1058" s="448" t="s">
        <v>5900</v>
      </c>
    </row>
    <row r="1059" spans="1:7">
      <c r="A1059" s="448">
        <v>1058</v>
      </c>
      <c r="B1059" s="448" t="s">
        <v>5901</v>
      </c>
      <c r="C1059" s="448" t="s">
        <v>5902</v>
      </c>
      <c r="D1059" s="448" t="s">
        <v>1312</v>
      </c>
      <c r="E1059" s="448" t="s">
        <v>2120</v>
      </c>
      <c r="F1059" s="448" t="s">
        <v>3024</v>
      </c>
      <c r="G1059" s="448" t="s">
        <v>5903</v>
      </c>
    </row>
    <row r="1060" spans="1:7">
      <c r="A1060" s="448">
        <v>1059</v>
      </c>
      <c r="B1060" s="448" t="s">
        <v>5904</v>
      </c>
      <c r="C1060" s="448" t="s">
        <v>5905</v>
      </c>
      <c r="D1060" s="448" t="s">
        <v>1312</v>
      </c>
      <c r="E1060" s="448" t="s">
        <v>2120</v>
      </c>
      <c r="F1060" s="448" t="s">
        <v>3024</v>
      </c>
      <c r="G1060" s="448" t="s">
        <v>4763</v>
      </c>
    </row>
    <row r="1061" spans="1:7">
      <c r="A1061" s="448">
        <v>1060</v>
      </c>
      <c r="B1061" s="448" t="s">
        <v>5906</v>
      </c>
      <c r="C1061" s="448" t="s">
        <v>5907</v>
      </c>
      <c r="D1061" s="448" t="s">
        <v>1312</v>
      </c>
      <c r="E1061" s="448" t="s">
        <v>2120</v>
      </c>
      <c r="F1061" s="448" t="s">
        <v>3024</v>
      </c>
      <c r="G1061" s="448" t="s">
        <v>4009</v>
      </c>
    </row>
    <row r="1062" spans="1:7">
      <c r="A1062" s="448">
        <v>1061</v>
      </c>
      <c r="B1062" s="448" t="s">
        <v>5908</v>
      </c>
      <c r="C1062" s="448" t="s">
        <v>5909</v>
      </c>
      <c r="D1062" s="448" t="s">
        <v>1312</v>
      </c>
      <c r="E1062" s="448" t="s">
        <v>2120</v>
      </c>
      <c r="F1062" s="448" t="s">
        <v>3024</v>
      </c>
      <c r="G1062" s="448" t="s">
        <v>5910</v>
      </c>
    </row>
    <row r="1063" spans="1:7">
      <c r="A1063" s="448">
        <v>1062</v>
      </c>
      <c r="B1063" s="448" t="s">
        <v>5911</v>
      </c>
      <c r="C1063" s="448" t="s">
        <v>5912</v>
      </c>
      <c r="D1063" s="448" t="s">
        <v>1312</v>
      </c>
      <c r="E1063" s="448" t="s">
        <v>2120</v>
      </c>
      <c r="F1063" s="448" t="s">
        <v>3024</v>
      </c>
      <c r="G1063" s="448" t="s">
        <v>5913</v>
      </c>
    </row>
    <row r="1064" spans="1:7">
      <c r="A1064" s="448">
        <v>1063</v>
      </c>
      <c r="B1064" s="448" t="s">
        <v>5914</v>
      </c>
      <c r="C1064" s="448" t="s">
        <v>5915</v>
      </c>
      <c r="D1064" s="448" t="s">
        <v>1312</v>
      </c>
      <c r="E1064" s="448" t="s">
        <v>2120</v>
      </c>
      <c r="F1064" s="448" t="s">
        <v>3024</v>
      </c>
      <c r="G1064" s="448" t="s">
        <v>5916</v>
      </c>
    </row>
    <row r="1065" spans="1:7">
      <c r="A1065" s="448">
        <v>1064</v>
      </c>
      <c r="B1065" s="448" t="s">
        <v>5917</v>
      </c>
      <c r="C1065" s="448" t="s">
        <v>5918</v>
      </c>
      <c r="D1065" s="448" t="s">
        <v>1312</v>
      </c>
      <c r="E1065" s="448" t="s">
        <v>2120</v>
      </c>
      <c r="F1065" s="448" t="s">
        <v>3024</v>
      </c>
      <c r="G1065" s="448" t="s">
        <v>5919</v>
      </c>
    </row>
    <row r="1066" spans="1:7">
      <c r="A1066" s="448">
        <v>1065</v>
      </c>
      <c r="B1066" s="448" t="s">
        <v>5920</v>
      </c>
      <c r="C1066" s="448" t="s">
        <v>5921</v>
      </c>
      <c r="D1066" s="448" t="s">
        <v>1312</v>
      </c>
      <c r="E1066" s="448" t="s">
        <v>2120</v>
      </c>
      <c r="F1066" s="448" t="s">
        <v>3024</v>
      </c>
      <c r="G1066" s="448" t="s">
        <v>5060</v>
      </c>
    </row>
    <row r="1067" spans="1:7">
      <c r="A1067" s="448">
        <v>1066</v>
      </c>
      <c r="B1067" s="448" t="s">
        <v>5922</v>
      </c>
      <c r="C1067" s="448" t="s">
        <v>5923</v>
      </c>
      <c r="D1067" s="448" t="s">
        <v>1312</v>
      </c>
      <c r="E1067" s="448" t="s">
        <v>2120</v>
      </c>
      <c r="F1067" s="448" t="s">
        <v>3024</v>
      </c>
      <c r="G1067" s="448" t="s">
        <v>5924</v>
      </c>
    </row>
    <row r="1068" spans="1:7">
      <c r="A1068" s="448">
        <v>1067</v>
      </c>
      <c r="B1068" s="448" t="s">
        <v>5925</v>
      </c>
      <c r="C1068" s="448" t="s">
        <v>5926</v>
      </c>
      <c r="D1068" s="448" t="s">
        <v>1312</v>
      </c>
      <c r="E1068" s="448" t="s">
        <v>2120</v>
      </c>
      <c r="F1068" s="448" t="s">
        <v>3024</v>
      </c>
      <c r="G1068" s="448" t="s">
        <v>5927</v>
      </c>
    </row>
    <row r="1069" spans="1:7">
      <c r="A1069" s="448">
        <v>1068</v>
      </c>
      <c r="B1069" s="448" t="s">
        <v>5928</v>
      </c>
      <c r="C1069" s="448" t="s">
        <v>5929</v>
      </c>
      <c r="D1069" s="448" t="s">
        <v>1312</v>
      </c>
      <c r="E1069" s="448" t="s">
        <v>2120</v>
      </c>
      <c r="F1069" s="448" t="s">
        <v>3024</v>
      </c>
      <c r="G1069" s="448" t="s">
        <v>5855</v>
      </c>
    </row>
    <row r="1070" spans="1:7">
      <c r="A1070" s="448">
        <v>1069</v>
      </c>
      <c r="B1070" s="448" t="s">
        <v>5930</v>
      </c>
      <c r="C1070" s="448" t="s">
        <v>5931</v>
      </c>
      <c r="D1070" s="448" t="s">
        <v>1312</v>
      </c>
      <c r="E1070" s="448" t="s">
        <v>2120</v>
      </c>
      <c r="F1070" s="448" t="s">
        <v>3024</v>
      </c>
      <c r="G1070" s="448" t="s">
        <v>5932</v>
      </c>
    </row>
    <row r="1071" spans="1:7">
      <c r="A1071" s="448">
        <v>1070</v>
      </c>
      <c r="B1071" s="448" t="s">
        <v>5933</v>
      </c>
      <c r="C1071" s="448" t="s">
        <v>5934</v>
      </c>
      <c r="D1071" s="448" t="s">
        <v>1312</v>
      </c>
      <c r="E1071" s="448" t="s">
        <v>2120</v>
      </c>
      <c r="F1071" s="448" t="s">
        <v>3024</v>
      </c>
      <c r="G1071" s="448" t="s">
        <v>5935</v>
      </c>
    </row>
    <row r="1072" spans="1:7">
      <c r="A1072" s="448">
        <v>1071</v>
      </c>
      <c r="B1072" s="448" t="s">
        <v>5936</v>
      </c>
      <c r="C1072" s="448" t="s">
        <v>5937</v>
      </c>
      <c r="D1072" s="448" t="s">
        <v>1312</v>
      </c>
      <c r="E1072" s="448" t="s">
        <v>2120</v>
      </c>
      <c r="F1072" s="448" t="s">
        <v>3024</v>
      </c>
      <c r="G1072" s="448" t="s">
        <v>4712</v>
      </c>
    </row>
    <row r="1073" spans="1:7">
      <c r="A1073" s="448">
        <v>1072</v>
      </c>
      <c r="B1073" s="448" t="s">
        <v>5938</v>
      </c>
      <c r="C1073" s="448" t="s">
        <v>5939</v>
      </c>
      <c r="D1073" s="448" t="s">
        <v>1312</v>
      </c>
      <c r="E1073" s="448" t="s">
        <v>2120</v>
      </c>
      <c r="F1073" s="448" t="s">
        <v>3024</v>
      </c>
      <c r="G1073" s="448" t="s">
        <v>4343</v>
      </c>
    </row>
    <row r="1074" spans="1:7">
      <c r="A1074" s="448">
        <v>1073</v>
      </c>
      <c r="B1074" s="448" t="s">
        <v>5940</v>
      </c>
      <c r="C1074" s="448" t="s">
        <v>5941</v>
      </c>
      <c r="D1074" s="448" t="s">
        <v>1312</v>
      </c>
      <c r="E1074" s="448" t="s">
        <v>2120</v>
      </c>
      <c r="F1074" s="448" t="s">
        <v>3024</v>
      </c>
      <c r="G1074" s="448" t="s">
        <v>5942</v>
      </c>
    </row>
    <row r="1075" spans="1:7">
      <c r="A1075" s="448">
        <v>1074</v>
      </c>
      <c r="B1075" s="448" t="s">
        <v>5943</v>
      </c>
      <c r="C1075" s="448" t="s">
        <v>5944</v>
      </c>
      <c r="D1075" s="448" t="s">
        <v>1312</v>
      </c>
      <c r="E1075" s="448" t="s">
        <v>2120</v>
      </c>
      <c r="F1075" s="448" t="s">
        <v>3024</v>
      </c>
      <c r="G1075" s="448" t="s">
        <v>5945</v>
      </c>
    </row>
    <row r="1076" spans="1:7">
      <c r="A1076" s="448">
        <v>1075</v>
      </c>
      <c r="B1076" s="448" t="s">
        <v>5946</v>
      </c>
      <c r="C1076" s="448" t="s">
        <v>5947</v>
      </c>
      <c r="D1076" s="448" t="s">
        <v>1312</v>
      </c>
      <c r="E1076" s="448" t="s">
        <v>2120</v>
      </c>
      <c r="F1076" s="448" t="s">
        <v>3024</v>
      </c>
      <c r="G1076" s="448" t="s">
        <v>5948</v>
      </c>
    </row>
    <row r="1077" spans="1:7">
      <c r="A1077" s="448">
        <v>1076</v>
      </c>
      <c r="B1077" s="448" t="s">
        <v>5949</v>
      </c>
      <c r="C1077" s="448" t="s">
        <v>5950</v>
      </c>
      <c r="D1077" s="448" t="s">
        <v>1312</v>
      </c>
      <c r="E1077" s="448" t="s">
        <v>2120</v>
      </c>
      <c r="F1077" s="448" t="s">
        <v>3024</v>
      </c>
      <c r="G1077" s="448" t="s">
        <v>5951</v>
      </c>
    </row>
    <row r="1078" spans="1:7">
      <c r="A1078" s="448">
        <v>1077</v>
      </c>
      <c r="B1078" s="448" t="s">
        <v>5952</v>
      </c>
      <c r="C1078" s="448" t="s">
        <v>5953</v>
      </c>
      <c r="D1078" s="448" t="s">
        <v>1312</v>
      </c>
      <c r="E1078" s="448" t="s">
        <v>2120</v>
      </c>
      <c r="F1078" s="448" t="s">
        <v>3024</v>
      </c>
      <c r="G1078" s="448" t="s">
        <v>5927</v>
      </c>
    </row>
    <row r="1079" spans="1:7">
      <c r="A1079" s="448">
        <v>1078</v>
      </c>
      <c r="B1079" s="448" t="s">
        <v>5954</v>
      </c>
      <c r="C1079" s="448" t="s">
        <v>5955</v>
      </c>
      <c r="D1079" s="448" t="s">
        <v>1312</v>
      </c>
      <c r="E1079" s="448" t="s">
        <v>2120</v>
      </c>
      <c r="F1079" s="448" t="s">
        <v>3024</v>
      </c>
      <c r="G1079" s="448" t="s">
        <v>5072</v>
      </c>
    </row>
    <row r="1080" spans="1:7">
      <c r="A1080" s="448">
        <v>1079</v>
      </c>
      <c r="B1080" s="448" t="s">
        <v>5956</v>
      </c>
      <c r="C1080" s="448" t="s">
        <v>5957</v>
      </c>
      <c r="D1080" s="448" t="s">
        <v>1312</v>
      </c>
      <c r="E1080" s="448" t="s">
        <v>2120</v>
      </c>
      <c r="F1080" s="448" t="s">
        <v>3024</v>
      </c>
      <c r="G1080" s="448" t="s">
        <v>5958</v>
      </c>
    </row>
    <row r="1081" spans="1:7">
      <c r="A1081" s="448">
        <v>1080</v>
      </c>
      <c r="B1081" s="448" t="s">
        <v>5959</v>
      </c>
      <c r="C1081" s="448" t="s">
        <v>5960</v>
      </c>
      <c r="D1081" s="448" t="s">
        <v>1312</v>
      </c>
      <c r="E1081" s="448" t="s">
        <v>2120</v>
      </c>
      <c r="F1081" s="448" t="s">
        <v>3024</v>
      </c>
      <c r="G1081" s="448" t="s">
        <v>5961</v>
      </c>
    </row>
    <row r="1082" spans="1:7">
      <c r="A1082" s="448">
        <v>1081</v>
      </c>
      <c r="B1082" s="448" t="s">
        <v>5962</v>
      </c>
      <c r="C1082" s="448" t="s">
        <v>5963</v>
      </c>
      <c r="D1082" s="448" t="s">
        <v>1312</v>
      </c>
      <c r="E1082" s="448" t="s">
        <v>2120</v>
      </c>
      <c r="F1082" s="448" t="s">
        <v>3024</v>
      </c>
      <c r="G1082" s="448" t="s">
        <v>3925</v>
      </c>
    </row>
    <row r="1083" spans="1:7">
      <c r="A1083" s="448">
        <v>1082</v>
      </c>
      <c r="B1083" s="448" t="s">
        <v>5964</v>
      </c>
      <c r="C1083" s="448" t="s">
        <v>5965</v>
      </c>
      <c r="D1083" s="448" t="s">
        <v>1312</v>
      </c>
      <c r="E1083" s="448" t="s">
        <v>2120</v>
      </c>
      <c r="F1083" s="448" t="s">
        <v>3024</v>
      </c>
      <c r="G1083" s="448" t="s">
        <v>4012</v>
      </c>
    </row>
    <row r="1084" spans="1:7">
      <c r="A1084" s="448">
        <v>1083</v>
      </c>
      <c r="B1084" s="448" t="s">
        <v>5966</v>
      </c>
      <c r="C1084" s="448" t="s">
        <v>5967</v>
      </c>
      <c r="D1084" s="448" t="s">
        <v>1312</v>
      </c>
      <c r="E1084" s="448" t="s">
        <v>2120</v>
      </c>
      <c r="F1084" s="448" t="s">
        <v>3024</v>
      </c>
      <c r="G1084" s="448" t="s">
        <v>5968</v>
      </c>
    </row>
    <row r="1085" spans="1:7">
      <c r="A1085" s="448">
        <v>1084</v>
      </c>
      <c r="B1085" s="448" t="s">
        <v>5969</v>
      </c>
      <c r="C1085" s="448" t="s">
        <v>5970</v>
      </c>
      <c r="D1085" s="448" t="s">
        <v>1312</v>
      </c>
      <c r="E1085" s="448" t="s">
        <v>2120</v>
      </c>
      <c r="F1085" s="448" t="s">
        <v>3024</v>
      </c>
      <c r="G1085" s="448" t="s">
        <v>5971</v>
      </c>
    </row>
    <row r="1086" spans="1:7">
      <c r="A1086" s="448">
        <v>1085</v>
      </c>
      <c r="B1086" s="448" t="s">
        <v>5972</v>
      </c>
      <c r="C1086" s="448" t="s">
        <v>5973</v>
      </c>
      <c r="D1086" s="448" t="s">
        <v>1312</v>
      </c>
      <c r="E1086" s="448" t="s">
        <v>2120</v>
      </c>
      <c r="F1086" s="448" t="s">
        <v>3024</v>
      </c>
      <c r="G1086" s="448" t="s">
        <v>5974</v>
      </c>
    </row>
    <row r="1087" spans="1:7">
      <c r="A1087" s="448">
        <v>1086</v>
      </c>
      <c r="B1087" s="448" t="s">
        <v>5975</v>
      </c>
      <c r="C1087" s="448" t="s">
        <v>5976</v>
      </c>
      <c r="D1087" s="448" t="s">
        <v>1312</v>
      </c>
      <c r="E1087" s="448" t="s">
        <v>2120</v>
      </c>
      <c r="F1087" s="448" t="s">
        <v>3024</v>
      </c>
      <c r="G1087" s="448" t="s">
        <v>5977</v>
      </c>
    </row>
    <row r="1088" spans="1:7">
      <c r="A1088" s="448">
        <v>1087</v>
      </c>
      <c r="B1088" s="448" t="s">
        <v>5978</v>
      </c>
      <c r="C1088" s="448" t="s">
        <v>5979</v>
      </c>
      <c r="D1088" s="448" t="s">
        <v>1312</v>
      </c>
      <c r="E1088" s="448" t="s">
        <v>2120</v>
      </c>
      <c r="F1088" s="448" t="s">
        <v>3024</v>
      </c>
      <c r="G1088" s="448" t="s">
        <v>4757</v>
      </c>
    </row>
    <row r="1089" spans="1:7">
      <c r="A1089" s="448">
        <v>1088</v>
      </c>
      <c r="B1089" s="448" t="s">
        <v>5980</v>
      </c>
      <c r="C1089" s="448" t="s">
        <v>5981</v>
      </c>
      <c r="D1089" s="448" t="s">
        <v>1312</v>
      </c>
      <c r="E1089" s="448" t="s">
        <v>2120</v>
      </c>
      <c r="F1089" s="448" t="s">
        <v>3024</v>
      </c>
      <c r="G1089" s="448" t="s">
        <v>5982</v>
      </c>
    </row>
    <row r="1090" spans="1:7">
      <c r="A1090" s="448">
        <v>1089</v>
      </c>
      <c r="B1090" s="448" t="s">
        <v>5983</v>
      </c>
      <c r="C1090" s="448" t="s">
        <v>5984</v>
      </c>
      <c r="D1090" s="448" t="s">
        <v>1312</v>
      </c>
      <c r="E1090" s="448" t="s">
        <v>2120</v>
      </c>
      <c r="F1090" s="448" t="s">
        <v>3024</v>
      </c>
      <c r="G1090" s="448" t="s">
        <v>5817</v>
      </c>
    </row>
    <row r="1091" spans="1:7">
      <c r="A1091" s="448">
        <v>1090</v>
      </c>
      <c r="B1091" s="448" t="s">
        <v>5985</v>
      </c>
      <c r="C1091" s="448" t="s">
        <v>5986</v>
      </c>
      <c r="D1091" s="448" t="s">
        <v>1312</v>
      </c>
      <c r="E1091" s="448" t="s">
        <v>2120</v>
      </c>
      <c r="F1091" s="448" t="s">
        <v>3024</v>
      </c>
      <c r="G1091" s="448" t="s">
        <v>4078</v>
      </c>
    </row>
    <row r="1092" spans="1:7">
      <c r="A1092" s="448">
        <v>1091</v>
      </c>
      <c r="B1092" s="448" t="s">
        <v>5987</v>
      </c>
      <c r="C1092" s="448" t="s">
        <v>5988</v>
      </c>
      <c r="D1092" s="448" t="s">
        <v>1312</v>
      </c>
      <c r="E1092" s="448" t="s">
        <v>2120</v>
      </c>
      <c r="F1092" s="448" t="s">
        <v>3024</v>
      </c>
      <c r="G1092" s="448" t="s">
        <v>4066</v>
      </c>
    </row>
    <row r="1093" spans="1:7">
      <c r="A1093" s="448">
        <v>1092</v>
      </c>
      <c r="B1093" s="448" t="s">
        <v>5989</v>
      </c>
      <c r="C1093" s="448" t="s">
        <v>5990</v>
      </c>
      <c r="D1093" s="448" t="s">
        <v>1312</v>
      </c>
      <c r="E1093" s="448" t="s">
        <v>2120</v>
      </c>
      <c r="F1093" s="448" t="s">
        <v>3024</v>
      </c>
      <c r="G1093" s="448" t="s">
        <v>5991</v>
      </c>
    </row>
    <row r="1094" spans="1:7">
      <c r="A1094" s="448">
        <v>1093</v>
      </c>
      <c r="B1094" s="448" t="s">
        <v>5992</v>
      </c>
      <c r="C1094" s="448" t="s">
        <v>5993</v>
      </c>
      <c r="D1094" s="448" t="s">
        <v>1312</v>
      </c>
      <c r="E1094" s="448" t="s">
        <v>2120</v>
      </c>
      <c r="F1094" s="448" t="s">
        <v>3024</v>
      </c>
      <c r="G1094" s="448" t="s">
        <v>5057</v>
      </c>
    </row>
    <row r="1095" spans="1:7">
      <c r="A1095" s="448">
        <v>1094</v>
      </c>
      <c r="B1095" s="448" t="s">
        <v>5994</v>
      </c>
      <c r="C1095" s="448" t="s">
        <v>5995</v>
      </c>
      <c r="D1095" s="448" t="s">
        <v>1312</v>
      </c>
      <c r="E1095" s="448" t="s">
        <v>2120</v>
      </c>
      <c r="F1095" s="448" t="s">
        <v>3024</v>
      </c>
      <c r="G1095" s="448" t="s">
        <v>5977</v>
      </c>
    </row>
    <row r="1096" spans="1:7">
      <c r="A1096" s="448">
        <v>1095</v>
      </c>
      <c r="B1096" s="448" t="s">
        <v>5996</v>
      </c>
      <c r="C1096" s="448" t="s">
        <v>5997</v>
      </c>
      <c r="D1096" s="448" t="s">
        <v>1312</v>
      </c>
      <c r="E1096" s="448" t="s">
        <v>2120</v>
      </c>
      <c r="F1096" s="448" t="s">
        <v>3024</v>
      </c>
      <c r="G1096" s="448" t="s">
        <v>5864</v>
      </c>
    </row>
    <row r="1097" spans="1:7">
      <c r="A1097" s="448">
        <v>1096</v>
      </c>
      <c r="B1097" s="448" t="s">
        <v>5998</v>
      </c>
      <c r="C1097" s="448" t="s">
        <v>5999</v>
      </c>
      <c r="D1097" s="448" t="s">
        <v>1312</v>
      </c>
      <c r="E1097" s="448" t="s">
        <v>2120</v>
      </c>
      <c r="F1097" s="448" t="s">
        <v>3024</v>
      </c>
      <c r="G1097" s="448" t="s">
        <v>4309</v>
      </c>
    </row>
    <row r="1098" spans="1:7">
      <c r="A1098" s="448">
        <v>1097</v>
      </c>
      <c r="B1098" s="448" t="s">
        <v>6000</v>
      </c>
      <c r="C1098" s="448" t="s">
        <v>6001</v>
      </c>
      <c r="D1098" s="448" t="s">
        <v>1312</v>
      </c>
      <c r="E1098" s="448" t="s">
        <v>2120</v>
      </c>
      <c r="F1098" s="448" t="s">
        <v>3024</v>
      </c>
      <c r="G1098" s="448" t="s">
        <v>5830</v>
      </c>
    </row>
    <row r="1099" spans="1:7">
      <c r="A1099" s="448">
        <v>1098</v>
      </c>
      <c r="B1099" s="448" t="s">
        <v>6002</v>
      </c>
      <c r="C1099" s="448" t="s">
        <v>6003</v>
      </c>
      <c r="D1099" s="448" t="s">
        <v>1312</v>
      </c>
      <c r="E1099" s="448" t="s">
        <v>2120</v>
      </c>
      <c r="F1099" s="448" t="s">
        <v>3024</v>
      </c>
      <c r="G1099" s="448" t="s">
        <v>6004</v>
      </c>
    </row>
    <row r="1100" spans="1:7">
      <c r="A1100" s="448">
        <v>1099</v>
      </c>
      <c r="B1100" s="448" t="s">
        <v>6005</v>
      </c>
      <c r="C1100" s="448" t="s">
        <v>6006</v>
      </c>
      <c r="D1100" s="448" t="s">
        <v>1312</v>
      </c>
      <c r="E1100" s="448" t="s">
        <v>2120</v>
      </c>
      <c r="F1100" s="448" t="s">
        <v>3024</v>
      </c>
      <c r="G1100" s="448" t="s">
        <v>4806</v>
      </c>
    </row>
    <row r="1101" spans="1:7">
      <c r="A1101" s="448">
        <v>1100</v>
      </c>
      <c r="B1101" s="448" t="s">
        <v>6007</v>
      </c>
      <c r="C1101" s="448" t="s">
        <v>6008</v>
      </c>
      <c r="D1101" s="448" t="s">
        <v>1312</v>
      </c>
      <c r="E1101" s="448" t="s">
        <v>2120</v>
      </c>
      <c r="F1101" s="448" t="s">
        <v>3024</v>
      </c>
      <c r="G1101" s="448" t="s">
        <v>4189</v>
      </c>
    </row>
    <row r="1102" spans="1:7">
      <c r="A1102" s="448">
        <v>1101</v>
      </c>
      <c r="B1102" s="448" t="s">
        <v>6009</v>
      </c>
      <c r="C1102" s="448" t="s">
        <v>6010</v>
      </c>
      <c r="D1102" s="448" t="s">
        <v>1312</v>
      </c>
      <c r="E1102" s="448" t="s">
        <v>2120</v>
      </c>
      <c r="F1102" s="448" t="s">
        <v>3024</v>
      </c>
      <c r="G1102" s="448" t="s">
        <v>6011</v>
      </c>
    </row>
    <row r="1103" spans="1:7">
      <c r="A1103" s="448">
        <v>1102</v>
      </c>
      <c r="B1103" s="448" t="s">
        <v>6012</v>
      </c>
      <c r="C1103" s="448" t="s">
        <v>6013</v>
      </c>
      <c r="D1103" s="448" t="s">
        <v>1312</v>
      </c>
      <c r="E1103" s="448" t="s">
        <v>2120</v>
      </c>
      <c r="F1103" s="448" t="s">
        <v>3024</v>
      </c>
      <c r="G1103" s="448" t="s">
        <v>6014</v>
      </c>
    </row>
    <row r="1104" spans="1:7">
      <c r="A1104" s="448">
        <v>1103</v>
      </c>
      <c r="B1104" s="448" t="s">
        <v>6015</v>
      </c>
      <c r="C1104" s="448" t="s">
        <v>6016</v>
      </c>
      <c r="D1104" s="448" t="s">
        <v>1312</v>
      </c>
      <c r="E1104" s="448" t="s">
        <v>2120</v>
      </c>
      <c r="F1104" s="448" t="s">
        <v>3024</v>
      </c>
      <c r="G1104" s="448" t="s">
        <v>6017</v>
      </c>
    </row>
    <row r="1105" spans="1:7">
      <c r="A1105" s="448">
        <v>1104</v>
      </c>
      <c r="B1105" s="448" t="s">
        <v>6018</v>
      </c>
      <c r="C1105" s="448" t="s">
        <v>6019</v>
      </c>
      <c r="D1105" s="448" t="s">
        <v>1312</v>
      </c>
      <c r="E1105" s="448" t="s">
        <v>2120</v>
      </c>
      <c r="F1105" s="448" t="s">
        <v>3024</v>
      </c>
      <c r="G1105" s="448" t="s">
        <v>4779</v>
      </c>
    </row>
    <row r="1106" spans="1:7">
      <c r="A1106" s="448">
        <v>1105</v>
      </c>
      <c r="B1106" s="448" t="s">
        <v>6020</v>
      </c>
      <c r="C1106" s="448" t="s">
        <v>6021</v>
      </c>
      <c r="D1106" s="448" t="s">
        <v>1312</v>
      </c>
      <c r="E1106" s="448" t="s">
        <v>2120</v>
      </c>
      <c r="F1106" s="448" t="s">
        <v>3024</v>
      </c>
      <c r="G1106" s="448" t="s">
        <v>5844</v>
      </c>
    </row>
    <row r="1107" spans="1:7">
      <c r="A1107" s="448">
        <v>1106</v>
      </c>
      <c r="B1107" s="448" t="s">
        <v>6022</v>
      </c>
      <c r="C1107" s="448" t="s">
        <v>6023</v>
      </c>
      <c r="D1107" s="448" t="s">
        <v>1312</v>
      </c>
      <c r="E1107" s="448" t="s">
        <v>2120</v>
      </c>
      <c r="F1107" s="448" t="s">
        <v>3024</v>
      </c>
      <c r="G1107" s="448" t="s">
        <v>6024</v>
      </c>
    </row>
    <row r="1108" spans="1:7">
      <c r="A1108" s="448">
        <v>1107</v>
      </c>
      <c r="B1108" s="448" t="s">
        <v>6025</v>
      </c>
      <c r="C1108" s="448" t="s">
        <v>6026</v>
      </c>
      <c r="D1108" s="448" t="s">
        <v>1312</v>
      </c>
      <c r="E1108" s="448" t="s">
        <v>2120</v>
      </c>
      <c r="F1108" s="448" t="s">
        <v>3024</v>
      </c>
      <c r="G1108" s="448" t="s">
        <v>6027</v>
      </c>
    </row>
    <row r="1109" spans="1:7">
      <c r="A1109" s="448">
        <v>1108</v>
      </c>
      <c r="B1109" s="448" t="s">
        <v>6028</v>
      </c>
      <c r="C1109" s="448" t="s">
        <v>6029</v>
      </c>
      <c r="D1109" s="448" t="s">
        <v>1312</v>
      </c>
      <c r="E1109" s="448" t="s">
        <v>2120</v>
      </c>
      <c r="F1109" s="448" t="s">
        <v>3024</v>
      </c>
      <c r="G1109" s="448" t="s">
        <v>6030</v>
      </c>
    </row>
    <row r="1110" spans="1:7">
      <c r="A1110" s="448">
        <v>1109</v>
      </c>
      <c r="B1110" s="448" t="s">
        <v>6031</v>
      </c>
      <c r="C1110" s="448" t="s">
        <v>6032</v>
      </c>
      <c r="D1110" s="448" t="s">
        <v>1312</v>
      </c>
      <c r="E1110" s="448" t="s">
        <v>2120</v>
      </c>
      <c r="F1110" s="448" t="s">
        <v>3024</v>
      </c>
      <c r="G1110" s="448" t="s">
        <v>5927</v>
      </c>
    </row>
    <row r="1111" spans="1:7">
      <c r="A1111" s="448">
        <v>1110</v>
      </c>
      <c r="B1111" s="448" t="s">
        <v>6033</v>
      </c>
      <c r="C1111" s="448" t="s">
        <v>6034</v>
      </c>
      <c r="D1111" s="448" t="s">
        <v>1312</v>
      </c>
      <c r="E1111" s="448" t="s">
        <v>2120</v>
      </c>
      <c r="F1111" s="448" t="s">
        <v>3024</v>
      </c>
      <c r="G1111" s="448" t="s">
        <v>6035</v>
      </c>
    </row>
    <row r="1112" spans="1:7">
      <c r="A1112" s="448">
        <v>1111</v>
      </c>
      <c r="B1112" s="448" t="s">
        <v>6036</v>
      </c>
      <c r="C1112" s="448" t="s">
        <v>6037</v>
      </c>
      <c r="D1112" s="448" t="s">
        <v>1312</v>
      </c>
      <c r="E1112" s="448" t="s">
        <v>2120</v>
      </c>
      <c r="F1112" s="448" t="s">
        <v>3024</v>
      </c>
      <c r="G1112" s="448" t="s">
        <v>6038</v>
      </c>
    </row>
    <row r="1113" spans="1:7">
      <c r="A1113" s="448">
        <v>1112</v>
      </c>
      <c r="B1113" s="448" t="s">
        <v>6039</v>
      </c>
      <c r="C1113" s="448" t="s">
        <v>6040</v>
      </c>
      <c r="D1113" s="448" t="s">
        <v>1312</v>
      </c>
      <c r="E1113" s="448" t="s">
        <v>2120</v>
      </c>
      <c r="F1113" s="448" t="s">
        <v>3024</v>
      </c>
      <c r="G1113" s="448" t="s">
        <v>5932</v>
      </c>
    </row>
    <row r="1114" spans="1:7">
      <c r="A1114" s="448">
        <v>1113</v>
      </c>
      <c r="B1114" s="448" t="s">
        <v>6041</v>
      </c>
      <c r="C1114" s="448" t="s">
        <v>6042</v>
      </c>
      <c r="D1114" s="448" t="s">
        <v>1312</v>
      </c>
      <c r="E1114" s="448" t="s">
        <v>2120</v>
      </c>
      <c r="F1114" s="448" t="s">
        <v>3024</v>
      </c>
      <c r="G1114" s="448" t="s">
        <v>6043</v>
      </c>
    </row>
    <row r="1115" spans="1:7">
      <c r="A1115" s="448">
        <v>1114</v>
      </c>
      <c r="B1115" s="448" t="s">
        <v>6044</v>
      </c>
      <c r="C1115" s="448" t="s">
        <v>6045</v>
      </c>
      <c r="D1115" s="448" t="s">
        <v>1312</v>
      </c>
      <c r="E1115" s="448" t="s">
        <v>2120</v>
      </c>
      <c r="F1115" s="448" t="s">
        <v>3024</v>
      </c>
      <c r="G1115" s="448" t="s">
        <v>4283</v>
      </c>
    </row>
    <row r="1116" spans="1:7">
      <c r="A1116" s="448">
        <v>1115</v>
      </c>
      <c r="B1116" s="448" t="s">
        <v>6046</v>
      </c>
      <c r="C1116" s="448" t="s">
        <v>6047</v>
      </c>
      <c r="D1116" s="448" t="s">
        <v>1312</v>
      </c>
      <c r="E1116" s="448" t="s">
        <v>2120</v>
      </c>
      <c r="F1116" s="448" t="s">
        <v>3024</v>
      </c>
      <c r="G1116" s="448" t="s">
        <v>4268</v>
      </c>
    </row>
    <row r="1117" spans="1:7">
      <c r="A1117" s="448">
        <v>1116</v>
      </c>
      <c r="B1117" s="448" t="s">
        <v>6048</v>
      </c>
      <c r="C1117" s="448" t="s">
        <v>6049</v>
      </c>
      <c r="D1117" s="448" t="s">
        <v>1312</v>
      </c>
      <c r="E1117" s="448" t="s">
        <v>2120</v>
      </c>
      <c r="F1117" s="448" t="s">
        <v>3024</v>
      </c>
      <c r="G1117" s="448" t="s">
        <v>6050</v>
      </c>
    </row>
    <row r="1118" spans="1:7">
      <c r="A1118" s="448">
        <v>1117</v>
      </c>
      <c r="B1118" s="448" t="s">
        <v>6051</v>
      </c>
      <c r="C1118" s="448" t="s">
        <v>6052</v>
      </c>
      <c r="D1118" s="448" t="s">
        <v>1312</v>
      </c>
      <c r="E1118" s="448" t="s">
        <v>2120</v>
      </c>
      <c r="F1118" s="448" t="s">
        <v>3024</v>
      </c>
      <c r="G1118" s="448" t="s">
        <v>6053</v>
      </c>
    </row>
    <row r="1119" spans="1:7">
      <c r="A1119" s="448">
        <v>1118</v>
      </c>
      <c r="B1119" s="448" t="s">
        <v>6054</v>
      </c>
      <c r="C1119" s="448" t="s">
        <v>6055</v>
      </c>
      <c r="D1119" s="448" t="s">
        <v>1312</v>
      </c>
      <c r="E1119" s="448" t="s">
        <v>2120</v>
      </c>
      <c r="F1119" s="448" t="s">
        <v>3024</v>
      </c>
      <c r="G1119" s="448" t="s">
        <v>6056</v>
      </c>
    </row>
    <row r="1120" spans="1:7">
      <c r="A1120" s="448">
        <v>1119</v>
      </c>
      <c r="B1120" s="448" t="s">
        <v>6057</v>
      </c>
      <c r="C1120" s="448" t="s">
        <v>6058</v>
      </c>
      <c r="D1120" s="448" t="s">
        <v>1312</v>
      </c>
      <c r="E1120" s="448" t="s">
        <v>2120</v>
      </c>
      <c r="F1120" s="448" t="s">
        <v>3024</v>
      </c>
      <c r="G1120" s="448" t="s">
        <v>5932</v>
      </c>
    </row>
    <row r="1121" spans="1:7">
      <c r="A1121" s="448">
        <v>1120</v>
      </c>
      <c r="B1121" s="448" t="s">
        <v>6059</v>
      </c>
      <c r="C1121" s="448" t="s">
        <v>6060</v>
      </c>
      <c r="D1121" s="448" t="s">
        <v>1312</v>
      </c>
      <c r="E1121" s="448" t="s">
        <v>2120</v>
      </c>
      <c r="F1121" s="448" t="s">
        <v>3024</v>
      </c>
      <c r="G1121" s="448" t="s">
        <v>3925</v>
      </c>
    </row>
    <row r="1122" spans="1:7">
      <c r="A1122" s="448">
        <v>1121</v>
      </c>
      <c r="B1122" s="448" t="s">
        <v>6061</v>
      </c>
      <c r="C1122" s="448" t="s">
        <v>6062</v>
      </c>
      <c r="D1122" s="448" t="s">
        <v>1312</v>
      </c>
      <c r="E1122" s="448" t="s">
        <v>2120</v>
      </c>
      <c r="F1122" s="448" t="s">
        <v>3024</v>
      </c>
      <c r="G1122" s="448" t="s">
        <v>3747</v>
      </c>
    </row>
    <row r="1123" spans="1:7">
      <c r="A1123" s="448">
        <v>1122</v>
      </c>
      <c r="B1123" s="448" t="s">
        <v>6063</v>
      </c>
      <c r="C1123" s="448" t="s">
        <v>6064</v>
      </c>
      <c r="D1123" s="448" t="s">
        <v>1312</v>
      </c>
      <c r="E1123" s="448" t="s">
        <v>2120</v>
      </c>
      <c r="F1123" s="448" t="s">
        <v>3024</v>
      </c>
      <c r="G1123" s="448" t="s">
        <v>4283</v>
      </c>
    </row>
    <row r="1124" spans="1:7">
      <c r="A1124" s="448">
        <v>1123</v>
      </c>
      <c r="B1124" s="448" t="s">
        <v>6065</v>
      </c>
      <c r="C1124" s="448" t="s">
        <v>6066</v>
      </c>
      <c r="D1124" s="448" t="s">
        <v>1312</v>
      </c>
      <c r="E1124" s="448" t="s">
        <v>2120</v>
      </c>
      <c r="F1124" s="448" t="s">
        <v>3024</v>
      </c>
      <c r="G1124" s="448" t="s">
        <v>5057</v>
      </c>
    </row>
    <row r="1125" spans="1:7">
      <c r="A1125" s="448">
        <v>1124</v>
      </c>
      <c r="B1125" s="448" t="s">
        <v>6067</v>
      </c>
      <c r="C1125" s="448" t="s">
        <v>6068</v>
      </c>
      <c r="D1125" s="448" t="s">
        <v>1312</v>
      </c>
      <c r="E1125" s="448" t="s">
        <v>2120</v>
      </c>
      <c r="F1125" s="448" t="s">
        <v>3024</v>
      </c>
      <c r="G1125" s="448" t="s">
        <v>5977</v>
      </c>
    </row>
    <row r="1126" spans="1:7">
      <c r="A1126" s="448">
        <v>1125</v>
      </c>
      <c r="B1126" s="448" t="s">
        <v>6069</v>
      </c>
      <c r="C1126" s="448" t="s">
        <v>6070</v>
      </c>
      <c r="D1126" s="448" t="s">
        <v>1312</v>
      </c>
      <c r="E1126" s="448" t="s">
        <v>2120</v>
      </c>
      <c r="F1126" s="448" t="s">
        <v>3024</v>
      </c>
      <c r="G1126" s="448" t="s">
        <v>6071</v>
      </c>
    </row>
    <row r="1127" spans="1:7">
      <c r="A1127" s="448">
        <v>1126</v>
      </c>
      <c r="B1127" s="448" t="s">
        <v>6072</v>
      </c>
      <c r="C1127" s="448" t="s">
        <v>6073</v>
      </c>
      <c r="D1127" s="448" t="s">
        <v>1312</v>
      </c>
      <c r="E1127" s="448" t="s">
        <v>2120</v>
      </c>
      <c r="F1127" s="448" t="s">
        <v>3024</v>
      </c>
      <c r="G1127" s="448" t="s">
        <v>6074</v>
      </c>
    </row>
    <row r="1128" spans="1:7">
      <c r="A1128" s="448">
        <v>1127</v>
      </c>
      <c r="B1128" s="448" t="s">
        <v>6075</v>
      </c>
      <c r="C1128" s="448" t="s">
        <v>6076</v>
      </c>
      <c r="D1128" s="448" t="s">
        <v>1312</v>
      </c>
      <c r="E1128" s="448" t="s">
        <v>2120</v>
      </c>
      <c r="F1128" s="448" t="s">
        <v>3024</v>
      </c>
      <c r="G1128" s="448" t="s">
        <v>4211</v>
      </c>
    </row>
    <row r="1129" spans="1:7">
      <c r="A1129" s="448">
        <v>1128</v>
      </c>
      <c r="B1129" s="448" t="s">
        <v>6077</v>
      </c>
      <c r="C1129" s="448" t="s">
        <v>6078</v>
      </c>
      <c r="D1129" s="448" t="s">
        <v>1312</v>
      </c>
      <c r="E1129" s="448" t="s">
        <v>2120</v>
      </c>
      <c r="F1129" s="448" t="s">
        <v>3024</v>
      </c>
      <c r="G1129" s="448" t="s">
        <v>5991</v>
      </c>
    </row>
    <row r="1130" spans="1:7">
      <c r="A1130" s="448">
        <v>1129</v>
      </c>
      <c r="B1130" s="448" t="s">
        <v>6079</v>
      </c>
      <c r="C1130" s="448" t="s">
        <v>6080</v>
      </c>
      <c r="D1130" s="448" t="s">
        <v>1312</v>
      </c>
      <c r="E1130" s="448" t="s">
        <v>2120</v>
      </c>
      <c r="F1130" s="448" t="s">
        <v>3024</v>
      </c>
      <c r="G1130" s="448" t="s">
        <v>4712</v>
      </c>
    </row>
    <row r="1131" spans="1:7">
      <c r="A1131" s="448">
        <v>1130</v>
      </c>
      <c r="B1131" s="448" t="s">
        <v>6081</v>
      </c>
      <c r="C1131" s="448" t="s">
        <v>6082</v>
      </c>
      <c r="D1131" s="448" t="s">
        <v>1312</v>
      </c>
      <c r="E1131" s="448" t="s">
        <v>2120</v>
      </c>
      <c r="F1131" s="448" t="s">
        <v>3024</v>
      </c>
      <c r="G1131" s="448" t="s">
        <v>6083</v>
      </c>
    </row>
    <row r="1132" spans="1:7">
      <c r="A1132" s="448">
        <v>1131</v>
      </c>
      <c r="B1132" s="448" t="s">
        <v>6084</v>
      </c>
      <c r="C1132" s="448" t="s">
        <v>6085</v>
      </c>
      <c r="D1132" s="448" t="s">
        <v>1312</v>
      </c>
      <c r="E1132" s="448" t="s">
        <v>2120</v>
      </c>
      <c r="F1132" s="448" t="s">
        <v>3024</v>
      </c>
      <c r="G1132" s="448" t="s">
        <v>5105</v>
      </c>
    </row>
    <row r="1133" spans="1:7">
      <c r="A1133" s="448">
        <v>1132</v>
      </c>
      <c r="B1133" s="448" t="s">
        <v>6086</v>
      </c>
      <c r="C1133" s="448" t="s">
        <v>6087</v>
      </c>
      <c r="D1133" s="448" t="s">
        <v>1312</v>
      </c>
      <c r="E1133" s="448" t="s">
        <v>2120</v>
      </c>
      <c r="F1133" s="448" t="s">
        <v>3024</v>
      </c>
      <c r="G1133" s="448" t="s">
        <v>5942</v>
      </c>
    </row>
    <row r="1134" spans="1:7">
      <c r="A1134" s="448">
        <v>1133</v>
      </c>
      <c r="B1134" s="448" t="s">
        <v>6088</v>
      </c>
      <c r="C1134" s="448" t="s">
        <v>6089</v>
      </c>
      <c r="D1134" s="448" t="s">
        <v>1312</v>
      </c>
      <c r="E1134" s="448" t="s">
        <v>2120</v>
      </c>
      <c r="F1134" s="448" t="s">
        <v>3024</v>
      </c>
      <c r="G1134" s="448" t="s">
        <v>4712</v>
      </c>
    </row>
    <row r="1135" spans="1:7">
      <c r="A1135" s="448">
        <v>1134</v>
      </c>
      <c r="B1135" s="448" t="s">
        <v>6090</v>
      </c>
      <c r="C1135" s="448" t="s">
        <v>6091</v>
      </c>
      <c r="D1135" s="448" t="s">
        <v>1312</v>
      </c>
      <c r="E1135" s="448" t="s">
        <v>2120</v>
      </c>
      <c r="F1135" s="448" t="s">
        <v>3024</v>
      </c>
      <c r="G1135" s="448" t="s">
        <v>4346</v>
      </c>
    </row>
    <row r="1136" spans="1:7">
      <c r="A1136" s="448">
        <v>1135</v>
      </c>
      <c r="B1136" s="448" t="s">
        <v>6092</v>
      </c>
      <c r="C1136" s="448" t="s">
        <v>6093</v>
      </c>
      <c r="D1136" s="448" t="s">
        <v>1312</v>
      </c>
      <c r="E1136" s="448" t="s">
        <v>2120</v>
      </c>
      <c r="F1136" s="448" t="s">
        <v>3024</v>
      </c>
      <c r="G1136" s="448" t="s">
        <v>4253</v>
      </c>
    </row>
    <row r="1137" spans="1:7">
      <c r="A1137" s="448">
        <v>1136</v>
      </c>
      <c r="B1137" s="448" t="s">
        <v>6094</v>
      </c>
      <c r="C1137" s="448" t="s">
        <v>6095</v>
      </c>
      <c r="D1137" s="448" t="s">
        <v>5816</v>
      </c>
      <c r="E1137" s="448" t="s">
        <v>2120</v>
      </c>
      <c r="F1137" s="448" t="s">
        <v>3024</v>
      </c>
      <c r="G1137" s="448" t="s">
        <v>6096</v>
      </c>
    </row>
    <row r="1138" spans="1:7">
      <c r="A1138" s="448">
        <v>1137</v>
      </c>
      <c r="B1138" s="448" t="s">
        <v>6097</v>
      </c>
      <c r="C1138" s="448" t="s">
        <v>6098</v>
      </c>
      <c r="D1138" s="448" t="s">
        <v>5816</v>
      </c>
      <c r="E1138" s="448" t="s">
        <v>2120</v>
      </c>
      <c r="F1138" s="448" t="s">
        <v>3024</v>
      </c>
      <c r="G1138" s="448" t="s">
        <v>6011</v>
      </c>
    </row>
    <row r="1139" spans="1:7">
      <c r="A1139" s="448">
        <v>1138</v>
      </c>
      <c r="B1139" s="448" t="s">
        <v>6099</v>
      </c>
      <c r="C1139" s="448" t="s">
        <v>6100</v>
      </c>
      <c r="D1139" s="448" t="s">
        <v>5816</v>
      </c>
      <c r="E1139" s="448" t="s">
        <v>2120</v>
      </c>
      <c r="F1139" s="448" t="s">
        <v>3024</v>
      </c>
      <c r="G1139" s="448" t="s">
        <v>6101</v>
      </c>
    </row>
    <row r="1140" spans="1:7">
      <c r="A1140" s="448">
        <v>1139</v>
      </c>
      <c r="B1140" s="448" t="s">
        <v>6102</v>
      </c>
      <c r="C1140" s="448" t="s">
        <v>6103</v>
      </c>
      <c r="D1140" s="448" t="s">
        <v>5816</v>
      </c>
      <c r="E1140" s="448" t="s">
        <v>2120</v>
      </c>
      <c r="F1140" s="448" t="s">
        <v>3024</v>
      </c>
      <c r="G1140" s="448" t="s">
        <v>6104</v>
      </c>
    </row>
    <row r="1141" spans="1:7">
      <c r="A1141" s="448">
        <v>1140</v>
      </c>
      <c r="B1141" s="448" t="s">
        <v>6105</v>
      </c>
      <c r="C1141" s="448" t="s">
        <v>6106</v>
      </c>
      <c r="D1141" s="448" t="s">
        <v>5816</v>
      </c>
      <c r="E1141" s="448" t="s">
        <v>2120</v>
      </c>
      <c r="F1141" s="448" t="s">
        <v>3024</v>
      </c>
      <c r="G1141" s="448" t="s">
        <v>6107</v>
      </c>
    </row>
    <row r="1142" spans="1:7">
      <c r="A1142" s="448">
        <v>1141</v>
      </c>
      <c r="B1142" s="448" t="s">
        <v>6108</v>
      </c>
      <c r="C1142" s="448" t="s">
        <v>6109</v>
      </c>
      <c r="D1142" s="448" t="s">
        <v>5816</v>
      </c>
      <c r="E1142" s="448" t="s">
        <v>2120</v>
      </c>
      <c r="F1142" s="448" t="s">
        <v>3024</v>
      </c>
      <c r="G1142" s="448" t="s">
        <v>4120</v>
      </c>
    </row>
    <row r="1143" spans="1:7">
      <c r="A1143" s="448">
        <v>1142</v>
      </c>
      <c r="B1143" s="448" t="s">
        <v>6110</v>
      </c>
      <c r="C1143" s="448" t="s">
        <v>6111</v>
      </c>
      <c r="D1143" s="448" t="s">
        <v>5816</v>
      </c>
      <c r="E1143" s="448" t="s">
        <v>2120</v>
      </c>
      <c r="F1143" s="448" t="s">
        <v>3024</v>
      </c>
      <c r="G1143" s="448" t="s">
        <v>6112</v>
      </c>
    </row>
    <row r="1144" spans="1:7">
      <c r="A1144" s="448">
        <v>1143</v>
      </c>
      <c r="B1144" s="448" t="s">
        <v>6113</v>
      </c>
      <c r="C1144" s="448" t="s">
        <v>6114</v>
      </c>
      <c r="D1144" s="448" t="s">
        <v>5816</v>
      </c>
      <c r="E1144" s="448" t="s">
        <v>2120</v>
      </c>
      <c r="F1144" s="448" t="s">
        <v>3024</v>
      </c>
      <c r="G1144" s="448" t="s">
        <v>6115</v>
      </c>
    </row>
    <row r="1145" spans="1:7">
      <c r="A1145" s="448">
        <v>1144</v>
      </c>
      <c r="B1145" s="448" t="s">
        <v>6116</v>
      </c>
      <c r="C1145" s="448" t="s">
        <v>6117</v>
      </c>
      <c r="D1145" s="448" t="s">
        <v>1312</v>
      </c>
      <c r="E1145" s="448" t="s">
        <v>2120</v>
      </c>
      <c r="F1145" s="448" t="s">
        <v>3024</v>
      </c>
      <c r="G1145" s="448" t="s">
        <v>6118</v>
      </c>
    </row>
    <row r="1146" spans="1:7">
      <c r="A1146" s="448">
        <v>1145</v>
      </c>
      <c r="B1146" s="448" t="s">
        <v>6119</v>
      </c>
      <c r="C1146" s="448" t="s">
        <v>6120</v>
      </c>
      <c r="D1146" s="448" t="s">
        <v>1312</v>
      </c>
      <c r="E1146" s="448" t="s">
        <v>2120</v>
      </c>
      <c r="F1146" s="448" t="s">
        <v>3024</v>
      </c>
      <c r="G1146" s="448" t="s">
        <v>3530</v>
      </c>
    </row>
    <row r="1147" spans="1:7">
      <c r="A1147" s="448">
        <v>1146</v>
      </c>
      <c r="B1147" s="448" t="s">
        <v>6121</v>
      </c>
      <c r="C1147" s="448" t="s">
        <v>6122</v>
      </c>
      <c r="D1147" s="448" t="s">
        <v>1312</v>
      </c>
      <c r="E1147" s="448" t="s">
        <v>2120</v>
      </c>
      <c r="F1147" s="448" t="s">
        <v>3024</v>
      </c>
      <c r="G1147" s="448" t="s">
        <v>6123</v>
      </c>
    </row>
    <row r="1148" spans="1:7">
      <c r="A1148" s="448">
        <v>1147</v>
      </c>
      <c r="B1148" s="448" t="s">
        <v>6124</v>
      </c>
      <c r="C1148" s="448" t="s">
        <v>6125</v>
      </c>
      <c r="D1148" s="448" t="s">
        <v>1312</v>
      </c>
      <c r="E1148" s="448" t="s">
        <v>2120</v>
      </c>
      <c r="F1148" s="448" t="s">
        <v>3024</v>
      </c>
      <c r="G1148" s="448" t="s">
        <v>4349</v>
      </c>
    </row>
    <row r="1149" spans="1:7">
      <c r="A1149" s="448">
        <v>1148</v>
      </c>
      <c r="B1149" s="448" t="s">
        <v>6126</v>
      </c>
      <c r="C1149" s="448" t="s">
        <v>6127</v>
      </c>
      <c r="D1149" s="448" t="s">
        <v>1312</v>
      </c>
      <c r="E1149" s="448" t="s">
        <v>2120</v>
      </c>
      <c r="F1149" s="448" t="s">
        <v>3024</v>
      </c>
      <c r="G1149" s="448" t="s">
        <v>6128</v>
      </c>
    </row>
    <row r="1150" spans="1:7">
      <c r="A1150" s="448">
        <v>1149</v>
      </c>
      <c r="B1150" s="448" t="s">
        <v>6129</v>
      </c>
      <c r="C1150" s="448" t="s">
        <v>6130</v>
      </c>
      <c r="D1150" s="448" t="s">
        <v>1312</v>
      </c>
      <c r="E1150" s="448" t="s">
        <v>2120</v>
      </c>
      <c r="F1150" s="448" t="s">
        <v>3024</v>
      </c>
      <c r="G1150" s="448" t="s">
        <v>5820</v>
      </c>
    </row>
    <row r="1151" spans="1:7">
      <c r="A1151" s="448">
        <v>1150</v>
      </c>
      <c r="B1151" s="448" t="s">
        <v>6131</v>
      </c>
      <c r="C1151" s="448" t="s">
        <v>6132</v>
      </c>
      <c r="D1151" s="448" t="s">
        <v>1312</v>
      </c>
      <c r="E1151" s="448" t="s">
        <v>2120</v>
      </c>
      <c r="F1151" s="448" t="s">
        <v>3024</v>
      </c>
      <c r="G1151" s="448" t="s">
        <v>6133</v>
      </c>
    </row>
    <row r="1152" spans="1:7">
      <c r="A1152" s="448">
        <v>1151</v>
      </c>
      <c r="B1152" s="448" t="s">
        <v>6134</v>
      </c>
      <c r="C1152" s="448" t="s">
        <v>6135</v>
      </c>
      <c r="D1152" s="448" t="s">
        <v>1312</v>
      </c>
      <c r="E1152" s="448" t="s">
        <v>2120</v>
      </c>
      <c r="F1152" s="448" t="s">
        <v>3024</v>
      </c>
      <c r="G1152" s="448" t="s">
        <v>6136</v>
      </c>
    </row>
    <row r="1153" spans="1:7">
      <c r="A1153" s="448">
        <v>1152</v>
      </c>
      <c r="B1153" s="448" t="s">
        <v>6137</v>
      </c>
      <c r="C1153" s="448" t="s">
        <v>6138</v>
      </c>
      <c r="D1153" s="448" t="s">
        <v>3617</v>
      </c>
      <c r="E1153" s="448" t="s">
        <v>2120</v>
      </c>
      <c r="F1153" s="448" t="s">
        <v>3024</v>
      </c>
      <c r="G1153" s="448" t="s">
        <v>6139</v>
      </c>
    </row>
    <row r="1154" spans="1:7">
      <c r="A1154" s="448">
        <v>1153</v>
      </c>
      <c r="B1154" s="448" t="s">
        <v>6140</v>
      </c>
      <c r="C1154" s="448" t="s">
        <v>6141</v>
      </c>
      <c r="D1154" s="448" t="s">
        <v>3617</v>
      </c>
      <c r="E1154" s="448" t="s">
        <v>2120</v>
      </c>
      <c r="F1154" s="448" t="s">
        <v>3024</v>
      </c>
      <c r="G1154" s="448" t="s">
        <v>5072</v>
      </c>
    </row>
    <row r="1155" spans="1:7">
      <c r="A1155" s="448">
        <v>1154</v>
      </c>
      <c r="B1155" s="448" t="s">
        <v>6142</v>
      </c>
      <c r="C1155" s="448" t="s">
        <v>6143</v>
      </c>
      <c r="D1155" s="448" t="s">
        <v>3617</v>
      </c>
      <c r="E1155" s="448" t="s">
        <v>2120</v>
      </c>
      <c r="F1155" s="448" t="s">
        <v>3024</v>
      </c>
      <c r="G1155" s="448" t="s">
        <v>6144</v>
      </c>
    </row>
    <row r="1156" spans="1:7">
      <c r="A1156" s="448">
        <v>1155</v>
      </c>
      <c r="B1156" s="448" t="s">
        <v>6145</v>
      </c>
      <c r="C1156" s="448" t="s">
        <v>6146</v>
      </c>
      <c r="D1156" s="448" t="s">
        <v>3617</v>
      </c>
      <c r="E1156" s="448" t="s">
        <v>2120</v>
      </c>
      <c r="F1156" s="448" t="s">
        <v>3024</v>
      </c>
      <c r="G1156" s="448" t="s">
        <v>3779</v>
      </c>
    </row>
    <row r="1157" spans="1:7">
      <c r="A1157" s="448">
        <v>1156</v>
      </c>
      <c r="B1157" s="448" t="s">
        <v>6147</v>
      </c>
      <c r="C1157" s="448" t="s">
        <v>6148</v>
      </c>
      <c r="D1157" s="448" t="s">
        <v>3617</v>
      </c>
      <c r="E1157" s="448" t="s">
        <v>2120</v>
      </c>
      <c r="F1157" s="448" t="s">
        <v>3024</v>
      </c>
      <c r="G1157" s="448" t="s">
        <v>4186</v>
      </c>
    </row>
    <row r="1158" spans="1:7">
      <c r="A1158" s="448">
        <v>1157</v>
      </c>
      <c r="B1158" s="448" t="s">
        <v>6149</v>
      </c>
      <c r="C1158" s="448" t="s">
        <v>6150</v>
      </c>
      <c r="D1158" s="448" t="s">
        <v>3617</v>
      </c>
      <c r="E1158" s="448" t="s">
        <v>2120</v>
      </c>
      <c r="F1158" s="448" t="s">
        <v>3024</v>
      </c>
      <c r="G1158" s="448" t="s">
        <v>3788</v>
      </c>
    </row>
    <row r="1159" spans="1:7">
      <c r="A1159" s="448">
        <v>1158</v>
      </c>
      <c r="B1159" s="448" t="s">
        <v>6151</v>
      </c>
      <c r="C1159" s="448" t="s">
        <v>6152</v>
      </c>
      <c r="D1159" s="448" t="s">
        <v>3617</v>
      </c>
      <c r="E1159" s="448" t="s">
        <v>2120</v>
      </c>
      <c r="F1159" s="448" t="s">
        <v>3024</v>
      </c>
      <c r="G1159" s="448" t="s">
        <v>6153</v>
      </c>
    </row>
    <row r="1160" spans="1:7">
      <c r="A1160" s="448">
        <v>1159</v>
      </c>
      <c r="B1160" s="448" t="s">
        <v>6154</v>
      </c>
      <c r="C1160" s="448" t="s">
        <v>6155</v>
      </c>
      <c r="D1160" s="448" t="s">
        <v>3617</v>
      </c>
      <c r="E1160" s="448" t="s">
        <v>2120</v>
      </c>
      <c r="F1160" s="448" t="s">
        <v>3024</v>
      </c>
      <c r="G1160" s="448" t="s">
        <v>6156</v>
      </c>
    </row>
    <row r="1161" spans="1:7">
      <c r="A1161" s="448">
        <v>1160</v>
      </c>
      <c r="B1161" s="448" t="s">
        <v>6157</v>
      </c>
      <c r="C1161" s="448" t="s">
        <v>6158</v>
      </c>
      <c r="D1161" s="448" t="s">
        <v>3617</v>
      </c>
      <c r="E1161" s="448" t="s">
        <v>2120</v>
      </c>
      <c r="F1161" s="448" t="s">
        <v>3024</v>
      </c>
      <c r="G1161" s="448" t="s">
        <v>6159</v>
      </c>
    </row>
    <row r="1162" spans="1:7">
      <c r="A1162" s="448">
        <v>1161</v>
      </c>
      <c r="B1162" s="448" t="s">
        <v>6160</v>
      </c>
      <c r="C1162" s="448" t="s">
        <v>6161</v>
      </c>
      <c r="D1162" s="448" t="s">
        <v>3617</v>
      </c>
      <c r="E1162" s="448" t="s">
        <v>2120</v>
      </c>
      <c r="F1162" s="448" t="s">
        <v>3024</v>
      </c>
      <c r="G1162" s="448" t="s">
        <v>6162</v>
      </c>
    </row>
    <row r="1163" spans="1:7">
      <c r="A1163" s="448">
        <v>1162</v>
      </c>
      <c r="B1163" s="448" t="s">
        <v>6163</v>
      </c>
      <c r="C1163" s="448" t="s">
        <v>6164</v>
      </c>
      <c r="D1163" s="448" t="s">
        <v>3617</v>
      </c>
      <c r="E1163" s="448" t="s">
        <v>2120</v>
      </c>
      <c r="F1163" s="448" t="s">
        <v>3024</v>
      </c>
      <c r="G1163" s="448" t="s">
        <v>6165</v>
      </c>
    </row>
    <row r="1164" spans="1:7">
      <c r="A1164" s="448">
        <v>1163</v>
      </c>
      <c r="B1164" s="448" t="s">
        <v>6166</v>
      </c>
      <c r="C1164" s="448" t="s">
        <v>6167</v>
      </c>
      <c r="D1164" s="448" t="s">
        <v>3617</v>
      </c>
      <c r="E1164" s="448" t="s">
        <v>2120</v>
      </c>
      <c r="F1164" s="448" t="s">
        <v>3024</v>
      </c>
      <c r="G1164" s="448" t="s">
        <v>6168</v>
      </c>
    </row>
    <row r="1165" spans="1:7">
      <c r="A1165" s="448">
        <v>1164</v>
      </c>
      <c r="B1165" s="448" t="s">
        <v>6169</v>
      </c>
      <c r="C1165" s="448" t="s">
        <v>6170</v>
      </c>
      <c r="D1165" s="448" t="s">
        <v>3617</v>
      </c>
      <c r="E1165" s="448" t="s">
        <v>2120</v>
      </c>
      <c r="F1165" s="448" t="s">
        <v>3024</v>
      </c>
      <c r="G1165" s="448" t="s">
        <v>5077</v>
      </c>
    </row>
    <row r="1166" spans="1:7">
      <c r="A1166" s="448">
        <v>1165</v>
      </c>
      <c r="B1166" s="448" t="s">
        <v>6171</v>
      </c>
      <c r="C1166" s="448" t="s">
        <v>6172</v>
      </c>
      <c r="D1166" s="448" t="s">
        <v>3617</v>
      </c>
      <c r="E1166" s="448" t="s">
        <v>2120</v>
      </c>
      <c r="F1166" s="448" t="s">
        <v>3024</v>
      </c>
      <c r="G1166" s="448" t="s">
        <v>5077</v>
      </c>
    </row>
    <row r="1167" spans="1:7">
      <c r="A1167" s="448">
        <v>1166</v>
      </c>
      <c r="B1167" s="448" t="s">
        <v>6173</v>
      </c>
      <c r="C1167" s="448" t="s">
        <v>6174</v>
      </c>
      <c r="D1167" s="448" t="s">
        <v>3617</v>
      </c>
      <c r="E1167" s="448" t="s">
        <v>2120</v>
      </c>
      <c r="F1167" s="448" t="s">
        <v>3024</v>
      </c>
      <c r="G1167" s="448" t="s">
        <v>6175</v>
      </c>
    </row>
    <row r="1168" spans="1:7">
      <c r="A1168" s="448">
        <v>1167</v>
      </c>
      <c r="B1168" s="448" t="s">
        <v>6176</v>
      </c>
      <c r="C1168" s="448" t="s">
        <v>6177</v>
      </c>
      <c r="D1168" s="448" t="s">
        <v>3617</v>
      </c>
      <c r="E1168" s="448" t="s">
        <v>2120</v>
      </c>
      <c r="F1168" s="448" t="s">
        <v>3024</v>
      </c>
      <c r="G1168" s="448" t="s">
        <v>6178</v>
      </c>
    </row>
    <row r="1169" spans="1:7">
      <c r="A1169" s="448">
        <v>1168</v>
      </c>
      <c r="B1169" s="448" t="s">
        <v>6179</v>
      </c>
      <c r="C1169" s="448" t="s">
        <v>6180</v>
      </c>
      <c r="D1169" s="448" t="s">
        <v>3617</v>
      </c>
      <c r="E1169" s="448" t="s">
        <v>2120</v>
      </c>
      <c r="F1169" s="448" t="s">
        <v>3024</v>
      </c>
      <c r="G1169" s="448" t="s">
        <v>6181</v>
      </c>
    </row>
    <row r="1170" spans="1:7">
      <c r="A1170" s="448">
        <v>1169</v>
      </c>
      <c r="B1170" s="448" t="s">
        <v>6182</v>
      </c>
      <c r="C1170" s="448" t="s">
        <v>6183</v>
      </c>
      <c r="D1170" s="448" t="s">
        <v>3617</v>
      </c>
      <c r="E1170" s="448" t="s">
        <v>2120</v>
      </c>
      <c r="F1170" s="448" t="s">
        <v>3024</v>
      </c>
      <c r="G1170" s="448" t="s">
        <v>5852</v>
      </c>
    </row>
    <row r="1171" spans="1:7">
      <c r="A1171" s="448">
        <v>1170</v>
      </c>
      <c r="B1171" s="448" t="s">
        <v>6184</v>
      </c>
      <c r="C1171" s="448" t="s">
        <v>6185</v>
      </c>
      <c r="D1171" s="448" t="s">
        <v>3617</v>
      </c>
      <c r="E1171" s="448" t="s">
        <v>2120</v>
      </c>
      <c r="F1171" s="448" t="s">
        <v>3024</v>
      </c>
      <c r="G1171" s="448" t="s">
        <v>5094</v>
      </c>
    </row>
    <row r="1172" spans="1:7">
      <c r="A1172" s="448">
        <v>1171</v>
      </c>
      <c r="B1172" s="448" t="s">
        <v>6186</v>
      </c>
      <c r="C1172" s="448" t="s">
        <v>6187</v>
      </c>
      <c r="D1172" s="448" t="s">
        <v>1312</v>
      </c>
      <c r="E1172" s="448" t="s">
        <v>2120</v>
      </c>
      <c r="F1172" s="448" t="s">
        <v>3024</v>
      </c>
      <c r="G1172" s="448" t="s">
        <v>6188</v>
      </c>
    </row>
    <row r="1173" spans="1:7">
      <c r="A1173" s="448">
        <v>1172</v>
      </c>
      <c r="B1173" s="448" t="s">
        <v>6189</v>
      </c>
      <c r="C1173" s="448" t="s">
        <v>6190</v>
      </c>
      <c r="D1173" s="448" t="s">
        <v>1312</v>
      </c>
      <c r="E1173" s="448" t="s">
        <v>2120</v>
      </c>
      <c r="F1173" s="448" t="s">
        <v>3024</v>
      </c>
      <c r="G1173" s="448" t="s">
        <v>6191</v>
      </c>
    </row>
    <row r="1174" spans="1:7">
      <c r="A1174" s="448">
        <v>1173</v>
      </c>
      <c r="B1174" s="448" t="s">
        <v>6192</v>
      </c>
      <c r="C1174" s="448" t="s">
        <v>6193</v>
      </c>
      <c r="D1174" s="448" t="s">
        <v>1312</v>
      </c>
      <c r="E1174" s="448" t="s">
        <v>2120</v>
      </c>
      <c r="F1174" s="448" t="s">
        <v>3024</v>
      </c>
      <c r="G1174" s="448" t="s">
        <v>4763</v>
      </c>
    </row>
    <row r="1175" spans="1:7">
      <c r="A1175" s="448">
        <v>1174</v>
      </c>
      <c r="B1175" s="448" t="s">
        <v>6194</v>
      </c>
      <c r="C1175" s="448" t="s">
        <v>6195</v>
      </c>
      <c r="D1175" s="448" t="s">
        <v>1312</v>
      </c>
      <c r="E1175" s="448" t="s">
        <v>2120</v>
      </c>
      <c r="F1175" s="448" t="s">
        <v>3024</v>
      </c>
      <c r="G1175" s="448" t="s">
        <v>5825</v>
      </c>
    </row>
    <row r="1176" spans="1:7">
      <c r="A1176" s="448">
        <v>1175</v>
      </c>
      <c r="B1176" s="448" t="s">
        <v>6196</v>
      </c>
      <c r="C1176" s="448" t="s">
        <v>6197</v>
      </c>
      <c r="D1176" s="448" t="s">
        <v>1312</v>
      </c>
      <c r="E1176" s="448" t="s">
        <v>2120</v>
      </c>
      <c r="F1176" s="448" t="s">
        <v>3024</v>
      </c>
      <c r="G1176" s="448" t="s">
        <v>4821</v>
      </c>
    </row>
    <row r="1177" spans="1:7">
      <c r="A1177" s="448">
        <v>1176</v>
      </c>
      <c r="B1177" s="448" t="s">
        <v>6198</v>
      </c>
      <c r="C1177" s="448" t="s">
        <v>6199</v>
      </c>
      <c r="D1177" s="448" t="s">
        <v>1312</v>
      </c>
      <c r="E1177" s="448" t="s">
        <v>2120</v>
      </c>
      <c r="F1177" s="448" t="s">
        <v>3024</v>
      </c>
      <c r="G1177" s="448" t="s">
        <v>6200</v>
      </c>
    </row>
    <row r="1178" spans="1:7">
      <c r="A1178" s="448">
        <v>1177</v>
      </c>
      <c r="B1178" s="448" t="s">
        <v>6201</v>
      </c>
      <c r="C1178" s="448" t="s">
        <v>6202</v>
      </c>
      <c r="D1178" s="448" t="s">
        <v>1312</v>
      </c>
      <c r="E1178" s="448" t="s">
        <v>2120</v>
      </c>
      <c r="F1178" s="448" t="s">
        <v>3024</v>
      </c>
      <c r="G1178" s="448" t="s">
        <v>5916</v>
      </c>
    </row>
    <row r="1179" spans="1:7">
      <c r="A1179" s="448">
        <v>1178</v>
      </c>
      <c r="B1179" s="448" t="s">
        <v>6203</v>
      </c>
      <c r="C1179" s="448" t="s">
        <v>6204</v>
      </c>
      <c r="D1179" s="448" t="s">
        <v>1312</v>
      </c>
      <c r="E1179" s="448" t="s">
        <v>2120</v>
      </c>
      <c r="F1179" s="448" t="s">
        <v>3024</v>
      </c>
      <c r="G1179" s="448" t="s">
        <v>6205</v>
      </c>
    </row>
    <row r="1180" spans="1:7">
      <c r="A1180" s="448">
        <v>1179</v>
      </c>
      <c r="B1180" s="448" t="s">
        <v>6206</v>
      </c>
      <c r="C1180" s="448" t="s">
        <v>6207</v>
      </c>
      <c r="D1180" s="448" t="s">
        <v>3617</v>
      </c>
      <c r="E1180" s="448" t="s">
        <v>2120</v>
      </c>
      <c r="F1180" s="448" t="s">
        <v>3024</v>
      </c>
      <c r="G1180" s="448" t="s">
        <v>6208</v>
      </c>
    </row>
    <row r="1181" spans="1:7">
      <c r="A1181" s="448">
        <v>1180</v>
      </c>
      <c r="B1181" s="448" t="s">
        <v>6209</v>
      </c>
      <c r="C1181" s="448" t="s">
        <v>6210</v>
      </c>
      <c r="D1181" s="448" t="s">
        <v>3617</v>
      </c>
      <c r="E1181" s="448" t="s">
        <v>2120</v>
      </c>
      <c r="F1181" s="448" t="s">
        <v>3024</v>
      </c>
      <c r="G1181" s="448" t="s">
        <v>6211</v>
      </c>
    </row>
    <row r="1182" spans="1:7">
      <c r="A1182" s="448">
        <v>1181</v>
      </c>
      <c r="B1182" s="448" t="s">
        <v>6212</v>
      </c>
      <c r="C1182" s="448" t="s">
        <v>6213</v>
      </c>
      <c r="D1182" s="448" t="s">
        <v>3617</v>
      </c>
      <c r="E1182" s="448" t="s">
        <v>2120</v>
      </c>
      <c r="F1182" s="448" t="s">
        <v>3024</v>
      </c>
      <c r="G1182" s="448" t="s">
        <v>6214</v>
      </c>
    </row>
    <row r="1183" spans="1:7">
      <c r="A1183" s="448">
        <v>1182</v>
      </c>
      <c r="B1183" s="448" t="s">
        <v>6215</v>
      </c>
      <c r="C1183" s="448" t="s">
        <v>6216</v>
      </c>
      <c r="D1183" s="448" t="s">
        <v>1312</v>
      </c>
      <c r="E1183" s="448" t="s">
        <v>2120</v>
      </c>
      <c r="F1183" s="448" t="s">
        <v>3024</v>
      </c>
      <c r="G1183" s="448" t="s">
        <v>5948</v>
      </c>
    </row>
    <row r="1184" spans="1:7">
      <c r="A1184" s="448">
        <v>1183</v>
      </c>
      <c r="B1184" s="448" t="s">
        <v>6217</v>
      </c>
      <c r="C1184" s="448" t="s">
        <v>6218</v>
      </c>
      <c r="D1184" s="448" t="s">
        <v>1312</v>
      </c>
      <c r="E1184" s="448" t="s">
        <v>2120</v>
      </c>
      <c r="F1184" s="448" t="s">
        <v>3024</v>
      </c>
      <c r="G1184" s="448" t="s">
        <v>6219</v>
      </c>
    </row>
    <row r="1185" spans="1:7">
      <c r="A1185" s="448">
        <v>1184</v>
      </c>
      <c r="B1185" s="448" t="s">
        <v>6220</v>
      </c>
      <c r="C1185" s="448" t="s">
        <v>6221</v>
      </c>
      <c r="D1185" s="448" t="s">
        <v>1312</v>
      </c>
      <c r="E1185" s="448" t="s">
        <v>2120</v>
      </c>
      <c r="F1185" s="448" t="s">
        <v>3024</v>
      </c>
      <c r="G1185" s="448" t="s">
        <v>5072</v>
      </c>
    </row>
    <row r="1186" spans="1:7">
      <c r="A1186" s="448">
        <v>1185</v>
      </c>
      <c r="B1186" s="448" t="s">
        <v>6222</v>
      </c>
      <c r="C1186" s="448" t="s">
        <v>6223</v>
      </c>
      <c r="D1186" s="448" t="s">
        <v>3617</v>
      </c>
      <c r="E1186" s="448" t="s">
        <v>2120</v>
      </c>
      <c r="F1186" s="448" t="s">
        <v>3024</v>
      </c>
      <c r="G1186" s="448" t="s">
        <v>6224</v>
      </c>
    </row>
    <row r="1187" spans="1:7">
      <c r="A1187" s="448">
        <v>1186</v>
      </c>
      <c r="B1187" s="448" t="s">
        <v>6225</v>
      </c>
      <c r="C1187" s="448" t="s">
        <v>6226</v>
      </c>
      <c r="D1187" s="448" t="s">
        <v>3617</v>
      </c>
      <c r="E1187" s="448" t="s">
        <v>2120</v>
      </c>
      <c r="F1187" s="448" t="s">
        <v>3024</v>
      </c>
      <c r="G1187" s="448" t="s">
        <v>6133</v>
      </c>
    </row>
    <row r="1188" spans="1:7">
      <c r="A1188" s="448">
        <v>1187</v>
      </c>
      <c r="B1188" s="448" t="s">
        <v>6227</v>
      </c>
      <c r="C1188" s="448" t="s">
        <v>6228</v>
      </c>
      <c r="D1188" s="448" t="s">
        <v>3617</v>
      </c>
      <c r="E1188" s="448" t="s">
        <v>2120</v>
      </c>
      <c r="F1188" s="448" t="s">
        <v>3024</v>
      </c>
      <c r="G1188" s="448" t="s">
        <v>4806</v>
      </c>
    </row>
    <row r="1189" spans="1:7">
      <c r="A1189" s="448">
        <v>1188</v>
      </c>
      <c r="B1189" s="448" t="s">
        <v>6229</v>
      </c>
      <c r="C1189" s="448" t="s">
        <v>6230</v>
      </c>
      <c r="D1189" s="448" t="s">
        <v>3617</v>
      </c>
      <c r="E1189" s="448" t="s">
        <v>2120</v>
      </c>
      <c r="F1189" s="448" t="s">
        <v>3024</v>
      </c>
      <c r="G1189" s="448" t="s">
        <v>6231</v>
      </c>
    </row>
    <row r="1190" spans="1:7">
      <c r="A1190" s="448">
        <v>1189</v>
      </c>
      <c r="B1190" s="448" t="s">
        <v>6232</v>
      </c>
      <c r="C1190" s="448" t="s">
        <v>6233</v>
      </c>
      <c r="D1190" s="448" t="s">
        <v>3617</v>
      </c>
      <c r="E1190" s="448" t="s">
        <v>2120</v>
      </c>
      <c r="F1190" s="448" t="s">
        <v>3024</v>
      </c>
      <c r="G1190" s="448" t="s">
        <v>6234</v>
      </c>
    </row>
    <row r="1191" spans="1:7">
      <c r="A1191" s="448">
        <v>1190</v>
      </c>
      <c r="B1191" s="448" t="s">
        <v>6235</v>
      </c>
      <c r="C1191" s="448" t="s">
        <v>6236</v>
      </c>
      <c r="D1191" s="448" t="s">
        <v>3617</v>
      </c>
      <c r="E1191" s="448" t="s">
        <v>2120</v>
      </c>
      <c r="F1191" s="448" t="s">
        <v>3024</v>
      </c>
      <c r="G1191" s="448" t="s">
        <v>6237</v>
      </c>
    </row>
    <row r="1192" spans="1:7">
      <c r="A1192" s="448">
        <v>1191</v>
      </c>
      <c r="B1192" s="448" t="s">
        <v>6238</v>
      </c>
      <c r="C1192" s="448" t="s">
        <v>6239</v>
      </c>
      <c r="D1192" s="448" t="s">
        <v>3617</v>
      </c>
      <c r="E1192" s="448" t="s">
        <v>2120</v>
      </c>
      <c r="F1192" s="448" t="s">
        <v>3024</v>
      </c>
      <c r="G1192" s="448" t="s">
        <v>3814</v>
      </c>
    </row>
    <row r="1193" spans="1:7">
      <c r="A1193" s="448">
        <v>1192</v>
      </c>
      <c r="B1193" s="448" t="s">
        <v>6240</v>
      </c>
      <c r="C1193" s="448" t="s">
        <v>6241</v>
      </c>
      <c r="D1193" s="448" t="s">
        <v>3617</v>
      </c>
      <c r="E1193" s="448" t="s">
        <v>2120</v>
      </c>
      <c r="F1193" s="448" t="s">
        <v>3024</v>
      </c>
      <c r="G1193" s="448" t="s">
        <v>5855</v>
      </c>
    </row>
    <row r="1194" spans="1:7">
      <c r="A1194" s="448">
        <v>1193</v>
      </c>
      <c r="B1194" s="448" t="s">
        <v>6242</v>
      </c>
      <c r="C1194" s="448" t="s">
        <v>6243</v>
      </c>
      <c r="D1194" s="448" t="s">
        <v>3617</v>
      </c>
      <c r="E1194" s="448" t="s">
        <v>2120</v>
      </c>
      <c r="F1194" s="448" t="s">
        <v>3024</v>
      </c>
      <c r="G1194" s="448" t="s">
        <v>6244</v>
      </c>
    </row>
    <row r="1195" spans="1:7">
      <c r="A1195" s="448">
        <v>1194</v>
      </c>
      <c r="B1195" s="448" t="s">
        <v>6245</v>
      </c>
      <c r="C1195" s="448" t="s">
        <v>6246</v>
      </c>
      <c r="D1195" s="448" t="s">
        <v>3617</v>
      </c>
      <c r="E1195" s="448" t="s">
        <v>2120</v>
      </c>
      <c r="F1195" s="448" t="s">
        <v>3024</v>
      </c>
      <c r="G1195" s="448" t="s">
        <v>6247</v>
      </c>
    </row>
    <row r="1196" spans="1:7">
      <c r="A1196" s="448">
        <v>1195</v>
      </c>
      <c r="B1196" s="448" t="s">
        <v>6248</v>
      </c>
      <c r="C1196" s="448" t="s">
        <v>6249</v>
      </c>
      <c r="D1196" s="448" t="s">
        <v>3617</v>
      </c>
      <c r="E1196" s="448" t="s">
        <v>2120</v>
      </c>
      <c r="F1196" s="448" t="s">
        <v>3024</v>
      </c>
      <c r="G1196" s="448" t="s">
        <v>4015</v>
      </c>
    </row>
    <row r="1197" spans="1:7">
      <c r="A1197" s="448">
        <v>1196</v>
      </c>
      <c r="B1197" s="448" t="s">
        <v>6250</v>
      </c>
      <c r="C1197" s="448" t="s">
        <v>6251</v>
      </c>
      <c r="D1197" s="448" t="s">
        <v>3617</v>
      </c>
      <c r="E1197" s="448" t="s">
        <v>2120</v>
      </c>
      <c r="F1197" s="448" t="s">
        <v>3024</v>
      </c>
      <c r="G1197" s="448" t="s">
        <v>6252</v>
      </c>
    </row>
    <row r="1198" spans="1:7">
      <c r="A1198" s="448">
        <v>1197</v>
      </c>
      <c r="B1198" s="448" t="s">
        <v>6253</v>
      </c>
      <c r="C1198" s="448" t="s">
        <v>6254</v>
      </c>
      <c r="D1198" s="448" t="s">
        <v>3617</v>
      </c>
      <c r="E1198" s="448" t="s">
        <v>2120</v>
      </c>
      <c r="F1198" s="448" t="s">
        <v>3024</v>
      </c>
      <c r="G1198" s="448" t="s">
        <v>6255</v>
      </c>
    </row>
    <row r="1199" spans="1:7">
      <c r="A1199" s="448">
        <v>1198</v>
      </c>
      <c r="B1199" s="448" t="s">
        <v>6256</v>
      </c>
      <c r="C1199" s="448" t="s">
        <v>6257</v>
      </c>
      <c r="D1199" s="448" t="s">
        <v>320</v>
      </c>
      <c r="E1199" s="448" t="s">
        <v>2120</v>
      </c>
      <c r="F1199" s="448" t="s">
        <v>3024</v>
      </c>
      <c r="G1199" s="448" t="s">
        <v>6258</v>
      </c>
    </row>
    <row r="1200" spans="1:7">
      <c r="A1200" s="448">
        <v>1199</v>
      </c>
      <c r="B1200" s="448" t="s">
        <v>6259</v>
      </c>
      <c r="C1200" s="448" t="s">
        <v>6260</v>
      </c>
      <c r="D1200" s="448" t="s">
        <v>320</v>
      </c>
      <c r="E1200" s="448" t="s">
        <v>2120</v>
      </c>
      <c r="F1200" s="448" t="s">
        <v>3024</v>
      </c>
      <c r="G1200" s="448" t="s">
        <v>6261</v>
      </c>
    </row>
    <row r="1201" spans="1:7">
      <c r="A1201" s="448">
        <v>1200</v>
      </c>
      <c r="B1201" s="448" t="s">
        <v>6262</v>
      </c>
      <c r="C1201" s="448" t="s">
        <v>6263</v>
      </c>
      <c r="D1201" s="448" t="s">
        <v>320</v>
      </c>
      <c r="E1201" s="448" t="s">
        <v>2120</v>
      </c>
      <c r="F1201" s="448" t="s">
        <v>3024</v>
      </c>
      <c r="G1201" s="448" t="s">
        <v>6264</v>
      </c>
    </row>
    <row r="1202" spans="1:7">
      <c r="A1202" s="448">
        <v>1201</v>
      </c>
      <c r="B1202" s="448" t="s">
        <v>6265</v>
      </c>
      <c r="C1202" s="448" t="s">
        <v>6266</v>
      </c>
      <c r="D1202" s="448" t="s">
        <v>320</v>
      </c>
      <c r="E1202" s="448" t="s">
        <v>2120</v>
      </c>
      <c r="F1202" s="448" t="s">
        <v>3024</v>
      </c>
      <c r="G1202" s="448" t="s">
        <v>6267</v>
      </c>
    </row>
    <row r="1203" spans="1:7">
      <c r="A1203" s="448">
        <v>1202</v>
      </c>
      <c r="B1203" s="448" t="s">
        <v>6268</v>
      </c>
      <c r="C1203" s="448" t="s">
        <v>6269</v>
      </c>
      <c r="D1203" s="448" t="s">
        <v>320</v>
      </c>
      <c r="E1203" s="448" t="s">
        <v>2120</v>
      </c>
      <c r="F1203" s="448" t="s">
        <v>3024</v>
      </c>
      <c r="G1203" s="448" t="s">
        <v>6270</v>
      </c>
    </row>
    <row r="1204" spans="1:7">
      <c r="A1204" s="448">
        <v>1203</v>
      </c>
      <c r="B1204" s="448" t="s">
        <v>6271</v>
      </c>
      <c r="C1204" s="448" t="s">
        <v>6272</v>
      </c>
      <c r="D1204" s="448" t="s">
        <v>320</v>
      </c>
      <c r="E1204" s="448" t="s">
        <v>2120</v>
      </c>
      <c r="F1204" s="448" t="s">
        <v>3024</v>
      </c>
      <c r="G1204" s="448" t="s">
        <v>6273</v>
      </c>
    </row>
    <row r="1205" spans="1:7">
      <c r="A1205" s="448">
        <v>1204</v>
      </c>
      <c r="B1205" s="448" t="s">
        <v>6274</v>
      </c>
      <c r="C1205" s="448" t="s">
        <v>6275</v>
      </c>
      <c r="D1205" s="448" t="s">
        <v>320</v>
      </c>
      <c r="E1205" s="448" t="s">
        <v>2120</v>
      </c>
      <c r="F1205" s="448" t="s">
        <v>3024</v>
      </c>
      <c r="G1205" s="448" t="s">
        <v>6258</v>
      </c>
    </row>
    <row r="1206" spans="1:7">
      <c r="A1206" s="448">
        <v>1205</v>
      </c>
      <c r="B1206" s="448" t="s">
        <v>6276</v>
      </c>
      <c r="C1206" s="448" t="s">
        <v>6277</v>
      </c>
      <c r="D1206" s="448" t="s">
        <v>320</v>
      </c>
      <c r="E1206" s="448" t="s">
        <v>2120</v>
      </c>
      <c r="F1206" s="448" t="s">
        <v>3024</v>
      </c>
      <c r="G1206" s="448" t="s">
        <v>6278</v>
      </c>
    </row>
    <row r="1207" spans="1:7">
      <c r="A1207" s="448">
        <v>1206</v>
      </c>
      <c r="B1207" s="448" t="s">
        <v>6279</v>
      </c>
      <c r="C1207" s="448" t="s">
        <v>6280</v>
      </c>
      <c r="D1207" s="448" t="s">
        <v>320</v>
      </c>
      <c r="E1207" s="448" t="s">
        <v>2120</v>
      </c>
      <c r="F1207" s="448" t="s">
        <v>3024</v>
      </c>
      <c r="G1207" s="448" t="s">
        <v>4321</v>
      </c>
    </row>
    <row r="1208" spans="1:7">
      <c r="A1208" s="448">
        <v>1207</v>
      </c>
      <c r="B1208" s="448" t="s">
        <v>6281</v>
      </c>
      <c r="C1208" s="448" t="s">
        <v>6282</v>
      </c>
      <c r="D1208" s="448" t="s">
        <v>320</v>
      </c>
      <c r="E1208" s="448" t="s">
        <v>2120</v>
      </c>
      <c r="F1208" s="448" t="s">
        <v>3024</v>
      </c>
      <c r="G1208" s="448" t="s">
        <v>6283</v>
      </c>
    </row>
    <row r="1209" spans="1:7">
      <c r="A1209" s="448">
        <v>1208</v>
      </c>
      <c r="B1209" s="448" t="s">
        <v>6284</v>
      </c>
      <c r="C1209" s="448" t="s">
        <v>6285</v>
      </c>
      <c r="D1209" s="448" t="s">
        <v>523</v>
      </c>
      <c r="E1209" s="448" t="s">
        <v>2120</v>
      </c>
      <c r="F1209" s="448" t="s">
        <v>3024</v>
      </c>
      <c r="G1209" s="448" t="s">
        <v>4334</v>
      </c>
    </row>
    <row r="1210" spans="1:7">
      <c r="A1210" s="448">
        <v>1209</v>
      </c>
      <c r="B1210" s="448" t="s">
        <v>6286</v>
      </c>
      <c r="C1210" s="448" t="s">
        <v>6287</v>
      </c>
      <c r="D1210" s="448" t="s">
        <v>523</v>
      </c>
      <c r="E1210" s="448" t="s">
        <v>2120</v>
      </c>
      <c r="F1210" s="448" t="s">
        <v>3024</v>
      </c>
      <c r="G1210" s="448" t="s">
        <v>6288</v>
      </c>
    </row>
    <row r="1211" spans="1:7">
      <c r="A1211" s="448">
        <v>1210</v>
      </c>
      <c r="B1211" s="448" t="s">
        <v>6289</v>
      </c>
      <c r="C1211" s="448" t="s">
        <v>6290</v>
      </c>
      <c r="D1211" s="448" t="s">
        <v>523</v>
      </c>
      <c r="E1211" s="448" t="s">
        <v>2120</v>
      </c>
      <c r="F1211" s="448" t="s">
        <v>3024</v>
      </c>
      <c r="G1211" s="448" t="s">
        <v>6291</v>
      </c>
    </row>
    <row r="1212" spans="1:7">
      <c r="A1212" s="448">
        <v>1211</v>
      </c>
      <c r="B1212" s="448" t="s">
        <v>6292</v>
      </c>
      <c r="C1212" s="448" t="s">
        <v>6293</v>
      </c>
      <c r="D1212" s="448" t="s">
        <v>523</v>
      </c>
      <c r="E1212" s="448" t="s">
        <v>2120</v>
      </c>
      <c r="F1212" s="448" t="s">
        <v>3024</v>
      </c>
      <c r="G1212" s="448" t="s">
        <v>5913</v>
      </c>
    </row>
    <row r="1213" spans="1:7">
      <c r="A1213" s="448">
        <v>1212</v>
      </c>
      <c r="B1213" s="448" t="s">
        <v>6294</v>
      </c>
      <c r="C1213" s="448" t="s">
        <v>6295</v>
      </c>
      <c r="D1213" s="448" t="s">
        <v>523</v>
      </c>
      <c r="E1213" s="448" t="s">
        <v>2120</v>
      </c>
      <c r="F1213" s="448" t="s">
        <v>3024</v>
      </c>
      <c r="G1213" s="448" t="s">
        <v>5924</v>
      </c>
    </row>
    <row r="1214" spans="1:7">
      <c r="A1214" s="448">
        <v>1213</v>
      </c>
      <c r="B1214" s="448" t="s">
        <v>6296</v>
      </c>
      <c r="C1214" s="448" t="s">
        <v>6297</v>
      </c>
      <c r="D1214" s="448" t="s">
        <v>523</v>
      </c>
      <c r="E1214" s="448" t="s">
        <v>2120</v>
      </c>
      <c r="F1214" s="448" t="s">
        <v>3024</v>
      </c>
      <c r="G1214" s="448" t="s">
        <v>4230</v>
      </c>
    </row>
    <row r="1215" spans="1:7">
      <c r="A1215" s="448">
        <v>1214</v>
      </c>
      <c r="B1215" s="448" t="s">
        <v>6298</v>
      </c>
      <c r="C1215" s="448" t="s">
        <v>6299</v>
      </c>
      <c r="D1215" s="448" t="s">
        <v>523</v>
      </c>
      <c r="E1215" s="448" t="s">
        <v>2120</v>
      </c>
      <c r="F1215" s="448" t="s">
        <v>3024</v>
      </c>
      <c r="G1215" s="448" t="s">
        <v>6300</v>
      </c>
    </row>
    <row r="1216" spans="1:7">
      <c r="A1216" s="448">
        <v>1215</v>
      </c>
      <c r="B1216" s="448" t="s">
        <v>6301</v>
      </c>
      <c r="C1216" s="448" t="s">
        <v>6302</v>
      </c>
      <c r="D1216" s="448" t="s">
        <v>523</v>
      </c>
      <c r="E1216" s="448" t="s">
        <v>2120</v>
      </c>
      <c r="F1216" s="448" t="s">
        <v>3024</v>
      </c>
      <c r="G1216" s="448" t="s">
        <v>5127</v>
      </c>
    </row>
    <row r="1217" spans="1:7">
      <c r="A1217" s="448">
        <v>1216</v>
      </c>
      <c r="B1217" s="448" t="s">
        <v>6303</v>
      </c>
      <c r="C1217" s="448" t="s">
        <v>6304</v>
      </c>
      <c r="D1217" s="448" t="s">
        <v>523</v>
      </c>
      <c r="E1217" s="448" t="s">
        <v>2120</v>
      </c>
      <c r="F1217" s="448" t="s">
        <v>3024</v>
      </c>
      <c r="G1217" s="448" t="s">
        <v>3745</v>
      </c>
    </row>
    <row r="1218" spans="1:7">
      <c r="A1218" s="448">
        <v>1217</v>
      </c>
      <c r="B1218" s="448" t="s">
        <v>6305</v>
      </c>
      <c r="C1218" s="448" t="s">
        <v>6306</v>
      </c>
      <c r="D1218" s="448" t="s">
        <v>523</v>
      </c>
      <c r="E1218" s="448" t="s">
        <v>2120</v>
      </c>
      <c r="F1218" s="448" t="s">
        <v>3024</v>
      </c>
      <c r="G1218" s="448" t="s">
        <v>6288</v>
      </c>
    </row>
    <row r="1219" spans="1:7">
      <c r="A1219" s="448">
        <v>1218</v>
      </c>
      <c r="B1219" s="448" t="s">
        <v>6307</v>
      </c>
      <c r="C1219" s="448" t="s">
        <v>6308</v>
      </c>
      <c r="D1219" s="448" t="s">
        <v>6309</v>
      </c>
      <c r="E1219" s="448" t="s">
        <v>2120</v>
      </c>
      <c r="F1219" s="448" t="s">
        <v>3024</v>
      </c>
      <c r="G1219" s="448" t="s">
        <v>6310</v>
      </c>
    </row>
    <row r="1220" spans="1:7">
      <c r="A1220" s="448">
        <v>1219</v>
      </c>
      <c r="B1220" s="448" t="s">
        <v>6311</v>
      </c>
      <c r="C1220" s="448" t="s">
        <v>6312</v>
      </c>
      <c r="D1220" s="448" t="s">
        <v>6309</v>
      </c>
      <c r="E1220" s="448" t="s">
        <v>2120</v>
      </c>
      <c r="F1220" s="448" t="s">
        <v>3024</v>
      </c>
      <c r="G1220" s="448" t="s">
        <v>6313</v>
      </c>
    </row>
    <row r="1221" spans="1:7">
      <c r="A1221" s="448">
        <v>1220</v>
      </c>
      <c r="B1221" s="448" t="s">
        <v>6314</v>
      </c>
      <c r="C1221" s="448" t="s">
        <v>6315</v>
      </c>
      <c r="D1221" s="448" t="s">
        <v>6309</v>
      </c>
      <c r="E1221" s="448" t="s">
        <v>2120</v>
      </c>
      <c r="F1221" s="448" t="s">
        <v>3024</v>
      </c>
      <c r="G1221" s="448" t="s">
        <v>3922</v>
      </c>
    </row>
    <row r="1222" spans="1:7">
      <c r="A1222" s="448">
        <v>1221</v>
      </c>
      <c r="B1222" s="448" t="s">
        <v>6316</v>
      </c>
      <c r="C1222" s="448" t="s">
        <v>6317</v>
      </c>
      <c r="D1222" s="448" t="s">
        <v>6309</v>
      </c>
      <c r="E1222" s="448" t="s">
        <v>2120</v>
      </c>
      <c r="F1222" s="448" t="s">
        <v>3024</v>
      </c>
      <c r="G1222" s="448" t="s">
        <v>3530</v>
      </c>
    </row>
    <row r="1223" spans="1:7">
      <c r="A1223" s="448">
        <v>1222</v>
      </c>
      <c r="B1223" s="448" t="s">
        <v>6318</v>
      </c>
      <c r="C1223" s="448" t="s">
        <v>6319</v>
      </c>
      <c r="D1223" s="448" t="s">
        <v>6309</v>
      </c>
      <c r="E1223" s="448" t="s">
        <v>2120</v>
      </c>
      <c r="F1223" s="448" t="s">
        <v>3024</v>
      </c>
      <c r="G1223" s="448" t="s">
        <v>4235</v>
      </c>
    </row>
    <row r="1224" spans="1:7">
      <c r="A1224" s="448">
        <v>1223</v>
      </c>
      <c r="B1224" s="448" t="s">
        <v>6320</v>
      </c>
      <c r="C1224" s="448" t="s">
        <v>6321</v>
      </c>
      <c r="D1224" s="448" t="s">
        <v>6309</v>
      </c>
      <c r="E1224" s="448" t="s">
        <v>2120</v>
      </c>
      <c r="F1224" s="448" t="s">
        <v>3024</v>
      </c>
      <c r="G1224" s="448" t="s">
        <v>6322</v>
      </c>
    </row>
    <row r="1225" spans="1:7">
      <c r="A1225" s="448">
        <v>1224</v>
      </c>
      <c r="B1225" s="448" t="s">
        <v>6323</v>
      </c>
      <c r="C1225" s="448" t="s">
        <v>6324</v>
      </c>
      <c r="D1225" s="448" t="s">
        <v>523</v>
      </c>
      <c r="E1225" s="448" t="s">
        <v>2120</v>
      </c>
      <c r="F1225" s="448" t="s">
        <v>3024</v>
      </c>
      <c r="G1225" s="448" t="s">
        <v>3733</v>
      </c>
    </row>
    <row r="1226" spans="1:7">
      <c r="A1226" s="448">
        <v>1225</v>
      </c>
      <c r="B1226" s="448" t="s">
        <v>6325</v>
      </c>
      <c r="C1226" s="448" t="s">
        <v>6326</v>
      </c>
      <c r="D1226" s="448" t="s">
        <v>523</v>
      </c>
      <c r="E1226" s="448" t="s">
        <v>2120</v>
      </c>
      <c r="F1226" s="448" t="s">
        <v>3024</v>
      </c>
      <c r="G1226" s="448" t="s">
        <v>3736</v>
      </c>
    </row>
    <row r="1227" spans="1:7">
      <c r="A1227" s="448">
        <v>1226</v>
      </c>
      <c r="B1227" s="448" t="s">
        <v>6327</v>
      </c>
      <c r="C1227" s="448" t="s">
        <v>6328</v>
      </c>
      <c r="D1227" s="448" t="s">
        <v>523</v>
      </c>
      <c r="E1227" s="448" t="s">
        <v>2120</v>
      </c>
      <c r="F1227" s="448" t="s">
        <v>3024</v>
      </c>
      <c r="G1227" s="448" t="s">
        <v>6329</v>
      </c>
    </row>
    <row r="1228" spans="1:7">
      <c r="A1228" s="448">
        <v>1227</v>
      </c>
      <c r="B1228" s="448" t="s">
        <v>6330</v>
      </c>
      <c r="C1228" s="448" t="s">
        <v>6331</v>
      </c>
      <c r="D1228" s="448" t="s">
        <v>523</v>
      </c>
      <c r="E1228" s="448" t="s">
        <v>2120</v>
      </c>
      <c r="F1228" s="448" t="s">
        <v>3024</v>
      </c>
      <c r="G1228" s="448" t="s">
        <v>3736</v>
      </c>
    </row>
    <row r="1229" spans="1:7">
      <c r="A1229" s="448">
        <v>1228</v>
      </c>
      <c r="B1229" s="448" t="s">
        <v>6332</v>
      </c>
      <c r="C1229" s="448" t="s">
        <v>6333</v>
      </c>
      <c r="D1229" s="448" t="s">
        <v>523</v>
      </c>
      <c r="E1229" s="448" t="s">
        <v>2120</v>
      </c>
      <c r="F1229" s="448" t="s">
        <v>3024</v>
      </c>
      <c r="G1229" s="448" t="s">
        <v>3739</v>
      </c>
    </row>
    <row r="1230" spans="1:7">
      <c r="A1230" s="448">
        <v>1229</v>
      </c>
      <c r="B1230" s="448" t="s">
        <v>6334</v>
      </c>
      <c r="C1230" s="448" t="s">
        <v>6335</v>
      </c>
      <c r="D1230" s="448" t="s">
        <v>523</v>
      </c>
      <c r="E1230" s="448" t="s">
        <v>2120</v>
      </c>
      <c r="F1230" s="448" t="s">
        <v>3024</v>
      </c>
      <c r="G1230" s="448" t="s">
        <v>6291</v>
      </c>
    </row>
    <row r="1231" spans="1:7">
      <c r="A1231" s="448">
        <v>1230</v>
      </c>
      <c r="B1231" s="448" t="s">
        <v>6336</v>
      </c>
      <c r="C1231" s="448" t="s">
        <v>6337</v>
      </c>
      <c r="D1231" s="448" t="s">
        <v>523</v>
      </c>
      <c r="E1231" s="448" t="s">
        <v>2120</v>
      </c>
      <c r="F1231" s="448" t="s">
        <v>3024</v>
      </c>
      <c r="G1231" s="448" t="s">
        <v>6338</v>
      </c>
    </row>
    <row r="1232" spans="1:7">
      <c r="A1232" s="448">
        <v>1231</v>
      </c>
      <c r="B1232" s="448" t="s">
        <v>6339</v>
      </c>
      <c r="C1232" s="448" t="s">
        <v>6340</v>
      </c>
      <c r="D1232" s="448" t="s">
        <v>1312</v>
      </c>
      <c r="E1232" s="448" t="s">
        <v>2120</v>
      </c>
      <c r="F1232" s="448" t="s">
        <v>3024</v>
      </c>
      <c r="G1232" s="448" t="s">
        <v>6341</v>
      </c>
    </row>
    <row r="1233" spans="1:7">
      <c r="A1233" s="448">
        <v>1232</v>
      </c>
      <c r="B1233" s="448" t="s">
        <v>6342</v>
      </c>
      <c r="C1233" s="448" t="s">
        <v>6343</v>
      </c>
      <c r="D1233" s="448" t="s">
        <v>1312</v>
      </c>
      <c r="E1233" s="448" t="s">
        <v>2120</v>
      </c>
      <c r="F1233" s="448" t="s">
        <v>3024</v>
      </c>
      <c r="G1233" s="448" t="s">
        <v>6344</v>
      </c>
    </row>
    <row r="1234" spans="1:7">
      <c r="A1234" s="448">
        <v>1233</v>
      </c>
      <c r="B1234" s="448" t="s">
        <v>6345</v>
      </c>
      <c r="C1234" s="448" t="s">
        <v>6346</v>
      </c>
      <c r="D1234" s="448" t="s">
        <v>1312</v>
      </c>
      <c r="E1234" s="448" t="s">
        <v>2120</v>
      </c>
      <c r="F1234" s="448" t="s">
        <v>3024</v>
      </c>
      <c r="G1234" s="448" t="s">
        <v>6347</v>
      </c>
    </row>
    <row r="1235" spans="1:7">
      <c r="A1235" s="448">
        <v>1234</v>
      </c>
      <c r="B1235" s="448" t="s">
        <v>6348</v>
      </c>
      <c r="C1235" s="448" t="s">
        <v>6349</v>
      </c>
      <c r="D1235" s="448" t="s">
        <v>1312</v>
      </c>
      <c r="E1235" s="448" t="s">
        <v>2120</v>
      </c>
      <c r="F1235" s="448" t="s">
        <v>3024</v>
      </c>
      <c r="G1235" s="448" t="s">
        <v>6350</v>
      </c>
    </row>
    <row r="1236" spans="1:7">
      <c r="A1236" s="448">
        <v>1235</v>
      </c>
      <c r="B1236" s="448" t="s">
        <v>6351</v>
      </c>
      <c r="C1236" s="448" t="s">
        <v>6352</v>
      </c>
      <c r="D1236" s="448" t="s">
        <v>1312</v>
      </c>
      <c r="E1236" s="448" t="s">
        <v>2120</v>
      </c>
      <c r="F1236" s="448" t="s">
        <v>3024</v>
      </c>
      <c r="G1236" s="448" t="s">
        <v>6353</v>
      </c>
    </row>
    <row r="1237" spans="1:7">
      <c r="A1237" s="448">
        <v>1236</v>
      </c>
      <c r="B1237" s="448" t="s">
        <v>6354</v>
      </c>
      <c r="C1237" s="448" t="s">
        <v>6355</v>
      </c>
      <c r="D1237" s="448" t="s">
        <v>1312</v>
      </c>
      <c r="E1237" s="448" t="s">
        <v>2120</v>
      </c>
      <c r="F1237" s="448" t="s">
        <v>3024</v>
      </c>
      <c r="G1237" s="448" t="s">
        <v>6356</v>
      </c>
    </row>
    <row r="1238" spans="1:7">
      <c r="A1238" s="448">
        <v>1237</v>
      </c>
      <c r="B1238" s="448" t="s">
        <v>6357</v>
      </c>
      <c r="C1238" s="448" t="s">
        <v>6358</v>
      </c>
      <c r="D1238" s="448" t="s">
        <v>1312</v>
      </c>
      <c r="E1238" s="448" t="s">
        <v>2120</v>
      </c>
      <c r="F1238" s="448" t="s">
        <v>3024</v>
      </c>
      <c r="G1238" s="448" t="s">
        <v>6359</v>
      </c>
    </row>
    <row r="1239" spans="1:7">
      <c r="A1239" s="448">
        <v>1238</v>
      </c>
      <c r="B1239" s="448" t="s">
        <v>6360</v>
      </c>
      <c r="C1239" s="448" t="s">
        <v>6361</v>
      </c>
      <c r="D1239" s="448" t="s">
        <v>1312</v>
      </c>
      <c r="E1239" s="448" t="s">
        <v>2120</v>
      </c>
      <c r="F1239" s="448" t="s">
        <v>3024</v>
      </c>
      <c r="G1239" s="448" t="s">
        <v>6362</v>
      </c>
    </row>
    <row r="1240" spans="1:7">
      <c r="A1240" s="448">
        <v>1239</v>
      </c>
      <c r="B1240" s="448" t="s">
        <v>6363</v>
      </c>
      <c r="C1240" s="448" t="s">
        <v>6364</v>
      </c>
      <c r="D1240" s="448" t="s">
        <v>1312</v>
      </c>
      <c r="E1240" s="448" t="s">
        <v>2120</v>
      </c>
      <c r="F1240" s="448" t="s">
        <v>3024</v>
      </c>
      <c r="G1240" s="448" t="s">
        <v>6365</v>
      </c>
    </row>
    <row r="1241" spans="1:7">
      <c r="A1241" s="448">
        <v>1240</v>
      </c>
      <c r="B1241" s="448" t="s">
        <v>6366</v>
      </c>
      <c r="C1241" s="448" t="s">
        <v>6367</v>
      </c>
      <c r="D1241" s="448" t="s">
        <v>1312</v>
      </c>
      <c r="E1241" s="448" t="s">
        <v>2120</v>
      </c>
      <c r="F1241" s="448" t="s">
        <v>3024</v>
      </c>
      <c r="G1241" s="448" t="s">
        <v>6368</v>
      </c>
    </row>
    <row r="1242" spans="1:7">
      <c r="A1242" s="448">
        <v>1241</v>
      </c>
      <c r="B1242" s="448" t="s">
        <v>6369</v>
      </c>
      <c r="C1242" s="448" t="s">
        <v>6370</v>
      </c>
      <c r="D1242" s="448" t="s">
        <v>1312</v>
      </c>
      <c r="E1242" s="448" t="s">
        <v>2120</v>
      </c>
      <c r="F1242" s="448" t="s">
        <v>3024</v>
      </c>
      <c r="G1242" s="448" t="s">
        <v>6371</v>
      </c>
    </row>
    <row r="1243" spans="1:7">
      <c r="A1243" s="448">
        <v>1242</v>
      </c>
      <c r="B1243" s="448" t="s">
        <v>6372</v>
      </c>
      <c r="C1243" s="448" t="s">
        <v>6373</v>
      </c>
      <c r="D1243" s="448" t="s">
        <v>1312</v>
      </c>
      <c r="E1243" s="448" t="s">
        <v>2120</v>
      </c>
      <c r="F1243" s="448" t="s">
        <v>3024</v>
      </c>
      <c r="G1243" s="448" t="s">
        <v>6374</v>
      </c>
    </row>
    <row r="1244" spans="1:7">
      <c r="A1244" s="448">
        <v>1243</v>
      </c>
      <c r="B1244" s="448" t="s">
        <v>6375</v>
      </c>
      <c r="C1244" s="448" t="s">
        <v>6376</v>
      </c>
      <c r="D1244" s="448" t="s">
        <v>1312</v>
      </c>
      <c r="E1244" s="448" t="s">
        <v>2120</v>
      </c>
      <c r="F1244" s="448" t="s">
        <v>3024</v>
      </c>
      <c r="G1244" s="448" t="s">
        <v>6377</v>
      </c>
    </row>
    <row r="1245" spans="1:7">
      <c r="A1245" s="448">
        <v>1244</v>
      </c>
      <c r="B1245" s="448" t="s">
        <v>6378</v>
      </c>
      <c r="C1245" s="448" t="s">
        <v>6379</v>
      </c>
      <c r="D1245" s="448" t="s">
        <v>1312</v>
      </c>
      <c r="E1245" s="448" t="s">
        <v>2120</v>
      </c>
      <c r="F1245" s="448" t="s">
        <v>3024</v>
      </c>
      <c r="G1245" s="448" t="s">
        <v>6380</v>
      </c>
    </row>
    <row r="1246" spans="1:7">
      <c r="A1246" s="448">
        <v>1245</v>
      </c>
      <c r="B1246" s="448" t="s">
        <v>6381</v>
      </c>
      <c r="C1246" s="448" t="s">
        <v>6382</v>
      </c>
      <c r="D1246" s="448" t="s">
        <v>1312</v>
      </c>
      <c r="E1246" s="448" t="s">
        <v>2120</v>
      </c>
      <c r="F1246" s="448" t="s">
        <v>3024</v>
      </c>
      <c r="G1246" s="448" t="s">
        <v>6383</v>
      </c>
    </row>
    <row r="1247" spans="1:7">
      <c r="A1247" s="448">
        <v>1246</v>
      </c>
      <c r="B1247" s="448" t="s">
        <v>6384</v>
      </c>
      <c r="C1247" s="448" t="s">
        <v>6385</v>
      </c>
      <c r="D1247" s="448" t="s">
        <v>1312</v>
      </c>
      <c r="E1247" s="448" t="s">
        <v>2120</v>
      </c>
      <c r="F1247" s="448" t="s">
        <v>3024</v>
      </c>
      <c r="G1247" s="448" t="s">
        <v>6386</v>
      </c>
    </row>
    <row r="1248" spans="1:7">
      <c r="A1248" s="448">
        <v>1247</v>
      </c>
      <c r="B1248" s="448" t="s">
        <v>6387</v>
      </c>
      <c r="C1248" s="448" t="s">
        <v>6388</v>
      </c>
      <c r="D1248" s="448" t="s">
        <v>1312</v>
      </c>
      <c r="E1248" s="448" t="s">
        <v>2120</v>
      </c>
      <c r="F1248" s="448" t="s">
        <v>3024</v>
      </c>
      <c r="G1248" s="448" t="s">
        <v>6389</v>
      </c>
    </row>
    <row r="1249" spans="1:7">
      <c r="A1249" s="448">
        <v>1248</v>
      </c>
      <c r="B1249" s="448" t="s">
        <v>6390</v>
      </c>
      <c r="C1249" s="448" t="s">
        <v>6391</v>
      </c>
      <c r="D1249" s="448" t="s">
        <v>1312</v>
      </c>
      <c r="E1249" s="448" t="s">
        <v>2120</v>
      </c>
      <c r="F1249" s="448" t="s">
        <v>3024</v>
      </c>
      <c r="G1249" s="448" t="s">
        <v>6392</v>
      </c>
    </row>
    <row r="1250" spans="1:7">
      <c r="A1250" s="448">
        <v>1249</v>
      </c>
      <c r="B1250" s="448" t="s">
        <v>6393</v>
      </c>
      <c r="C1250" s="448" t="s">
        <v>6394</v>
      </c>
      <c r="D1250" s="448" t="s">
        <v>1312</v>
      </c>
      <c r="E1250" s="448" t="s">
        <v>2120</v>
      </c>
      <c r="F1250" s="448" t="s">
        <v>3024</v>
      </c>
      <c r="G1250" s="448" t="s">
        <v>6395</v>
      </c>
    </row>
    <row r="1251" spans="1:7">
      <c r="A1251" s="448">
        <v>1250</v>
      </c>
      <c r="B1251" s="448" t="s">
        <v>6396</v>
      </c>
      <c r="C1251" s="448" t="s">
        <v>6397</v>
      </c>
      <c r="D1251" s="448" t="s">
        <v>1312</v>
      </c>
      <c r="E1251" s="448" t="s">
        <v>2120</v>
      </c>
      <c r="F1251" s="448" t="s">
        <v>3024</v>
      </c>
      <c r="G1251" s="448" t="s">
        <v>6398</v>
      </c>
    </row>
    <row r="1252" spans="1:7">
      <c r="A1252" s="448">
        <v>1251</v>
      </c>
      <c r="B1252" s="448" t="s">
        <v>6399</v>
      </c>
      <c r="C1252" s="448" t="s">
        <v>6400</v>
      </c>
      <c r="D1252" s="448" t="s">
        <v>1312</v>
      </c>
      <c r="E1252" s="448" t="s">
        <v>2120</v>
      </c>
      <c r="F1252" s="448" t="s">
        <v>3024</v>
      </c>
      <c r="G1252" s="448" t="s">
        <v>6401</v>
      </c>
    </row>
    <row r="1253" spans="1:7">
      <c r="A1253" s="448">
        <v>1252</v>
      </c>
      <c r="B1253" s="448" t="s">
        <v>6402</v>
      </c>
      <c r="C1253" s="448" t="s">
        <v>6403</v>
      </c>
      <c r="D1253" s="448" t="s">
        <v>1312</v>
      </c>
      <c r="E1253" s="448" t="s">
        <v>2120</v>
      </c>
      <c r="F1253" s="448" t="s">
        <v>3024</v>
      </c>
      <c r="G1253" s="448" t="s">
        <v>6404</v>
      </c>
    </row>
    <row r="1254" spans="1:7">
      <c r="A1254" s="448">
        <v>1253</v>
      </c>
      <c r="B1254" s="448" t="s">
        <v>6405</v>
      </c>
      <c r="C1254" s="448" t="s">
        <v>6406</v>
      </c>
      <c r="D1254" s="448" t="s">
        <v>1312</v>
      </c>
      <c r="E1254" s="448" t="s">
        <v>2120</v>
      </c>
      <c r="F1254" s="448" t="s">
        <v>3024</v>
      </c>
      <c r="G1254" s="448" t="s">
        <v>6407</v>
      </c>
    </row>
    <row r="1255" spans="1:7">
      <c r="A1255" s="448">
        <v>1254</v>
      </c>
      <c r="B1255" s="448" t="s">
        <v>6408</v>
      </c>
      <c r="C1255" s="448" t="s">
        <v>6409</v>
      </c>
      <c r="D1255" s="448" t="s">
        <v>1312</v>
      </c>
      <c r="E1255" s="448" t="s">
        <v>2120</v>
      </c>
      <c r="F1255" s="448" t="s">
        <v>3024</v>
      </c>
      <c r="G1255" s="448" t="s">
        <v>6410</v>
      </c>
    </row>
    <row r="1256" spans="1:7">
      <c r="A1256" s="448">
        <v>1255</v>
      </c>
      <c r="B1256" s="448" t="s">
        <v>6411</v>
      </c>
      <c r="C1256" s="448" t="s">
        <v>6412</v>
      </c>
      <c r="D1256" s="448" t="s">
        <v>1312</v>
      </c>
      <c r="E1256" s="448" t="s">
        <v>2120</v>
      </c>
      <c r="F1256" s="448" t="s">
        <v>3024</v>
      </c>
      <c r="G1256" s="448" t="s">
        <v>6413</v>
      </c>
    </row>
    <row r="1257" spans="1:7">
      <c r="A1257" s="448">
        <v>1256</v>
      </c>
      <c r="B1257" s="448" t="s">
        <v>6414</v>
      </c>
      <c r="C1257" s="448" t="s">
        <v>6415</v>
      </c>
      <c r="D1257" s="448" t="s">
        <v>1312</v>
      </c>
      <c r="E1257" s="448" t="s">
        <v>2120</v>
      </c>
      <c r="F1257" s="448" t="s">
        <v>3024</v>
      </c>
      <c r="G1257" s="448" t="s">
        <v>6416</v>
      </c>
    </row>
    <row r="1258" spans="1:7">
      <c r="A1258" s="448">
        <v>1257</v>
      </c>
      <c r="B1258" s="448" t="s">
        <v>6417</v>
      </c>
      <c r="C1258" s="448" t="s">
        <v>6418</v>
      </c>
      <c r="D1258" s="448" t="s">
        <v>1312</v>
      </c>
      <c r="E1258" s="448" t="s">
        <v>2120</v>
      </c>
      <c r="F1258" s="448" t="s">
        <v>3024</v>
      </c>
      <c r="G1258" s="448" t="s">
        <v>6419</v>
      </c>
    </row>
    <row r="1259" spans="1:7">
      <c r="A1259" s="448">
        <v>1258</v>
      </c>
      <c r="B1259" s="448" t="s">
        <v>6420</v>
      </c>
      <c r="C1259" s="448" t="s">
        <v>6421</v>
      </c>
      <c r="D1259" s="448" t="s">
        <v>1312</v>
      </c>
      <c r="E1259" s="448" t="s">
        <v>2120</v>
      </c>
      <c r="F1259" s="448" t="s">
        <v>3024</v>
      </c>
      <c r="G1259" s="448" t="s">
        <v>6422</v>
      </c>
    </row>
    <row r="1260" spans="1:7">
      <c r="A1260" s="448">
        <v>1259</v>
      </c>
      <c r="B1260" s="448" t="s">
        <v>6423</v>
      </c>
      <c r="C1260" s="448" t="s">
        <v>6424</v>
      </c>
      <c r="D1260" s="448" t="s">
        <v>1312</v>
      </c>
      <c r="E1260" s="448" t="s">
        <v>2120</v>
      </c>
      <c r="F1260" s="448" t="s">
        <v>3024</v>
      </c>
      <c r="G1260" s="448" t="s">
        <v>6425</v>
      </c>
    </row>
    <row r="1261" spans="1:7">
      <c r="A1261" s="448">
        <v>1260</v>
      </c>
      <c r="B1261" s="448" t="s">
        <v>6426</v>
      </c>
      <c r="C1261" s="448" t="s">
        <v>6427</v>
      </c>
      <c r="D1261" s="448" t="s">
        <v>1312</v>
      </c>
      <c r="E1261" s="448" t="s">
        <v>2120</v>
      </c>
      <c r="F1261" s="448" t="s">
        <v>3024</v>
      </c>
      <c r="G1261" s="448" t="s">
        <v>6428</v>
      </c>
    </row>
    <row r="1262" spans="1:7">
      <c r="A1262" s="448">
        <v>1261</v>
      </c>
      <c r="B1262" s="448" t="s">
        <v>6429</v>
      </c>
      <c r="C1262" s="448" t="s">
        <v>6430</v>
      </c>
      <c r="D1262" s="448" t="s">
        <v>1312</v>
      </c>
      <c r="E1262" s="448" t="s">
        <v>2120</v>
      </c>
      <c r="F1262" s="448" t="s">
        <v>3024</v>
      </c>
      <c r="G1262" s="448" t="s">
        <v>6431</v>
      </c>
    </row>
    <row r="1263" spans="1:7">
      <c r="A1263" s="448">
        <v>1262</v>
      </c>
      <c r="B1263" s="448" t="s">
        <v>6432</v>
      </c>
      <c r="C1263" s="448" t="s">
        <v>6433</v>
      </c>
      <c r="D1263" s="448" t="s">
        <v>1312</v>
      </c>
      <c r="E1263" s="448" t="s">
        <v>2120</v>
      </c>
      <c r="F1263" s="448" t="s">
        <v>3024</v>
      </c>
      <c r="G1263" s="448" t="s">
        <v>6434</v>
      </c>
    </row>
    <row r="1264" spans="1:7">
      <c r="A1264" s="448">
        <v>1263</v>
      </c>
      <c r="B1264" s="448" t="s">
        <v>6435</v>
      </c>
      <c r="C1264" s="448" t="s">
        <v>6436</v>
      </c>
      <c r="D1264" s="448" t="s">
        <v>1312</v>
      </c>
      <c r="E1264" s="448" t="s">
        <v>2120</v>
      </c>
      <c r="F1264" s="448" t="s">
        <v>3024</v>
      </c>
      <c r="G1264" s="448" t="s">
        <v>6437</v>
      </c>
    </row>
    <row r="1265" spans="1:7">
      <c r="A1265" s="448">
        <v>1264</v>
      </c>
      <c r="B1265" s="448" t="s">
        <v>6438</v>
      </c>
      <c r="C1265" s="448" t="s">
        <v>6439</v>
      </c>
      <c r="D1265" s="448" t="s">
        <v>1312</v>
      </c>
      <c r="E1265" s="448" t="s">
        <v>2120</v>
      </c>
      <c r="F1265" s="448" t="s">
        <v>3024</v>
      </c>
      <c r="G1265" s="448" t="s">
        <v>6440</v>
      </c>
    </row>
  </sheetData>
  <mergeCells count="1">
    <mergeCell ref="H1:H2"/>
  </mergeCells>
  <hyperlinks>
    <hyperlink ref="H1:H2" location="目录!A1" display="目录!A1"/>
  </hyperlinks>
  <pageMargins left="0.7" right="0.7" top="0.75" bottom="0.75" header="0.3" footer="0.3"/>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53"/>
  <sheetViews>
    <sheetView workbookViewId="0">
      <selection activeCell="G11" sqref="G11:G13"/>
    </sheetView>
  </sheetViews>
  <sheetFormatPr defaultColWidth="9" defaultRowHeight="15.6"/>
  <cols>
    <col min="1" max="7" width="9" style="168"/>
    <col min="8" max="8" width="3.625" style="409" customWidth="1"/>
    <col min="9" max="9" width="14.125" style="289" customWidth="1"/>
    <col min="10" max="10" width="13.75" style="168" customWidth="1"/>
    <col min="11" max="11" width="15.75" style="168" customWidth="1"/>
    <col min="12" max="12" width="17.25" style="168" customWidth="1"/>
    <col min="13" max="13" width="4.5" style="409" customWidth="1"/>
    <col min="14" max="15" width="23.625" style="289" customWidth="1"/>
    <col min="16" max="16" width="24.875" style="289" customWidth="1"/>
    <col min="17" max="17" width="5.125" style="409" customWidth="1"/>
    <col min="18" max="26" width="11.625" style="168" customWidth="1"/>
    <col min="27" max="263" width="9" style="168"/>
    <col min="264" max="264" width="3.625" style="168" customWidth="1"/>
    <col min="265" max="265" width="14.125" style="168" customWidth="1"/>
    <col min="266" max="266" width="13.75" style="168" customWidth="1"/>
    <col min="267" max="267" width="15.75" style="168" customWidth="1"/>
    <col min="268" max="268" width="17.25" style="168" customWidth="1"/>
    <col min="269" max="269" width="4.5" style="168" customWidth="1"/>
    <col min="270" max="271" width="23.625" style="168" customWidth="1"/>
    <col min="272" max="272" width="24.875" style="168" customWidth="1"/>
    <col min="273" max="273" width="5.125" style="168" customWidth="1"/>
    <col min="274" max="282" width="11.625" style="168" customWidth="1"/>
    <col min="283" max="519" width="9" style="168"/>
    <col min="520" max="520" width="3.625" style="168" customWidth="1"/>
    <col min="521" max="521" width="14.125" style="168" customWidth="1"/>
    <col min="522" max="522" width="13.75" style="168" customWidth="1"/>
    <col min="523" max="523" width="15.75" style="168" customWidth="1"/>
    <col min="524" max="524" width="17.25" style="168" customWidth="1"/>
    <col min="525" max="525" width="4.5" style="168" customWidth="1"/>
    <col min="526" max="527" width="23.625" style="168" customWidth="1"/>
    <col min="528" max="528" width="24.875" style="168" customWidth="1"/>
    <col min="529" max="529" width="5.125" style="168" customWidth="1"/>
    <col min="530" max="538" width="11.625" style="168" customWidth="1"/>
    <col min="539" max="775" width="9" style="168"/>
    <col min="776" max="776" width="3.625" style="168" customWidth="1"/>
    <col min="777" max="777" width="14.125" style="168" customWidth="1"/>
    <col min="778" max="778" width="13.75" style="168" customWidth="1"/>
    <col min="779" max="779" width="15.75" style="168" customWidth="1"/>
    <col min="780" max="780" width="17.25" style="168" customWidth="1"/>
    <col min="781" max="781" width="4.5" style="168" customWidth="1"/>
    <col min="782" max="783" width="23.625" style="168" customWidth="1"/>
    <col min="784" max="784" width="24.875" style="168" customWidth="1"/>
    <col min="785" max="785" width="5.125" style="168" customWidth="1"/>
    <col min="786" max="794" width="11.625" style="168" customWidth="1"/>
    <col min="795" max="1031" width="9" style="168"/>
    <col min="1032" max="1032" width="3.625" style="168" customWidth="1"/>
    <col min="1033" max="1033" width="14.125" style="168" customWidth="1"/>
    <col min="1034" max="1034" width="13.75" style="168" customWidth="1"/>
    <col min="1035" max="1035" width="15.75" style="168" customWidth="1"/>
    <col min="1036" max="1036" width="17.25" style="168" customWidth="1"/>
    <col min="1037" max="1037" width="4.5" style="168" customWidth="1"/>
    <col min="1038" max="1039" width="23.625" style="168" customWidth="1"/>
    <col min="1040" max="1040" width="24.875" style="168" customWidth="1"/>
    <col min="1041" max="1041" width="5.125" style="168" customWidth="1"/>
    <col min="1042" max="1050" width="11.625" style="168" customWidth="1"/>
    <col min="1051" max="1287" width="9" style="168"/>
    <col min="1288" max="1288" width="3.625" style="168" customWidth="1"/>
    <col min="1289" max="1289" width="14.125" style="168" customWidth="1"/>
    <col min="1290" max="1290" width="13.75" style="168" customWidth="1"/>
    <col min="1291" max="1291" width="15.75" style="168" customWidth="1"/>
    <col min="1292" max="1292" width="17.25" style="168" customWidth="1"/>
    <col min="1293" max="1293" width="4.5" style="168" customWidth="1"/>
    <col min="1294" max="1295" width="23.625" style="168" customWidth="1"/>
    <col min="1296" max="1296" width="24.875" style="168" customWidth="1"/>
    <col min="1297" max="1297" width="5.125" style="168" customWidth="1"/>
    <col min="1298" max="1306" width="11.625" style="168" customWidth="1"/>
    <col min="1307" max="1543" width="9" style="168"/>
    <col min="1544" max="1544" width="3.625" style="168" customWidth="1"/>
    <col min="1545" max="1545" width="14.125" style="168" customWidth="1"/>
    <col min="1546" max="1546" width="13.75" style="168" customWidth="1"/>
    <col min="1547" max="1547" width="15.75" style="168" customWidth="1"/>
    <col min="1548" max="1548" width="17.25" style="168" customWidth="1"/>
    <col min="1549" max="1549" width="4.5" style="168" customWidth="1"/>
    <col min="1550" max="1551" width="23.625" style="168" customWidth="1"/>
    <col min="1552" max="1552" width="24.875" style="168" customWidth="1"/>
    <col min="1553" max="1553" width="5.125" style="168" customWidth="1"/>
    <col min="1554" max="1562" width="11.625" style="168" customWidth="1"/>
    <col min="1563" max="1799" width="9" style="168"/>
    <col min="1800" max="1800" width="3.625" style="168" customWidth="1"/>
    <col min="1801" max="1801" width="14.125" style="168" customWidth="1"/>
    <col min="1802" max="1802" width="13.75" style="168" customWidth="1"/>
    <col min="1803" max="1803" width="15.75" style="168" customWidth="1"/>
    <col min="1804" max="1804" width="17.25" style="168" customWidth="1"/>
    <col min="1805" max="1805" width="4.5" style="168" customWidth="1"/>
    <col min="1806" max="1807" width="23.625" style="168" customWidth="1"/>
    <col min="1808" max="1808" width="24.875" style="168" customWidth="1"/>
    <col min="1809" max="1809" width="5.125" style="168" customWidth="1"/>
    <col min="1810" max="1818" width="11.625" style="168" customWidth="1"/>
    <col min="1819" max="2055" width="9" style="168"/>
    <col min="2056" max="2056" width="3.625" style="168" customWidth="1"/>
    <col min="2057" max="2057" width="14.125" style="168" customWidth="1"/>
    <col min="2058" max="2058" width="13.75" style="168" customWidth="1"/>
    <col min="2059" max="2059" width="15.75" style="168" customWidth="1"/>
    <col min="2060" max="2060" width="17.25" style="168" customWidth="1"/>
    <col min="2061" max="2061" width="4.5" style="168" customWidth="1"/>
    <col min="2062" max="2063" width="23.625" style="168" customWidth="1"/>
    <col min="2064" max="2064" width="24.875" style="168" customWidth="1"/>
    <col min="2065" max="2065" width="5.125" style="168" customWidth="1"/>
    <col min="2066" max="2074" width="11.625" style="168" customWidth="1"/>
    <col min="2075" max="2311" width="9" style="168"/>
    <col min="2312" max="2312" width="3.625" style="168" customWidth="1"/>
    <col min="2313" max="2313" width="14.125" style="168" customWidth="1"/>
    <col min="2314" max="2314" width="13.75" style="168" customWidth="1"/>
    <col min="2315" max="2315" width="15.75" style="168" customWidth="1"/>
    <col min="2316" max="2316" width="17.25" style="168" customWidth="1"/>
    <col min="2317" max="2317" width="4.5" style="168" customWidth="1"/>
    <col min="2318" max="2319" width="23.625" style="168" customWidth="1"/>
    <col min="2320" max="2320" width="24.875" style="168" customWidth="1"/>
    <col min="2321" max="2321" width="5.125" style="168" customWidth="1"/>
    <col min="2322" max="2330" width="11.625" style="168" customWidth="1"/>
    <col min="2331" max="2567" width="9" style="168"/>
    <col min="2568" max="2568" width="3.625" style="168" customWidth="1"/>
    <col min="2569" max="2569" width="14.125" style="168" customWidth="1"/>
    <col min="2570" max="2570" width="13.75" style="168" customWidth="1"/>
    <col min="2571" max="2571" width="15.75" style="168" customWidth="1"/>
    <col min="2572" max="2572" width="17.25" style="168" customWidth="1"/>
    <col min="2573" max="2573" width="4.5" style="168" customWidth="1"/>
    <col min="2574" max="2575" width="23.625" style="168" customWidth="1"/>
    <col min="2576" max="2576" width="24.875" style="168" customWidth="1"/>
    <col min="2577" max="2577" width="5.125" style="168" customWidth="1"/>
    <col min="2578" max="2586" width="11.625" style="168" customWidth="1"/>
    <col min="2587" max="2823" width="9" style="168"/>
    <col min="2824" max="2824" width="3.625" style="168" customWidth="1"/>
    <col min="2825" max="2825" width="14.125" style="168" customWidth="1"/>
    <col min="2826" max="2826" width="13.75" style="168" customWidth="1"/>
    <col min="2827" max="2827" width="15.75" style="168" customWidth="1"/>
    <col min="2828" max="2828" width="17.25" style="168" customWidth="1"/>
    <col min="2829" max="2829" width="4.5" style="168" customWidth="1"/>
    <col min="2830" max="2831" width="23.625" style="168" customWidth="1"/>
    <col min="2832" max="2832" width="24.875" style="168" customWidth="1"/>
    <col min="2833" max="2833" width="5.125" style="168" customWidth="1"/>
    <col min="2834" max="2842" width="11.625" style="168" customWidth="1"/>
    <col min="2843" max="3079" width="9" style="168"/>
    <col min="3080" max="3080" width="3.625" style="168" customWidth="1"/>
    <col min="3081" max="3081" width="14.125" style="168" customWidth="1"/>
    <col min="3082" max="3082" width="13.75" style="168" customWidth="1"/>
    <col min="3083" max="3083" width="15.75" style="168" customWidth="1"/>
    <col min="3084" max="3084" width="17.25" style="168" customWidth="1"/>
    <col min="3085" max="3085" width="4.5" style="168" customWidth="1"/>
    <col min="3086" max="3087" width="23.625" style="168" customWidth="1"/>
    <col min="3088" max="3088" width="24.875" style="168" customWidth="1"/>
    <col min="3089" max="3089" width="5.125" style="168" customWidth="1"/>
    <col min="3090" max="3098" width="11.625" style="168" customWidth="1"/>
    <col min="3099" max="3335" width="9" style="168"/>
    <col min="3336" max="3336" width="3.625" style="168" customWidth="1"/>
    <col min="3337" max="3337" width="14.125" style="168" customWidth="1"/>
    <col min="3338" max="3338" width="13.75" style="168" customWidth="1"/>
    <col min="3339" max="3339" width="15.75" style="168" customWidth="1"/>
    <col min="3340" max="3340" width="17.25" style="168" customWidth="1"/>
    <col min="3341" max="3341" width="4.5" style="168" customWidth="1"/>
    <col min="3342" max="3343" width="23.625" style="168" customWidth="1"/>
    <col min="3344" max="3344" width="24.875" style="168" customWidth="1"/>
    <col min="3345" max="3345" width="5.125" style="168" customWidth="1"/>
    <col min="3346" max="3354" width="11.625" style="168" customWidth="1"/>
    <col min="3355" max="3591" width="9" style="168"/>
    <col min="3592" max="3592" width="3.625" style="168" customWidth="1"/>
    <col min="3593" max="3593" width="14.125" style="168" customWidth="1"/>
    <col min="3594" max="3594" width="13.75" style="168" customWidth="1"/>
    <col min="3595" max="3595" width="15.75" style="168" customWidth="1"/>
    <col min="3596" max="3596" width="17.25" style="168" customWidth="1"/>
    <col min="3597" max="3597" width="4.5" style="168" customWidth="1"/>
    <col min="3598" max="3599" width="23.625" style="168" customWidth="1"/>
    <col min="3600" max="3600" width="24.875" style="168" customWidth="1"/>
    <col min="3601" max="3601" width="5.125" style="168" customWidth="1"/>
    <col min="3602" max="3610" width="11.625" style="168" customWidth="1"/>
    <col min="3611" max="3847" width="9" style="168"/>
    <col min="3848" max="3848" width="3.625" style="168" customWidth="1"/>
    <col min="3849" max="3849" width="14.125" style="168" customWidth="1"/>
    <col min="3850" max="3850" width="13.75" style="168" customWidth="1"/>
    <col min="3851" max="3851" width="15.75" style="168" customWidth="1"/>
    <col min="3852" max="3852" width="17.25" style="168" customWidth="1"/>
    <col min="3853" max="3853" width="4.5" style="168" customWidth="1"/>
    <col min="3854" max="3855" width="23.625" style="168" customWidth="1"/>
    <col min="3856" max="3856" width="24.875" style="168" customWidth="1"/>
    <col min="3857" max="3857" width="5.125" style="168" customWidth="1"/>
    <col min="3858" max="3866" width="11.625" style="168" customWidth="1"/>
    <col min="3867" max="4103" width="9" style="168"/>
    <col min="4104" max="4104" width="3.625" style="168" customWidth="1"/>
    <col min="4105" max="4105" width="14.125" style="168" customWidth="1"/>
    <col min="4106" max="4106" width="13.75" style="168" customWidth="1"/>
    <col min="4107" max="4107" width="15.75" style="168" customWidth="1"/>
    <col min="4108" max="4108" width="17.25" style="168" customWidth="1"/>
    <col min="4109" max="4109" width="4.5" style="168" customWidth="1"/>
    <col min="4110" max="4111" width="23.625" style="168" customWidth="1"/>
    <col min="4112" max="4112" width="24.875" style="168" customWidth="1"/>
    <col min="4113" max="4113" width="5.125" style="168" customWidth="1"/>
    <col min="4114" max="4122" width="11.625" style="168" customWidth="1"/>
    <col min="4123" max="4359" width="9" style="168"/>
    <col min="4360" max="4360" width="3.625" style="168" customWidth="1"/>
    <col min="4361" max="4361" width="14.125" style="168" customWidth="1"/>
    <col min="4362" max="4362" width="13.75" style="168" customWidth="1"/>
    <col min="4363" max="4363" width="15.75" style="168" customWidth="1"/>
    <col min="4364" max="4364" width="17.25" style="168" customWidth="1"/>
    <col min="4365" max="4365" width="4.5" style="168" customWidth="1"/>
    <col min="4366" max="4367" width="23.625" style="168" customWidth="1"/>
    <col min="4368" max="4368" width="24.875" style="168" customWidth="1"/>
    <col min="4369" max="4369" width="5.125" style="168" customWidth="1"/>
    <col min="4370" max="4378" width="11.625" style="168" customWidth="1"/>
    <col min="4379" max="4615" width="9" style="168"/>
    <col min="4616" max="4616" width="3.625" style="168" customWidth="1"/>
    <col min="4617" max="4617" width="14.125" style="168" customWidth="1"/>
    <col min="4618" max="4618" width="13.75" style="168" customWidth="1"/>
    <col min="4619" max="4619" width="15.75" style="168" customWidth="1"/>
    <col min="4620" max="4620" width="17.25" style="168" customWidth="1"/>
    <col min="4621" max="4621" width="4.5" style="168" customWidth="1"/>
    <col min="4622" max="4623" width="23.625" style="168" customWidth="1"/>
    <col min="4624" max="4624" width="24.875" style="168" customWidth="1"/>
    <col min="4625" max="4625" width="5.125" style="168" customWidth="1"/>
    <col min="4626" max="4634" width="11.625" style="168" customWidth="1"/>
    <col min="4635" max="4871" width="9" style="168"/>
    <col min="4872" max="4872" width="3.625" style="168" customWidth="1"/>
    <col min="4873" max="4873" width="14.125" style="168" customWidth="1"/>
    <col min="4874" max="4874" width="13.75" style="168" customWidth="1"/>
    <col min="4875" max="4875" width="15.75" style="168" customWidth="1"/>
    <col min="4876" max="4876" width="17.25" style="168" customWidth="1"/>
    <col min="4877" max="4877" width="4.5" style="168" customWidth="1"/>
    <col min="4878" max="4879" width="23.625" style="168" customWidth="1"/>
    <col min="4880" max="4880" width="24.875" style="168" customWidth="1"/>
    <col min="4881" max="4881" width="5.125" style="168" customWidth="1"/>
    <col min="4882" max="4890" width="11.625" style="168" customWidth="1"/>
    <col min="4891" max="5127" width="9" style="168"/>
    <col min="5128" max="5128" width="3.625" style="168" customWidth="1"/>
    <col min="5129" max="5129" width="14.125" style="168" customWidth="1"/>
    <col min="5130" max="5130" width="13.75" style="168" customWidth="1"/>
    <col min="5131" max="5131" width="15.75" style="168" customWidth="1"/>
    <col min="5132" max="5132" width="17.25" style="168" customWidth="1"/>
    <col min="5133" max="5133" width="4.5" style="168" customWidth="1"/>
    <col min="5134" max="5135" width="23.625" style="168" customWidth="1"/>
    <col min="5136" max="5136" width="24.875" style="168" customWidth="1"/>
    <col min="5137" max="5137" width="5.125" style="168" customWidth="1"/>
    <col min="5138" max="5146" width="11.625" style="168" customWidth="1"/>
    <col min="5147" max="5383" width="9" style="168"/>
    <col min="5384" max="5384" width="3.625" style="168" customWidth="1"/>
    <col min="5385" max="5385" width="14.125" style="168" customWidth="1"/>
    <col min="5386" max="5386" width="13.75" style="168" customWidth="1"/>
    <col min="5387" max="5387" width="15.75" style="168" customWidth="1"/>
    <col min="5388" max="5388" width="17.25" style="168" customWidth="1"/>
    <col min="5389" max="5389" width="4.5" style="168" customWidth="1"/>
    <col min="5390" max="5391" width="23.625" style="168" customWidth="1"/>
    <col min="5392" max="5392" width="24.875" style="168" customWidth="1"/>
    <col min="5393" max="5393" width="5.125" style="168" customWidth="1"/>
    <col min="5394" max="5402" width="11.625" style="168" customWidth="1"/>
    <col min="5403" max="5639" width="9" style="168"/>
    <col min="5640" max="5640" width="3.625" style="168" customWidth="1"/>
    <col min="5641" max="5641" width="14.125" style="168" customWidth="1"/>
    <col min="5642" max="5642" width="13.75" style="168" customWidth="1"/>
    <col min="5643" max="5643" width="15.75" style="168" customWidth="1"/>
    <col min="5644" max="5644" width="17.25" style="168" customWidth="1"/>
    <col min="5645" max="5645" width="4.5" style="168" customWidth="1"/>
    <col min="5646" max="5647" width="23.625" style="168" customWidth="1"/>
    <col min="5648" max="5648" width="24.875" style="168" customWidth="1"/>
    <col min="5649" max="5649" width="5.125" style="168" customWidth="1"/>
    <col min="5650" max="5658" width="11.625" style="168" customWidth="1"/>
    <col min="5659" max="5895" width="9" style="168"/>
    <col min="5896" max="5896" width="3.625" style="168" customWidth="1"/>
    <col min="5897" max="5897" width="14.125" style="168" customWidth="1"/>
    <col min="5898" max="5898" width="13.75" style="168" customWidth="1"/>
    <col min="5899" max="5899" width="15.75" style="168" customWidth="1"/>
    <col min="5900" max="5900" width="17.25" style="168" customWidth="1"/>
    <col min="5901" max="5901" width="4.5" style="168" customWidth="1"/>
    <col min="5902" max="5903" width="23.625" style="168" customWidth="1"/>
    <col min="5904" max="5904" width="24.875" style="168" customWidth="1"/>
    <col min="5905" max="5905" width="5.125" style="168" customWidth="1"/>
    <col min="5906" max="5914" width="11.625" style="168" customWidth="1"/>
    <col min="5915" max="6151" width="9" style="168"/>
    <col min="6152" max="6152" width="3.625" style="168" customWidth="1"/>
    <col min="6153" max="6153" width="14.125" style="168" customWidth="1"/>
    <col min="6154" max="6154" width="13.75" style="168" customWidth="1"/>
    <col min="6155" max="6155" width="15.75" style="168" customWidth="1"/>
    <col min="6156" max="6156" width="17.25" style="168" customWidth="1"/>
    <col min="6157" max="6157" width="4.5" style="168" customWidth="1"/>
    <col min="6158" max="6159" width="23.625" style="168" customWidth="1"/>
    <col min="6160" max="6160" width="24.875" style="168" customWidth="1"/>
    <col min="6161" max="6161" width="5.125" style="168" customWidth="1"/>
    <col min="6162" max="6170" width="11.625" style="168" customWidth="1"/>
    <col min="6171" max="6407" width="9" style="168"/>
    <col min="6408" max="6408" width="3.625" style="168" customWidth="1"/>
    <col min="6409" max="6409" width="14.125" style="168" customWidth="1"/>
    <col min="6410" max="6410" width="13.75" style="168" customWidth="1"/>
    <col min="6411" max="6411" width="15.75" style="168" customWidth="1"/>
    <col min="6412" max="6412" width="17.25" style="168" customWidth="1"/>
    <col min="6413" max="6413" width="4.5" style="168" customWidth="1"/>
    <col min="6414" max="6415" width="23.625" style="168" customWidth="1"/>
    <col min="6416" max="6416" width="24.875" style="168" customWidth="1"/>
    <col min="6417" max="6417" width="5.125" style="168" customWidth="1"/>
    <col min="6418" max="6426" width="11.625" style="168" customWidth="1"/>
    <col min="6427" max="6663" width="9" style="168"/>
    <col min="6664" max="6664" width="3.625" style="168" customWidth="1"/>
    <col min="6665" max="6665" width="14.125" style="168" customWidth="1"/>
    <col min="6666" max="6666" width="13.75" style="168" customWidth="1"/>
    <col min="6667" max="6667" width="15.75" style="168" customWidth="1"/>
    <col min="6668" max="6668" width="17.25" style="168" customWidth="1"/>
    <col min="6669" max="6669" width="4.5" style="168" customWidth="1"/>
    <col min="6670" max="6671" width="23.625" style="168" customWidth="1"/>
    <col min="6672" max="6672" width="24.875" style="168" customWidth="1"/>
    <col min="6673" max="6673" width="5.125" style="168" customWidth="1"/>
    <col min="6674" max="6682" width="11.625" style="168" customWidth="1"/>
    <col min="6683" max="6919" width="9" style="168"/>
    <col min="6920" max="6920" width="3.625" style="168" customWidth="1"/>
    <col min="6921" max="6921" width="14.125" style="168" customWidth="1"/>
    <col min="6922" max="6922" width="13.75" style="168" customWidth="1"/>
    <col min="6923" max="6923" width="15.75" style="168" customWidth="1"/>
    <col min="6924" max="6924" width="17.25" style="168" customWidth="1"/>
    <col min="6925" max="6925" width="4.5" style="168" customWidth="1"/>
    <col min="6926" max="6927" width="23.625" style="168" customWidth="1"/>
    <col min="6928" max="6928" width="24.875" style="168" customWidth="1"/>
    <col min="6929" max="6929" width="5.125" style="168" customWidth="1"/>
    <col min="6930" max="6938" width="11.625" style="168" customWidth="1"/>
    <col min="6939" max="7175" width="9" style="168"/>
    <col min="7176" max="7176" width="3.625" style="168" customWidth="1"/>
    <col min="7177" max="7177" width="14.125" style="168" customWidth="1"/>
    <col min="7178" max="7178" width="13.75" style="168" customWidth="1"/>
    <col min="7179" max="7179" width="15.75" style="168" customWidth="1"/>
    <col min="7180" max="7180" width="17.25" style="168" customWidth="1"/>
    <col min="7181" max="7181" width="4.5" style="168" customWidth="1"/>
    <col min="7182" max="7183" width="23.625" style="168" customWidth="1"/>
    <col min="7184" max="7184" width="24.875" style="168" customWidth="1"/>
    <col min="7185" max="7185" width="5.125" style="168" customWidth="1"/>
    <col min="7186" max="7194" width="11.625" style="168" customWidth="1"/>
    <col min="7195" max="7431" width="9" style="168"/>
    <col min="7432" max="7432" width="3.625" style="168" customWidth="1"/>
    <col min="7433" max="7433" width="14.125" style="168" customWidth="1"/>
    <col min="7434" max="7434" width="13.75" style="168" customWidth="1"/>
    <col min="7435" max="7435" width="15.75" style="168" customWidth="1"/>
    <col min="7436" max="7436" width="17.25" style="168" customWidth="1"/>
    <col min="7437" max="7437" width="4.5" style="168" customWidth="1"/>
    <col min="7438" max="7439" width="23.625" style="168" customWidth="1"/>
    <col min="7440" max="7440" width="24.875" style="168" customWidth="1"/>
    <col min="7441" max="7441" width="5.125" style="168" customWidth="1"/>
    <col min="7442" max="7450" width="11.625" style="168" customWidth="1"/>
    <col min="7451" max="7687" width="9" style="168"/>
    <col min="7688" max="7688" width="3.625" style="168" customWidth="1"/>
    <col min="7689" max="7689" width="14.125" style="168" customWidth="1"/>
    <col min="7690" max="7690" width="13.75" style="168" customWidth="1"/>
    <col min="7691" max="7691" width="15.75" style="168" customWidth="1"/>
    <col min="7692" max="7692" width="17.25" style="168" customWidth="1"/>
    <col min="7693" max="7693" width="4.5" style="168" customWidth="1"/>
    <col min="7694" max="7695" width="23.625" style="168" customWidth="1"/>
    <col min="7696" max="7696" width="24.875" style="168" customWidth="1"/>
    <col min="7697" max="7697" width="5.125" style="168" customWidth="1"/>
    <col min="7698" max="7706" width="11.625" style="168" customWidth="1"/>
    <col min="7707" max="7943" width="9" style="168"/>
    <col min="7944" max="7944" width="3.625" style="168" customWidth="1"/>
    <col min="7945" max="7945" width="14.125" style="168" customWidth="1"/>
    <col min="7946" max="7946" width="13.75" style="168" customWidth="1"/>
    <col min="7947" max="7947" width="15.75" style="168" customWidth="1"/>
    <col min="7948" max="7948" width="17.25" style="168" customWidth="1"/>
    <col min="7949" max="7949" width="4.5" style="168" customWidth="1"/>
    <col min="7950" max="7951" width="23.625" style="168" customWidth="1"/>
    <col min="7952" max="7952" width="24.875" style="168" customWidth="1"/>
    <col min="7953" max="7953" width="5.125" style="168" customWidth="1"/>
    <col min="7954" max="7962" width="11.625" style="168" customWidth="1"/>
    <col min="7963" max="8199" width="9" style="168"/>
    <col min="8200" max="8200" width="3.625" style="168" customWidth="1"/>
    <col min="8201" max="8201" width="14.125" style="168" customWidth="1"/>
    <col min="8202" max="8202" width="13.75" style="168" customWidth="1"/>
    <col min="8203" max="8203" width="15.75" style="168" customWidth="1"/>
    <col min="8204" max="8204" width="17.25" style="168" customWidth="1"/>
    <col min="8205" max="8205" width="4.5" style="168" customWidth="1"/>
    <col min="8206" max="8207" width="23.625" style="168" customWidth="1"/>
    <col min="8208" max="8208" width="24.875" style="168" customWidth="1"/>
    <col min="8209" max="8209" width="5.125" style="168" customWidth="1"/>
    <col min="8210" max="8218" width="11.625" style="168" customWidth="1"/>
    <col min="8219" max="8455" width="9" style="168"/>
    <col min="8456" max="8456" width="3.625" style="168" customWidth="1"/>
    <col min="8457" max="8457" width="14.125" style="168" customWidth="1"/>
    <col min="8458" max="8458" width="13.75" style="168" customWidth="1"/>
    <col min="8459" max="8459" width="15.75" style="168" customWidth="1"/>
    <col min="8460" max="8460" width="17.25" style="168" customWidth="1"/>
    <col min="8461" max="8461" width="4.5" style="168" customWidth="1"/>
    <col min="8462" max="8463" width="23.625" style="168" customWidth="1"/>
    <col min="8464" max="8464" width="24.875" style="168" customWidth="1"/>
    <col min="8465" max="8465" width="5.125" style="168" customWidth="1"/>
    <col min="8466" max="8474" width="11.625" style="168" customWidth="1"/>
    <col min="8475" max="8711" width="9" style="168"/>
    <col min="8712" max="8712" width="3.625" style="168" customWidth="1"/>
    <col min="8713" max="8713" width="14.125" style="168" customWidth="1"/>
    <col min="8714" max="8714" width="13.75" style="168" customWidth="1"/>
    <col min="8715" max="8715" width="15.75" style="168" customWidth="1"/>
    <col min="8716" max="8716" width="17.25" style="168" customWidth="1"/>
    <col min="8717" max="8717" width="4.5" style="168" customWidth="1"/>
    <col min="8718" max="8719" width="23.625" style="168" customWidth="1"/>
    <col min="8720" max="8720" width="24.875" style="168" customWidth="1"/>
    <col min="8721" max="8721" width="5.125" style="168" customWidth="1"/>
    <col min="8722" max="8730" width="11.625" style="168" customWidth="1"/>
    <col min="8731" max="8967" width="9" style="168"/>
    <col min="8968" max="8968" width="3.625" style="168" customWidth="1"/>
    <col min="8969" max="8969" width="14.125" style="168" customWidth="1"/>
    <col min="8970" max="8970" width="13.75" style="168" customWidth="1"/>
    <col min="8971" max="8971" width="15.75" style="168" customWidth="1"/>
    <col min="8972" max="8972" width="17.25" style="168" customWidth="1"/>
    <col min="8973" max="8973" width="4.5" style="168" customWidth="1"/>
    <col min="8974" max="8975" width="23.625" style="168" customWidth="1"/>
    <col min="8976" max="8976" width="24.875" style="168" customWidth="1"/>
    <col min="8977" max="8977" width="5.125" style="168" customWidth="1"/>
    <col min="8978" max="8986" width="11.625" style="168" customWidth="1"/>
    <col min="8987" max="9223" width="9" style="168"/>
    <col min="9224" max="9224" width="3.625" style="168" customWidth="1"/>
    <col min="9225" max="9225" width="14.125" style="168" customWidth="1"/>
    <col min="9226" max="9226" width="13.75" style="168" customWidth="1"/>
    <col min="9227" max="9227" width="15.75" style="168" customWidth="1"/>
    <col min="9228" max="9228" width="17.25" style="168" customWidth="1"/>
    <col min="9229" max="9229" width="4.5" style="168" customWidth="1"/>
    <col min="9230" max="9231" width="23.625" style="168" customWidth="1"/>
    <col min="9232" max="9232" width="24.875" style="168" customWidth="1"/>
    <col min="9233" max="9233" width="5.125" style="168" customWidth="1"/>
    <col min="9234" max="9242" width="11.625" style="168" customWidth="1"/>
    <col min="9243" max="9479" width="9" style="168"/>
    <col min="9480" max="9480" width="3.625" style="168" customWidth="1"/>
    <col min="9481" max="9481" width="14.125" style="168" customWidth="1"/>
    <col min="9482" max="9482" width="13.75" style="168" customWidth="1"/>
    <col min="9483" max="9483" width="15.75" style="168" customWidth="1"/>
    <col min="9484" max="9484" width="17.25" style="168" customWidth="1"/>
    <col min="9485" max="9485" width="4.5" style="168" customWidth="1"/>
    <col min="9486" max="9487" width="23.625" style="168" customWidth="1"/>
    <col min="9488" max="9488" width="24.875" style="168" customWidth="1"/>
    <col min="9489" max="9489" width="5.125" style="168" customWidth="1"/>
    <col min="9490" max="9498" width="11.625" style="168" customWidth="1"/>
    <col min="9499" max="9735" width="9" style="168"/>
    <col min="9736" max="9736" width="3.625" style="168" customWidth="1"/>
    <col min="9737" max="9737" width="14.125" style="168" customWidth="1"/>
    <col min="9738" max="9738" width="13.75" style="168" customWidth="1"/>
    <col min="9739" max="9739" width="15.75" style="168" customWidth="1"/>
    <col min="9740" max="9740" width="17.25" style="168" customWidth="1"/>
    <col min="9741" max="9741" width="4.5" style="168" customWidth="1"/>
    <col min="9742" max="9743" width="23.625" style="168" customWidth="1"/>
    <col min="9744" max="9744" width="24.875" style="168" customWidth="1"/>
    <col min="9745" max="9745" width="5.125" style="168" customWidth="1"/>
    <col min="9746" max="9754" width="11.625" style="168" customWidth="1"/>
    <col min="9755" max="9991" width="9" style="168"/>
    <col min="9992" max="9992" width="3.625" style="168" customWidth="1"/>
    <col min="9993" max="9993" width="14.125" style="168" customWidth="1"/>
    <col min="9994" max="9994" width="13.75" style="168" customWidth="1"/>
    <col min="9995" max="9995" width="15.75" style="168" customWidth="1"/>
    <col min="9996" max="9996" width="17.25" style="168" customWidth="1"/>
    <col min="9997" max="9997" width="4.5" style="168" customWidth="1"/>
    <col min="9998" max="9999" width="23.625" style="168" customWidth="1"/>
    <col min="10000" max="10000" width="24.875" style="168" customWidth="1"/>
    <col min="10001" max="10001" width="5.125" style="168" customWidth="1"/>
    <col min="10002" max="10010" width="11.625" style="168" customWidth="1"/>
    <col min="10011" max="10247" width="9" style="168"/>
    <col min="10248" max="10248" width="3.625" style="168" customWidth="1"/>
    <col min="10249" max="10249" width="14.125" style="168" customWidth="1"/>
    <col min="10250" max="10250" width="13.75" style="168" customWidth="1"/>
    <col min="10251" max="10251" width="15.75" style="168" customWidth="1"/>
    <col min="10252" max="10252" width="17.25" style="168" customWidth="1"/>
    <col min="10253" max="10253" width="4.5" style="168" customWidth="1"/>
    <col min="10254" max="10255" width="23.625" style="168" customWidth="1"/>
    <col min="10256" max="10256" width="24.875" style="168" customWidth="1"/>
    <col min="10257" max="10257" width="5.125" style="168" customWidth="1"/>
    <col min="10258" max="10266" width="11.625" style="168" customWidth="1"/>
    <col min="10267" max="10503" width="9" style="168"/>
    <col min="10504" max="10504" width="3.625" style="168" customWidth="1"/>
    <col min="10505" max="10505" width="14.125" style="168" customWidth="1"/>
    <col min="10506" max="10506" width="13.75" style="168" customWidth="1"/>
    <col min="10507" max="10507" width="15.75" style="168" customWidth="1"/>
    <col min="10508" max="10508" width="17.25" style="168" customWidth="1"/>
    <col min="10509" max="10509" width="4.5" style="168" customWidth="1"/>
    <col min="10510" max="10511" width="23.625" style="168" customWidth="1"/>
    <col min="10512" max="10512" width="24.875" style="168" customWidth="1"/>
    <col min="10513" max="10513" width="5.125" style="168" customWidth="1"/>
    <col min="10514" max="10522" width="11.625" style="168" customWidth="1"/>
    <col min="10523" max="10759" width="9" style="168"/>
    <col min="10760" max="10760" width="3.625" style="168" customWidth="1"/>
    <col min="10761" max="10761" width="14.125" style="168" customWidth="1"/>
    <col min="10762" max="10762" width="13.75" style="168" customWidth="1"/>
    <col min="10763" max="10763" width="15.75" style="168" customWidth="1"/>
    <col min="10764" max="10764" width="17.25" style="168" customWidth="1"/>
    <col min="10765" max="10765" width="4.5" style="168" customWidth="1"/>
    <col min="10766" max="10767" width="23.625" style="168" customWidth="1"/>
    <col min="10768" max="10768" width="24.875" style="168" customWidth="1"/>
    <col min="10769" max="10769" width="5.125" style="168" customWidth="1"/>
    <col min="10770" max="10778" width="11.625" style="168" customWidth="1"/>
    <col min="10779" max="11015" width="9" style="168"/>
    <col min="11016" max="11016" width="3.625" style="168" customWidth="1"/>
    <col min="11017" max="11017" width="14.125" style="168" customWidth="1"/>
    <col min="11018" max="11018" width="13.75" style="168" customWidth="1"/>
    <col min="11019" max="11019" width="15.75" style="168" customWidth="1"/>
    <col min="11020" max="11020" width="17.25" style="168" customWidth="1"/>
    <col min="11021" max="11021" width="4.5" style="168" customWidth="1"/>
    <col min="11022" max="11023" width="23.625" style="168" customWidth="1"/>
    <col min="11024" max="11024" width="24.875" style="168" customWidth="1"/>
    <col min="11025" max="11025" width="5.125" style="168" customWidth="1"/>
    <col min="11026" max="11034" width="11.625" style="168" customWidth="1"/>
    <col min="11035" max="11271" width="9" style="168"/>
    <col min="11272" max="11272" width="3.625" style="168" customWidth="1"/>
    <col min="11273" max="11273" width="14.125" style="168" customWidth="1"/>
    <col min="11274" max="11274" width="13.75" style="168" customWidth="1"/>
    <col min="11275" max="11275" width="15.75" style="168" customWidth="1"/>
    <col min="11276" max="11276" width="17.25" style="168" customWidth="1"/>
    <col min="11277" max="11277" width="4.5" style="168" customWidth="1"/>
    <col min="11278" max="11279" width="23.625" style="168" customWidth="1"/>
    <col min="11280" max="11280" width="24.875" style="168" customWidth="1"/>
    <col min="11281" max="11281" width="5.125" style="168" customWidth="1"/>
    <col min="11282" max="11290" width="11.625" style="168" customWidth="1"/>
    <col min="11291" max="11527" width="9" style="168"/>
    <col min="11528" max="11528" width="3.625" style="168" customWidth="1"/>
    <col min="11529" max="11529" width="14.125" style="168" customWidth="1"/>
    <col min="11530" max="11530" width="13.75" style="168" customWidth="1"/>
    <col min="11531" max="11531" width="15.75" style="168" customWidth="1"/>
    <col min="11532" max="11532" width="17.25" style="168" customWidth="1"/>
    <col min="11533" max="11533" width="4.5" style="168" customWidth="1"/>
    <col min="11534" max="11535" width="23.625" style="168" customWidth="1"/>
    <col min="11536" max="11536" width="24.875" style="168" customWidth="1"/>
    <col min="11537" max="11537" width="5.125" style="168" customWidth="1"/>
    <col min="11538" max="11546" width="11.625" style="168" customWidth="1"/>
    <col min="11547" max="11783" width="9" style="168"/>
    <col min="11784" max="11784" width="3.625" style="168" customWidth="1"/>
    <col min="11785" max="11785" width="14.125" style="168" customWidth="1"/>
    <col min="11786" max="11786" width="13.75" style="168" customWidth="1"/>
    <col min="11787" max="11787" width="15.75" style="168" customWidth="1"/>
    <col min="11788" max="11788" width="17.25" style="168" customWidth="1"/>
    <col min="11789" max="11789" width="4.5" style="168" customWidth="1"/>
    <col min="11790" max="11791" width="23.625" style="168" customWidth="1"/>
    <col min="11792" max="11792" width="24.875" style="168" customWidth="1"/>
    <col min="11793" max="11793" width="5.125" style="168" customWidth="1"/>
    <col min="11794" max="11802" width="11.625" style="168" customWidth="1"/>
    <col min="11803" max="12039" width="9" style="168"/>
    <col min="12040" max="12040" width="3.625" style="168" customWidth="1"/>
    <col min="12041" max="12041" width="14.125" style="168" customWidth="1"/>
    <col min="12042" max="12042" width="13.75" style="168" customWidth="1"/>
    <col min="12043" max="12043" width="15.75" style="168" customWidth="1"/>
    <col min="12044" max="12044" width="17.25" style="168" customWidth="1"/>
    <col min="12045" max="12045" width="4.5" style="168" customWidth="1"/>
    <col min="12046" max="12047" width="23.625" style="168" customWidth="1"/>
    <col min="12048" max="12048" width="24.875" style="168" customWidth="1"/>
    <col min="12049" max="12049" width="5.125" style="168" customWidth="1"/>
    <col min="12050" max="12058" width="11.625" style="168" customWidth="1"/>
    <col min="12059" max="12295" width="9" style="168"/>
    <col min="12296" max="12296" width="3.625" style="168" customWidth="1"/>
    <col min="12297" max="12297" width="14.125" style="168" customWidth="1"/>
    <col min="12298" max="12298" width="13.75" style="168" customWidth="1"/>
    <col min="12299" max="12299" width="15.75" style="168" customWidth="1"/>
    <col min="12300" max="12300" width="17.25" style="168" customWidth="1"/>
    <col min="12301" max="12301" width="4.5" style="168" customWidth="1"/>
    <col min="12302" max="12303" width="23.625" style="168" customWidth="1"/>
    <col min="12304" max="12304" width="24.875" style="168" customWidth="1"/>
    <col min="12305" max="12305" width="5.125" style="168" customWidth="1"/>
    <col min="12306" max="12314" width="11.625" style="168" customWidth="1"/>
    <col min="12315" max="12551" width="9" style="168"/>
    <col min="12552" max="12552" width="3.625" style="168" customWidth="1"/>
    <col min="12553" max="12553" width="14.125" style="168" customWidth="1"/>
    <col min="12554" max="12554" width="13.75" style="168" customWidth="1"/>
    <col min="12555" max="12555" width="15.75" style="168" customWidth="1"/>
    <col min="12556" max="12556" width="17.25" style="168" customWidth="1"/>
    <col min="12557" max="12557" width="4.5" style="168" customWidth="1"/>
    <col min="12558" max="12559" width="23.625" style="168" customWidth="1"/>
    <col min="12560" max="12560" width="24.875" style="168" customWidth="1"/>
    <col min="12561" max="12561" width="5.125" style="168" customWidth="1"/>
    <col min="12562" max="12570" width="11.625" style="168" customWidth="1"/>
    <col min="12571" max="12807" width="9" style="168"/>
    <col min="12808" max="12808" width="3.625" style="168" customWidth="1"/>
    <col min="12809" max="12809" width="14.125" style="168" customWidth="1"/>
    <col min="12810" max="12810" width="13.75" style="168" customWidth="1"/>
    <col min="12811" max="12811" width="15.75" style="168" customWidth="1"/>
    <col min="12812" max="12812" width="17.25" style="168" customWidth="1"/>
    <col min="12813" max="12813" width="4.5" style="168" customWidth="1"/>
    <col min="12814" max="12815" width="23.625" style="168" customWidth="1"/>
    <col min="12816" max="12816" width="24.875" style="168" customWidth="1"/>
    <col min="12817" max="12817" width="5.125" style="168" customWidth="1"/>
    <col min="12818" max="12826" width="11.625" style="168" customWidth="1"/>
    <col min="12827" max="13063" width="9" style="168"/>
    <col min="13064" max="13064" width="3.625" style="168" customWidth="1"/>
    <col min="13065" max="13065" width="14.125" style="168" customWidth="1"/>
    <col min="13066" max="13066" width="13.75" style="168" customWidth="1"/>
    <col min="13067" max="13067" width="15.75" style="168" customWidth="1"/>
    <col min="13068" max="13068" width="17.25" style="168" customWidth="1"/>
    <col min="13069" max="13069" width="4.5" style="168" customWidth="1"/>
    <col min="13070" max="13071" width="23.625" style="168" customWidth="1"/>
    <col min="13072" max="13072" width="24.875" style="168" customWidth="1"/>
    <col min="13073" max="13073" width="5.125" style="168" customWidth="1"/>
    <col min="13074" max="13082" width="11.625" style="168" customWidth="1"/>
    <col min="13083" max="13319" width="9" style="168"/>
    <col min="13320" max="13320" width="3.625" style="168" customWidth="1"/>
    <col min="13321" max="13321" width="14.125" style="168" customWidth="1"/>
    <col min="13322" max="13322" width="13.75" style="168" customWidth="1"/>
    <col min="13323" max="13323" width="15.75" style="168" customWidth="1"/>
    <col min="13324" max="13324" width="17.25" style="168" customWidth="1"/>
    <col min="13325" max="13325" width="4.5" style="168" customWidth="1"/>
    <col min="13326" max="13327" width="23.625" style="168" customWidth="1"/>
    <col min="13328" max="13328" width="24.875" style="168" customWidth="1"/>
    <col min="13329" max="13329" width="5.125" style="168" customWidth="1"/>
    <col min="13330" max="13338" width="11.625" style="168" customWidth="1"/>
    <col min="13339" max="13575" width="9" style="168"/>
    <col min="13576" max="13576" width="3.625" style="168" customWidth="1"/>
    <col min="13577" max="13577" width="14.125" style="168" customWidth="1"/>
    <col min="13578" max="13578" width="13.75" style="168" customWidth="1"/>
    <col min="13579" max="13579" width="15.75" style="168" customWidth="1"/>
    <col min="13580" max="13580" width="17.25" style="168" customWidth="1"/>
    <col min="13581" max="13581" width="4.5" style="168" customWidth="1"/>
    <col min="13582" max="13583" width="23.625" style="168" customWidth="1"/>
    <col min="13584" max="13584" width="24.875" style="168" customWidth="1"/>
    <col min="13585" max="13585" width="5.125" style="168" customWidth="1"/>
    <col min="13586" max="13594" width="11.625" style="168" customWidth="1"/>
    <col min="13595" max="13831" width="9" style="168"/>
    <col min="13832" max="13832" width="3.625" style="168" customWidth="1"/>
    <col min="13833" max="13833" width="14.125" style="168" customWidth="1"/>
    <col min="13834" max="13834" width="13.75" style="168" customWidth="1"/>
    <col min="13835" max="13835" width="15.75" style="168" customWidth="1"/>
    <col min="13836" max="13836" width="17.25" style="168" customWidth="1"/>
    <col min="13837" max="13837" width="4.5" style="168" customWidth="1"/>
    <col min="13838" max="13839" width="23.625" style="168" customWidth="1"/>
    <col min="13840" max="13840" width="24.875" style="168" customWidth="1"/>
    <col min="13841" max="13841" width="5.125" style="168" customWidth="1"/>
    <col min="13842" max="13850" width="11.625" style="168" customWidth="1"/>
    <col min="13851" max="14087" width="9" style="168"/>
    <col min="14088" max="14088" width="3.625" style="168" customWidth="1"/>
    <col min="14089" max="14089" width="14.125" style="168" customWidth="1"/>
    <col min="14090" max="14090" width="13.75" style="168" customWidth="1"/>
    <col min="14091" max="14091" width="15.75" style="168" customWidth="1"/>
    <col min="14092" max="14092" width="17.25" style="168" customWidth="1"/>
    <col min="14093" max="14093" width="4.5" style="168" customWidth="1"/>
    <col min="14094" max="14095" width="23.625" style="168" customWidth="1"/>
    <col min="14096" max="14096" width="24.875" style="168" customWidth="1"/>
    <col min="14097" max="14097" width="5.125" style="168" customWidth="1"/>
    <col min="14098" max="14106" width="11.625" style="168" customWidth="1"/>
    <col min="14107" max="14343" width="9" style="168"/>
    <col min="14344" max="14344" width="3.625" style="168" customWidth="1"/>
    <col min="14345" max="14345" width="14.125" style="168" customWidth="1"/>
    <col min="14346" max="14346" width="13.75" style="168" customWidth="1"/>
    <col min="14347" max="14347" width="15.75" style="168" customWidth="1"/>
    <col min="14348" max="14348" width="17.25" style="168" customWidth="1"/>
    <col min="14349" max="14349" width="4.5" style="168" customWidth="1"/>
    <col min="14350" max="14351" width="23.625" style="168" customWidth="1"/>
    <col min="14352" max="14352" width="24.875" style="168" customWidth="1"/>
    <col min="14353" max="14353" width="5.125" style="168" customWidth="1"/>
    <col min="14354" max="14362" width="11.625" style="168" customWidth="1"/>
    <col min="14363" max="14599" width="9" style="168"/>
    <col min="14600" max="14600" width="3.625" style="168" customWidth="1"/>
    <col min="14601" max="14601" width="14.125" style="168" customWidth="1"/>
    <col min="14602" max="14602" width="13.75" style="168" customWidth="1"/>
    <col min="14603" max="14603" width="15.75" style="168" customWidth="1"/>
    <col min="14604" max="14604" width="17.25" style="168" customWidth="1"/>
    <col min="14605" max="14605" width="4.5" style="168" customWidth="1"/>
    <col min="14606" max="14607" width="23.625" style="168" customWidth="1"/>
    <col min="14608" max="14608" width="24.875" style="168" customWidth="1"/>
    <col min="14609" max="14609" width="5.125" style="168" customWidth="1"/>
    <col min="14610" max="14618" width="11.625" style="168" customWidth="1"/>
    <col min="14619" max="14855" width="9" style="168"/>
    <col min="14856" max="14856" width="3.625" style="168" customWidth="1"/>
    <col min="14857" max="14857" width="14.125" style="168" customWidth="1"/>
    <col min="14858" max="14858" width="13.75" style="168" customWidth="1"/>
    <col min="14859" max="14859" width="15.75" style="168" customWidth="1"/>
    <col min="14860" max="14860" width="17.25" style="168" customWidth="1"/>
    <col min="14861" max="14861" width="4.5" style="168" customWidth="1"/>
    <col min="14862" max="14863" width="23.625" style="168" customWidth="1"/>
    <col min="14864" max="14864" width="24.875" style="168" customWidth="1"/>
    <col min="14865" max="14865" width="5.125" style="168" customWidth="1"/>
    <col min="14866" max="14874" width="11.625" style="168" customWidth="1"/>
    <col min="14875" max="15111" width="9" style="168"/>
    <col min="15112" max="15112" width="3.625" style="168" customWidth="1"/>
    <col min="15113" max="15113" width="14.125" style="168" customWidth="1"/>
    <col min="15114" max="15114" width="13.75" style="168" customWidth="1"/>
    <col min="15115" max="15115" width="15.75" style="168" customWidth="1"/>
    <col min="15116" max="15116" width="17.25" style="168" customWidth="1"/>
    <col min="15117" max="15117" width="4.5" style="168" customWidth="1"/>
    <col min="15118" max="15119" width="23.625" style="168" customWidth="1"/>
    <col min="15120" max="15120" width="24.875" style="168" customWidth="1"/>
    <col min="15121" max="15121" width="5.125" style="168" customWidth="1"/>
    <col min="15122" max="15130" width="11.625" style="168" customWidth="1"/>
    <col min="15131" max="15367" width="9" style="168"/>
    <col min="15368" max="15368" width="3.625" style="168" customWidth="1"/>
    <col min="15369" max="15369" width="14.125" style="168" customWidth="1"/>
    <col min="15370" max="15370" width="13.75" style="168" customWidth="1"/>
    <col min="15371" max="15371" width="15.75" style="168" customWidth="1"/>
    <col min="15372" max="15372" width="17.25" style="168" customWidth="1"/>
    <col min="15373" max="15373" width="4.5" style="168" customWidth="1"/>
    <col min="15374" max="15375" width="23.625" style="168" customWidth="1"/>
    <col min="15376" max="15376" width="24.875" style="168" customWidth="1"/>
    <col min="15377" max="15377" width="5.125" style="168" customWidth="1"/>
    <col min="15378" max="15386" width="11.625" style="168" customWidth="1"/>
    <col min="15387" max="15623" width="9" style="168"/>
    <col min="15624" max="15624" width="3.625" style="168" customWidth="1"/>
    <col min="15625" max="15625" width="14.125" style="168" customWidth="1"/>
    <col min="15626" max="15626" width="13.75" style="168" customWidth="1"/>
    <col min="15627" max="15627" width="15.75" style="168" customWidth="1"/>
    <col min="15628" max="15628" width="17.25" style="168" customWidth="1"/>
    <col min="15629" max="15629" width="4.5" style="168" customWidth="1"/>
    <col min="15630" max="15631" width="23.625" style="168" customWidth="1"/>
    <col min="15632" max="15632" width="24.875" style="168" customWidth="1"/>
    <col min="15633" max="15633" width="5.125" style="168" customWidth="1"/>
    <col min="15634" max="15642" width="11.625" style="168" customWidth="1"/>
    <col min="15643" max="15879" width="9" style="168"/>
    <col min="15880" max="15880" width="3.625" style="168" customWidth="1"/>
    <col min="15881" max="15881" width="14.125" style="168" customWidth="1"/>
    <col min="15882" max="15882" width="13.75" style="168" customWidth="1"/>
    <col min="15883" max="15883" width="15.75" style="168" customWidth="1"/>
    <col min="15884" max="15884" width="17.25" style="168" customWidth="1"/>
    <col min="15885" max="15885" width="4.5" style="168" customWidth="1"/>
    <col min="15886" max="15887" width="23.625" style="168" customWidth="1"/>
    <col min="15888" max="15888" width="24.875" style="168" customWidth="1"/>
    <col min="15889" max="15889" width="5.125" style="168" customWidth="1"/>
    <col min="15890" max="15898" width="11.625" style="168" customWidth="1"/>
    <col min="15899" max="16135" width="9" style="168"/>
    <col min="16136" max="16136" width="3.625" style="168" customWidth="1"/>
    <col min="16137" max="16137" width="14.125" style="168" customWidth="1"/>
    <col min="16138" max="16138" width="13.75" style="168" customWidth="1"/>
    <col min="16139" max="16139" width="15.75" style="168" customWidth="1"/>
    <col min="16140" max="16140" width="17.25" style="168" customWidth="1"/>
    <col min="16141" max="16141" width="4.5" style="168" customWidth="1"/>
    <col min="16142" max="16143" width="23.625" style="168" customWidth="1"/>
    <col min="16144" max="16144" width="24.875" style="168" customWidth="1"/>
    <col min="16145" max="16145" width="5.125" style="168" customWidth="1"/>
    <col min="16146" max="16154" width="11.625" style="168" customWidth="1"/>
    <col min="16155" max="16384" width="9" style="168"/>
  </cols>
  <sheetData>
    <row r="1" ht="22.2" spans="1:26">
      <c r="A1" s="410" t="s">
        <v>6441</v>
      </c>
      <c r="B1" s="410"/>
      <c r="C1" s="410"/>
      <c r="D1" s="410"/>
      <c r="E1" s="410"/>
      <c r="F1" s="410"/>
      <c r="G1" s="410"/>
      <c r="H1" s="411"/>
      <c r="I1" s="437" t="s">
        <v>6442</v>
      </c>
      <c r="J1" s="437"/>
      <c r="K1" s="437"/>
      <c r="L1" s="437"/>
      <c r="M1" s="438"/>
      <c r="N1" s="439" t="s">
        <v>6443</v>
      </c>
      <c r="O1" s="439"/>
      <c r="P1" s="439"/>
      <c r="R1" s="445"/>
      <c r="S1" s="445"/>
      <c r="T1" s="445"/>
      <c r="U1" s="445"/>
      <c r="V1" s="445"/>
      <c r="W1" s="445"/>
      <c r="X1" s="445"/>
      <c r="Y1" s="445"/>
      <c r="Z1" s="445"/>
    </row>
    <row r="2" spans="1:25">
      <c r="A2" s="291" t="s">
        <v>6444</v>
      </c>
      <c r="B2" s="291" t="s">
        <v>6445</v>
      </c>
      <c r="C2" s="291" t="s">
        <v>6446</v>
      </c>
      <c r="D2" s="412" t="s">
        <v>6447</v>
      </c>
      <c r="E2" s="412" t="s">
        <v>641</v>
      </c>
      <c r="F2" s="413" t="s">
        <v>99</v>
      </c>
      <c r="G2" s="412" t="s">
        <v>6448</v>
      </c>
      <c r="H2" s="414"/>
      <c r="I2" s="412" t="s">
        <v>6449</v>
      </c>
      <c r="J2" s="362" t="s">
        <v>6450</v>
      </c>
      <c r="K2" s="412" t="s">
        <v>1956</v>
      </c>
      <c r="L2" s="440" t="s">
        <v>6451</v>
      </c>
      <c r="M2" s="414"/>
      <c r="N2" s="427" t="s">
        <v>6452</v>
      </c>
      <c r="O2" s="427" t="s">
        <v>181</v>
      </c>
      <c r="P2" s="427" t="s">
        <v>6453</v>
      </c>
      <c r="R2" s="440"/>
      <c r="S2" s="446"/>
      <c r="T2" s="446"/>
      <c r="U2" s="440"/>
      <c r="V2" s="446"/>
      <c r="W2" s="446"/>
      <c r="X2" s="440"/>
      <c r="Y2" s="446"/>
    </row>
    <row r="3" spans="1:16">
      <c r="A3" s="342" t="s">
        <v>1558</v>
      </c>
      <c r="B3" s="342" t="s">
        <v>6454</v>
      </c>
      <c r="C3" s="342" t="s">
        <v>6454</v>
      </c>
      <c r="D3" s="415" t="s">
        <v>6455</v>
      </c>
      <c r="E3" s="342" t="s">
        <v>6456</v>
      </c>
      <c r="F3" s="416" t="s">
        <v>6457</v>
      </c>
      <c r="G3" s="417" t="s">
        <v>6458</v>
      </c>
      <c r="H3" s="418"/>
      <c r="I3" s="441" t="s">
        <v>6459</v>
      </c>
      <c r="J3" s="291">
        <v>100</v>
      </c>
      <c r="K3" s="370" t="s">
        <v>6460</v>
      </c>
      <c r="L3" s="370" t="s">
        <v>6461</v>
      </c>
      <c r="M3" s="414"/>
      <c r="N3" s="442" t="s">
        <v>1711</v>
      </c>
      <c r="O3" s="204">
        <v>3.1415926536</v>
      </c>
      <c r="P3" s="204">
        <v>0.4971498727</v>
      </c>
    </row>
    <row r="4" spans="1:16">
      <c r="A4" s="419" t="s">
        <v>6462</v>
      </c>
      <c r="B4" s="291">
        <v>6</v>
      </c>
      <c r="C4" s="291">
        <v>4</v>
      </c>
      <c r="D4" s="291">
        <v>10</v>
      </c>
      <c r="E4" s="291">
        <v>0.14</v>
      </c>
      <c r="F4" s="291">
        <v>0.33</v>
      </c>
      <c r="G4" s="291">
        <v>2000</v>
      </c>
      <c r="H4" s="414"/>
      <c r="I4" s="380" t="s">
        <v>6463</v>
      </c>
      <c r="J4" s="380">
        <v>200</v>
      </c>
      <c r="K4" s="373" t="s">
        <v>6464</v>
      </c>
      <c r="L4" s="373" t="s">
        <v>6465</v>
      </c>
      <c r="M4" s="414"/>
      <c r="N4" s="442" t="s">
        <v>6466</v>
      </c>
      <c r="O4" s="204">
        <v>6.2831853072</v>
      </c>
      <c r="P4" s="204">
        <v>0.7981798684</v>
      </c>
    </row>
    <row r="5" spans="1:16">
      <c r="A5" s="420" t="s">
        <v>6467</v>
      </c>
      <c r="B5" s="380">
        <v>8</v>
      </c>
      <c r="C5" s="380">
        <v>4</v>
      </c>
      <c r="D5" s="380">
        <v>12</v>
      </c>
      <c r="E5" s="380">
        <v>0.15</v>
      </c>
      <c r="F5" s="380">
        <v>0.36</v>
      </c>
      <c r="G5" s="380">
        <v>2000</v>
      </c>
      <c r="H5" s="414"/>
      <c r="I5" s="380" t="s">
        <v>2522</v>
      </c>
      <c r="J5" s="380">
        <v>120</v>
      </c>
      <c r="K5" s="373" t="s">
        <v>6468</v>
      </c>
      <c r="L5" s="373" t="s">
        <v>6469</v>
      </c>
      <c r="M5" s="414"/>
      <c r="N5" s="442" t="s">
        <v>6470</v>
      </c>
      <c r="O5" s="204">
        <v>12.5663706144</v>
      </c>
      <c r="P5" s="204">
        <v>1.099209864</v>
      </c>
    </row>
    <row r="6" spans="1:16">
      <c r="A6" s="420" t="s">
        <v>6471</v>
      </c>
      <c r="B6" s="380">
        <v>15</v>
      </c>
      <c r="C6" s="380">
        <v>7.5</v>
      </c>
      <c r="D6" s="380">
        <v>22.5</v>
      </c>
      <c r="E6" s="380">
        <v>0.33</v>
      </c>
      <c r="F6" s="380">
        <v>0.31</v>
      </c>
      <c r="G6" s="380">
        <v>5000</v>
      </c>
      <c r="H6" s="414"/>
      <c r="I6" s="380" t="s">
        <v>6472</v>
      </c>
      <c r="J6" s="380" t="s">
        <v>6473</v>
      </c>
      <c r="K6" s="373" t="s">
        <v>6474</v>
      </c>
      <c r="L6" s="373">
        <v>1</v>
      </c>
      <c r="M6" s="414"/>
      <c r="N6" s="442" t="s">
        <v>6475</v>
      </c>
      <c r="O6" s="204">
        <v>9.8696044011</v>
      </c>
      <c r="P6" s="204">
        <v>0.9942997454</v>
      </c>
    </row>
    <row r="7" spans="1:16">
      <c r="A7" s="420" t="s">
        <v>6476</v>
      </c>
      <c r="B7" s="380">
        <v>20</v>
      </c>
      <c r="C7" s="380">
        <v>8</v>
      </c>
      <c r="D7" s="380">
        <v>28</v>
      </c>
      <c r="E7" s="380">
        <v>0.35</v>
      </c>
      <c r="F7" s="380">
        <v>0.36</v>
      </c>
      <c r="G7" s="380">
        <v>5000</v>
      </c>
      <c r="H7" s="414"/>
      <c r="I7" s="380" t="s">
        <v>6477</v>
      </c>
      <c r="J7" s="380" t="s">
        <v>6478</v>
      </c>
      <c r="K7" s="373" t="s">
        <v>6479</v>
      </c>
      <c r="L7" s="373">
        <v>1</v>
      </c>
      <c r="M7" s="414"/>
      <c r="N7" s="443" t="s">
        <v>1711</v>
      </c>
      <c r="O7" s="204">
        <v>1.7724538509</v>
      </c>
      <c r="P7" s="204">
        <v>0.2485749363</v>
      </c>
    </row>
    <row r="8" spans="1:17">
      <c r="A8" s="420" t="s">
        <v>6480</v>
      </c>
      <c r="B8" s="380">
        <v>30</v>
      </c>
      <c r="C8" s="380">
        <v>8</v>
      </c>
      <c r="D8" s="380">
        <v>38</v>
      </c>
      <c r="E8" s="380">
        <v>0.36</v>
      </c>
      <c r="F8" s="380">
        <v>0.48</v>
      </c>
      <c r="G8" s="380">
        <v>5000</v>
      </c>
      <c r="H8" s="414"/>
      <c r="I8" s="380" t="s">
        <v>6481</v>
      </c>
      <c r="J8" s="380" t="s">
        <v>6482</v>
      </c>
      <c r="K8" s="373" t="s">
        <v>6483</v>
      </c>
      <c r="L8" s="373">
        <v>1</v>
      </c>
      <c r="M8" s="414"/>
      <c r="N8" s="204" t="s">
        <v>6484</v>
      </c>
      <c r="O8" s="204">
        <v>0.3183098862</v>
      </c>
      <c r="P8" s="204">
        <v>-1.5028501273</v>
      </c>
      <c r="Q8" s="414"/>
    </row>
    <row r="9" spans="1:17">
      <c r="A9" s="421" t="s">
        <v>6485</v>
      </c>
      <c r="B9" s="342">
        <v>40</v>
      </c>
      <c r="C9" s="342">
        <v>8</v>
      </c>
      <c r="D9" s="342">
        <v>48</v>
      </c>
      <c r="E9" s="342">
        <v>0.41</v>
      </c>
      <c r="F9" s="342">
        <v>0.53</v>
      </c>
      <c r="G9" s="342">
        <v>5000</v>
      </c>
      <c r="H9" s="414"/>
      <c r="I9" s="380" t="s">
        <v>6486</v>
      </c>
      <c r="J9" s="380">
        <v>300</v>
      </c>
      <c r="K9" s="373">
        <v>1.36</v>
      </c>
      <c r="L9" s="373">
        <v>1</v>
      </c>
      <c r="M9" s="414"/>
      <c r="N9" s="443" t="s">
        <v>6487</v>
      </c>
      <c r="O9" s="204">
        <v>1.1447298858</v>
      </c>
      <c r="P9" s="204">
        <v>0.0587030212</v>
      </c>
      <c r="Q9" s="414"/>
    </row>
    <row r="10" ht="18" customHeight="1" spans="1:17">
      <c r="A10" s="422" t="s">
        <v>6488</v>
      </c>
      <c r="B10" s="423"/>
      <c r="C10" s="423"/>
      <c r="D10" s="423"/>
      <c r="E10" s="423"/>
      <c r="F10" s="423"/>
      <c r="I10" s="380" t="s">
        <v>6489</v>
      </c>
      <c r="J10" s="380">
        <v>1500</v>
      </c>
      <c r="K10" s="373">
        <v>6.8</v>
      </c>
      <c r="L10" s="373">
        <v>1</v>
      </c>
      <c r="M10" s="414"/>
      <c r="N10" s="204" t="s">
        <v>6490</v>
      </c>
      <c r="O10" s="204">
        <v>2.7182818285</v>
      </c>
      <c r="P10" s="204">
        <v>0.4342944819</v>
      </c>
      <c r="Q10" s="414"/>
    </row>
    <row r="11" spans="1:16">
      <c r="A11" s="424" t="s">
        <v>6491</v>
      </c>
      <c r="B11" s="205" t="s">
        <v>6492</v>
      </c>
      <c r="C11" s="425">
        <v>0.25</v>
      </c>
      <c r="D11" s="425">
        <v>0.5</v>
      </c>
      <c r="E11" s="425">
        <v>0.75</v>
      </c>
      <c r="F11" s="425">
        <v>1</v>
      </c>
      <c r="G11" s="426" t="s">
        <v>88</v>
      </c>
      <c r="I11" s="380" t="s">
        <v>6493</v>
      </c>
      <c r="J11" s="380" t="s">
        <v>6494</v>
      </c>
      <c r="K11" s="373" t="s">
        <v>6495</v>
      </c>
      <c r="L11" s="373">
        <v>1</v>
      </c>
      <c r="M11" s="414"/>
      <c r="N11" s="204" t="s">
        <v>6496</v>
      </c>
      <c r="O11" s="204">
        <v>7.389056098</v>
      </c>
      <c r="P11" s="204">
        <v>0.868588964</v>
      </c>
    </row>
    <row r="12" spans="1:16">
      <c r="A12" s="427" t="s">
        <v>99</v>
      </c>
      <c r="B12" s="362">
        <v>0.2</v>
      </c>
      <c r="C12" s="362">
        <v>0.5</v>
      </c>
      <c r="D12" s="362">
        <v>0.77</v>
      </c>
      <c r="E12" s="362">
        <v>0.85</v>
      </c>
      <c r="F12" s="362">
        <v>0.89</v>
      </c>
      <c r="G12" s="426"/>
      <c r="I12" s="380" t="s">
        <v>6497</v>
      </c>
      <c r="J12" s="380" t="s">
        <v>6498</v>
      </c>
      <c r="K12" s="373" t="s">
        <v>6499</v>
      </c>
      <c r="L12" s="373">
        <v>1</v>
      </c>
      <c r="M12" s="414"/>
      <c r="N12" s="443" t="s">
        <v>6490</v>
      </c>
      <c r="O12" s="204">
        <v>1.648721271</v>
      </c>
      <c r="P12" s="204">
        <v>0.217147241</v>
      </c>
    </row>
    <row r="13" spans="1:16">
      <c r="A13" s="427" t="s">
        <v>6500</v>
      </c>
      <c r="B13" s="362">
        <v>0</v>
      </c>
      <c r="C13" s="362">
        <v>0.78</v>
      </c>
      <c r="D13" s="362">
        <v>0.85</v>
      </c>
      <c r="E13" s="362">
        <v>0.88</v>
      </c>
      <c r="F13" s="362">
        <v>0.875</v>
      </c>
      <c r="G13" s="426"/>
      <c r="I13" s="380" t="s">
        <v>6501</v>
      </c>
      <c r="J13" s="380" t="s">
        <v>6502</v>
      </c>
      <c r="K13" s="373" t="s">
        <v>6503</v>
      </c>
      <c r="L13" s="373">
        <v>1</v>
      </c>
      <c r="M13" s="414"/>
      <c r="N13" s="204" t="s">
        <v>6504</v>
      </c>
      <c r="O13" s="204">
        <v>0.367894412</v>
      </c>
      <c r="P13" s="204">
        <v>-1.5657055181</v>
      </c>
    </row>
    <row r="14" ht="20.4" spans="1:16">
      <c r="A14" s="428" t="s">
        <v>6505</v>
      </c>
      <c r="B14" s="429"/>
      <c r="C14" s="429"/>
      <c r="D14" s="429"/>
      <c r="E14" s="429"/>
      <c r="F14" s="429"/>
      <c r="G14" s="429"/>
      <c r="I14" s="380" t="s">
        <v>6506</v>
      </c>
      <c r="J14" s="380" t="s">
        <v>6507</v>
      </c>
      <c r="K14" s="373">
        <v>1.36</v>
      </c>
      <c r="L14" s="373">
        <v>1</v>
      </c>
      <c r="M14" s="414"/>
      <c r="N14" s="204" t="s">
        <v>6508</v>
      </c>
      <c r="O14" s="204">
        <v>0.4342944819</v>
      </c>
      <c r="P14" s="204">
        <v>-1.6377843113</v>
      </c>
    </row>
    <row r="15" spans="1:16">
      <c r="A15" s="204" t="s">
        <v>8</v>
      </c>
      <c r="B15" s="430" t="s">
        <v>97</v>
      </c>
      <c r="C15" s="431" t="s">
        <v>2372</v>
      </c>
      <c r="D15" s="431" t="s">
        <v>255</v>
      </c>
      <c r="E15" s="430" t="s">
        <v>97</v>
      </c>
      <c r="F15" s="431" t="s">
        <v>2372</v>
      </c>
      <c r="G15" s="431" t="s">
        <v>255</v>
      </c>
      <c r="I15" s="380" t="s">
        <v>6509</v>
      </c>
      <c r="J15" s="380">
        <v>75</v>
      </c>
      <c r="K15" s="373">
        <v>0.38</v>
      </c>
      <c r="L15" s="373">
        <v>0.9</v>
      </c>
      <c r="M15" s="414"/>
      <c r="N15" s="204" t="s">
        <v>6510</v>
      </c>
      <c r="O15" s="204">
        <v>2.302585093</v>
      </c>
      <c r="P15" s="204">
        <v>0.3622156887</v>
      </c>
    </row>
    <row r="16" spans="1:16">
      <c r="A16" s="204">
        <v>1</v>
      </c>
      <c r="B16" s="204">
        <v>1</v>
      </c>
      <c r="C16" s="204">
        <v>0</v>
      </c>
      <c r="D16" s="204" t="s">
        <v>6511</v>
      </c>
      <c r="E16" s="204">
        <v>0.71</v>
      </c>
      <c r="F16" s="204">
        <v>0.9918</v>
      </c>
      <c r="G16" s="204" t="s">
        <v>6512</v>
      </c>
      <c r="I16" s="380" t="s">
        <v>6513</v>
      </c>
      <c r="J16" s="380" t="s">
        <v>6514</v>
      </c>
      <c r="K16" s="373" t="s">
        <v>6515</v>
      </c>
      <c r="L16" s="373">
        <v>1</v>
      </c>
      <c r="M16" s="414"/>
      <c r="N16" s="204" t="s">
        <v>6516</v>
      </c>
      <c r="O16" s="204">
        <v>23.1406926328</v>
      </c>
      <c r="P16" s="204">
        <v>1.3643763538</v>
      </c>
    </row>
    <row r="17" spans="1:16">
      <c r="A17" s="204">
        <v>2</v>
      </c>
      <c r="B17" s="204">
        <v>0.99</v>
      </c>
      <c r="C17" s="204">
        <v>0.1425</v>
      </c>
      <c r="D17" s="204" t="s">
        <v>6517</v>
      </c>
      <c r="E17" s="204">
        <v>0.7</v>
      </c>
      <c r="F17" s="204">
        <v>1.02</v>
      </c>
      <c r="G17" s="204" t="s">
        <v>6518</v>
      </c>
      <c r="I17" s="380" t="s">
        <v>6519</v>
      </c>
      <c r="J17" s="380" t="s">
        <v>6520</v>
      </c>
      <c r="K17" s="373" t="s">
        <v>6521</v>
      </c>
      <c r="L17" s="373" t="s">
        <v>6461</v>
      </c>
      <c r="M17" s="414"/>
      <c r="N17" s="204">
        <v>2</v>
      </c>
      <c r="O17" s="204">
        <v>2</v>
      </c>
      <c r="P17" s="204">
        <v>0.3010299957</v>
      </c>
    </row>
    <row r="18" spans="1:16">
      <c r="A18" s="204">
        <v>3</v>
      </c>
      <c r="B18" s="204">
        <v>0.98</v>
      </c>
      <c r="C18" s="204">
        <v>0.2031</v>
      </c>
      <c r="D18" s="204" t="s">
        <v>6522</v>
      </c>
      <c r="E18" s="204">
        <v>0.69</v>
      </c>
      <c r="F18" s="204">
        <v>1.049</v>
      </c>
      <c r="G18" s="204" t="s">
        <v>6523</v>
      </c>
      <c r="I18" s="380" t="s">
        <v>6524</v>
      </c>
      <c r="J18" s="380" t="s">
        <v>6525</v>
      </c>
      <c r="K18" s="373" t="s">
        <v>6526</v>
      </c>
      <c r="L18" s="373">
        <v>0.94</v>
      </c>
      <c r="M18" s="414"/>
      <c r="N18" s="443">
        <v>2</v>
      </c>
      <c r="O18" s="204">
        <v>1.4142135624</v>
      </c>
      <c r="P18" s="204">
        <v>0.1505149978</v>
      </c>
    </row>
    <row r="19" spans="1:16">
      <c r="A19" s="204">
        <v>4</v>
      </c>
      <c r="B19" s="204">
        <v>0.97</v>
      </c>
      <c r="C19" s="204">
        <v>0.2505</v>
      </c>
      <c r="D19" s="204" t="s">
        <v>6527</v>
      </c>
      <c r="E19" s="204">
        <v>0.68</v>
      </c>
      <c r="F19" s="204">
        <v>1.078</v>
      </c>
      <c r="G19" s="204" t="s">
        <v>6528</v>
      </c>
      <c r="I19" s="380" t="s">
        <v>6529</v>
      </c>
      <c r="J19" s="380" t="s">
        <v>6530</v>
      </c>
      <c r="K19" s="373" t="s">
        <v>6531</v>
      </c>
      <c r="L19" s="373">
        <v>0.9</v>
      </c>
      <c r="M19" s="414"/>
      <c r="N19" s="443">
        <v>3</v>
      </c>
      <c r="O19" s="204">
        <v>1.7320508076</v>
      </c>
      <c r="P19" s="204">
        <v>0.2385606274</v>
      </c>
    </row>
    <row r="20" spans="1:16">
      <c r="A20" s="204">
        <v>5</v>
      </c>
      <c r="B20" s="204">
        <v>0.96</v>
      </c>
      <c r="C20" s="204">
        <v>0.2917</v>
      </c>
      <c r="D20" s="204" t="s">
        <v>6532</v>
      </c>
      <c r="E20" s="204">
        <v>0.67</v>
      </c>
      <c r="F20" s="204">
        <v>1.108</v>
      </c>
      <c r="G20" s="204" t="s">
        <v>6533</v>
      </c>
      <c r="I20" s="380" t="s">
        <v>6534</v>
      </c>
      <c r="J20" s="380">
        <v>40</v>
      </c>
      <c r="K20" s="373">
        <v>0.2</v>
      </c>
      <c r="L20" s="373">
        <v>0.9</v>
      </c>
      <c r="M20" s="414"/>
      <c r="N20" s="443">
        <v>10</v>
      </c>
      <c r="O20" s="204">
        <v>3.1622776602</v>
      </c>
      <c r="P20" s="204">
        <v>0.5</v>
      </c>
    </row>
    <row r="21" ht="15" customHeight="1" spans="1:16">
      <c r="A21" s="204">
        <v>6</v>
      </c>
      <c r="B21" s="204">
        <v>0.95</v>
      </c>
      <c r="C21" s="204">
        <v>0.3287</v>
      </c>
      <c r="D21" s="204" t="s">
        <v>6535</v>
      </c>
      <c r="E21" s="204">
        <v>0.66</v>
      </c>
      <c r="F21" s="204">
        <v>1.138</v>
      </c>
      <c r="G21" s="204" t="s">
        <v>6536</v>
      </c>
      <c r="I21" s="380" t="s">
        <v>6537</v>
      </c>
      <c r="J21" s="380" t="s">
        <v>6538</v>
      </c>
      <c r="K21" s="373"/>
      <c r="L21" s="373"/>
      <c r="M21" s="438"/>
      <c r="N21" s="204" t="s">
        <v>6539</v>
      </c>
      <c r="O21" s="204" t="s">
        <v>6540</v>
      </c>
      <c r="P21" s="204">
        <v>1.7581226324</v>
      </c>
    </row>
    <row r="22" spans="1:16">
      <c r="A22" s="204">
        <v>7</v>
      </c>
      <c r="B22" s="204">
        <v>0.94</v>
      </c>
      <c r="C22" s="204">
        <v>0.363</v>
      </c>
      <c r="D22" s="204" t="s">
        <v>6541</v>
      </c>
      <c r="E22" s="204">
        <v>0.65</v>
      </c>
      <c r="F22" s="204">
        <v>1.169</v>
      </c>
      <c r="G22" s="204" t="s">
        <v>6542</v>
      </c>
      <c r="I22" s="342" t="s">
        <v>6543</v>
      </c>
      <c r="J22" s="342" t="s">
        <v>6544</v>
      </c>
      <c r="K22" s="375" t="s">
        <v>6545</v>
      </c>
      <c r="L22" s="375" t="s">
        <v>6461</v>
      </c>
      <c r="M22" s="414"/>
      <c r="N22" s="204" t="s">
        <v>6546</v>
      </c>
      <c r="O22" s="204" t="s">
        <v>6547</v>
      </c>
      <c r="P22" s="204">
        <v>3.5362738828</v>
      </c>
    </row>
    <row r="23" ht="20.4" spans="1:16">
      <c r="A23" s="204">
        <v>8</v>
      </c>
      <c r="B23" s="204">
        <v>0.93</v>
      </c>
      <c r="C23" s="204">
        <v>0.3953</v>
      </c>
      <c r="D23" s="204" t="s">
        <v>6548</v>
      </c>
      <c r="E23" s="204">
        <v>0.64</v>
      </c>
      <c r="F23" s="204">
        <v>1.201</v>
      </c>
      <c r="G23" s="204" t="s">
        <v>6549</v>
      </c>
      <c r="I23" s="444" t="s">
        <v>6550</v>
      </c>
      <c r="J23" s="444"/>
      <c r="K23" s="444"/>
      <c r="L23" s="444"/>
      <c r="M23" s="414"/>
      <c r="N23" s="204" t="s">
        <v>6551</v>
      </c>
      <c r="O23" s="204" t="s">
        <v>6552</v>
      </c>
      <c r="P23" s="204">
        <v>5.3144251332</v>
      </c>
    </row>
    <row r="24" spans="1:16">
      <c r="A24" s="204">
        <v>9</v>
      </c>
      <c r="B24" s="204">
        <v>0.92</v>
      </c>
      <c r="C24" s="204">
        <v>0.426</v>
      </c>
      <c r="D24" s="204" t="s">
        <v>6553</v>
      </c>
      <c r="E24" s="204">
        <v>0.63</v>
      </c>
      <c r="F24" s="204">
        <v>1.233</v>
      </c>
      <c r="G24" s="204" t="s">
        <v>6554</v>
      </c>
      <c r="I24" s="291" t="s">
        <v>6555</v>
      </c>
      <c r="J24" s="412" t="s">
        <v>6556</v>
      </c>
      <c r="K24" s="412" t="s">
        <v>6557</v>
      </c>
      <c r="L24" s="412" t="s">
        <v>6558</v>
      </c>
      <c r="M24" s="414"/>
      <c r="N24" s="204" t="s">
        <v>6559</v>
      </c>
      <c r="O24" s="204">
        <v>0.0174532925</v>
      </c>
      <c r="P24" s="204">
        <v>-2.2148773617</v>
      </c>
    </row>
    <row r="25" spans="1:16">
      <c r="A25" s="204">
        <v>10</v>
      </c>
      <c r="B25" s="204">
        <v>0.91</v>
      </c>
      <c r="C25" s="204">
        <v>0.4556</v>
      </c>
      <c r="D25" s="204" t="s">
        <v>6560</v>
      </c>
      <c r="E25" s="204">
        <v>0.62</v>
      </c>
      <c r="F25" s="432">
        <v>1.265</v>
      </c>
      <c r="G25" s="432" t="s">
        <v>6561</v>
      </c>
      <c r="I25" s="342"/>
      <c r="J25" s="415" t="s">
        <v>6562</v>
      </c>
      <c r="K25" s="342" t="s">
        <v>6563</v>
      </c>
      <c r="L25" s="342" t="s">
        <v>6564</v>
      </c>
      <c r="M25" s="414"/>
      <c r="N25" s="204" t="s">
        <v>6565</v>
      </c>
      <c r="O25" s="204">
        <v>0.0002908882</v>
      </c>
      <c r="P25" s="204">
        <v>-4.4637241172</v>
      </c>
    </row>
    <row r="26" spans="1:16">
      <c r="A26" s="204">
        <v>11</v>
      </c>
      <c r="B26" s="204">
        <v>0.9</v>
      </c>
      <c r="C26" s="204">
        <v>0.4844</v>
      </c>
      <c r="D26" s="204" t="s">
        <v>6566</v>
      </c>
      <c r="E26" s="204">
        <v>0.61</v>
      </c>
      <c r="F26" s="432">
        <v>1.299</v>
      </c>
      <c r="G26" s="432" t="s">
        <v>6567</v>
      </c>
      <c r="I26" s="204" t="s">
        <v>6568</v>
      </c>
      <c r="J26" s="204">
        <v>29</v>
      </c>
      <c r="K26" s="204">
        <v>0.034</v>
      </c>
      <c r="L26" s="204">
        <v>0.0043</v>
      </c>
      <c r="M26" s="414"/>
      <c r="N26" s="204" t="s">
        <v>6569</v>
      </c>
      <c r="O26" s="204">
        <v>4.8481e-6</v>
      </c>
      <c r="P26" s="204">
        <v>-6.6855748668</v>
      </c>
    </row>
    <row r="27" spans="1:13">
      <c r="A27" s="204">
        <v>12</v>
      </c>
      <c r="B27" s="204">
        <v>0.89</v>
      </c>
      <c r="C27" s="204">
        <v>0.5124</v>
      </c>
      <c r="D27" s="204" t="s">
        <v>6570</v>
      </c>
      <c r="E27" s="204">
        <v>0.6</v>
      </c>
      <c r="F27" s="432">
        <v>1.334</v>
      </c>
      <c r="G27" s="432" t="s">
        <v>6571</v>
      </c>
      <c r="I27" s="204" t="s">
        <v>6572</v>
      </c>
      <c r="J27" s="204">
        <v>28.3</v>
      </c>
      <c r="K27" s="204">
        <v>0.035</v>
      </c>
      <c r="L27" s="204">
        <v>0.0041</v>
      </c>
      <c r="M27" s="414"/>
    </row>
    <row r="28" spans="1:13">
      <c r="A28" s="204">
        <v>13</v>
      </c>
      <c r="B28" s="204">
        <v>0.88</v>
      </c>
      <c r="C28" s="204">
        <v>0.5398</v>
      </c>
      <c r="D28" s="204" t="s">
        <v>6573</v>
      </c>
      <c r="E28" s="204">
        <v>0.59</v>
      </c>
      <c r="F28" s="204">
        <v>1.368</v>
      </c>
      <c r="G28" s="204" t="s">
        <v>6574</v>
      </c>
      <c r="I28" s="204" t="s">
        <v>6575</v>
      </c>
      <c r="J28" s="204">
        <v>32.8</v>
      </c>
      <c r="K28" s="204">
        <v>0.031</v>
      </c>
      <c r="L28" s="204">
        <v>0.00422</v>
      </c>
      <c r="M28" s="414"/>
    </row>
    <row r="29" spans="1:12">
      <c r="A29" s="204">
        <v>14</v>
      </c>
      <c r="B29" s="204">
        <v>0.87</v>
      </c>
      <c r="C29" s="204">
        <v>0.5668</v>
      </c>
      <c r="D29" s="204" t="s">
        <v>6576</v>
      </c>
      <c r="E29" s="204">
        <v>0.58</v>
      </c>
      <c r="F29" s="204">
        <v>1.403</v>
      </c>
      <c r="G29" s="204" t="s">
        <v>6577</v>
      </c>
      <c r="I29" s="204" t="s">
        <v>6578</v>
      </c>
      <c r="J29" s="362">
        <v>17.9</v>
      </c>
      <c r="K29" s="362">
        <v>0.056</v>
      </c>
      <c r="L29" s="362">
        <v>0.00385</v>
      </c>
    </row>
    <row r="30" spans="1:12">
      <c r="A30" s="204">
        <v>15</v>
      </c>
      <c r="B30" s="204">
        <v>0.86</v>
      </c>
      <c r="C30" s="204">
        <v>0.5934</v>
      </c>
      <c r="D30" s="204" t="s">
        <v>6579</v>
      </c>
      <c r="E30" s="204">
        <v>0.57</v>
      </c>
      <c r="F30" s="204">
        <v>1.441</v>
      </c>
      <c r="G30" s="204" t="s">
        <v>6580</v>
      </c>
      <c r="I30" s="204" t="s">
        <v>6581</v>
      </c>
      <c r="J30" s="362">
        <v>17.6</v>
      </c>
      <c r="K30" s="362">
        <v>0.057</v>
      </c>
      <c r="L30" s="362">
        <v>0.00393</v>
      </c>
    </row>
    <row r="31" spans="1:10">
      <c r="A31" s="204">
        <v>16</v>
      </c>
      <c r="B31" s="204">
        <v>0.85</v>
      </c>
      <c r="C31" s="204">
        <v>0.6179</v>
      </c>
      <c r="D31" s="204" t="s">
        <v>6582</v>
      </c>
      <c r="E31" s="204">
        <v>0.56</v>
      </c>
      <c r="F31" s="204">
        <v>1.479</v>
      </c>
      <c r="G31" s="204" t="s">
        <v>6583</v>
      </c>
      <c r="J31" s="168" t="s">
        <v>2591</v>
      </c>
    </row>
    <row r="32" spans="1:7">
      <c r="A32" s="204">
        <v>17</v>
      </c>
      <c r="B32" s="204">
        <v>0.84</v>
      </c>
      <c r="C32" s="204">
        <v>0.6459</v>
      </c>
      <c r="D32" s="204" t="s">
        <v>6584</v>
      </c>
      <c r="E32" s="204">
        <v>0.55</v>
      </c>
      <c r="F32" s="204">
        <v>1.52</v>
      </c>
      <c r="G32" s="204" t="s">
        <v>6585</v>
      </c>
    </row>
    <row r="33" spans="1:7">
      <c r="A33" s="204">
        <v>18</v>
      </c>
      <c r="B33" s="204">
        <v>0.83</v>
      </c>
      <c r="C33" s="204">
        <v>0.672</v>
      </c>
      <c r="D33" s="204" t="s">
        <v>6586</v>
      </c>
      <c r="E33" s="204">
        <v>0.54</v>
      </c>
      <c r="F33" s="204">
        <v>1.559</v>
      </c>
      <c r="G33" s="204" t="s">
        <v>6587</v>
      </c>
    </row>
    <row r="34" spans="1:7">
      <c r="A34" s="204">
        <v>19</v>
      </c>
      <c r="B34" s="204">
        <v>0.82</v>
      </c>
      <c r="C34" s="204">
        <v>0.698</v>
      </c>
      <c r="D34" s="204" t="s">
        <v>6588</v>
      </c>
      <c r="E34" s="204">
        <v>0.53</v>
      </c>
      <c r="F34" s="204">
        <v>1.6</v>
      </c>
      <c r="G34" s="204" t="s">
        <v>6589</v>
      </c>
    </row>
    <row r="35" spans="1:7">
      <c r="A35" s="204">
        <v>20</v>
      </c>
      <c r="B35" s="204">
        <v>0.81</v>
      </c>
      <c r="C35" s="204">
        <v>0.724</v>
      </c>
      <c r="D35" s="204" t="s">
        <v>6590</v>
      </c>
      <c r="E35" s="204">
        <v>0.52</v>
      </c>
      <c r="F35" s="204">
        <v>1.643</v>
      </c>
      <c r="G35" s="204" t="s">
        <v>6591</v>
      </c>
    </row>
    <row r="36" spans="1:7">
      <c r="A36" s="204">
        <v>21</v>
      </c>
      <c r="B36" s="204">
        <v>0.8</v>
      </c>
      <c r="C36" s="204">
        <v>0.75</v>
      </c>
      <c r="D36" s="204" t="s">
        <v>6592</v>
      </c>
      <c r="E36" s="204">
        <v>0.51</v>
      </c>
      <c r="F36" s="204">
        <v>1.686</v>
      </c>
      <c r="G36" s="204" t="s">
        <v>6593</v>
      </c>
    </row>
    <row r="37" spans="1:7">
      <c r="A37" s="204">
        <v>22</v>
      </c>
      <c r="B37" s="204">
        <v>0.79</v>
      </c>
      <c r="C37" s="204">
        <v>0.7761</v>
      </c>
      <c r="D37" s="204" t="s">
        <v>6594</v>
      </c>
      <c r="E37" s="204">
        <v>0.5</v>
      </c>
      <c r="F37" s="204">
        <v>1.732</v>
      </c>
      <c r="G37" s="204" t="s">
        <v>6595</v>
      </c>
    </row>
    <row r="38" spans="1:7">
      <c r="A38" s="204">
        <v>23</v>
      </c>
      <c r="B38" s="204">
        <v>0.78</v>
      </c>
      <c r="C38" s="204">
        <v>0.8023</v>
      </c>
      <c r="D38" s="204" t="s">
        <v>6596</v>
      </c>
      <c r="E38" s="204">
        <v>0.45</v>
      </c>
      <c r="F38" s="204">
        <v>1.984</v>
      </c>
      <c r="G38" s="204" t="s">
        <v>6597</v>
      </c>
    </row>
    <row r="39" spans="1:7">
      <c r="A39" s="204">
        <v>24</v>
      </c>
      <c r="B39" s="204">
        <v>0.77</v>
      </c>
      <c r="C39" s="204">
        <v>0.8286</v>
      </c>
      <c r="D39" s="204" t="s">
        <v>6598</v>
      </c>
      <c r="E39" s="204">
        <v>0.4</v>
      </c>
      <c r="F39" s="204">
        <v>2.29</v>
      </c>
      <c r="G39" s="204" t="s">
        <v>6599</v>
      </c>
    </row>
    <row r="40" spans="1:7">
      <c r="A40" s="204">
        <v>25</v>
      </c>
      <c r="B40" s="204">
        <v>0.76</v>
      </c>
      <c r="C40" s="204">
        <v>0.8551</v>
      </c>
      <c r="D40" s="204" t="s">
        <v>6600</v>
      </c>
      <c r="E40" s="204">
        <v>0.35</v>
      </c>
      <c r="F40" s="204">
        <v>2.677</v>
      </c>
      <c r="G40" s="204" t="s">
        <v>6601</v>
      </c>
    </row>
    <row r="41" spans="1:7">
      <c r="A41" s="204">
        <v>26</v>
      </c>
      <c r="B41" s="204">
        <v>0.75</v>
      </c>
      <c r="C41" s="204">
        <v>0.8819</v>
      </c>
      <c r="D41" s="204" t="s">
        <v>6602</v>
      </c>
      <c r="E41" s="204">
        <v>0.3</v>
      </c>
      <c r="F41" s="204">
        <v>3.18</v>
      </c>
      <c r="G41" s="204" t="s">
        <v>6603</v>
      </c>
    </row>
    <row r="42" spans="1:7">
      <c r="A42" s="204">
        <v>27</v>
      </c>
      <c r="B42" s="204">
        <v>0.74</v>
      </c>
      <c r="C42" s="204">
        <v>0.9089</v>
      </c>
      <c r="D42" s="204" t="s">
        <v>6604</v>
      </c>
      <c r="E42" s="204">
        <v>0.25</v>
      </c>
      <c r="F42" s="204">
        <v>3.867</v>
      </c>
      <c r="G42" s="204" t="s">
        <v>6605</v>
      </c>
    </row>
    <row r="43" spans="1:7">
      <c r="A43" s="204">
        <v>28</v>
      </c>
      <c r="B43" s="204">
        <v>0.73</v>
      </c>
      <c r="C43" s="204">
        <v>0.9362</v>
      </c>
      <c r="D43" s="204" t="s">
        <v>6606</v>
      </c>
      <c r="E43" s="204">
        <v>0.2</v>
      </c>
      <c r="F43" s="204">
        <v>4.901</v>
      </c>
      <c r="G43" s="204" t="s">
        <v>6607</v>
      </c>
    </row>
    <row r="44" spans="1:7">
      <c r="A44" s="204">
        <v>29</v>
      </c>
      <c r="B44" s="204">
        <v>0.72</v>
      </c>
      <c r="C44" s="204">
        <v>0.9635</v>
      </c>
      <c r="D44" s="204" t="s">
        <v>6608</v>
      </c>
      <c r="E44" s="204"/>
      <c r="F44" s="204" t="s">
        <v>2591</v>
      </c>
      <c r="G44" s="205"/>
    </row>
    <row r="45" ht="20.4" spans="1:7">
      <c r="A45" s="433" t="s">
        <v>6609</v>
      </c>
      <c r="B45" s="434"/>
      <c r="C45" s="434"/>
      <c r="D45" s="434"/>
      <c r="E45" s="434"/>
      <c r="F45" s="434"/>
      <c r="G45" s="435"/>
    </row>
    <row r="46" spans="1:6">
      <c r="A46" s="204" t="s">
        <v>8</v>
      </c>
      <c r="B46" s="430" t="s">
        <v>97</v>
      </c>
      <c r="C46" s="431" t="s">
        <v>255</v>
      </c>
      <c r="D46" s="431" t="s">
        <v>2372</v>
      </c>
      <c r="E46" s="431" t="s">
        <v>6610</v>
      </c>
      <c r="F46" s="436" t="s">
        <v>6611</v>
      </c>
    </row>
    <row r="47" spans="1:6">
      <c r="A47" s="362">
        <v>1</v>
      </c>
      <c r="B47" s="362">
        <v>1</v>
      </c>
      <c r="C47" s="362">
        <v>0</v>
      </c>
      <c r="D47" s="362">
        <v>0</v>
      </c>
      <c r="E47" s="362">
        <v>0</v>
      </c>
      <c r="F47" s="362">
        <v>0</v>
      </c>
    </row>
    <row r="48" spans="1:6">
      <c r="A48" s="362">
        <v>2</v>
      </c>
      <c r="B48" s="362">
        <v>0.99</v>
      </c>
      <c r="C48" s="362">
        <v>8.1</v>
      </c>
      <c r="D48" s="362">
        <v>0.1423</v>
      </c>
      <c r="E48" s="362">
        <v>0.0739</v>
      </c>
      <c r="F48" s="362">
        <v>4.23</v>
      </c>
    </row>
    <row r="49" spans="1:6">
      <c r="A49" s="362">
        <v>3</v>
      </c>
      <c r="B49" s="362">
        <v>0.9</v>
      </c>
      <c r="C49" s="362">
        <v>25.8</v>
      </c>
      <c r="D49" s="362">
        <v>0.4834</v>
      </c>
      <c r="E49" s="362">
        <v>0.02512</v>
      </c>
      <c r="F49" s="362">
        <v>14.1</v>
      </c>
    </row>
    <row r="50" spans="1:6">
      <c r="A50" s="362">
        <v>4</v>
      </c>
      <c r="B50" s="362">
        <v>0.8</v>
      </c>
      <c r="C50" s="362">
        <v>36.9</v>
      </c>
      <c r="D50" s="362">
        <v>0.7508</v>
      </c>
      <c r="E50" s="362">
        <v>0.3902</v>
      </c>
      <c r="F50" s="362">
        <v>21.3</v>
      </c>
    </row>
    <row r="51" spans="1:6">
      <c r="A51" s="362">
        <v>5</v>
      </c>
      <c r="B51" s="362">
        <v>0.7</v>
      </c>
      <c r="C51" s="362">
        <v>45.6</v>
      </c>
      <c r="D51" s="362">
        <v>1.021</v>
      </c>
      <c r="E51" s="362">
        <v>0.5307</v>
      </c>
      <c r="F51" s="362">
        <v>27.95</v>
      </c>
    </row>
    <row r="52" spans="1:6">
      <c r="A52" s="362">
        <v>6</v>
      </c>
      <c r="B52" s="362">
        <v>0.6</v>
      </c>
      <c r="C52" s="362">
        <v>53.1</v>
      </c>
      <c r="D52" s="362">
        <v>1.331</v>
      </c>
      <c r="E52" s="362">
        <v>0.692</v>
      </c>
      <c r="F52" s="362">
        <v>34.67</v>
      </c>
    </row>
    <row r="53" spans="1:6">
      <c r="A53" s="362">
        <v>7</v>
      </c>
      <c r="B53" s="362">
        <v>0.5</v>
      </c>
      <c r="C53" s="362">
        <v>60</v>
      </c>
      <c r="D53" s="362">
        <v>1.732</v>
      </c>
      <c r="E53" s="362">
        <v>0.9003</v>
      </c>
      <c r="F53" s="362">
        <v>42</v>
      </c>
    </row>
  </sheetData>
  <mergeCells count="10">
    <mergeCell ref="A1:G1"/>
    <mergeCell ref="I1:L1"/>
    <mergeCell ref="N1:P1"/>
    <mergeCell ref="R1:Z1"/>
    <mergeCell ref="A10:F10"/>
    <mergeCell ref="A14:G14"/>
    <mergeCell ref="I23:L23"/>
    <mergeCell ref="A45:F45"/>
    <mergeCell ref="G11:G13"/>
    <mergeCell ref="I24:I25"/>
  </mergeCells>
  <hyperlinks>
    <hyperlink ref="G11:G13" location="目录!A1" display="目录!A1"/>
  </hyperlinks>
  <pageMargins left="0.7" right="0.7" top="0.75" bottom="0.75" header="0.3" footer="0.3"/>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206"/>
  <sheetViews>
    <sheetView topLeftCell="A4" workbookViewId="0">
      <selection activeCell="O19" sqref="O19"/>
    </sheetView>
  </sheetViews>
  <sheetFormatPr defaultColWidth="9" defaultRowHeight="15.6"/>
  <cols>
    <col min="1" max="9" width="9" style="289"/>
    <col min="10" max="10" width="1.375" style="365" customWidth="1"/>
    <col min="11" max="11" width="9" style="289"/>
    <col min="12" max="30" width="4.125" style="289" customWidth="1"/>
    <col min="31" max="31" width="1.375" style="365" customWidth="1"/>
    <col min="32" max="32" width="8.875" style="289" customWidth="1"/>
    <col min="33" max="33" width="6" style="289" customWidth="1"/>
    <col min="34" max="34" width="6.125" style="289" customWidth="1"/>
    <col min="35" max="35" width="5.375" style="289" customWidth="1"/>
    <col min="36" max="38" width="5.625" style="289" customWidth="1"/>
    <col min="39" max="40" width="9" style="289"/>
    <col min="41" max="46" width="5.625" style="289" customWidth="1"/>
    <col min="47" max="265" width="9" style="289"/>
    <col min="266" max="266" width="1.375" style="289" customWidth="1"/>
    <col min="267" max="267" width="9" style="289"/>
    <col min="268" max="286" width="4.125" style="289" customWidth="1"/>
    <col min="287" max="287" width="1.375" style="289" customWidth="1"/>
    <col min="288" max="288" width="8.875" style="289" customWidth="1"/>
    <col min="289" max="289" width="6" style="289" customWidth="1"/>
    <col min="290" max="290" width="6.125" style="289" customWidth="1"/>
    <col min="291" max="291" width="5.375" style="289" customWidth="1"/>
    <col min="292" max="294" width="5.625" style="289" customWidth="1"/>
    <col min="295" max="296" width="9" style="289"/>
    <col min="297" max="302" width="5.625" style="289" customWidth="1"/>
    <col min="303" max="521" width="9" style="289"/>
    <col min="522" max="522" width="1.375" style="289" customWidth="1"/>
    <col min="523" max="523" width="9" style="289"/>
    <col min="524" max="542" width="4.125" style="289" customWidth="1"/>
    <col min="543" max="543" width="1.375" style="289" customWidth="1"/>
    <col min="544" max="544" width="8.875" style="289" customWidth="1"/>
    <col min="545" max="545" width="6" style="289" customWidth="1"/>
    <col min="546" max="546" width="6.125" style="289" customWidth="1"/>
    <col min="547" max="547" width="5.375" style="289" customWidth="1"/>
    <col min="548" max="550" width="5.625" style="289" customWidth="1"/>
    <col min="551" max="552" width="9" style="289"/>
    <col min="553" max="558" width="5.625" style="289" customWidth="1"/>
    <col min="559" max="777" width="9" style="289"/>
    <col min="778" max="778" width="1.375" style="289" customWidth="1"/>
    <col min="779" max="779" width="9" style="289"/>
    <col min="780" max="798" width="4.125" style="289" customWidth="1"/>
    <col min="799" max="799" width="1.375" style="289" customWidth="1"/>
    <col min="800" max="800" width="8.875" style="289" customWidth="1"/>
    <col min="801" max="801" width="6" style="289" customWidth="1"/>
    <col min="802" max="802" width="6.125" style="289" customWidth="1"/>
    <col min="803" max="803" width="5.375" style="289" customWidth="1"/>
    <col min="804" max="806" width="5.625" style="289" customWidth="1"/>
    <col min="807" max="808" width="9" style="289"/>
    <col min="809" max="814" width="5.625" style="289" customWidth="1"/>
    <col min="815" max="1033" width="9" style="289"/>
    <col min="1034" max="1034" width="1.375" style="289" customWidth="1"/>
    <col min="1035" max="1035" width="9" style="289"/>
    <col min="1036" max="1054" width="4.125" style="289" customWidth="1"/>
    <col min="1055" max="1055" width="1.375" style="289" customWidth="1"/>
    <col min="1056" max="1056" width="8.875" style="289" customWidth="1"/>
    <col min="1057" max="1057" width="6" style="289" customWidth="1"/>
    <col min="1058" max="1058" width="6.125" style="289" customWidth="1"/>
    <col min="1059" max="1059" width="5.375" style="289" customWidth="1"/>
    <col min="1060" max="1062" width="5.625" style="289" customWidth="1"/>
    <col min="1063" max="1064" width="9" style="289"/>
    <col min="1065" max="1070" width="5.625" style="289" customWidth="1"/>
    <col min="1071" max="1289" width="9" style="289"/>
    <col min="1290" max="1290" width="1.375" style="289" customWidth="1"/>
    <col min="1291" max="1291" width="9" style="289"/>
    <col min="1292" max="1310" width="4.125" style="289" customWidth="1"/>
    <col min="1311" max="1311" width="1.375" style="289" customWidth="1"/>
    <col min="1312" max="1312" width="8.875" style="289" customWidth="1"/>
    <col min="1313" max="1313" width="6" style="289" customWidth="1"/>
    <col min="1314" max="1314" width="6.125" style="289" customWidth="1"/>
    <col min="1315" max="1315" width="5.375" style="289" customWidth="1"/>
    <col min="1316" max="1318" width="5.625" style="289" customWidth="1"/>
    <col min="1319" max="1320" width="9" style="289"/>
    <col min="1321" max="1326" width="5.625" style="289" customWidth="1"/>
    <col min="1327" max="1545" width="9" style="289"/>
    <col min="1546" max="1546" width="1.375" style="289" customWidth="1"/>
    <col min="1547" max="1547" width="9" style="289"/>
    <col min="1548" max="1566" width="4.125" style="289" customWidth="1"/>
    <col min="1567" max="1567" width="1.375" style="289" customWidth="1"/>
    <col min="1568" max="1568" width="8.875" style="289" customWidth="1"/>
    <col min="1569" max="1569" width="6" style="289" customWidth="1"/>
    <col min="1570" max="1570" width="6.125" style="289" customWidth="1"/>
    <col min="1571" max="1571" width="5.375" style="289" customWidth="1"/>
    <col min="1572" max="1574" width="5.625" style="289" customWidth="1"/>
    <col min="1575" max="1576" width="9" style="289"/>
    <col min="1577" max="1582" width="5.625" style="289" customWidth="1"/>
    <col min="1583" max="1801" width="9" style="289"/>
    <col min="1802" max="1802" width="1.375" style="289" customWidth="1"/>
    <col min="1803" max="1803" width="9" style="289"/>
    <col min="1804" max="1822" width="4.125" style="289" customWidth="1"/>
    <col min="1823" max="1823" width="1.375" style="289" customWidth="1"/>
    <col min="1824" max="1824" width="8.875" style="289" customWidth="1"/>
    <col min="1825" max="1825" width="6" style="289" customWidth="1"/>
    <col min="1826" max="1826" width="6.125" style="289" customWidth="1"/>
    <col min="1827" max="1827" width="5.375" style="289" customWidth="1"/>
    <col min="1828" max="1830" width="5.625" style="289" customWidth="1"/>
    <col min="1831" max="1832" width="9" style="289"/>
    <col min="1833" max="1838" width="5.625" style="289" customWidth="1"/>
    <col min="1839" max="2057" width="9" style="289"/>
    <col min="2058" max="2058" width="1.375" style="289" customWidth="1"/>
    <col min="2059" max="2059" width="9" style="289"/>
    <col min="2060" max="2078" width="4.125" style="289" customWidth="1"/>
    <col min="2079" max="2079" width="1.375" style="289" customWidth="1"/>
    <col min="2080" max="2080" width="8.875" style="289" customWidth="1"/>
    <col min="2081" max="2081" width="6" style="289" customWidth="1"/>
    <col min="2082" max="2082" width="6.125" style="289" customWidth="1"/>
    <col min="2083" max="2083" width="5.375" style="289" customWidth="1"/>
    <col min="2084" max="2086" width="5.625" style="289" customWidth="1"/>
    <col min="2087" max="2088" width="9" style="289"/>
    <col min="2089" max="2094" width="5.625" style="289" customWidth="1"/>
    <col min="2095" max="2313" width="9" style="289"/>
    <col min="2314" max="2314" width="1.375" style="289" customWidth="1"/>
    <col min="2315" max="2315" width="9" style="289"/>
    <col min="2316" max="2334" width="4.125" style="289" customWidth="1"/>
    <col min="2335" max="2335" width="1.375" style="289" customWidth="1"/>
    <col min="2336" max="2336" width="8.875" style="289" customWidth="1"/>
    <col min="2337" max="2337" width="6" style="289" customWidth="1"/>
    <col min="2338" max="2338" width="6.125" style="289" customWidth="1"/>
    <col min="2339" max="2339" width="5.375" style="289" customWidth="1"/>
    <col min="2340" max="2342" width="5.625" style="289" customWidth="1"/>
    <col min="2343" max="2344" width="9" style="289"/>
    <col min="2345" max="2350" width="5.625" style="289" customWidth="1"/>
    <col min="2351" max="2569" width="9" style="289"/>
    <col min="2570" max="2570" width="1.375" style="289" customWidth="1"/>
    <col min="2571" max="2571" width="9" style="289"/>
    <col min="2572" max="2590" width="4.125" style="289" customWidth="1"/>
    <col min="2591" max="2591" width="1.375" style="289" customWidth="1"/>
    <col min="2592" max="2592" width="8.875" style="289" customWidth="1"/>
    <col min="2593" max="2593" width="6" style="289" customWidth="1"/>
    <col min="2594" max="2594" width="6.125" style="289" customWidth="1"/>
    <col min="2595" max="2595" width="5.375" style="289" customWidth="1"/>
    <col min="2596" max="2598" width="5.625" style="289" customWidth="1"/>
    <col min="2599" max="2600" width="9" style="289"/>
    <col min="2601" max="2606" width="5.625" style="289" customWidth="1"/>
    <col min="2607" max="2825" width="9" style="289"/>
    <col min="2826" max="2826" width="1.375" style="289" customWidth="1"/>
    <col min="2827" max="2827" width="9" style="289"/>
    <col min="2828" max="2846" width="4.125" style="289" customWidth="1"/>
    <col min="2847" max="2847" width="1.375" style="289" customWidth="1"/>
    <col min="2848" max="2848" width="8.875" style="289" customWidth="1"/>
    <col min="2849" max="2849" width="6" style="289" customWidth="1"/>
    <col min="2850" max="2850" width="6.125" style="289" customWidth="1"/>
    <col min="2851" max="2851" width="5.375" style="289" customWidth="1"/>
    <col min="2852" max="2854" width="5.625" style="289" customWidth="1"/>
    <col min="2855" max="2856" width="9" style="289"/>
    <col min="2857" max="2862" width="5.625" style="289" customWidth="1"/>
    <col min="2863" max="3081" width="9" style="289"/>
    <col min="3082" max="3082" width="1.375" style="289" customWidth="1"/>
    <col min="3083" max="3083" width="9" style="289"/>
    <col min="3084" max="3102" width="4.125" style="289" customWidth="1"/>
    <col min="3103" max="3103" width="1.375" style="289" customWidth="1"/>
    <col min="3104" max="3104" width="8.875" style="289" customWidth="1"/>
    <col min="3105" max="3105" width="6" style="289" customWidth="1"/>
    <col min="3106" max="3106" width="6.125" style="289" customWidth="1"/>
    <col min="3107" max="3107" width="5.375" style="289" customWidth="1"/>
    <col min="3108" max="3110" width="5.625" style="289" customWidth="1"/>
    <col min="3111" max="3112" width="9" style="289"/>
    <col min="3113" max="3118" width="5.625" style="289" customWidth="1"/>
    <col min="3119" max="3337" width="9" style="289"/>
    <col min="3338" max="3338" width="1.375" style="289" customWidth="1"/>
    <col min="3339" max="3339" width="9" style="289"/>
    <col min="3340" max="3358" width="4.125" style="289" customWidth="1"/>
    <col min="3359" max="3359" width="1.375" style="289" customWidth="1"/>
    <col min="3360" max="3360" width="8.875" style="289" customWidth="1"/>
    <col min="3361" max="3361" width="6" style="289" customWidth="1"/>
    <col min="3362" max="3362" width="6.125" style="289" customWidth="1"/>
    <col min="3363" max="3363" width="5.375" style="289" customWidth="1"/>
    <col min="3364" max="3366" width="5.625" style="289" customWidth="1"/>
    <col min="3367" max="3368" width="9" style="289"/>
    <col min="3369" max="3374" width="5.625" style="289" customWidth="1"/>
    <col min="3375" max="3593" width="9" style="289"/>
    <col min="3594" max="3594" width="1.375" style="289" customWidth="1"/>
    <col min="3595" max="3595" width="9" style="289"/>
    <col min="3596" max="3614" width="4.125" style="289" customWidth="1"/>
    <col min="3615" max="3615" width="1.375" style="289" customWidth="1"/>
    <col min="3616" max="3616" width="8.875" style="289" customWidth="1"/>
    <col min="3617" max="3617" width="6" style="289" customWidth="1"/>
    <col min="3618" max="3618" width="6.125" style="289" customWidth="1"/>
    <col min="3619" max="3619" width="5.375" style="289" customWidth="1"/>
    <col min="3620" max="3622" width="5.625" style="289" customWidth="1"/>
    <col min="3623" max="3624" width="9" style="289"/>
    <col min="3625" max="3630" width="5.625" style="289" customWidth="1"/>
    <col min="3631" max="3849" width="9" style="289"/>
    <col min="3850" max="3850" width="1.375" style="289" customWidth="1"/>
    <col min="3851" max="3851" width="9" style="289"/>
    <col min="3852" max="3870" width="4.125" style="289" customWidth="1"/>
    <col min="3871" max="3871" width="1.375" style="289" customWidth="1"/>
    <col min="3872" max="3872" width="8.875" style="289" customWidth="1"/>
    <col min="3873" max="3873" width="6" style="289" customWidth="1"/>
    <col min="3874" max="3874" width="6.125" style="289" customWidth="1"/>
    <col min="3875" max="3875" width="5.375" style="289" customWidth="1"/>
    <col min="3876" max="3878" width="5.625" style="289" customWidth="1"/>
    <col min="3879" max="3880" width="9" style="289"/>
    <col min="3881" max="3886" width="5.625" style="289" customWidth="1"/>
    <col min="3887" max="4105" width="9" style="289"/>
    <col min="4106" max="4106" width="1.375" style="289" customWidth="1"/>
    <col min="4107" max="4107" width="9" style="289"/>
    <col min="4108" max="4126" width="4.125" style="289" customWidth="1"/>
    <col min="4127" max="4127" width="1.375" style="289" customWidth="1"/>
    <col min="4128" max="4128" width="8.875" style="289" customWidth="1"/>
    <col min="4129" max="4129" width="6" style="289" customWidth="1"/>
    <col min="4130" max="4130" width="6.125" style="289" customWidth="1"/>
    <col min="4131" max="4131" width="5.375" style="289" customWidth="1"/>
    <col min="4132" max="4134" width="5.625" style="289" customWidth="1"/>
    <col min="4135" max="4136" width="9" style="289"/>
    <col min="4137" max="4142" width="5.625" style="289" customWidth="1"/>
    <col min="4143" max="4361" width="9" style="289"/>
    <col min="4362" max="4362" width="1.375" style="289" customWidth="1"/>
    <col min="4363" max="4363" width="9" style="289"/>
    <col min="4364" max="4382" width="4.125" style="289" customWidth="1"/>
    <col min="4383" max="4383" width="1.375" style="289" customWidth="1"/>
    <col min="4384" max="4384" width="8.875" style="289" customWidth="1"/>
    <col min="4385" max="4385" width="6" style="289" customWidth="1"/>
    <col min="4386" max="4386" width="6.125" style="289" customWidth="1"/>
    <col min="4387" max="4387" width="5.375" style="289" customWidth="1"/>
    <col min="4388" max="4390" width="5.625" style="289" customWidth="1"/>
    <col min="4391" max="4392" width="9" style="289"/>
    <col min="4393" max="4398" width="5.625" style="289" customWidth="1"/>
    <col min="4399" max="4617" width="9" style="289"/>
    <col min="4618" max="4618" width="1.375" style="289" customWidth="1"/>
    <col min="4619" max="4619" width="9" style="289"/>
    <col min="4620" max="4638" width="4.125" style="289" customWidth="1"/>
    <col min="4639" max="4639" width="1.375" style="289" customWidth="1"/>
    <col min="4640" max="4640" width="8.875" style="289" customWidth="1"/>
    <col min="4641" max="4641" width="6" style="289" customWidth="1"/>
    <col min="4642" max="4642" width="6.125" style="289" customWidth="1"/>
    <col min="4643" max="4643" width="5.375" style="289" customWidth="1"/>
    <col min="4644" max="4646" width="5.625" style="289" customWidth="1"/>
    <col min="4647" max="4648" width="9" style="289"/>
    <col min="4649" max="4654" width="5.625" style="289" customWidth="1"/>
    <col min="4655" max="4873" width="9" style="289"/>
    <col min="4874" max="4874" width="1.375" style="289" customWidth="1"/>
    <col min="4875" max="4875" width="9" style="289"/>
    <col min="4876" max="4894" width="4.125" style="289" customWidth="1"/>
    <col min="4895" max="4895" width="1.375" style="289" customWidth="1"/>
    <col min="4896" max="4896" width="8.875" style="289" customWidth="1"/>
    <col min="4897" max="4897" width="6" style="289" customWidth="1"/>
    <col min="4898" max="4898" width="6.125" style="289" customWidth="1"/>
    <col min="4899" max="4899" width="5.375" style="289" customWidth="1"/>
    <col min="4900" max="4902" width="5.625" style="289" customWidth="1"/>
    <col min="4903" max="4904" width="9" style="289"/>
    <col min="4905" max="4910" width="5.625" style="289" customWidth="1"/>
    <col min="4911" max="5129" width="9" style="289"/>
    <col min="5130" max="5130" width="1.375" style="289" customWidth="1"/>
    <col min="5131" max="5131" width="9" style="289"/>
    <col min="5132" max="5150" width="4.125" style="289" customWidth="1"/>
    <col min="5151" max="5151" width="1.375" style="289" customWidth="1"/>
    <col min="5152" max="5152" width="8.875" style="289" customWidth="1"/>
    <col min="5153" max="5153" width="6" style="289" customWidth="1"/>
    <col min="5154" max="5154" width="6.125" style="289" customWidth="1"/>
    <col min="5155" max="5155" width="5.375" style="289" customWidth="1"/>
    <col min="5156" max="5158" width="5.625" style="289" customWidth="1"/>
    <col min="5159" max="5160" width="9" style="289"/>
    <col min="5161" max="5166" width="5.625" style="289" customWidth="1"/>
    <col min="5167" max="5385" width="9" style="289"/>
    <col min="5386" max="5386" width="1.375" style="289" customWidth="1"/>
    <col min="5387" max="5387" width="9" style="289"/>
    <col min="5388" max="5406" width="4.125" style="289" customWidth="1"/>
    <col min="5407" max="5407" width="1.375" style="289" customWidth="1"/>
    <col min="5408" max="5408" width="8.875" style="289" customWidth="1"/>
    <col min="5409" max="5409" width="6" style="289" customWidth="1"/>
    <col min="5410" max="5410" width="6.125" style="289" customWidth="1"/>
    <col min="5411" max="5411" width="5.375" style="289" customWidth="1"/>
    <col min="5412" max="5414" width="5.625" style="289" customWidth="1"/>
    <col min="5415" max="5416" width="9" style="289"/>
    <col min="5417" max="5422" width="5.625" style="289" customWidth="1"/>
    <col min="5423" max="5641" width="9" style="289"/>
    <col min="5642" max="5642" width="1.375" style="289" customWidth="1"/>
    <col min="5643" max="5643" width="9" style="289"/>
    <col min="5644" max="5662" width="4.125" style="289" customWidth="1"/>
    <col min="5663" max="5663" width="1.375" style="289" customWidth="1"/>
    <col min="5664" max="5664" width="8.875" style="289" customWidth="1"/>
    <col min="5665" max="5665" width="6" style="289" customWidth="1"/>
    <col min="5666" max="5666" width="6.125" style="289" customWidth="1"/>
    <col min="5667" max="5667" width="5.375" style="289" customWidth="1"/>
    <col min="5668" max="5670" width="5.625" style="289" customWidth="1"/>
    <col min="5671" max="5672" width="9" style="289"/>
    <col min="5673" max="5678" width="5.625" style="289" customWidth="1"/>
    <col min="5679" max="5897" width="9" style="289"/>
    <col min="5898" max="5898" width="1.375" style="289" customWidth="1"/>
    <col min="5899" max="5899" width="9" style="289"/>
    <col min="5900" max="5918" width="4.125" style="289" customWidth="1"/>
    <col min="5919" max="5919" width="1.375" style="289" customWidth="1"/>
    <col min="5920" max="5920" width="8.875" style="289" customWidth="1"/>
    <col min="5921" max="5921" width="6" style="289" customWidth="1"/>
    <col min="5922" max="5922" width="6.125" style="289" customWidth="1"/>
    <col min="5923" max="5923" width="5.375" style="289" customWidth="1"/>
    <col min="5924" max="5926" width="5.625" style="289" customWidth="1"/>
    <col min="5927" max="5928" width="9" style="289"/>
    <col min="5929" max="5934" width="5.625" style="289" customWidth="1"/>
    <col min="5935" max="6153" width="9" style="289"/>
    <col min="6154" max="6154" width="1.375" style="289" customWidth="1"/>
    <col min="6155" max="6155" width="9" style="289"/>
    <col min="6156" max="6174" width="4.125" style="289" customWidth="1"/>
    <col min="6175" max="6175" width="1.375" style="289" customWidth="1"/>
    <col min="6176" max="6176" width="8.875" style="289" customWidth="1"/>
    <col min="6177" max="6177" width="6" style="289" customWidth="1"/>
    <col min="6178" max="6178" width="6.125" style="289" customWidth="1"/>
    <col min="6179" max="6179" width="5.375" style="289" customWidth="1"/>
    <col min="6180" max="6182" width="5.625" style="289" customWidth="1"/>
    <col min="6183" max="6184" width="9" style="289"/>
    <col min="6185" max="6190" width="5.625" style="289" customWidth="1"/>
    <col min="6191" max="6409" width="9" style="289"/>
    <col min="6410" max="6410" width="1.375" style="289" customWidth="1"/>
    <col min="6411" max="6411" width="9" style="289"/>
    <col min="6412" max="6430" width="4.125" style="289" customWidth="1"/>
    <col min="6431" max="6431" width="1.375" style="289" customWidth="1"/>
    <col min="6432" max="6432" width="8.875" style="289" customWidth="1"/>
    <col min="6433" max="6433" width="6" style="289" customWidth="1"/>
    <col min="6434" max="6434" width="6.125" style="289" customWidth="1"/>
    <col min="6435" max="6435" width="5.375" style="289" customWidth="1"/>
    <col min="6436" max="6438" width="5.625" style="289" customWidth="1"/>
    <col min="6439" max="6440" width="9" style="289"/>
    <col min="6441" max="6446" width="5.625" style="289" customWidth="1"/>
    <col min="6447" max="6665" width="9" style="289"/>
    <col min="6666" max="6666" width="1.375" style="289" customWidth="1"/>
    <col min="6667" max="6667" width="9" style="289"/>
    <col min="6668" max="6686" width="4.125" style="289" customWidth="1"/>
    <col min="6687" max="6687" width="1.375" style="289" customWidth="1"/>
    <col min="6688" max="6688" width="8.875" style="289" customWidth="1"/>
    <col min="6689" max="6689" width="6" style="289" customWidth="1"/>
    <col min="6690" max="6690" width="6.125" style="289" customWidth="1"/>
    <col min="6691" max="6691" width="5.375" style="289" customWidth="1"/>
    <col min="6692" max="6694" width="5.625" style="289" customWidth="1"/>
    <col min="6695" max="6696" width="9" style="289"/>
    <col min="6697" max="6702" width="5.625" style="289" customWidth="1"/>
    <col min="6703" max="6921" width="9" style="289"/>
    <col min="6922" max="6922" width="1.375" style="289" customWidth="1"/>
    <col min="6923" max="6923" width="9" style="289"/>
    <col min="6924" max="6942" width="4.125" style="289" customWidth="1"/>
    <col min="6943" max="6943" width="1.375" style="289" customWidth="1"/>
    <col min="6944" max="6944" width="8.875" style="289" customWidth="1"/>
    <col min="6945" max="6945" width="6" style="289" customWidth="1"/>
    <col min="6946" max="6946" width="6.125" style="289" customWidth="1"/>
    <col min="6947" max="6947" width="5.375" style="289" customWidth="1"/>
    <col min="6948" max="6950" width="5.625" style="289" customWidth="1"/>
    <col min="6951" max="6952" width="9" style="289"/>
    <col min="6953" max="6958" width="5.625" style="289" customWidth="1"/>
    <col min="6959" max="7177" width="9" style="289"/>
    <col min="7178" max="7178" width="1.375" style="289" customWidth="1"/>
    <col min="7179" max="7179" width="9" style="289"/>
    <col min="7180" max="7198" width="4.125" style="289" customWidth="1"/>
    <col min="7199" max="7199" width="1.375" style="289" customWidth="1"/>
    <col min="7200" max="7200" width="8.875" style="289" customWidth="1"/>
    <col min="7201" max="7201" width="6" style="289" customWidth="1"/>
    <col min="7202" max="7202" width="6.125" style="289" customWidth="1"/>
    <col min="7203" max="7203" width="5.375" style="289" customWidth="1"/>
    <col min="7204" max="7206" width="5.625" style="289" customWidth="1"/>
    <col min="7207" max="7208" width="9" style="289"/>
    <col min="7209" max="7214" width="5.625" style="289" customWidth="1"/>
    <col min="7215" max="7433" width="9" style="289"/>
    <col min="7434" max="7434" width="1.375" style="289" customWidth="1"/>
    <col min="7435" max="7435" width="9" style="289"/>
    <col min="7436" max="7454" width="4.125" style="289" customWidth="1"/>
    <col min="7455" max="7455" width="1.375" style="289" customWidth="1"/>
    <col min="7456" max="7456" width="8.875" style="289" customWidth="1"/>
    <col min="7457" max="7457" width="6" style="289" customWidth="1"/>
    <col min="7458" max="7458" width="6.125" style="289" customWidth="1"/>
    <col min="7459" max="7459" width="5.375" style="289" customWidth="1"/>
    <col min="7460" max="7462" width="5.625" style="289" customWidth="1"/>
    <col min="7463" max="7464" width="9" style="289"/>
    <col min="7465" max="7470" width="5.625" style="289" customWidth="1"/>
    <col min="7471" max="7689" width="9" style="289"/>
    <col min="7690" max="7690" width="1.375" style="289" customWidth="1"/>
    <col min="7691" max="7691" width="9" style="289"/>
    <col min="7692" max="7710" width="4.125" style="289" customWidth="1"/>
    <col min="7711" max="7711" width="1.375" style="289" customWidth="1"/>
    <col min="7712" max="7712" width="8.875" style="289" customWidth="1"/>
    <col min="7713" max="7713" width="6" style="289" customWidth="1"/>
    <col min="7714" max="7714" width="6.125" style="289" customWidth="1"/>
    <col min="7715" max="7715" width="5.375" style="289" customWidth="1"/>
    <col min="7716" max="7718" width="5.625" style="289" customWidth="1"/>
    <col min="7719" max="7720" width="9" style="289"/>
    <col min="7721" max="7726" width="5.625" style="289" customWidth="1"/>
    <col min="7727" max="7945" width="9" style="289"/>
    <col min="7946" max="7946" width="1.375" style="289" customWidth="1"/>
    <col min="7947" max="7947" width="9" style="289"/>
    <col min="7948" max="7966" width="4.125" style="289" customWidth="1"/>
    <col min="7967" max="7967" width="1.375" style="289" customWidth="1"/>
    <col min="7968" max="7968" width="8.875" style="289" customWidth="1"/>
    <col min="7969" max="7969" width="6" style="289" customWidth="1"/>
    <col min="7970" max="7970" width="6.125" style="289" customWidth="1"/>
    <col min="7971" max="7971" width="5.375" style="289" customWidth="1"/>
    <col min="7972" max="7974" width="5.625" style="289" customWidth="1"/>
    <col min="7975" max="7976" width="9" style="289"/>
    <col min="7977" max="7982" width="5.625" style="289" customWidth="1"/>
    <col min="7983" max="8201" width="9" style="289"/>
    <col min="8202" max="8202" width="1.375" style="289" customWidth="1"/>
    <col min="8203" max="8203" width="9" style="289"/>
    <col min="8204" max="8222" width="4.125" style="289" customWidth="1"/>
    <col min="8223" max="8223" width="1.375" style="289" customWidth="1"/>
    <col min="8224" max="8224" width="8.875" style="289" customWidth="1"/>
    <col min="8225" max="8225" width="6" style="289" customWidth="1"/>
    <col min="8226" max="8226" width="6.125" style="289" customWidth="1"/>
    <col min="8227" max="8227" width="5.375" style="289" customWidth="1"/>
    <col min="8228" max="8230" width="5.625" style="289" customWidth="1"/>
    <col min="8231" max="8232" width="9" style="289"/>
    <col min="8233" max="8238" width="5.625" style="289" customWidth="1"/>
    <col min="8239" max="8457" width="9" style="289"/>
    <col min="8458" max="8458" width="1.375" style="289" customWidth="1"/>
    <col min="8459" max="8459" width="9" style="289"/>
    <col min="8460" max="8478" width="4.125" style="289" customWidth="1"/>
    <col min="8479" max="8479" width="1.375" style="289" customWidth="1"/>
    <col min="8480" max="8480" width="8.875" style="289" customWidth="1"/>
    <col min="8481" max="8481" width="6" style="289" customWidth="1"/>
    <col min="8482" max="8482" width="6.125" style="289" customWidth="1"/>
    <col min="8483" max="8483" width="5.375" style="289" customWidth="1"/>
    <col min="8484" max="8486" width="5.625" style="289" customWidth="1"/>
    <col min="8487" max="8488" width="9" style="289"/>
    <col min="8489" max="8494" width="5.625" style="289" customWidth="1"/>
    <col min="8495" max="8713" width="9" style="289"/>
    <col min="8714" max="8714" width="1.375" style="289" customWidth="1"/>
    <col min="8715" max="8715" width="9" style="289"/>
    <col min="8716" max="8734" width="4.125" style="289" customWidth="1"/>
    <col min="8735" max="8735" width="1.375" style="289" customWidth="1"/>
    <col min="8736" max="8736" width="8.875" style="289" customWidth="1"/>
    <col min="8737" max="8737" width="6" style="289" customWidth="1"/>
    <col min="8738" max="8738" width="6.125" style="289" customWidth="1"/>
    <col min="8739" max="8739" width="5.375" style="289" customWidth="1"/>
    <col min="8740" max="8742" width="5.625" style="289" customWidth="1"/>
    <col min="8743" max="8744" width="9" style="289"/>
    <col min="8745" max="8750" width="5.625" style="289" customWidth="1"/>
    <col min="8751" max="8969" width="9" style="289"/>
    <col min="8970" max="8970" width="1.375" style="289" customWidth="1"/>
    <col min="8971" max="8971" width="9" style="289"/>
    <col min="8972" max="8990" width="4.125" style="289" customWidth="1"/>
    <col min="8991" max="8991" width="1.375" style="289" customWidth="1"/>
    <col min="8992" max="8992" width="8.875" style="289" customWidth="1"/>
    <col min="8993" max="8993" width="6" style="289" customWidth="1"/>
    <col min="8994" max="8994" width="6.125" style="289" customWidth="1"/>
    <col min="8995" max="8995" width="5.375" style="289" customWidth="1"/>
    <col min="8996" max="8998" width="5.625" style="289" customWidth="1"/>
    <col min="8999" max="9000" width="9" style="289"/>
    <col min="9001" max="9006" width="5.625" style="289" customWidth="1"/>
    <col min="9007" max="9225" width="9" style="289"/>
    <col min="9226" max="9226" width="1.375" style="289" customWidth="1"/>
    <col min="9227" max="9227" width="9" style="289"/>
    <col min="9228" max="9246" width="4.125" style="289" customWidth="1"/>
    <col min="9247" max="9247" width="1.375" style="289" customWidth="1"/>
    <col min="9248" max="9248" width="8.875" style="289" customWidth="1"/>
    <col min="9249" max="9249" width="6" style="289" customWidth="1"/>
    <col min="9250" max="9250" width="6.125" style="289" customWidth="1"/>
    <col min="9251" max="9251" width="5.375" style="289" customWidth="1"/>
    <col min="9252" max="9254" width="5.625" style="289" customWidth="1"/>
    <col min="9255" max="9256" width="9" style="289"/>
    <col min="9257" max="9262" width="5.625" style="289" customWidth="1"/>
    <col min="9263" max="9481" width="9" style="289"/>
    <col min="9482" max="9482" width="1.375" style="289" customWidth="1"/>
    <col min="9483" max="9483" width="9" style="289"/>
    <col min="9484" max="9502" width="4.125" style="289" customWidth="1"/>
    <col min="9503" max="9503" width="1.375" style="289" customWidth="1"/>
    <col min="9504" max="9504" width="8.875" style="289" customWidth="1"/>
    <col min="9505" max="9505" width="6" style="289" customWidth="1"/>
    <col min="9506" max="9506" width="6.125" style="289" customWidth="1"/>
    <col min="9507" max="9507" width="5.375" style="289" customWidth="1"/>
    <col min="9508" max="9510" width="5.625" style="289" customWidth="1"/>
    <col min="9511" max="9512" width="9" style="289"/>
    <col min="9513" max="9518" width="5.625" style="289" customWidth="1"/>
    <col min="9519" max="9737" width="9" style="289"/>
    <col min="9738" max="9738" width="1.375" style="289" customWidth="1"/>
    <col min="9739" max="9739" width="9" style="289"/>
    <col min="9740" max="9758" width="4.125" style="289" customWidth="1"/>
    <col min="9759" max="9759" width="1.375" style="289" customWidth="1"/>
    <col min="9760" max="9760" width="8.875" style="289" customWidth="1"/>
    <col min="9761" max="9761" width="6" style="289" customWidth="1"/>
    <col min="9762" max="9762" width="6.125" style="289" customWidth="1"/>
    <col min="9763" max="9763" width="5.375" style="289" customWidth="1"/>
    <col min="9764" max="9766" width="5.625" style="289" customWidth="1"/>
    <col min="9767" max="9768" width="9" style="289"/>
    <col min="9769" max="9774" width="5.625" style="289" customWidth="1"/>
    <col min="9775" max="9993" width="9" style="289"/>
    <col min="9994" max="9994" width="1.375" style="289" customWidth="1"/>
    <col min="9995" max="9995" width="9" style="289"/>
    <col min="9996" max="10014" width="4.125" style="289" customWidth="1"/>
    <col min="10015" max="10015" width="1.375" style="289" customWidth="1"/>
    <col min="10016" max="10016" width="8.875" style="289" customWidth="1"/>
    <col min="10017" max="10017" width="6" style="289" customWidth="1"/>
    <col min="10018" max="10018" width="6.125" style="289" customWidth="1"/>
    <col min="10019" max="10019" width="5.375" style="289" customWidth="1"/>
    <col min="10020" max="10022" width="5.625" style="289" customWidth="1"/>
    <col min="10023" max="10024" width="9" style="289"/>
    <col min="10025" max="10030" width="5.625" style="289" customWidth="1"/>
    <col min="10031" max="10249" width="9" style="289"/>
    <col min="10250" max="10250" width="1.375" style="289" customWidth="1"/>
    <col min="10251" max="10251" width="9" style="289"/>
    <col min="10252" max="10270" width="4.125" style="289" customWidth="1"/>
    <col min="10271" max="10271" width="1.375" style="289" customWidth="1"/>
    <col min="10272" max="10272" width="8.875" style="289" customWidth="1"/>
    <col min="10273" max="10273" width="6" style="289" customWidth="1"/>
    <col min="10274" max="10274" width="6.125" style="289" customWidth="1"/>
    <col min="10275" max="10275" width="5.375" style="289" customWidth="1"/>
    <col min="10276" max="10278" width="5.625" style="289" customWidth="1"/>
    <col min="10279" max="10280" width="9" style="289"/>
    <col min="10281" max="10286" width="5.625" style="289" customWidth="1"/>
    <col min="10287" max="10505" width="9" style="289"/>
    <col min="10506" max="10506" width="1.375" style="289" customWidth="1"/>
    <col min="10507" max="10507" width="9" style="289"/>
    <col min="10508" max="10526" width="4.125" style="289" customWidth="1"/>
    <col min="10527" max="10527" width="1.375" style="289" customWidth="1"/>
    <col min="10528" max="10528" width="8.875" style="289" customWidth="1"/>
    <col min="10529" max="10529" width="6" style="289" customWidth="1"/>
    <col min="10530" max="10530" width="6.125" style="289" customWidth="1"/>
    <col min="10531" max="10531" width="5.375" style="289" customWidth="1"/>
    <col min="10532" max="10534" width="5.625" style="289" customWidth="1"/>
    <col min="10535" max="10536" width="9" style="289"/>
    <col min="10537" max="10542" width="5.625" style="289" customWidth="1"/>
    <col min="10543" max="10761" width="9" style="289"/>
    <col min="10762" max="10762" width="1.375" style="289" customWidth="1"/>
    <col min="10763" max="10763" width="9" style="289"/>
    <col min="10764" max="10782" width="4.125" style="289" customWidth="1"/>
    <col min="10783" max="10783" width="1.375" style="289" customWidth="1"/>
    <col min="10784" max="10784" width="8.875" style="289" customWidth="1"/>
    <col min="10785" max="10785" width="6" style="289" customWidth="1"/>
    <col min="10786" max="10786" width="6.125" style="289" customWidth="1"/>
    <col min="10787" max="10787" width="5.375" style="289" customWidth="1"/>
    <col min="10788" max="10790" width="5.625" style="289" customWidth="1"/>
    <col min="10791" max="10792" width="9" style="289"/>
    <col min="10793" max="10798" width="5.625" style="289" customWidth="1"/>
    <col min="10799" max="11017" width="9" style="289"/>
    <col min="11018" max="11018" width="1.375" style="289" customWidth="1"/>
    <col min="11019" max="11019" width="9" style="289"/>
    <col min="11020" max="11038" width="4.125" style="289" customWidth="1"/>
    <col min="11039" max="11039" width="1.375" style="289" customWidth="1"/>
    <col min="11040" max="11040" width="8.875" style="289" customWidth="1"/>
    <col min="11041" max="11041" width="6" style="289" customWidth="1"/>
    <col min="11042" max="11042" width="6.125" style="289" customWidth="1"/>
    <col min="11043" max="11043" width="5.375" style="289" customWidth="1"/>
    <col min="11044" max="11046" width="5.625" style="289" customWidth="1"/>
    <col min="11047" max="11048" width="9" style="289"/>
    <col min="11049" max="11054" width="5.625" style="289" customWidth="1"/>
    <col min="11055" max="11273" width="9" style="289"/>
    <col min="11274" max="11274" width="1.375" style="289" customWidth="1"/>
    <col min="11275" max="11275" width="9" style="289"/>
    <col min="11276" max="11294" width="4.125" style="289" customWidth="1"/>
    <col min="11295" max="11295" width="1.375" style="289" customWidth="1"/>
    <col min="11296" max="11296" width="8.875" style="289" customWidth="1"/>
    <col min="11297" max="11297" width="6" style="289" customWidth="1"/>
    <col min="11298" max="11298" width="6.125" style="289" customWidth="1"/>
    <col min="11299" max="11299" width="5.375" style="289" customWidth="1"/>
    <col min="11300" max="11302" width="5.625" style="289" customWidth="1"/>
    <col min="11303" max="11304" width="9" style="289"/>
    <col min="11305" max="11310" width="5.625" style="289" customWidth="1"/>
    <col min="11311" max="11529" width="9" style="289"/>
    <col min="11530" max="11530" width="1.375" style="289" customWidth="1"/>
    <col min="11531" max="11531" width="9" style="289"/>
    <col min="11532" max="11550" width="4.125" style="289" customWidth="1"/>
    <col min="11551" max="11551" width="1.375" style="289" customWidth="1"/>
    <col min="11552" max="11552" width="8.875" style="289" customWidth="1"/>
    <col min="11553" max="11553" width="6" style="289" customWidth="1"/>
    <col min="11554" max="11554" width="6.125" style="289" customWidth="1"/>
    <col min="11555" max="11555" width="5.375" style="289" customWidth="1"/>
    <col min="11556" max="11558" width="5.625" style="289" customWidth="1"/>
    <col min="11559" max="11560" width="9" style="289"/>
    <col min="11561" max="11566" width="5.625" style="289" customWidth="1"/>
    <col min="11567" max="11785" width="9" style="289"/>
    <col min="11786" max="11786" width="1.375" style="289" customWidth="1"/>
    <col min="11787" max="11787" width="9" style="289"/>
    <col min="11788" max="11806" width="4.125" style="289" customWidth="1"/>
    <col min="11807" max="11807" width="1.375" style="289" customWidth="1"/>
    <col min="11808" max="11808" width="8.875" style="289" customWidth="1"/>
    <col min="11809" max="11809" width="6" style="289" customWidth="1"/>
    <col min="11810" max="11810" width="6.125" style="289" customWidth="1"/>
    <col min="11811" max="11811" width="5.375" style="289" customWidth="1"/>
    <col min="11812" max="11814" width="5.625" style="289" customWidth="1"/>
    <col min="11815" max="11816" width="9" style="289"/>
    <col min="11817" max="11822" width="5.625" style="289" customWidth="1"/>
    <col min="11823" max="12041" width="9" style="289"/>
    <col min="12042" max="12042" width="1.375" style="289" customWidth="1"/>
    <col min="12043" max="12043" width="9" style="289"/>
    <col min="12044" max="12062" width="4.125" style="289" customWidth="1"/>
    <col min="12063" max="12063" width="1.375" style="289" customWidth="1"/>
    <col min="12064" max="12064" width="8.875" style="289" customWidth="1"/>
    <col min="12065" max="12065" width="6" style="289" customWidth="1"/>
    <col min="12066" max="12066" width="6.125" style="289" customWidth="1"/>
    <col min="12067" max="12067" width="5.375" style="289" customWidth="1"/>
    <col min="12068" max="12070" width="5.625" style="289" customWidth="1"/>
    <col min="12071" max="12072" width="9" style="289"/>
    <col min="12073" max="12078" width="5.625" style="289" customWidth="1"/>
    <col min="12079" max="12297" width="9" style="289"/>
    <col min="12298" max="12298" width="1.375" style="289" customWidth="1"/>
    <col min="12299" max="12299" width="9" style="289"/>
    <col min="12300" max="12318" width="4.125" style="289" customWidth="1"/>
    <col min="12319" max="12319" width="1.375" style="289" customWidth="1"/>
    <col min="12320" max="12320" width="8.875" style="289" customWidth="1"/>
    <col min="12321" max="12321" width="6" style="289" customWidth="1"/>
    <col min="12322" max="12322" width="6.125" style="289" customWidth="1"/>
    <col min="12323" max="12323" width="5.375" style="289" customWidth="1"/>
    <col min="12324" max="12326" width="5.625" style="289" customWidth="1"/>
    <col min="12327" max="12328" width="9" style="289"/>
    <col min="12329" max="12334" width="5.625" style="289" customWidth="1"/>
    <col min="12335" max="12553" width="9" style="289"/>
    <col min="12554" max="12554" width="1.375" style="289" customWidth="1"/>
    <col min="12555" max="12555" width="9" style="289"/>
    <col min="12556" max="12574" width="4.125" style="289" customWidth="1"/>
    <col min="12575" max="12575" width="1.375" style="289" customWidth="1"/>
    <col min="12576" max="12576" width="8.875" style="289" customWidth="1"/>
    <col min="12577" max="12577" width="6" style="289" customWidth="1"/>
    <col min="12578" max="12578" width="6.125" style="289" customWidth="1"/>
    <col min="12579" max="12579" width="5.375" style="289" customWidth="1"/>
    <col min="12580" max="12582" width="5.625" style="289" customWidth="1"/>
    <col min="12583" max="12584" width="9" style="289"/>
    <col min="12585" max="12590" width="5.625" style="289" customWidth="1"/>
    <col min="12591" max="12809" width="9" style="289"/>
    <col min="12810" max="12810" width="1.375" style="289" customWidth="1"/>
    <col min="12811" max="12811" width="9" style="289"/>
    <col min="12812" max="12830" width="4.125" style="289" customWidth="1"/>
    <col min="12831" max="12831" width="1.375" style="289" customWidth="1"/>
    <col min="12832" max="12832" width="8.875" style="289" customWidth="1"/>
    <col min="12833" max="12833" width="6" style="289" customWidth="1"/>
    <col min="12834" max="12834" width="6.125" style="289" customWidth="1"/>
    <col min="12835" max="12835" width="5.375" style="289" customWidth="1"/>
    <col min="12836" max="12838" width="5.625" style="289" customWidth="1"/>
    <col min="12839" max="12840" width="9" style="289"/>
    <col min="12841" max="12846" width="5.625" style="289" customWidth="1"/>
    <col min="12847" max="13065" width="9" style="289"/>
    <col min="13066" max="13066" width="1.375" style="289" customWidth="1"/>
    <col min="13067" max="13067" width="9" style="289"/>
    <col min="13068" max="13086" width="4.125" style="289" customWidth="1"/>
    <col min="13087" max="13087" width="1.375" style="289" customWidth="1"/>
    <col min="13088" max="13088" width="8.875" style="289" customWidth="1"/>
    <col min="13089" max="13089" width="6" style="289" customWidth="1"/>
    <col min="13090" max="13090" width="6.125" style="289" customWidth="1"/>
    <col min="13091" max="13091" width="5.375" style="289" customWidth="1"/>
    <col min="13092" max="13094" width="5.625" style="289" customWidth="1"/>
    <col min="13095" max="13096" width="9" style="289"/>
    <col min="13097" max="13102" width="5.625" style="289" customWidth="1"/>
    <col min="13103" max="13321" width="9" style="289"/>
    <col min="13322" max="13322" width="1.375" style="289" customWidth="1"/>
    <col min="13323" max="13323" width="9" style="289"/>
    <col min="13324" max="13342" width="4.125" style="289" customWidth="1"/>
    <col min="13343" max="13343" width="1.375" style="289" customWidth="1"/>
    <col min="13344" max="13344" width="8.875" style="289" customWidth="1"/>
    <col min="13345" max="13345" width="6" style="289" customWidth="1"/>
    <col min="13346" max="13346" width="6.125" style="289" customWidth="1"/>
    <col min="13347" max="13347" width="5.375" style="289" customWidth="1"/>
    <col min="13348" max="13350" width="5.625" style="289" customWidth="1"/>
    <col min="13351" max="13352" width="9" style="289"/>
    <col min="13353" max="13358" width="5.625" style="289" customWidth="1"/>
    <col min="13359" max="13577" width="9" style="289"/>
    <col min="13578" max="13578" width="1.375" style="289" customWidth="1"/>
    <col min="13579" max="13579" width="9" style="289"/>
    <col min="13580" max="13598" width="4.125" style="289" customWidth="1"/>
    <col min="13599" max="13599" width="1.375" style="289" customWidth="1"/>
    <col min="13600" max="13600" width="8.875" style="289" customWidth="1"/>
    <col min="13601" max="13601" width="6" style="289" customWidth="1"/>
    <col min="13602" max="13602" width="6.125" style="289" customWidth="1"/>
    <col min="13603" max="13603" width="5.375" style="289" customWidth="1"/>
    <col min="13604" max="13606" width="5.625" style="289" customWidth="1"/>
    <col min="13607" max="13608" width="9" style="289"/>
    <col min="13609" max="13614" width="5.625" style="289" customWidth="1"/>
    <col min="13615" max="13833" width="9" style="289"/>
    <col min="13834" max="13834" width="1.375" style="289" customWidth="1"/>
    <col min="13835" max="13835" width="9" style="289"/>
    <col min="13836" max="13854" width="4.125" style="289" customWidth="1"/>
    <col min="13855" max="13855" width="1.375" style="289" customWidth="1"/>
    <col min="13856" max="13856" width="8.875" style="289" customWidth="1"/>
    <col min="13857" max="13857" width="6" style="289" customWidth="1"/>
    <col min="13858" max="13858" width="6.125" style="289" customWidth="1"/>
    <col min="13859" max="13859" width="5.375" style="289" customWidth="1"/>
    <col min="13860" max="13862" width="5.625" style="289" customWidth="1"/>
    <col min="13863" max="13864" width="9" style="289"/>
    <col min="13865" max="13870" width="5.625" style="289" customWidth="1"/>
    <col min="13871" max="14089" width="9" style="289"/>
    <col min="14090" max="14090" width="1.375" style="289" customWidth="1"/>
    <col min="14091" max="14091" width="9" style="289"/>
    <col min="14092" max="14110" width="4.125" style="289" customWidth="1"/>
    <col min="14111" max="14111" width="1.375" style="289" customWidth="1"/>
    <col min="14112" max="14112" width="8.875" style="289" customWidth="1"/>
    <col min="14113" max="14113" width="6" style="289" customWidth="1"/>
    <col min="14114" max="14114" width="6.125" style="289" customWidth="1"/>
    <col min="14115" max="14115" width="5.375" style="289" customWidth="1"/>
    <col min="14116" max="14118" width="5.625" style="289" customWidth="1"/>
    <col min="14119" max="14120" width="9" style="289"/>
    <col min="14121" max="14126" width="5.625" style="289" customWidth="1"/>
    <col min="14127" max="14345" width="9" style="289"/>
    <col min="14346" max="14346" width="1.375" style="289" customWidth="1"/>
    <col min="14347" max="14347" width="9" style="289"/>
    <col min="14348" max="14366" width="4.125" style="289" customWidth="1"/>
    <col min="14367" max="14367" width="1.375" style="289" customWidth="1"/>
    <col min="14368" max="14368" width="8.875" style="289" customWidth="1"/>
    <col min="14369" max="14369" width="6" style="289" customWidth="1"/>
    <col min="14370" max="14370" width="6.125" style="289" customWidth="1"/>
    <col min="14371" max="14371" width="5.375" style="289" customWidth="1"/>
    <col min="14372" max="14374" width="5.625" style="289" customWidth="1"/>
    <col min="14375" max="14376" width="9" style="289"/>
    <col min="14377" max="14382" width="5.625" style="289" customWidth="1"/>
    <col min="14383" max="14601" width="9" style="289"/>
    <col min="14602" max="14602" width="1.375" style="289" customWidth="1"/>
    <col min="14603" max="14603" width="9" style="289"/>
    <col min="14604" max="14622" width="4.125" style="289" customWidth="1"/>
    <col min="14623" max="14623" width="1.375" style="289" customWidth="1"/>
    <col min="14624" max="14624" width="8.875" style="289" customWidth="1"/>
    <col min="14625" max="14625" width="6" style="289" customWidth="1"/>
    <col min="14626" max="14626" width="6.125" style="289" customWidth="1"/>
    <col min="14627" max="14627" width="5.375" style="289" customWidth="1"/>
    <col min="14628" max="14630" width="5.625" style="289" customWidth="1"/>
    <col min="14631" max="14632" width="9" style="289"/>
    <col min="14633" max="14638" width="5.625" style="289" customWidth="1"/>
    <col min="14639" max="14857" width="9" style="289"/>
    <col min="14858" max="14858" width="1.375" style="289" customWidth="1"/>
    <col min="14859" max="14859" width="9" style="289"/>
    <col min="14860" max="14878" width="4.125" style="289" customWidth="1"/>
    <col min="14879" max="14879" width="1.375" style="289" customWidth="1"/>
    <col min="14880" max="14880" width="8.875" style="289" customWidth="1"/>
    <col min="14881" max="14881" width="6" style="289" customWidth="1"/>
    <col min="14882" max="14882" width="6.125" style="289" customWidth="1"/>
    <col min="14883" max="14883" width="5.375" style="289" customWidth="1"/>
    <col min="14884" max="14886" width="5.625" style="289" customWidth="1"/>
    <col min="14887" max="14888" width="9" style="289"/>
    <col min="14889" max="14894" width="5.625" style="289" customWidth="1"/>
    <col min="14895" max="15113" width="9" style="289"/>
    <col min="15114" max="15114" width="1.375" style="289" customWidth="1"/>
    <col min="15115" max="15115" width="9" style="289"/>
    <col min="15116" max="15134" width="4.125" style="289" customWidth="1"/>
    <col min="15135" max="15135" width="1.375" style="289" customWidth="1"/>
    <col min="15136" max="15136" width="8.875" style="289" customWidth="1"/>
    <col min="15137" max="15137" width="6" style="289" customWidth="1"/>
    <col min="15138" max="15138" width="6.125" style="289" customWidth="1"/>
    <col min="15139" max="15139" width="5.375" style="289" customWidth="1"/>
    <col min="15140" max="15142" width="5.625" style="289" customWidth="1"/>
    <col min="15143" max="15144" width="9" style="289"/>
    <col min="15145" max="15150" width="5.625" style="289" customWidth="1"/>
    <col min="15151" max="15369" width="9" style="289"/>
    <col min="15370" max="15370" width="1.375" style="289" customWidth="1"/>
    <col min="15371" max="15371" width="9" style="289"/>
    <col min="15372" max="15390" width="4.125" style="289" customWidth="1"/>
    <col min="15391" max="15391" width="1.375" style="289" customWidth="1"/>
    <col min="15392" max="15392" width="8.875" style="289" customWidth="1"/>
    <col min="15393" max="15393" width="6" style="289" customWidth="1"/>
    <col min="15394" max="15394" width="6.125" style="289" customWidth="1"/>
    <col min="15395" max="15395" width="5.375" style="289" customWidth="1"/>
    <col min="15396" max="15398" width="5.625" style="289" customWidth="1"/>
    <col min="15399" max="15400" width="9" style="289"/>
    <col min="15401" max="15406" width="5.625" style="289" customWidth="1"/>
    <col min="15407" max="15625" width="9" style="289"/>
    <col min="15626" max="15626" width="1.375" style="289" customWidth="1"/>
    <col min="15627" max="15627" width="9" style="289"/>
    <col min="15628" max="15646" width="4.125" style="289" customWidth="1"/>
    <col min="15647" max="15647" width="1.375" style="289" customWidth="1"/>
    <col min="15648" max="15648" width="8.875" style="289" customWidth="1"/>
    <col min="15649" max="15649" width="6" style="289" customWidth="1"/>
    <col min="15650" max="15650" width="6.125" style="289" customWidth="1"/>
    <col min="15651" max="15651" width="5.375" style="289" customWidth="1"/>
    <col min="15652" max="15654" width="5.625" style="289" customWidth="1"/>
    <col min="15655" max="15656" width="9" style="289"/>
    <col min="15657" max="15662" width="5.625" style="289" customWidth="1"/>
    <col min="15663" max="15881" width="9" style="289"/>
    <col min="15882" max="15882" width="1.375" style="289" customWidth="1"/>
    <col min="15883" max="15883" width="9" style="289"/>
    <col min="15884" max="15902" width="4.125" style="289" customWidth="1"/>
    <col min="15903" max="15903" width="1.375" style="289" customWidth="1"/>
    <col min="15904" max="15904" width="8.875" style="289" customWidth="1"/>
    <col min="15905" max="15905" width="6" style="289" customWidth="1"/>
    <col min="15906" max="15906" width="6.125" style="289" customWidth="1"/>
    <col min="15907" max="15907" width="5.375" style="289" customWidth="1"/>
    <col min="15908" max="15910" width="5.625" style="289" customWidth="1"/>
    <col min="15911" max="15912" width="9" style="289"/>
    <col min="15913" max="15918" width="5.625" style="289" customWidth="1"/>
    <col min="15919" max="16137" width="9" style="289"/>
    <col min="16138" max="16138" width="1.375" style="289" customWidth="1"/>
    <col min="16139" max="16139" width="9" style="289"/>
    <col min="16140" max="16158" width="4.125" style="289" customWidth="1"/>
    <col min="16159" max="16159" width="1.375" style="289" customWidth="1"/>
    <col min="16160" max="16160" width="8.875" style="289" customWidth="1"/>
    <col min="16161" max="16161" width="6" style="289" customWidth="1"/>
    <col min="16162" max="16162" width="6.125" style="289" customWidth="1"/>
    <col min="16163" max="16163" width="5.375" style="289" customWidth="1"/>
    <col min="16164" max="16166" width="5.625" style="289" customWidth="1"/>
    <col min="16167" max="16168" width="9" style="289"/>
    <col min="16169" max="16174" width="5.625" style="289" customWidth="1"/>
    <col min="16175" max="16384" width="9" style="289"/>
  </cols>
  <sheetData>
    <row r="1" ht="25.8" spans="1:46">
      <c r="A1" s="366" t="s">
        <v>6612</v>
      </c>
      <c r="B1" s="366"/>
      <c r="C1" s="366"/>
      <c r="D1" s="366"/>
      <c r="E1" s="366"/>
      <c r="F1" s="366"/>
      <c r="G1" s="366"/>
      <c r="H1" s="155" t="s">
        <v>88</v>
      </c>
      <c r="K1" s="369" t="s">
        <v>6613</v>
      </c>
      <c r="L1" s="369"/>
      <c r="M1" s="369"/>
      <c r="N1" s="369"/>
      <c r="O1" s="369"/>
      <c r="P1" s="369"/>
      <c r="Q1" s="369"/>
      <c r="R1" s="369"/>
      <c r="S1" s="369"/>
      <c r="T1" s="369"/>
      <c r="U1" s="369"/>
      <c r="V1" s="369"/>
      <c r="W1" s="369"/>
      <c r="X1" s="369"/>
      <c r="Y1" s="381"/>
      <c r="Z1" s="381"/>
      <c r="AA1" s="381"/>
      <c r="AB1" s="381"/>
      <c r="AC1" s="381"/>
      <c r="AD1" s="381"/>
      <c r="AE1" s="382"/>
      <c r="AF1" s="369" t="s">
        <v>6614</v>
      </c>
      <c r="AG1" s="369"/>
      <c r="AH1" s="369"/>
      <c r="AI1" s="369"/>
      <c r="AJ1" s="369"/>
      <c r="AK1" s="369"/>
      <c r="AL1" s="369"/>
      <c r="AM1" s="369"/>
      <c r="AN1" s="369"/>
      <c r="AO1" s="369"/>
      <c r="AP1" s="369"/>
      <c r="AQ1" s="369"/>
      <c r="AR1" s="369"/>
      <c r="AS1" s="369"/>
      <c r="AT1" s="369"/>
    </row>
    <row r="2" spans="1:46">
      <c r="A2" s="291" t="s">
        <v>2714</v>
      </c>
      <c r="B2" s="204" t="s">
        <v>6615</v>
      </c>
      <c r="C2" s="204"/>
      <c r="D2" s="204" t="s">
        <v>6616</v>
      </c>
      <c r="E2" s="204"/>
      <c r="F2" s="204" t="s">
        <v>6617</v>
      </c>
      <c r="G2" s="204"/>
      <c r="K2" s="370" t="s">
        <v>2714</v>
      </c>
      <c r="L2" s="371"/>
      <c r="M2" s="370" t="s">
        <v>6618</v>
      </c>
      <c r="N2" s="372"/>
      <c r="O2" s="372"/>
      <c r="P2" s="371"/>
      <c r="Q2" s="370" t="s">
        <v>6619</v>
      </c>
      <c r="R2" s="372"/>
      <c r="S2" s="372"/>
      <c r="T2" s="371"/>
      <c r="U2" s="370" t="s">
        <v>6620</v>
      </c>
      <c r="V2" s="372"/>
      <c r="W2" s="372"/>
      <c r="X2" s="371"/>
      <c r="AF2" s="291" t="s">
        <v>2714</v>
      </c>
      <c r="AG2" s="383" t="s">
        <v>6621</v>
      </c>
      <c r="AH2" s="384"/>
      <c r="AI2" s="291" t="s">
        <v>6622</v>
      </c>
      <c r="AJ2" s="370" t="s">
        <v>6623</v>
      </c>
      <c r="AK2" s="371"/>
      <c r="AL2" s="370" t="s">
        <v>6624</v>
      </c>
      <c r="AM2" s="372"/>
      <c r="AN2" s="371"/>
      <c r="AO2" s="370" t="s">
        <v>6625</v>
      </c>
      <c r="AP2" s="372"/>
      <c r="AQ2" s="371"/>
      <c r="AR2" s="370" t="s">
        <v>6626</v>
      </c>
      <c r="AS2" s="372"/>
      <c r="AT2" s="371"/>
    </row>
    <row r="3" spans="1:46">
      <c r="A3" s="342" t="s">
        <v>6627</v>
      </c>
      <c r="B3" s="204" t="s">
        <v>6628</v>
      </c>
      <c r="C3" s="204" t="s">
        <v>6629</v>
      </c>
      <c r="D3" s="204" t="s">
        <v>6628</v>
      </c>
      <c r="E3" s="204" t="s">
        <v>6629</v>
      </c>
      <c r="F3" s="204" t="s">
        <v>6628</v>
      </c>
      <c r="G3" s="204" t="s">
        <v>6629</v>
      </c>
      <c r="K3" s="373"/>
      <c r="L3" s="374"/>
      <c r="M3" s="375"/>
      <c r="N3" s="376"/>
      <c r="O3" s="376"/>
      <c r="P3" s="377"/>
      <c r="Q3" s="375"/>
      <c r="R3" s="376"/>
      <c r="S3" s="376"/>
      <c r="T3" s="377"/>
      <c r="U3" s="375"/>
      <c r="V3" s="376"/>
      <c r="W3" s="376"/>
      <c r="X3" s="377"/>
      <c r="AF3" s="380"/>
      <c r="AG3" s="291" t="s">
        <v>2712</v>
      </c>
      <c r="AH3" s="291" t="s">
        <v>6630</v>
      </c>
      <c r="AI3" s="380" t="s">
        <v>6631</v>
      </c>
      <c r="AJ3" s="375" t="s">
        <v>6632</v>
      </c>
      <c r="AK3" s="377"/>
      <c r="AL3" s="375" t="s">
        <v>6632</v>
      </c>
      <c r="AM3" s="376"/>
      <c r="AN3" s="377"/>
      <c r="AO3" s="375" t="s">
        <v>2671</v>
      </c>
      <c r="AP3" s="376"/>
      <c r="AQ3" s="377"/>
      <c r="AR3" s="375" t="s">
        <v>2671</v>
      </c>
      <c r="AS3" s="376"/>
      <c r="AT3" s="377"/>
    </row>
    <row r="4" spans="1:46">
      <c r="A4" s="204">
        <v>1.5</v>
      </c>
      <c r="B4" s="204">
        <v>13</v>
      </c>
      <c r="C4" s="204">
        <v>9</v>
      </c>
      <c r="D4" s="204">
        <v>13</v>
      </c>
      <c r="E4" s="204">
        <v>9</v>
      </c>
      <c r="F4" s="367" t="s">
        <v>6633</v>
      </c>
      <c r="G4" s="367" t="s">
        <v>6633</v>
      </c>
      <c r="K4" s="373" t="s">
        <v>6634</v>
      </c>
      <c r="L4" s="377"/>
      <c r="M4" s="378" t="s">
        <v>6635</v>
      </c>
      <c r="N4" s="378" t="s">
        <v>6636</v>
      </c>
      <c r="O4" s="378" t="s">
        <v>6637</v>
      </c>
      <c r="P4" s="378" t="s">
        <v>6638</v>
      </c>
      <c r="Q4" s="378" t="s">
        <v>6635</v>
      </c>
      <c r="R4" s="378" t="s">
        <v>6636</v>
      </c>
      <c r="S4" s="378" t="s">
        <v>6637</v>
      </c>
      <c r="T4" s="378" t="s">
        <v>6638</v>
      </c>
      <c r="U4" s="378" t="s">
        <v>6635</v>
      </c>
      <c r="V4" s="378" t="s">
        <v>6636</v>
      </c>
      <c r="W4" s="378" t="s">
        <v>6637</v>
      </c>
      <c r="X4" s="378" t="s">
        <v>6638</v>
      </c>
      <c r="AF4" s="342" t="s">
        <v>6634</v>
      </c>
      <c r="AG4" s="342"/>
      <c r="AH4" s="342" t="s">
        <v>6632</v>
      </c>
      <c r="AI4" s="342" t="s">
        <v>6632</v>
      </c>
      <c r="AJ4" s="204" t="s">
        <v>6639</v>
      </c>
      <c r="AK4" s="204" t="s">
        <v>6616</v>
      </c>
      <c r="AL4" s="204" t="s">
        <v>6640</v>
      </c>
      <c r="AM4" s="204" t="s">
        <v>6615</v>
      </c>
      <c r="AN4" s="204" t="s">
        <v>6616</v>
      </c>
      <c r="AO4" s="204" t="s">
        <v>6640</v>
      </c>
      <c r="AP4" s="204" t="s">
        <v>6615</v>
      </c>
      <c r="AQ4" s="204" t="s">
        <v>6616</v>
      </c>
      <c r="AR4" s="204" t="s">
        <v>6640</v>
      </c>
      <c r="AS4" s="204" t="s">
        <v>6615</v>
      </c>
      <c r="AT4" s="204" t="s">
        <v>6616</v>
      </c>
    </row>
    <row r="5" spans="1:46">
      <c r="A5" s="204">
        <v>2.5</v>
      </c>
      <c r="B5" s="204">
        <v>22</v>
      </c>
      <c r="C5" s="204">
        <v>16</v>
      </c>
      <c r="D5" s="204">
        <v>22</v>
      </c>
      <c r="E5" s="204">
        <v>16</v>
      </c>
      <c r="F5" s="204">
        <v>22</v>
      </c>
      <c r="G5" s="204">
        <v>16</v>
      </c>
      <c r="K5" s="291" t="s">
        <v>6641</v>
      </c>
      <c r="L5" s="379">
        <v>0.12</v>
      </c>
      <c r="M5" s="379">
        <v>5</v>
      </c>
      <c r="N5" s="379">
        <v>4.5</v>
      </c>
      <c r="O5" s="379">
        <v>4</v>
      </c>
      <c r="P5" s="379">
        <v>3.5</v>
      </c>
      <c r="Q5" s="379">
        <v>4</v>
      </c>
      <c r="R5" s="379">
        <v>3.5</v>
      </c>
      <c r="S5" s="379">
        <v>3</v>
      </c>
      <c r="T5" s="379">
        <v>3</v>
      </c>
      <c r="U5" s="379">
        <v>3</v>
      </c>
      <c r="V5" s="379">
        <v>2.5</v>
      </c>
      <c r="W5" s="379">
        <v>2.5</v>
      </c>
      <c r="X5" s="379">
        <v>2</v>
      </c>
      <c r="AF5" s="204">
        <v>1</v>
      </c>
      <c r="AG5" s="204">
        <v>1</v>
      </c>
      <c r="AH5" s="204">
        <v>1.13</v>
      </c>
      <c r="AI5" s="204">
        <v>0.6</v>
      </c>
      <c r="AJ5" s="204">
        <v>0.7</v>
      </c>
      <c r="AK5" s="204">
        <v>0.8</v>
      </c>
      <c r="AL5" s="204">
        <v>4.1</v>
      </c>
      <c r="AM5" s="204" t="s">
        <v>6642</v>
      </c>
      <c r="AN5" s="204" t="s">
        <v>6643</v>
      </c>
      <c r="AO5" s="204">
        <v>20</v>
      </c>
      <c r="AP5" s="204">
        <v>16</v>
      </c>
      <c r="AQ5" s="204">
        <v>13</v>
      </c>
      <c r="AR5" s="204">
        <v>15</v>
      </c>
      <c r="AS5" s="204">
        <v>12</v>
      </c>
      <c r="AT5" s="204">
        <v>10</v>
      </c>
    </row>
    <row r="6" spans="1:46">
      <c r="A6" s="204">
        <v>4</v>
      </c>
      <c r="B6" s="204">
        <v>35</v>
      </c>
      <c r="C6" s="204">
        <v>26</v>
      </c>
      <c r="D6" s="204">
        <v>35</v>
      </c>
      <c r="E6" s="204">
        <v>26</v>
      </c>
      <c r="F6" s="204">
        <v>35</v>
      </c>
      <c r="G6" s="204">
        <v>26</v>
      </c>
      <c r="K6" s="380" t="s">
        <v>6641</v>
      </c>
      <c r="L6" s="379">
        <v>0.2</v>
      </c>
      <c r="M6" s="379">
        <v>7</v>
      </c>
      <c r="N6" s="379">
        <v>6.5</v>
      </c>
      <c r="O6" s="379">
        <v>6</v>
      </c>
      <c r="P6" s="379">
        <v>5.5</v>
      </c>
      <c r="Q6" s="379">
        <v>5.5</v>
      </c>
      <c r="R6" s="379">
        <v>5</v>
      </c>
      <c r="S6" s="379">
        <v>4.5</v>
      </c>
      <c r="T6" s="379">
        <v>4</v>
      </c>
      <c r="U6" s="379">
        <v>4</v>
      </c>
      <c r="V6" s="379">
        <v>3.5</v>
      </c>
      <c r="W6" s="379">
        <v>3</v>
      </c>
      <c r="X6" s="379">
        <v>3</v>
      </c>
      <c r="AF6" s="204">
        <v>1.5</v>
      </c>
      <c r="AG6" s="204">
        <v>1</v>
      </c>
      <c r="AH6" s="204">
        <v>1.37</v>
      </c>
      <c r="AI6" s="204">
        <v>0.6</v>
      </c>
      <c r="AJ6" s="204">
        <v>0.7</v>
      </c>
      <c r="AK6" s="204">
        <v>0.8</v>
      </c>
      <c r="AL6" s="204">
        <v>4.4</v>
      </c>
      <c r="AM6" s="204" t="s">
        <v>6644</v>
      </c>
      <c r="AN6" s="204" t="s">
        <v>6645</v>
      </c>
      <c r="AO6" s="204">
        <v>25</v>
      </c>
      <c r="AP6" s="204">
        <v>21</v>
      </c>
      <c r="AQ6" s="204">
        <v>16</v>
      </c>
      <c r="AR6" s="204">
        <v>19</v>
      </c>
      <c r="AS6" s="204">
        <v>16</v>
      </c>
      <c r="AT6" s="204">
        <v>12</v>
      </c>
    </row>
    <row r="7" spans="1:46">
      <c r="A7" s="204">
        <v>6</v>
      </c>
      <c r="B7" s="204">
        <v>52</v>
      </c>
      <c r="C7" s="204">
        <v>39</v>
      </c>
      <c r="D7" s="204">
        <v>52</v>
      </c>
      <c r="E7" s="204">
        <v>39</v>
      </c>
      <c r="F7" s="204">
        <v>52</v>
      </c>
      <c r="G7" s="204">
        <v>39</v>
      </c>
      <c r="K7" s="380" t="s">
        <v>6641</v>
      </c>
      <c r="L7" s="379">
        <v>0.3</v>
      </c>
      <c r="M7" s="379">
        <v>9</v>
      </c>
      <c r="N7" s="379">
        <v>8</v>
      </c>
      <c r="O7" s="379">
        <v>7.5</v>
      </c>
      <c r="P7" s="379">
        <v>7</v>
      </c>
      <c r="Q7" s="379">
        <v>7</v>
      </c>
      <c r="R7" s="379">
        <v>6.5</v>
      </c>
      <c r="S7" s="379">
        <v>6</v>
      </c>
      <c r="T7" s="379">
        <v>5.5</v>
      </c>
      <c r="U7" s="379">
        <v>5</v>
      </c>
      <c r="V7" s="379">
        <v>4.5</v>
      </c>
      <c r="W7" s="379">
        <v>4</v>
      </c>
      <c r="X7" s="379">
        <v>3.5</v>
      </c>
      <c r="AF7" s="204">
        <v>2.5</v>
      </c>
      <c r="AG7" s="204">
        <v>1</v>
      </c>
      <c r="AH7" s="204">
        <v>1.76</v>
      </c>
      <c r="AI7" s="204">
        <v>0.6</v>
      </c>
      <c r="AJ7" s="204">
        <v>0.7</v>
      </c>
      <c r="AK7" s="204">
        <v>0.8</v>
      </c>
      <c r="AL7" s="204">
        <v>4.8</v>
      </c>
      <c r="AM7" s="204" t="s">
        <v>6646</v>
      </c>
      <c r="AN7" s="204" t="s">
        <v>6647</v>
      </c>
      <c r="AO7" s="204">
        <v>34</v>
      </c>
      <c r="AP7" s="204">
        <v>26</v>
      </c>
      <c r="AQ7" s="204">
        <v>22</v>
      </c>
      <c r="AR7" s="204">
        <v>26</v>
      </c>
      <c r="AS7" s="204">
        <v>22</v>
      </c>
      <c r="AT7" s="204">
        <v>17</v>
      </c>
    </row>
    <row r="8" spans="1:46">
      <c r="A8" s="204">
        <v>10</v>
      </c>
      <c r="B8" s="204">
        <v>88</v>
      </c>
      <c r="C8" s="204">
        <v>66</v>
      </c>
      <c r="D8" s="204">
        <v>83</v>
      </c>
      <c r="E8" s="204">
        <v>62</v>
      </c>
      <c r="F8" s="204">
        <v>74</v>
      </c>
      <c r="G8" s="204">
        <v>56</v>
      </c>
      <c r="K8" s="380" t="s">
        <v>6648</v>
      </c>
      <c r="L8" s="379">
        <v>0.4</v>
      </c>
      <c r="M8" s="379">
        <v>11</v>
      </c>
      <c r="N8" s="379">
        <v>10</v>
      </c>
      <c r="O8" s="379">
        <v>9.5</v>
      </c>
      <c r="P8" s="379">
        <v>8.5</v>
      </c>
      <c r="Q8" s="379">
        <v>8.5</v>
      </c>
      <c r="R8" s="379">
        <v>7.5</v>
      </c>
      <c r="S8" s="379">
        <v>7</v>
      </c>
      <c r="T8" s="379">
        <v>6.5</v>
      </c>
      <c r="U8" s="379">
        <v>6</v>
      </c>
      <c r="V8" s="379">
        <v>5.5</v>
      </c>
      <c r="W8" s="379">
        <v>5</v>
      </c>
      <c r="X8" s="379">
        <v>4.5</v>
      </c>
      <c r="AF8" s="204">
        <v>4</v>
      </c>
      <c r="AG8" s="204">
        <v>1</v>
      </c>
      <c r="AH8" s="204">
        <v>2.24</v>
      </c>
      <c r="AI8" s="204">
        <v>0.6</v>
      </c>
      <c r="AJ8" s="204">
        <v>0.7</v>
      </c>
      <c r="AK8" s="204">
        <v>0.8</v>
      </c>
      <c r="AL8" s="204">
        <v>5.3</v>
      </c>
      <c r="AM8" s="204" t="s">
        <v>6649</v>
      </c>
      <c r="AN8" s="204" t="s">
        <v>6650</v>
      </c>
      <c r="AO8" s="204">
        <v>45</v>
      </c>
      <c r="AP8" s="204">
        <v>38</v>
      </c>
      <c r="AQ8" s="204">
        <v>29</v>
      </c>
      <c r="AR8" s="204">
        <v>35</v>
      </c>
      <c r="AS8" s="204">
        <v>29</v>
      </c>
      <c r="AT8" s="204">
        <v>23</v>
      </c>
    </row>
    <row r="9" spans="1:46">
      <c r="A9" s="204">
        <v>16</v>
      </c>
      <c r="B9" s="204">
        <v>123</v>
      </c>
      <c r="C9" s="204">
        <v>92</v>
      </c>
      <c r="D9" s="204">
        <v>105</v>
      </c>
      <c r="E9" s="204">
        <v>79</v>
      </c>
      <c r="F9" s="204">
        <v>101</v>
      </c>
      <c r="G9" s="204">
        <v>75</v>
      </c>
      <c r="K9" s="380" t="s">
        <v>6651</v>
      </c>
      <c r="L9" s="379">
        <v>0.5</v>
      </c>
      <c r="M9" s="379">
        <v>12.5</v>
      </c>
      <c r="N9" s="379">
        <v>11.5</v>
      </c>
      <c r="O9" s="379">
        <v>10.5</v>
      </c>
      <c r="P9" s="379">
        <v>9.5</v>
      </c>
      <c r="Q9" s="379">
        <v>9.5</v>
      </c>
      <c r="R9" s="379">
        <v>8.5</v>
      </c>
      <c r="S9" s="379">
        <v>8</v>
      </c>
      <c r="T9" s="379">
        <v>7.5</v>
      </c>
      <c r="U9" s="379">
        <v>7</v>
      </c>
      <c r="V9" s="379">
        <v>6.5</v>
      </c>
      <c r="W9" s="379">
        <v>6</v>
      </c>
      <c r="X9" s="379">
        <v>5.5</v>
      </c>
      <c r="AF9" s="204">
        <v>5</v>
      </c>
      <c r="AG9" s="204">
        <v>1</v>
      </c>
      <c r="AH9" s="204">
        <v>2.5</v>
      </c>
      <c r="AI9" s="204">
        <v>0.8</v>
      </c>
      <c r="AJ9" s="204">
        <v>0.8</v>
      </c>
      <c r="AK9" s="204">
        <v>1</v>
      </c>
      <c r="AL9" s="204">
        <v>6.3</v>
      </c>
      <c r="AM9" s="204" t="s">
        <v>6652</v>
      </c>
      <c r="AN9" s="204" t="s">
        <v>6653</v>
      </c>
      <c r="AO9" s="204">
        <v>51</v>
      </c>
      <c r="AP9" s="204">
        <v>43</v>
      </c>
      <c r="AQ9" s="204">
        <v>33</v>
      </c>
      <c r="AR9" s="204">
        <v>39</v>
      </c>
      <c r="AS9" s="204">
        <v>33</v>
      </c>
      <c r="AT9" s="204">
        <v>26</v>
      </c>
    </row>
    <row r="10" spans="1:46">
      <c r="A10" s="204">
        <v>25</v>
      </c>
      <c r="B10" s="204">
        <v>162</v>
      </c>
      <c r="C10" s="204">
        <v>122</v>
      </c>
      <c r="D10" s="204">
        <v>140</v>
      </c>
      <c r="E10" s="204">
        <v>105</v>
      </c>
      <c r="F10" s="204">
        <v>132</v>
      </c>
      <c r="G10" s="204">
        <v>99</v>
      </c>
      <c r="K10" s="380" t="s">
        <v>6654</v>
      </c>
      <c r="L10" s="379">
        <v>0.75</v>
      </c>
      <c r="M10" s="379">
        <v>16</v>
      </c>
      <c r="N10" s="379">
        <v>14.5</v>
      </c>
      <c r="O10" s="379">
        <v>13.5</v>
      </c>
      <c r="P10" s="379">
        <v>12.5</v>
      </c>
      <c r="Q10" s="379">
        <v>12.5</v>
      </c>
      <c r="R10" s="379">
        <v>11.5</v>
      </c>
      <c r="S10" s="379">
        <v>10.5</v>
      </c>
      <c r="T10" s="379">
        <v>9.5</v>
      </c>
      <c r="U10" s="379">
        <v>9</v>
      </c>
      <c r="V10" s="379">
        <v>8</v>
      </c>
      <c r="W10" s="379">
        <v>7.5</v>
      </c>
      <c r="X10" s="379">
        <v>7</v>
      </c>
      <c r="AF10" s="204">
        <v>6</v>
      </c>
      <c r="AG10" s="204">
        <v>1</v>
      </c>
      <c r="AH10" s="204">
        <v>2.73</v>
      </c>
      <c r="AI10" s="204">
        <v>0.8</v>
      </c>
      <c r="AJ10" s="204">
        <v>0.8</v>
      </c>
      <c r="AK10" s="204">
        <v>1</v>
      </c>
      <c r="AL10" s="204">
        <v>6.5</v>
      </c>
      <c r="AM10" s="204" t="s">
        <v>6655</v>
      </c>
      <c r="AN10" s="204" t="s">
        <v>6656</v>
      </c>
      <c r="AO10" s="204">
        <v>56</v>
      </c>
      <c r="AP10" s="204">
        <v>47</v>
      </c>
      <c r="AQ10" s="204">
        <v>36</v>
      </c>
      <c r="AR10" s="204">
        <v>43</v>
      </c>
      <c r="AS10" s="204">
        <v>36</v>
      </c>
      <c r="AT10" s="204">
        <v>28</v>
      </c>
    </row>
    <row r="11" spans="1:46">
      <c r="A11" s="204">
        <v>35</v>
      </c>
      <c r="B11" s="204">
        <v>198</v>
      </c>
      <c r="C11" s="204">
        <v>148</v>
      </c>
      <c r="D11" s="204">
        <v>167</v>
      </c>
      <c r="E11" s="204">
        <v>125</v>
      </c>
      <c r="F11" s="204">
        <v>154</v>
      </c>
      <c r="G11" s="204">
        <v>115</v>
      </c>
      <c r="K11" s="380" t="s">
        <v>6657</v>
      </c>
      <c r="L11" s="379">
        <v>1</v>
      </c>
      <c r="M11" s="379">
        <v>19</v>
      </c>
      <c r="N11" s="379">
        <v>17</v>
      </c>
      <c r="O11" s="379">
        <v>16</v>
      </c>
      <c r="P11" s="379">
        <v>15</v>
      </c>
      <c r="Q11" s="379">
        <v>15</v>
      </c>
      <c r="R11" s="379">
        <v>14</v>
      </c>
      <c r="S11" s="379">
        <v>12</v>
      </c>
      <c r="T11" s="379">
        <v>11</v>
      </c>
      <c r="U11" s="379">
        <v>11</v>
      </c>
      <c r="V11" s="379">
        <v>10</v>
      </c>
      <c r="W11" s="379">
        <v>9</v>
      </c>
      <c r="X11" s="379">
        <v>8</v>
      </c>
      <c r="AF11" s="204">
        <v>8</v>
      </c>
      <c r="AG11" s="204">
        <v>7</v>
      </c>
      <c r="AH11" s="204">
        <v>1.2</v>
      </c>
      <c r="AI11" s="204">
        <v>0.8</v>
      </c>
      <c r="AJ11" s="204">
        <v>1</v>
      </c>
      <c r="AK11" s="204">
        <v>1.2</v>
      </c>
      <c r="AL11" s="204">
        <v>7.9</v>
      </c>
      <c r="AM11" s="204" t="s">
        <v>6658</v>
      </c>
      <c r="AN11" s="204" t="s">
        <v>6659</v>
      </c>
      <c r="AO11" s="204">
        <v>70</v>
      </c>
      <c r="AP11" s="204">
        <v>59</v>
      </c>
      <c r="AQ11" s="204">
        <v>46</v>
      </c>
      <c r="AR11" s="204">
        <v>54</v>
      </c>
      <c r="AS11" s="204">
        <v>45</v>
      </c>
      <c r="AT11" s="204">
        <v>35</v>
      </c>
    </row>
    <row r="12" spans="1:46">
      <c r="A12" s="204">
        <v>50</v>
      </c>
      <c r="B12" s="204">
        <v>237</v>
      </c>
      <c r="C12" s="204">
        <v>178</v>
      </c>
      <c r="D12" s="204">
        <v>206</v>
      </c>
      <c r="E12" s="204">
        <v>155</v>
      </c>
      <c r="F12" s="204">
        <v>189</v>
      </c>
      <c r="G12" s="204">
        <v>141</v>
      </c>
      <c r="K12" s="342" t="s">
        <v>6660</v>
      </c>
      <c r="L12" s="379">
        <v>1.5</v>
      </c>
      <c r="M12" s="379">
        <v>24</v>
      </c>
      <c r="N12" s="379">
        <v>22</v>
      </c>
      <c r="O12" s="379">
        <v>21</v>
      </c>
      <c r="P12" s="379">
        <v>18</v>
      </c>
      <c r="Q12" s="379">
        <v>19</v>
      </c>
      <c r="R12" s="379">
        <v>17</v>
      </c>
      <c r="S12" s="379">
        <v>16</v>
      </c>
      <c r="T12" s="379">
        <v>15</v>
      </c>
      <c r="U12" s="379">
        <v>14</v>
      </c>
      <c r="V12" s="379">
        <v>13</v>
      </c>
      <c r="W12" s="379">
        <v>12</v>
      </c>
      <c r="X12" s="379">
        <v>11</v>
      </c>
      <c r="AF12" s="204">
        <v>10</v>
      </c>
      <c r="AG12" s="204">
        <v>7</v>
      </c>
      <c r="AH12" s="204">
        <v>1.33</v>
      </c>
      <c r="AI12" s="204">
        <v>0.8</v>
      </c>
      <c r="AJ12" s="204">
        <v>1</v>
      </c>
      <c r="AK12" s="204">
        <v>1.2</v>
      </c>
      <c r="AL12" s="204">
        <v>8.4</v>
      </c>
      <c r="AM12" s="204" t="s">
        <v>6661</v>
      </c>
      <c r="AN12" s="204" t="s">
        <v>6662</v>
      </c>
      <c r="AO12" s="204">
        <v>85</v>
      </c>
      <c r="AP12" s="204">
        <v>72</v>
      </c>
      <c r="AQ12" s="204">
        <v>55</v>
      </c>
      <c r="AR12" s="204">
        <v>66</v>
      </c>
      <c r="AS12" s="204">
        <v>56</v>
      </c>
      <c r="AT12" s="204">
        <v>43</v>
      </c>
    </row>
    <row r="13" spans="1:7">
      <c r="A13" s="204">
        <v>70</v>
      </c>
      <c r="B13" s="204">
        <v>286</v>
      </c>
      <c r="C13" s="204">
        <v>214</v>
      </c>
      <c r="D13" s="204">
        <v>250</v>
      </c>
      <c r="E13" s="204">
        <v>188</v>
      </c>
      <c r="F13" s="204">
        <v>233</v>
      </c>
      <c r="G13" s="204">
        <v>174</v>
      </c>
    </row>
    <row r="14" spans="1:7">
      <c r="A14" s="204">
        <v>95</v>
      </c>
      <c r="B14" s="204">
        <v>334</v>
      </c>
      <c r="C14" s="204">
        <v>250</v>
      </c>
      <c r="D14" s="204">
        <v>299</v>
      </c>
      <c r="E14" s="204">
        <v>224</v>
      </c>
      <c r="F14" s="204">
        <v>272</v>
      </c>
      <c r="G14" s="204">
        <v>204</v>
      </c>
    </row>
    <row r="15" spans="1:7">
      <c r="A15" s="204">
        <v>120</v>
      </c>
      <c r="B15" s="204">
        <v>382</v>
      </c>
      <c r="C15" s="204">
        <v>287</v>
      </c>
      <c r="D15" s="204">
        <v>343</v>
      </c>
      <c r="E15" s="204">
        <v>257</v>
      </c>
      <c r="F15" s="204">
        <v>347</v>
      </c>
      <c r="G15" s="204">
        <v>260</v>
      </c>
    </row>
    <row r="16" spans="1:7">
      <c r="A16" s="204">
        <v>150</v>
      </c>
      <c r="B16" s="204">
        <v>440</v>
      </c>
      <c r="C16" s="204">
        <v>330</v>
      </c>
      <c r="D16" s="204">
        <v>382</v>
      </c>
      <c r="E16" s="204">
        <v>287</v>
      </c>
      <c r="F16" s="204">
        <v>396</v>
      </c>
      <c r="G16" s="204">
        <v>297</v>
      </c>
    </row>
    <row r="17" spans="1:7">
      <c r="A17" s="204">
        <v>185</v>
      </c>
      <c r="B17" s="367" t="s">
        <v>6633</v>
      </c>
      <c r="C17" s="367" t="s">
        <v>6633</v>
      </c>
      <c r="D17" s="204">
        <v>431</v>
      </c>
      <c r="E17" s="204">
        <v>323</v>
      </c>
      <c r="F17" s="367" t="s">
        <v>6633</v>
      </c>
      <c r="G17" s="367" t="s">
        <v>6633</v>
      </c>
    </row>
    <row r="18" spans="1:7">
      <c r="A18" s="204">
        <v>240</v>
      </c>
      <c r="B18" s="367" t="s">
        <v>6633</v>
      </c>
      <c r="C18" s="367" t="s">
        <v>6633</v>
      </c>
      <c r="D18" s="367" t="s">
        <v>6633</v>
      </c>
      <c r="E18" s="367" t="s">
        <v>6633</v>
      </c>
      <c r="F18" s="204">
        <v>448</v>
      </c>
      <c r="G18" s="204">
        <v>336</v>
      </c>
    </row>
    <row r="20" ht="20.4" spans="1:9">
      <c r="A20" s="368" t="s">
        <v>6663</v>
      </c>
      <c r="B20" s="368"/>
      <c r="C20" s="368"/>
      <c r="D20" s="368"/>
      <c r="E20" s="368"/>
      <c r="F20" s="368"/>
      <c r="G20" s="368"/>
      <c r="H20" s="368"/>
      <c r="I20" s="368"/>
    </row>
    <row r="21" ht="20.4" spans="1:9">
      <c r="A21" s="368" t="s">
        <v>6664</v>
      </c>
      <c r="B21" s="368"/>
      <c r="C21" s="368"/>
      <c r="D21" s="368"/>
      <c r="E21" s="368"/>
      <c r="F21" s="368"/>
      <c r="G21" s="368"/>
      <c r="H21" s="368"/>
      <c r="I21" s="368"/>
    </row>
    <row r="22" spans="1:9">
      <c r="A22" s="291" t="s">
        <v>2714</v>
      </c>
      <c r="B22" s="204" t="s">
        <v>6640</v>
      </c>
      <c r="C22" s="204"/>
      <c r="D22" s="204" t="s">
        <v>6665</v>
      </c>
      <c r="E22" s="204"/>
      <c r="F22" s="204" t="s">
        <v>6616</v>
      </c>
      <c r="G22" s="204"/>
      <c r="H22" s="204" t="s">
        <v>6617</v>
      </c>
      <c r="I22" s="204"/>
    </row>
    <row r="23" spans="1:9">
      <c r="A23" s="342" t="s">
        <v>6666</v>
      </c>
      <c r="B23" s="204" t="s">
        <v>6628</v>
      </c>
      <c r="C23" s="204" t="s">
        <v>6629</v>
      </c>
      <c r="D23" s="204" t="s">
        <v>6628</v>
      </c>
      <c r="E23" s="204" t="s">
        <v>6629</v>
      </c>
      <c r="F23" s="204" t="s">
        <v>6628</v>
      </c>
      <c r="G23" s="204" t="s">
        <v>6629</v>
      </c>
      <c r="H23" s="204" t="s">
        <v>6628</v>
      </c>
      <c r="I23" s="204" t="s">
        <v>6629</v>
      </c>
    </row>
    <row r="24" spans="1:9">
      <c r="A24" s="204">
        <v>1</v>
      </c>
      <c r="B24" s="204">
        <v>18</v>
      </c>
      <c r="C24" s="367" t="s">
        <v>6633</v>
      </c>
      <c r="D24" s="204">
        <v>15</v>
      </c>
      <c r="E24" s="367" t="s">
        <v>6633</v>
      </c>
      <c r="F24" s="204">
        <v>12</v>
      </c>
      <c r="G24" s="367" t="s">
        <v>6633</v>
      </c>
      <c r="H24" s="367" t="s">
        <v>6633</v>
      </c>
      <c r="I24" s="367" t="s">
        <v>6633</v>
      </c>
    </row>
    <row r="25" spans="1:9">
      <c r="A25" s="204">
        <v>1.5</v>
      </c>
      <c r="B25" s="204">
        <v>23</v>
      </c>
      <c r="C25" s="367" t="s">
        <v>6633</v>
      </c>
      <c r="D25" s="204">
        <v>19</v>
      </c>
      <c r="E25" s="367" t="s">
        <v>6633</v>
      </c>
      <c r="F25" s="204">
        <v>16</v>
      </c>
      <c r="G25" s="367" t="s">
        <v>6633</v>
      </c>
      <c r="H25" s="367" t="s">
        <v>6633</v>
      </c>
      <c r="I25" s="367" t="s">
        <v>6633</v>
      </c>
    </row>
    <row r="26" spans="1:9">
      <c r="A26" s="204">
        <v>2.5</v>
      </c>
      <c r="B26" s="204">
        <v>32</v>
      </c>
      <c r="C26" s="204">
        <v>24</v>
      </c>
      <c r="D26" s="204">
        <v>26</v>
      </c>
      <c r="E26" s="204">
        <v>20</v>
      </c>
      <c r="F26" s="204">
        <v>22</v>
      </c>
      <c r="G26" s="204">
        <v>16</v>
      </c>
      <c r="H26" s="367" t="s">
        <v>6633</v>
      </c>
      <c r="I26" s="367" t="s">
        <v>6633</v>
      </c>
    </row>
    <row r="27" spans="1:9">
      <c r="A27" s="204">
        <v>4</v>
      </c>
      <c r="B27" s="204">
        <v>41</v>
      </c>
      <c r="C27" s="204">
        <v>31</v>
      </c>
      <c r="D27" s="204">
        <v>35</v>
      </c>
      <c r="E27" s="204">
        <v>26</v>
      </c>
      <c r="F27" s="204">
        <v>29</v>
      </c>
      <c r="G27" s="204">
        <v>22</v>
      </c>
      <c r="H27" s="204">
        <v>29</v>
      </c>
      <c r="I27" s="204">
        <v>22</v>
      </c>
    </row>
    <row r="28" spans="1:9">
      <c r="A28" s="204">
        <v>6</v>
      </c>
      <c r="B28" s="204">
        <v>54</v>
      </c>
      <c r="C28" s="204">
        <v>41</v>
      </c>
      <c r="D28" s="204">
        <v>44</v>
      </c>
      <c r="E28" s="204">
        <v>34</v>
      </c>
      <c r="F28" s="204">
        <v>38</v>
      </c>
      <c r="G28" s="204">
        <v>29</v>
      </c>
      <c r="H28" s="204">
        <v>38</v>
      </c>
      <c r="I28" s="204">
        <v>29</v>
      </c>
    </row>
    <row r="29" spans="1:9">
      <c r="A29" s="204">
        <v>10</v>
      </c>
      <c r="B29" s="204">
        <v>72</v>
      </c>
      <c r="C29" s="204">
        <v>55</v>
      </c>
      <c r="D29" s="204">
        <v>60</v>
      </c>
      <c r="E29" s="204">
        <v>46</v>
      </c>
      <c r="F29" s="204">
        <v>52</v>
      </c>
      <c r="G29" s="204">
        <v>40</v>
      </c>
      <c r="H29" s="204">
        <v>51</v>
      </c>
      <c r="I29" s="204">
        <v>40</v>
      </c>
    </row>
    <row r="30" spans="1:9">
      <c r="A30" s="204">
        <v>16</v>
      </c>
      <c r="B30" s="204">
        <v>97</v>
      </c>
      <c r="C30" s="204">
        <v>74</v>
      </c>
      <c r="D30" s="204">
        <v>79</v>
      </c>
      <c r="E30" s="204">
        <v>61</v>
      </c>
      <c r="F30" s="204">
        <v>69</v>
      </c>
      <c r="G30" s="204">
        <v>53</v>
      </c>
      <c r="H30" s="204">
        <v>68</v>
      </c>
      <c r="I30" s="204">
        <v>53</v>
      </c>
    </row>
    <row r="31" spans="1:9">
      <c r="A31" s="204">
        <v>25</v>
      </c>
      <c r="B31" s="204">
        <v>122</v>
      </c>
      <c r="C31" s="204">
        <v>102</v>
      </c>
      <c r="D31" s="204">
        <v>107</v>
      </c>
      <c r="E31" s="204">
        <v>83</v>
      </c>
      <c r="F31" s="204">
        <v>93</v>
      </c>
      <c r="G31" s="204">
        <v>72</v>
      </c>
      <c r="H31" s="204">
        <v>92</v>
      </c>
      <c r="I31" s="204">
        <v>71</v>
      </c>
    </row>
    <row r="32" spans="1:9">
      <c r="A32" s="204">
        <v>35</v>
      </c>
      <c r="B32" s="204">
        <v>162</v>
      </c>
      <c r="C32" s="204">
        <v>124</v>
      </c>
      <c r="D32" s="204">
        <v>124</v>
      </c>
      <c r="E32" s="204">
        <v>95</v>
      </c>
      <c r="F32" s="204">
        <v>113</v>
      </c>
      <c r="G32" s="204">
        <v>87</v>
      </c>
      <c r="H32" s="204">
        <v>115</v>
      </c>
      <c r="I32" s="204">
        <v>89</v>
      </c>
    </row>
    <row r="33" spans="1:9">
      <c r="A33" s="204">
        <v>50</v>
      </c>
      <c r="B33" s="204">
        <v>204</v>
      </c>
      <c r="C33" s="204">
        <v>157</v>
      </c>
      <c r="D33" s="204">
        <v>155</v>
      </c>
      <c r="E33" s="204">
        <v>120</v>
      </c>
      <c r="F33" s="204">
        <v>140</v>
      </c>
      <c r="G33" s="204">
        <v>108</v>
      </c>
      <c r="H33" s="204">
        <v>144</v>
      </c>
      <c r="I33" s="204">
        <v>111</v>
      </c>
    </row>
    <row r="34" spans="1:9">
      <c r="A34" s="204">
        <v>70</v>
      </c>
      <c r="B34" s="204">
        <v>253</v>
      </c>
      <c r="C34" s="204">
        <v>195</v>
      </c>
      <c r="D34" s="204">
        <v>196</v>
      </c>
      <c r="E34" s="204">
        <v>151</v>
      </c>
      <c r="F34" s="204">
        <v>175</v>
      </c>
      <c r="G34" s="204">
        <v>135</v>
      </c>
      <c r="H34" s="204">
        <v>178</v>
      </c>
      <c r="I34" s="204">
        <v>136</v>
      </c>
    </row>
    <row r="35" spans="1:9">
      <c r="A35" s="204">
        <v>95</v>
      </c>
      <c r="B35" s="204">
        <v>272</v>
      </c>
      <c r="C35" s="204">
        <v>214</v>
      </c>
      <c r="D35" s="204">
        <v>238</v>
      </c>
      <c r="E35" s="204">
        <v>182</v>
      </c>
      <c r="F35" s="204">
        <v>214</v>
      </c>
      <c r="G35" s="204">
        <v>165</v>
      </c>
      <c r="H35" s="204">
        <v>218</v>
      </c>
      <c r="I35" s="204">
        <v>168</v>
      </c>
    </row>
    <row r="36" spans="1:9">
      <c r="A36" s="204">
        <v>120</v>
      </c>
      <c r="B36" s="204">
        <v>356</v>
      </c>
      <c r="C36" s="204">
        <v>276</v>
      </c>
      <c r="D36" s="204">
        <v>273</v>
      </c>
      <c r="E36" s="204">
        <v>211</v>
      </c>
      <c r="F36" s="204">
        <v>247</v>
      </c>
      <c r="G36" s="204">
        <v>191</v>
      </c>
      <c r="H36" s="204">
        <v>252</v>
      </c>
      <c r="I36" s="204">
        <v>195</v>
      </c>
    </row>
    <row r="37" spans="1:9">
      <c r="A37" s="204">
        <v>150</v>
      </c>
      <c r="B37" s="204">
        <v>410</v>
      </c>
      <c r="C37" s="204">
        <v>316</v>
      </c>
      <c r="D37" s="204">
        <v>315</v>
      </c>
      <c r="E37" s="204">
        <v>242</v>
      </c>
      <c r="F37" s="204">
        <v>293</v>
      </c>
      <c r="G37" s="204">
        <v>225</v>
      </c>
      <c r="H37" s="204">
        <v>297</v>
      </c>
      <c r="I37" s="204">
        <v>228</v>
      </c>
    </row>
    <row r="38" spans="1:9">
      <c r="A38" s="204">
        <v>185</v>
      </c>
      <c r="B38" s="204">
        <v>465</v>
      </c>
      <c r="C38" s="204">
        <v>358</v>
      </c>
      <c r="D38" s="367" t="s">
        <v>6633</v>
      </c>
      <c r="E38" s="367" t="s">
        <v>6633</v>
      </c>
      <c r="F38" s="204">
        <v>332</v>
      </c>
      <c r="G38" s="204">
        <v>257</v>
      </c>
      <c r="H38" s="204">
        <v>314</v>
      </c>
      <c r="I38" s="204">
        <v>263</v>
      </c>
    </row>
    <row r="39" spans="1:9">
      <c r="A39" s="204">
        <v>240</v>
      </c>
      <c r="B39" s="204">
        <v>552</v>
      </c>
      <c r="C39" s="204">
        <v>425</v>
      </c>
      <c r="D39" s="367" t="s">
        <v>6633</v>
      </c>
      <c r="E39" s="367" t="s">
        <v>6633</v>
      </c>
      <c r="F39" s="204">
        <v>396</v>
      </c>
      <c r="G39" s="204">
        <v>306</v>
      </c>
      <c r="H39" s="367" t="s">
        <v>6633</v>
      </c>
      <c r="I39" s="367" t="s">
        <v>6633</v>
      </c>
    </row>
    <row r="40" spans="1:9">
      <c r="A40" s="204">
        <v>300</v>
      </c>
      <c r="B40" s="204">
        <v>636</v>
      </c>
      <c r="C40" s="204">
        <v>490</v>
      </c>
      <c r="D40" s="367" t="s">
        <v>6633</v>
      </c>
      <c r="E40" s="367" t="s">
        <v>6633</v>
      </c>
      <c r="F40" s="367" t="s">
        <v>6633</v>
      </c>
      <c r="G40" s="367" t="s">
        <v>6633</v>
      </c>
      <c r="H40" s="367" t="s">
        <v>6633</v>
      </c>
      <c r="I40" s="367" t="s">
        <v>6633</v>
      </c>
    </row>
    <row r="41" spans="1:9">
      <c r="A41" s="204">
        <v>400</v>
      </c>
      <c r="B41" s="204">
        <v>757</v>
      </c>
      <c r="C41" s="204">
        <v>589</v>
      </c>
      <c r="D41" s="367" t="s">
        <v>6633</v>
      </c>
      <c r="E41" s="367" t="s">
        <v>6633</v>
      </c>
      <c r="F41" s="367" t="s">
        <v>6633</v>
      </c>
      <c r="G41" s="367" t="s">
        <v>6633</v>
      </c>
      <c r="H41" s="367" t="s">
        <v>6633</v>
      </c>
      <c r="I41" s="367" t="s">
        <v>6633</v>
      </c>
    </row>
    <row r="42" spans="1:9">
      <c r="A42" s="204">
        <v>500</v>
      </c>
      <c r="B42" s="204">
        <v>886</v>
      </c>
      <c r="C42" s="204">
        <v>680</v>
      </c>
      <c r="D42" s="367" t="s">
        <v>6633</v>
      </c>
      <c r="E42" s="367" t="s">
        <v>6633</v>
      </c>
      <c r="F42" s="367" t="s">
        <v>6633</v>
      </c>
      <c r="G42" s="367" t="s">
        <v>6633</v>
      </c>
      <c r="H42" s="367" t="s">
        <v>6633</v>
      </c>
      <c r="I42" s="367" t="s">
        <v>6633</v>
      </c>
    </row>
    <row r="43" spans="1:9">
      <c r="A43" s="204">
        <v>620</v>
      </c>
      <c r="B43" s="204">
        <v>1025</v>
      </c>
      <c r="C43" s="204">
        <v>787</v>
      </c>
      <c r="D43" s="367" t="s">
        <v>6633</v>
      </c>
      <c r="E43" s="367" t="s">
        <v>6633</v>
      </c>
      <c r="F43" s="367" t="s">
        <v>6633</v>
      </c>
      <c r="G43" s="367" t="s">
        <v>6633</v>
      </c>
      <c r="H43" s="367" t="s">
        <v>6633</v>
      </c>
      <c r="I43" s="367" t="s">
        <v>6633</v>
      </c>
    </row>
    <row r="44" spans="1:9">
      <c r="A44" s="204">
        <v>800</v>
      </c>
      <c r="B44" s="204">
        <v>1338</v>
      </c>
      <c r="C44" s="204">
        <v>934</v>
      </c>
      <c r="D44" s="367" t="s">
        <v>6633</v>
      </c>
      <c r="E44" s="367" t="s">
        <v>6633</v>
      </c>
      <c r="F44" s="367" t="s">
        <v>6633</v>
      </c>
      <c r="G44" s="367" t="s">
        <v>6633</v>
      </c>
      <c r="H44" s="367" t="s">
        <v>6633</v>
      </c>
      <c r="I44" s="367" t="s">
        <v>6633</v>
      </c>
    </row>
    <row r="53" ht="20.4" spans="1:9">
      <c r="A53" s="368" t="s">
        <v>6667</v>
      </c>
      <c r="B53" s="368"/>
      <c r="C53" s="368"/>
      <c r="D53" s="368"/>
      <c r="E53" s="368"/>
      <c r="F53" s="368"/>
      <c r="G53" s="368"/>
      <c r="H53" s="368"/>
      <c r="I53" s="368"/>
    </row>
    <row r="54" ht="20.4" spans="1:9">
      <c r="A54" s="368" t="s">
        <v>6668</v>
      </c>
      <c r="B54" s="368"/>
      <c r="C54" s="368"/>
      <c r="D54" s="368"/>
      <c r="E54" s="368"/>
      <c r="F54" s="368"/>
      <c r="G54" s="368"/>
      <c r="H54" s="368"/>
      <c r="I54" s="368"/>
    </row>
    <row r="55" spans="1:9">
      <c r="A55" s="291" t="s">
        <v>2714</v>
      </c>
      <c r="B55" s="204" t="s">
        <v>6640</v>
      </c>
      <c r="C55" s="204"/>
      <c r="D55" s="204" t="s">
        <v>6665</v>
      </c>
      <c r="E55" s="204"/>
      <c r="F55" s="204" t="s">
        <v>6616</v>
      </c>
      <c r="G55" s="204"/>
      <c r="H55" s="204" t="s">
        <v>6617</v>
      </c>
      <c r="I55" s="204"/>
    </row>
    <row r="56" spans="1:9">
      <c r="A56" s="342" t="s">
        <v>6666</v>
      </c>
      <c r="B56" s="204" t="s">
        <v>6628</v>
      </c>
      <c r="C56" s="204" t="s">
        <v>6629</v>
      </c>
      <c r="D56" s="204" t="s">
        <v>6628</v>
      </c>
      <c r="E56" s="204" t="s">
        <v>6629</v>
      </c>
      <c r="F56" s="204" t="s">
        <v>6628</v>
      </c>
      <c r="G56" s="204" t="s">
        <v>6629</v>
      </c>
      <c r="H56" s="204" t="s">
        <v>6628</v>
      </c>
      <c r="I56" s="204" t="s">
        <v>6629</v>
      </c>
    </row>
    <row r="57" spans="1:9">
      <c r="A57" s="204">
        <v>4</v>
      </c>
      <c r="B57" s="367" t="s">
        <v>6633</v>
      </c>
      <c r="C57" s="367" t="s">
        <v>6633</v>
      </c>
      <c r="D57" s="204">
        <v>36</v>
      </c>
      <c r="E57" s="204">
        <v>27</v>
      </c>
      <c r="F57" s="204">
        <v>31</v>
      </c>
      <c r="G57" s="204">
        <v>23</v>
      </c>
      <c r="H57" s="204">
        <v>30</v>
      </c>
      <c r="I57" s="204">
        <v>23</v>
      </c>
    </row>
    <row r="58" spans="1:9">
      <c r="A58" s="204">
        <v>6</v>
      </c>
      <c r="B58" s="367" t="s">
        <v>6633</v>
      </c>
      <c r="C58" s="367" t="s">
        <v>6633</v>
      </c>
      <c r="D58" s="204">
        <v>45</v>
      </c>
      <c r="E58" s="204">
        <v>35</v>
      </c>
      <c r="F58" s="204">
        <v>39</v>
      </c>
      <c r="G58" s="204">
        <v>30</v>
      </c>
      <c r="H58" s="204">
        <v>39</v>
      </c>
      <c r="I58" s="204">
        <v>30</v>
      </c>
    </row>
    <row r="59" spans="1:9">
      <c r="A59" s="204">
        <v>10</v>
      </c>
      <c r="B59" s="204">
        <v>76</v>
      </c>
      <c r="C59" s="204">
        <v>58</v>
      </c>
      <c r="D59" s="204">
        <v>60</v>
      </c>
      <c r="E59" s="204">
        <v>46</v>
      </c>
      <c r="F59" s="204">
        <v>52</v>
      </c>
      <c r="G59" s="204">
        <v>40</v>
      </c>
      <c r="H59" s="204">
        <v>52</v>
      </c>
      <c r="I59" s="204">
        <v>40</v>
      </c>
    </row>
    <row r="60" spans="1:9">
      <c r="A60" s="204">
        <v>16</v>
      </c>
      <c r="B60" s="204">
        <v>100</v>
      </c>
      <c r="C60" s="204">
        <v>77</v>
      </c>
      <c r="D60" s="204">
        <v>81</v>
      </c>
      <c r="E60" s="204">
        <v>62</v>
      </c>
      <c r="F60" s="204">
        <v>71</v>
      </c>
      <c r="G60" s="204">
        <v>54</v>
      </c>
      <c r="H60" s="204">
        <v>70</v>
      </c>
      <c r="I60" s="204">
        <v>54</v>
      </c>
    </row>
    <row r="61" spans="1:9">
      <c r="A61" s="204">
        <v>25</v>
      </c>
      <c r="B61" s="204">
        <v>135</v>
      </c>
      <c r="C61" s="204">
        <v>104</v>
      </c>
      <c r="D61" s="204">
        <v>106</v>
      </c>
      <c r="E61" s="204">
        <v>81</v>
      </c>
      <c r="F61" s="204">
        <v>96</v>
      </c>
      <c r="G61" s="204">
        <v>73</v>
      </c>
      <c r="H61" s="204">
        <v>94</v>
      </c>
      <c r="I61" s="204">
        <v>73</v>
      </c>
    </row>
    <row r="62" spans="1:9">
      <c r="A62" s="204">
        <v>35</v>
      </c>
      <c r="B62" s="204">
        <v>164</v>
      </c>
      <c r="C62" s="204">
        <v>126</v>
      </c>
      <c r="D62" s="204">
        <v>128</v>
      </c>
      <c r="E62" s="204">
        <v>99</v>
      </c>
      <c r="F62" s="204">
        <v>114</v>
      </c>
      <c r="G62" s="204">
        <v>88</v>
      </c>
      <c r="H62" s="204">
        <v>119</v>
      </c>
      <c r="I62" s="204">
        <v>92</v>
      </c>
    </row>
    <row r="63" spans="1:9">
      <c r="A63" s="204">
        <v>50</v>
      </c>
      <c r="B63" s="204">
        <v>205</v>
      </c>
      <c r="C63" s="204">
        <v>158</v>
      </c>
      <c r="D63" s="204">
        <v>160</v>
      </c>
      <c r="E63" s="204">
        <v>128</v>
      </c>
      <c r="F63" s="204">
        <v>144</v>
      </c>
      <c r="G63" s="204">
        <v>111</v>
      </c>
      <c r="H63" s="204">
        <v>149</v>
      </c>
      <c r="I63" s="204">
        <v>115</v>
      </c>
    </row>
    <row r="64" spans="1:9">
      <c r="A64" s="204">
        <v>70</v>
      </c>
      <c r="B64" s="204">
        <v>253</v>
      </c>
      <c r="C64" s="204">
        <v>195</v>
      </c>
      <c r="D64" s="204">
        <v>197</v>
      </c>
      <c r="E64" s="204">
        <v>152</v>
      </c>
      <c r="F64" s="204">
        <v>179</v>
      </c>
      <c r="G64" s="204">
        <v>138</v>
      </c>
      <c r="H64" s="204">
        <v>184</v>
      </c>
      <c r="I64" s="204">
        <v>141</v>
      </c>
    </row>
    <row r="65" spans="1:9">
      <c r="A65" s="204">
        <v>95</v>
      </c>
      <c r="B65" s="204">
        <v>311</v>
      </c>
      <c r="C65" s="204">
        <v>239</v>
      </c>
      <c r="D65" s="204">
        <v>240</v>
      </c>
      <c r="E65" s="204">
        <v>185</v>
      </c>
      <c r="F65" s="204">
        <v>217</v>
      </c>
      <c r="G65" s="204">
        <v>167</v>
      </c>
      <c r="H65" s="204">
        <v>226</v>
      </c>
      <c r="I65" s="204">
        <v>174</v>
      </c>
    </row>
    <row r="66" spans="1:9">
      <c r="A66" s="204">
        <v>120</v>
      </c>
      <c r="B66" s="204">
        <v>356</v>
      </c>
      <c r="C66" s="204">
        <v>276</v>
      </c>
      <c r="D66" s="204">
        <v>278</v>
      </c>
      <c r="E66" s="204">
        <v>215</v>
      </c>
      <c r="F66" s="204">
        <v>252</v>
      </c>
      <c r="G66" s="204">
        <v>194</v>
      </c>
      <c r="H66" s="204">
        <v>260</v>
      </c>
      <c r="I66" s="204">
        <v>201</v>
      </c>
    </row>
    <row r="67" spans="1:9">
      <c r="A67" s="204">
        <v>150</v>
      </c>
      <c r="B67" s="204">
        <v>410</v>
      </c>
      <c r="C67" s="204">
        <v>316</v>
      </c>
      <c r="D67" s="204">
        <v>319</v>
      </c>
      <c r="E67" s="204">
        <v>246</v>
      </c>
      <c r="F67" s="204">
        <v>292</v>
      </c>
      <c r="G67" s="204">
        <v>225</v>
      </c>
      <c r="H67" s="204">
        <v>301</v>
      </c>
      <c r="I67" s="204">
        <v>231</v>
      </c>
    </row>
    <row r="68" spans="1:9">
      <c r="A68" s="204">
        <v>185</v>
      </c>
      <c r="B68" s="204">
        <v>466</v>
      </c>
      <c r="C68" s="204">
        <v>359</v>
      </c>
      <c r="D68" s="367" t="s">
        <v>6633</v>
      </c>
      <c r="E68" s="367"/>
      <c r="F68" s="204">
        <v>333</v>
      </c>
      <c r="G68" s="204">
        <v>257</v>
      </c>
      <c r="H68" s="204">
        <v>345</v>
      </c>
      <c r="I68" s="204">
        <v>266</v>
      </c>
    </row>
    <row r="69" spans="1:9">
      <c r="A69" s="204">
        <v>240</v>
      </c>
      <c r="B69" s="204">
        <v>551</v>
      </c>
      <c r="C69" s="204">
        <v>424</v>
      </c>
      <c r="D69" s="367" t="s">
        <v>6633</v>
      </c>
      <c r="E69" s="367" t="s">
        <v>6633</v>
      </c>
      <c r="F69" s="204">
        <v>392</v>
      </c>
      <c r="G69" s="204">
        <v>305</v>
      </c>
      <c r="H69" s="367" t="s">
        <v>6633</v>
      </c>
      <c r="I69" s="367" t="s">
        <v>6633</v>
      </c>
    </row>
    <row r="70" spans="1:9">
      <c r="A70" s="204">
        <v>300</v>
      </c>
      <c r="B70" s="204">
        <v>632</v>
      </c>
      <c r="C70" s="204">
        <v>486</v>
      </c>
      <c r="D70" s="367" t="s">
        <v>6633</v>
      </c>
      <c r="E70" s="367" t="s">
        <v>6633</v>
      </c>
      <c r="F70" s="367" t="s">
        <v>6633</v>
      </c>
      <c r="G70" s="367" t="s">
        <v>6633</v>
      </c>
      <c r="H70" s="367" t="s">
        <v>6633</v>
      </c>
      <c r="I70" s="367" t="s">
        <v>6633</v>
      </c>
    </row>
    <row r="71" spans="1:9">
      <c r="A71" s="204">
        <v>400</v>
      </c>
      <c r="B71" s="204">
        <v>764</v>
      </c>
      <c r="C71" s="204">
        <v>587</v>
      </c>
      <c r="D71" s="367" t="s">
        <v>6633</v>
      </c>
      <c r="E71" s="367" t="s">
        <v>6633</v>
      </c>
      <c r="F71" s="367" t="s">
        <v>6633</v>
      </c>
      <c r="G71" s="367" t="s">
        <v>6633</v>
      </c>
      <c r="H71" s="367" t="s">
        <v>6633</v>
      </c>
      <c r="I71" s="367" t="s">
        <v>6633</v>
      </c>
    </row>
    <row r="72" spans="1:9">
      <c r="A72" s="204">
        <v>500</v>
      </c>
      <c r="B72" s="204">
        <v>882</v>
      </c>
      <c r="C72" s="204">
        <v>677</v>
      </c>
      <c r="D72" s="367" t="s">
        <v>6633</v>
      </c>
      <c r="E72" s="367" t="s">
        <v>6633</v>
      </c>
      <c r="F72" s="367" t="s">
        <v>6633</v>
      </c>
      <c r="G72" s="367" t="s">
        <v>6633</v>
      </c>
      <c r="H72" s="367" t="s">
        <v>6633</v>
      </c>
      <c r="I72" s="367" t="s">
        <v>6633</v>
      </c>
    </row>
    <row r="73" spans="1:9">
      <c r="A73" s="204">
        <v>620</v>
      </c>
      <c r="B73" s="204">
        <v>1032</v>
      </c>
      <c r="C73" s="204">
        <v>787</v>
      </c>
      <c r="D73" s="367" t="s">
        <v>6633</v>
      </c>
      <c r="E73" s="367" t="s">
        <v>6633</v>
      </c>
      <c r="F73" s="367" t="s">
        <v>6633</v>
      </c>
      <c r="G73" s="367" t="s">
        <v>6633</v>
      </c>
      <c r="H73" s="367" t="s">
        <v>6633</v>
      </c>
      <c r="I73" s="367" t="s">
        <v>6633</v>
      </c>
    </row>
    <row r="74" spans="1:9">
      <c r="A74" s="204">
        <v>800</v>
      </c>
      <c r="B74" s="204">
        <v>1208</v>
      </c>
      <c r="C74" s="204">
        <v>931</v>
      </c>
      <c r="D74" s="367" t="s">
        <v>6633</v>
      </c>
      <c r="E74" s="367" t="s">
        <v>6633</v>
      </c>
      <c r="F74" s="367" t="s">
        <v>6633</v>
      </c>
      <c r="G74" s="367" t="s">
        <v>6633</v>
      </c>
      <c r="H74" s="367" t="s">
        <v>6633</v>
      </c>
      <c r="I74" s="367" t="s">
        <v>6633</v>
      </c>
    </row>
    <row r="75" ht="25.8" spans="1:9">
      <c r="A75" s="385" t="s">
        <v>6669</v>
      </c>
      <c r="B75" s="385"/>
      <c r="C75" s="385"/>
      <c r="D75" s="385"/>
      <c r="E75" s="385"/>
      <c r="F75" s="385"/>
      <c r="G75" s="385"/>
      <c r="H75" s="385"/>
      <c r="I75" s="385"/>
    </row>
    <row r="76" spans="1:9">
      <c r="A76" s="291" t="s">
        <v>6670</v>
      </c>
      <c r="B76" s="204" t="s">
        <v>6671</v>
      </c>
      <c r="C76" s="204"/>
      <c r="D76" s="204"/>
      <c r="E76" s="204"/>
      <c r="F76" s="204" t="s">
        <v>6672</v>
      </c>
      <c r="G76" s="204"/>
      <c r="H76" s="204"/>
      <c r="I76" s="204"/>
    </row>
    <row r="77" spans="1:9">
      <c r="A77" s="342" t="s">
        <v>6673</v>
      </c>
      <c r="B77" s="204" t="s">
        <v>6635</v>
      </c>
      <c r="C77" s="204" t="s">
        <v>6636</v>
      </c>
      <c r="D77" s="204" t="s">
        <v>6637</v>
      </c>
      <c r="E77" s="204" t="s">
        <v>6638</v>
      </c>
      <c r="F77" s="204" t="s">
        <v>6635</v>
      </c>
      <c r="G77" s="204" t="s">
        <v>6636</v>
      </c>
      <c r="H77" s="204" t="s">
        <v>6637</v>
      </c>
      <c r="I77" s="204" t="s">
        <v>6638</v>
      </c>
    </row>
    <row r="78" spans="1:9">
      <c r="A78" s="204" t="s">
        <v>6674</v>
      </c>
      <c r="B78" s="204">
        <v>210</v>
      </c>
      <c r="C78" s="204">
        <v>197</v>
      </c>
      <c r="D78" s="204">
        <v>185</v>
      </c>
      <c r="E78" s="204">
        <v>170</v>
      </c>
      <c r="F78" s="204">
        <v>210</v>
      </c>
      <c r="G78" s="204">
        <v>197</v>
      </c>
      <c r="H78" s="204">
        <v>185</v>
      </c>
      <c r="I78" s="204">
        <v>170</v>
      </c>
    </row>
    <row r="79" spans="1:9">
      <c r="A79" s="204" t="s">
        <v>6675</v>
      </c>
      <c r="B79" s="204">
        <v>275</v>
      </c>
      <c r="C79" s="204">
        <v>258</v>
      </c>
      <c r="D79" s="204">
        <v>242</v>
      </c>
      <c r="E79" s="204">
        <v>223</v>
      </c>
      <c r="F79" s="204">
        <v>275</v>
      </c>
      <c r="G79" s="204">
        <v>258</v>
      </c>
      <c r="H79" s="204">
        <v>242</v>
      </c>
      <c r="I79" s="204">
        <v>223</v>
      </c>
    </row>
    <row r="80" spans="1:9">
      <c r="A80" s="204" t="s">
        <v>6676</v>
      </c>
      <c r="B80" s="204">
        <v>340</v>
      </c>
      <c r="C80" s="204">
        <v>320</v>
      </c>
      <c r="D80" s="204">
        <v>299</v>
      </c>
      <c r="E80" s="204">
        <v>276</v>
      </c>
      <c r="F80" s="204">
        <v>340</v>
      </c>
      <c r="G80" s="204">
        <v>320</v>
      </c>
      <c r="H80" s="204">
        <v>299</v>
      </c>
      <c r="I80" s="204">
        <v>276</v>
      </c>
    </row>
    <row r="81" spans="1:9">
      <c r="A81" s="204" t="s">
        <v>6677</v>
      </c>
      <c r="B81" s="204">
        <v>475</v>
      </c>
      <c r="C81" s="204">
        <v>446</v>
      </c>
      <c r="D81" s="204">
        <v>418</v>
      </c>
      <c r="E81" s="204">
        <v>385</v>
      </c>
      <c r="F81" s="204">
        <v>475</v>
      </c>
      <c r="G81" s="204">
        <v>446</v>
      </c>
      <c r="H81" s="204">
        <v>418</v>
      </c>
      <c r="I81" s="204">
        <v>385</v>
      </c>
    </row>
    <row r="82" spans="1:9">
      <c r="A82" s="204" t="s">
        <v>6678</v>
      </c>
      <c r="B82" s="204">
        <v>625</v>
      </c>
      <c r="C82" s="204">
        <v>587</v>
      </c>
      <c r="D82" s="204">
        <v>546</v>
      </c>
      <c r="E82" s="204">
        <v>506</v>
      </c>
      <c r="F82" s="204">
        <v>625</v>
      </c>
      <c r="G82" s="204">
        <v>587</v>
      </c>
      <c r="H82" s="204">
        <v>550</v>
      </c>
      <c r="I82" s="204">
        <v>506</v>
      </c>
    </row>
    <row r="83" spans="1:9">
      <c r="A83" s="204" t="s">
        <v>6679</v>
      </c>
      <c r="B83" s="204">
        <v>700</v>
      </c>
      <c r="C83" s="204">
        <v>659</v>
      </c>
      <c r="D83" s="204">
        <v>615</v>
      </c>
      <c r="E83" s="204">
        <v>567</v>
      </c>
      <c r="F83" s="204">
        <v>705</v>
      </c>
      <c r="G83" s="204">
        <v>664</v>
      </c>
      <c r="H83" s="204">
        <v>620</v>
      </c>
      <c r="I83" s="204">
        <v>571</v>
      </c>
    </row>
    <row r="84" spans="1:9">
      <c r="A84" s="204" t="s">
        <v>6680</v>
      </c>
      <c r="B84" s="204">
        <v>860</v>
      </c>
      <c r="C84" s="204">
        <v>809</v>
      </c>
      <c r="D84" s="204">
        <v>756</v>
      </c>
      <c r="E84" s="204">
        <v>697</v>
      </c>
      <c r="F84" s="204">
        <v>870</v>
      </c>
      <c r="G84" s="204">
        <v>818</v>
      </c>
      <c r="H84" s="204">
        <v>765</v>
      </c>
      <c r="I84" s="204">
        <v>705</v>
      </c>
    </row>
    <row r="85" spans="1:9">
      <c r="A85" s="204" t="s">
        <v>6681</v>
      </c>
      <c r="B85" s="204">
        <v>955</v>
      </c>
      <c r="C85" s="204">
        <v>898</v>
      </c>
      <c r="D85" s="204">
        <v>840</v>
      </c>
      <c r="E85" s="204">
        <v>774</v>
      </c>
      <c r="F85" s="204">
        <v>960</v>
      </c>
      <c r="G85" s="204">
        <v>902</v>
      </c>
      <c r="H85" s="204">
        <v>845</v>
      </c>
      <c r="I85" s="204">
        <v>778</v>
      </c>
    </row>
    <row r="86" spans="1:9">
      <c r="A86" s="204" t="s">
        <v>6682</v>
      </c>
      <c r="B86" s="204">
        <v>1125</v>
      </c>
      <c r="C86" s="204">
        <v>1056</v>
      </c>
      <c r="D86" s="204">
        <v>990</v>
      </c>
      <c r="E86" s="204">
        <v>912</v>
      </c>
      <c r="F86" s="204">
        <v>1145</v>
      </c>
      <c r="G86" s="204">
        <v>1079</v>
      </c>
      <c r="H86" s="204">
        <v>1010</v>
      </c>
      <c r="I86" s="204">
        <v>928</v>
      </c>
    </row>
    <row r="87" spans="1:9">
      <c r="A87" s="204" t="s">
        <v>6683</v>
      </c>
      <c r="B87" s="204">
        <v>1480</v>
      </c>
      <c r="C87" s="204">
        <v>1390</v>
      </c>
      <c r="D87" s="204">
        <v>1300</v>
      </c>
      <c r="E87" s="204">
        <v>1200</v>
      </c>
      <c r="F87" s="204">
        <v>1510</v>
      </c>
      <c r="G87" s="204">
        <v>1420</v>
      </c>
      <c r="H87" s="204">
        <v>1330</v>
      </c>
      <c r="I87" s="204">
        <v>1225</v>
      </c>
    </row>
    <row r="88" spans="1:9">
      <c r="A88" s="204" t="s">
        <v>6684</v>
      </c>
      <c r="B88" s="204">
        <v>1810</v>
      </c>
      <c r="C88" s="204">
        <v>1700</v>
      </c>
      <c r="D88" s="204">
        <v>1590</v>
      </c>
      <c r="E88" s="204">
        <v>1470</v>
      </c>
      <c r="F88" s="204">
        <v>1875</v>
      </c>
      <c r="G88" s="204">
        <v>1760</v>
      </c>
      <c r="H88" s="204">
        <v>1650</v>
      </c>
      <c r="I88" s="204">
        <v>1520</v>
      </c>
    </row>
    <row r="89" spans="1:9">
      <c r="A89" s="204" t="s">
        <v>6685</v>
      </c>
      <c r="B89" s="204">
        <v>1320</v>
      </c>
      <c r="C89" s="204">
        <v>1240</v>
      </c>
      <c r="D89" s="204">
        <v>1160</v>
      </c>
      <c r="E89" s="204">
        <v>1070</v>
      </c>
      <c r="F89" s="204">
        <v>1345</v>
      </c>
      <c r="G89" s="204">
        <v>1265</v>
      </c>
      <c r="H89" s="204">
        <v>1185</v>
      </c>
      <c r="I89" s="204">
        <v>1090</v>
      </c>
    </row>
    <row r="90" spans="1:9">
      <c r="A90" s="204" t="s">
        <v>6686</v>
      </c>
      <c r="B90" s="204">
        <v>1690</v>
      </c>
      <c r="C90" s="204">
        <v>1590</v>
      </c>
      <c r="D90" s="204">
        <v>1490</v>
      </c>
      <c r="E90" s="204">
        <v>1370</v>
      </c>
      <c r="F90" s="204">
        <v>1755</v>
      </c>
      <c r="G90" s="204">
        <v>1650</v>
      </c>
      <c r="H90" s="204">
        <v>1545</v>
      </c>
      <c r="I90" s="204">
        <v>1420</v>
      </c>
    </row>
    <row r="91" spans="1:9">
      <c r="A91" s="204" t="s">
        <v>6687</v>
      </c>
      <c r="B91" s="204">
        <v>2080</v>
      </c>
      <c r="C91" s="204">
        <v>1955</v>
      </c>
      <c r="D91" s="204">
        <v>1830</v>
      </c>
      <c r="E91" s="204">
        <v>1685</v>
      </c>
      <c r="F91" s="204">
        <v>2180</v>
      </c>
      <c r="G91" s="204">
        <v>2050</v>
      </c>
      <c r="H91" s="204">
        <v>1920</v>
      </c>
      <c r="I91" s="204">
        <v>1770</v>
      </c>
    </row>
    <row r="92" spans="1:9">
      <c r="A92" s="204" t="s">
        <v>6688</v>
      </c>
      <c r="B92" s="204">
        <v>2650</v>
      </c>
      <c r="C92" s="204">
        <v>2490</v>
      </c>
      <c r="D92" s="204">
        <v>2330</v>
      </c>
      <c r="E92" s="204">
        <v>2150</v>
      </c>
      <c r="F92" s="204">
        <v>2950</v>
      </c>
      <c r="G92" s="204">
        <v>2770</v>
      </c>
      <c r="H92" s="204">
        <v>2595</v>
      </c>
      <c r="I92" s="204">
        <v>2390</v>
      </c>
    </row>
    <row r="93" spans="1:9">
      <c r="A93" s="386" t="s">
        <v>6689</v>
      </c>
      <c r="B93" s="386"/>
      <c r="C93" s="386"/>
      <c r="D93" s="386"/>
      <c r="E93" s="386"/>
      <c r="F93" s="386"/>
      <c r="G93" s="386"/>
      <c r="H93" s="386"/>
      <c r="I93" s="386"/>
    </row>
    <row r="94" spans="1:9">
      <c r="A94" s="246" t="s">
        <v>6690</v>
      </c>
      <c r="B94" s="246"/>
      <c r="C94" s="246"/>
      <c r="D94" s="246"/>
      <c r="E94" s="246"/>
      <c r="F94" s="246"/>
      <c r="G94" s="246"/>
      <c r="H94" s="246"/>
      <c r="I94" s="246"/>
    </row>
    <row r="95" ht="25.8" spans="1:9">
      <c r="A95" s="387" t="s">
        <v>6691</v>
      </c>
      <c r="B95" s="387"/>
      <c r="C95" s="387"/>
      <c r="D95" s="387"/>
      <c r="E95" s="387"/>
      <c r="F95" s="388"/>
      <c r="G95" s="388"/>
      <c r="H95" s="388"/>
      <c r="I95" s="388"/>
    </row>
    <row r="96" spans="1:5">
      <c r="A96" s="291" t="s">
        <v>6670</v>
      </c>
      <c r="B96" s="291" t="s">
        <v>2714</v>
      </c>
      <c r="C96" s="204" t="s">
        <v>6692</v>
      </c>
      <c r="D96" s="204"/>
      <c r="E96" s="291" t="s">
        <v>6693</v>
      </c>
    </row>
    <row r="97" spans="1:5">
      <c r="A97" s="342" t="s">
        <v>6673</v>
      </c>
      <c r="B97" s="342" t="s">
        <v>6666</v>
      </c>
      <c r="C97" s="204" t="s">
        <v>6671</v>
      </c>
      <c r="D97" s="204" t="s">
        <v>6672</v>
      </c>
      <c r="E97" s="342" t="s">
        <v>6694</v>
      </c>
    </row>
    <row r="98" spans="1:5">
      <c r="A98" s="204" t="s">
        <v>6675</v>
      </c>
      <c r="B98" s="204">
        <v>60</v>
      </c>
      <c r="C98" s="204">
        <v>65</v>
      </c>
      <c r="D98" s="204">
        <v>100</v>
      </c>
      <c r="E98" s="204">
        <v>0.47</v>
      </c>
    </row>
    <row r="99" spans="1:5">
      <c r="A99" s="204" t="s">
        <v>6676</v>
      </c>
      <c r="B99" s="204">
        <v>75</v>
      </c>
      <c r="C99" s="204">
        <v>80</v>
      </c>
      <c r="D99" s="204">
        <v>120</v>
      </c>
      <c r="E99" s="204">
        <v>0.59</v>
      </c>
    </row>
    <row r="100" spans="1:5">
      <c r="A100" s="204" t="s">
        <v>6677</v>
      </c>
      <c r="B100" s="204">
        <v>90</v>
      </c>
      <c r="C100" s="204">
        <v>94</v>
      </c>
      <c r="D100" s="204">
        <v>140</v>
      </c>
      <c r="E100" s="204">
        <v>0.71</v>
      </c>
    </row>
    <row r="101" spans="1:5">
      <c r="A101" s="204" t="s">
        <v>6695</v>
      </c>
      <c r="B101" s="204">
        <v>120</v>
      </c>
      <c r="C101" s="204">
        <v>125</v>
      </c>
      <c r="D101" s="204">
        <v>190</v>
      </c>
      <c r="E101" s="204">
        <v>0.94</v>
      </c>
    </row>
    <row r="102" spans="1:5">
      <c r="A102" s="204" t="s">
        <v>6696</v>
      </c>
      <c r="B102" s="204">
        <v>150</v>
      </c>
      <c r="C102" s="204">
        <v>155</v>
      </c>
      <c r="D102" s="204">
        <v>230</v>
      </c>
      <c r="E102" s="204">
        <v>1.18</v>
      </c>
    </row>
    <row r="103" spans="1:5">
      <c r="A103" s="204" t="s">
        <v>6697</v>
      </c>
      <c r="B103" s="204">
        <v>180</v>
      </c>
      <c r="C103" s="204">
        <v>185</v>
      </c>
      <c r="D103" s="204">
        <v>280</v>
      </c>
      <c r="E103" s="204">
        <v>1.41</v>
      </c>
    </row>
    <row r="104" spans="1:5">
      <c r="A104" s="204" t="s">
        <v>6698</v>
      </c>
      <c r="B104" s="204">
        <v>210</v>
      </c>
      <c r="C104" s="204">
        <v>215</v>
      </c>
      <c r="D104" s="204">
        <v>320</v>
      </c>
      <c r="E104" s="204">
        <v>1.65</v>
      </c>
    </row>
    <row r="105" spans="1:5">
      <c r="A105" s="204" t="s">
        <v>6699</v>
      </c>
      <c r="B105" s="204">
        <v>225</v>
      </c>
      <c r="C105" s="204">
        <v>230</v>
      </c>
      <c r="D105" s="204">
        <v>345</v>
      </c>
      <c r="E105" s="204">
        <v>1.77</v>
      </c>
    </row>
    <row r="106" spans="1:5">
      <c r="A106" s="204" t="s">
        <v>6700</v>
      </c>
      <c r="B106" s="204">
        <v>240</v>
      </c>
      <c r="C106" s="204">
        <v>245</v>
      </c>
      <c r="D106" s="204">
        <v>365</v>
      </c>
      <c r="E106" s="204">
        <v>1.88</v>
      </c>
    </row>
    <row r="107" spans="1:5">
      <c r="A107" s="204" t="s">
        <v>6701</v>
      </c>
      <c r="B107" s="204">
        <v>270</v>
      </c>
      <c r="C107" s="204">
        <v>275</v>
      </c>
      <c r="D107" s="204">
        <v>410</v>
      </c>
      <c r="E107" s="204">
        <v>2.12</v>
      </c>
    </row>
    <row r="108" spans="1:5">
      <c r="A108" s="204" t="s">
        <v>6702</v>
      </c>
      <c r="B108" s="204">
        <v>300</v>
      </c>
      <c r="C108" s="204">
        <v>305</v>
      </c>
      <c r="D108" s="204">
        <v>460</v>
      </c>
      <c r="E108" s="204">
        <v>2.36</v>
      </c>
    </row>
    <row r="109" spans="1:5">
      <c r="A109" s="204" t="s">
        <v>6703</v>
      </c>
      <c r="B109" s="204">
        <v>80</v>
      </c>
      <c r="C109" s="204">
        <v>70</v>
      </c>
      <c r="D109" s="204">
        <v>115</v>
      </c>
      <c r="E109" s="204">
        <v>0.63</v>
      </c>
    </row>
    <row r="110" spans="1:5">
      <c r="A110" s="204" t="s">
        <v>6704</v>
      </c>
      <c r="B110" s="204">
        <v>100</v>
      </c>
      <c r="C110" s="204">
        <v>85</v>
      </c>
      <c r="D110" s="204">
        <v>140</v>
      </c>
      <c r="E110" s="204">
        <v>0.79</v>
      </c>
    </row>
    <row r="111" spans="1:5">
      <c r="A111" s="204" t="s">
        <v>6677</v>
      </c>
      <c r="B111" s="204">
        <v>120</v>
      </c>
      <c r="C111" s="204">
        <v>100</v>
      </c>
      <c r="D111" s="204">
        <v>165</v>
      </c>
      <c r="E111" s="204">
        <v>0.94</v>
      </c>
    </row>
    <row r="112" spans="1:5">
      <c r="A112" s="204" t="s">
        <v>6678</v>
      </c>
      <c r="B112" s="204">
        <v>160</v>
      </c>
      <c r="C112" s="204">
        <v>130</v>
      </c>
      <c r="D112" s="204">
        <v>220</v>
      </c>
      <c r="E112" s="204">
        <v>1.26</v>
      </c>
    </row>
    <row r="113" spans="1:5">
      <c r="A113" s="204" t="s">
        <v>6705</v>
      </c>
      <c r="B113" s="204">
        <v>200</v>
      </c>
      <c r="C113" s="204">
        <v>165</v>
      </c>
      <c r="D113" s="204">
        <v>270</v>
      </c>
      <c r="E113" s="204">
        <v>1.57</v>
      </c>
    </row>
    <row r="114" spans="1:5">
      <c r="A114" s="204" t="s">
        <v>6706</v>
      </c>
      <c r="B114" s="204">
        <v>240</v>
      </c>
      <c r="C114" s="204">
        <v>195</v>
      </c>
      <c r="D114" s="204">
        <v>325</v>
      </c>
      <c r="E114" s="204">
        <v>1.88</v>
      </c>
    </row>
    <row r="115" spans="1:5">
      <c r="A115" s="204" t="s">
        <v>6707</v>
      </c>
      <c r="B115" s="204">
        <v>280</v>
      </c>
      <c r="C115" s="204">
        <v>225</v>
      </c>
      <c r="D115" s="204">
        <v>375</v>
      </c>
      <c r="E115" s="204">
        <v>2.2</v>
      </c>
    </row>
    <row r="116" spans="1:5">
      <c r="A116" s="204" t="s">
        <v>6708</v>
      </c>
      <c r="B116" s="204">
        <v>320</v>
      </c>
      <c r="C116" s="204">
        <v>260</v>
      </c>
      <c r="D116" s="204">
        <v>430</v>
      </c>
      <c r="E116" s="204">
        <v>2.51</v>
      </c>
    </row>
    <row r="117" spans="1:5">
      <c r="A117" s="204" t="s">
        <v>6709</v>
      </c>
      <c r="B117" s="204">
        <v>360</v>
      </c>
      <c r="C117" s="204">
        <v>290</v>
      </c>
      <c r="D117" s="204">
        <v>480</v>
      </c>
      <c r="E117" s="204">
        <v>2.83</v>
      </c>
    </row>
    <row r="118" spans="1:5">
      <c r="A118" s="204" t="s">
        <v>6710</v>
      </c>
      <c r="B118" s="204">
        <v>400</v>
      </c>
      <c r="C118" s="204">
        <v>325</v>
      </c>
      <c r="D118" s="204">
        <v>535</v>
      </c>
      <c r="E118" s="204">
        <v>3.14</v>
      </c>
    </row>
    <row r="119" spans="1:5">
      <c r="A119" s="204" t="s">
        <v>6711</v>
      </c>
      <c r="B119" s="204">
        <v>125</v>
      </c>
      <c r="C119" s="204">
        <v>95</v>
      </c>
      <c r="D119" s="204">
        <v>170</v>
      </c>
      <c r="E119" s="204">
        <v>0.98</v>
      </c>
    </row>
    <row r="120" spans="1:5">
      <c r="A120" s="204" t="s">
        <v>6712</v>
      </c>
      <c r="B120" s="204">
        <v>150</v>
      </c>
      <c r="C120" s="204">
        <v>115</v>
      </c>
      <c r="D120" s="204">
        <v>200</v>
      </c>
      <c r="E120" s="204">
        <v>1.18</v>
      </c>
    </row>
    <row r="121" spans="1:5">
      <c r="A121" s="204" t="s">
        <v>6679</v>
      </c>
      <c r="B121" s="204">
        <v>200</v>
      </c>
      <c r="C121" s="204">
        <v>145</v>
      </c>
      <c r="D121" s="204">
        <v>265</v>
      </c>
      <c r="E121" s="204">
        <v>1.57</v>
      </c>
    </row>
    <row r="122" spans="1:5">
      <c r="A122" s="204" t="s">
        <v>6680</v>
      </c>
      <c r="B122" s="204">
        <v>250</v>
      </c>
      <c r="C122" s="204">
        <v>180</v>
      </c>
      <c r="D122" s="204">
        <v>325</v>
      </c>
      <c r="E122" s="204">
        <v>1.96</v>
      </c>
    </row>
    <row r="123" spans="1:5">
      <c r="A123" s="204" t="s">
        <v>6713</v>
      </c>
      <c r="B123" s="204">
        <v>300</v>
      </c>
      <c r="C123" s="204">
        <v>215</v>
      </c>
      <c r="D123" s="204">
        <v>390</v>
      </c>
      <c r="E123" s="204">
        <v>2.36</v>
      </c>
    </row>
    <row r="124" spans="1:5">
      <c r="A124" s="204" t="s">
        <v>6714</v>
      </c>
      <c r="B124" s="204">
        <v>400</v>
      </c>
      <c r="C124" s="204">
        <v>280</v>
      </c>
      <c r="D124" s="204">
        <v>510</v>
      </c>
      <c r="E124" s="204">
        <v>3.14</v>
      </c>
    </row>
    <row r="125" spans="1:5">
      <c r="A125" s="204" t="s">
        <v>6715</v>
      </c>
      <c r="B125" s="204">
        <v>500</v>
      </c>
      <c r="C125" s="204">
        <v>350</v>
      </c>
      <c r="D125" s="204">
        <v>640</v>
      </c>
      <c r="E125" s="204">
        <v>3.93</v>
      </c>
    </row>
    <row r="126" spans="1:5">
      <c r="A126" s="204" t="s">
        <v>6682</v>
      </c>
      <c r="B126" s="204">
        <v>360</v>
      </c>
      <c r="C126" s="204">
        <v>210</v>
      </c>
      <c r="D126" s="367" t="s">
        <v>6633</v>
      </c>
      <c r="E126" s="204">
        <v>2.83</v>
      </c>
    </row>
    <row r="127" spans="1:5">
      <c r="A127" s="204" t="s">
        <v>6683</v>
      </c>
      <c r="B127" s="204">
        <v>480</v>
      </c>
      <c r="C127" s="204">
        <v>275</v>
      </c>
      <c r="D127" s="367" t="s">
        <v>6633</v>
      </c>
      <c r="E127" s="204">
        <v>3.77</v>
      </c>
    </row>
    <row r="128" spans="1:5">
      <c r="A128" s="204" t="s">
        <v>6686</v>
      </c>
      <c r="B128" s="204">
        <v>640</v>
      </c>
      <c r="C128" s="204">
        <v>290</v>
      </c>
      <c r="D128" s="367" t="s">
        <v>6633</v>
      </c>
      <c r="E128" s="204">
        <v>5.02</v>
      </c>
    </row>
    <row r="129" spans="1:5">
      <c r="A129" s="204" t="s">
        <v>6716</v>
      </c>
      <c r="B129" s="204">
        <v>1000</v>
      </c>
      <c r="C129" s="204">
        <v>390</v>
      </c>
      <c r="D129" s="367" t="s">
        <v>6633</v>
      </c>
      <c r="E129" s="204">
        <v>7.85</v>
      </c>
    </row>
    <row r="131" ht="25.8" spans="1:31">
      <c r="A131" s="366" t="s">
        <v>6717</v>
      </c>
      <c r="B131" s="366"/>
      <c r="C131" s="366"/>
      <c r="D131" s="366"/>
      <c r="E131" s="366"/>
      <c r="F131" s="366"/>
      <c r="G131" s="366"/>
      <c r="H131" s="366"/>
      <c r="I131" s="366"/>
      <c r="K131" s="366" t="s">
        <v>6718</v>
      </c>
      <c r="L131" s="366"/>
      <c r="M131" s="366"/>
      <c r="N131" s="366"/>
      <c r="O131" s="366"/>
      <c r="P131" s="366"/>
      <c r="Q131" s="366"/>
      <c r="R131" s="366"/>
      <c r="S131" s="366"/>
      <c r="T131" s="366"/>
      <c r="U131" s="366"/>
      <c r="V131" s="366"/>
      <c r="W131" s="366"/>
      <c r="X131" s="366"/>
      <c r="Y131" s="366"/>
      <c r="Z131" s="366"/>
      <c r="AA131" s="366"/>
      <c r="AB131" s="366"/>
      <c r="AC131" s="366"/>
      <c r="AD131" s="366"/>
      <c r="AE131" s="404"/>
    </row>
    <row r="132" spans="1:31">
      <c r="A132" s="291" t="s">
        <v>2714</v>
      </c>
      <c r="B132" s="204" t="s">
        <v>6719</v>
      </c>
      <c r="C132" s="204"/>
      <c r="D132" s="204"/>
      <c r="E132" s="204"/>
      <c r="F132" s="204" t="s">
        <v>6720</v>
      </c>
      <c r="G132" s="204"/>
      <c r="H132" s="204"/>
      <c r="I132" s="204"/>
      <c r="K132" s="370" t="s">
        <v>2714</v>
      </c>
      <c r="L132" s="371"/>
      <c r="M132" s="383" t="s">
        <v>6619</v>
      </c>
      <c r="N132" s="389"/>
      <c r="O132" s="389"/>
      <c r="P132" s="389"/>
      <c r="Q132" s="389"/>
      <c r="R132" s="384"/>
      <c r="S132" s="383" t="s">
        <v>6620</v>
      </c>
      <c r="T132" s="389"/>
      <c r="U132" s="389"/>
      <c r="V132" s="389"/>
      <c r="W132" s="389"/>
      <c r="X132" s="384"/>
      <c r="Y132" s="383" t="s">
        <v>6721</v>
      </c>
      <c r="Z132" s="389"/>
      <c r="AA132" s="389"/>
      <c r="AB132" s="389"/>
      <c r="AC132" s="389"/>
      <c r="AD132" s="384"/>
      <c r="AE132" s="405"/>
    </row>
    <row r="133" spans="1:31">
      <c r="A133" s="342" t="s">
        <v>6666</v>
      </c>
      <c r="B133" s="204" t="s">
        <v>6635</v>
      </c>
      <c r="C133" s="204" t="s">
        <v>6636</v>
      </c>
      <c r="D133" s="204" t="s">
        <v>6637</v>
      </c>
      <c r="E133" s="204" t="s">
        <v>6638</v>
      </c>
      <c r="F133" s="204" t="s">
        <v>6635</v>
      </c>
      <c r="G133" s="204" t="s">
        <v>6636</v>
      </c>
      <c r="H133" s="204" t="s">
        <v>6637</v>
      </c>
      <c r="I133" s="204" t="s">
        <v>6638</v>
      </c>
      <c r="K133" s="373"/>
      <c r="L133" s="374"/>
      <c r="M133" s="383" t="s">
        <v>6722</v>
      </c>
      <c r="N133" s="389"/>
      <c r="O133" s="389"/>
      <c r="P133" s="384"/>
      <c r="Q133" s="393" t="s">
        <v>6723</v>
      </c>
      <c r="R133" s="394"/>
      <c r="S133" s="383" t="s">
        <v>6722</v>
      </c>
      <c r="T133" s="389"/>
      <c r="U133" s="389"/>
      <c r="V133" s="384"/>
      <c r="W133" s="393" t="s">
        <v>6723</v>
      </c>
      <c r="X133" s="394"/>
      <c r="Y133" s="383" t="s">
        <v>6722</v>
      </c>
      <c r="Z133" s="389"/>
      <c r="AA133" s="389"/>
      <c r="AB133" s="384"/>
      <c r="AC133" s="393" t="s">
        <v>6723</v>
      </c>
      <c r="AD133" s="394"/>
      <c r="AE133" s="406"/>
    </row>
    <row r="134" spans="1:31">
      <c r="A134" s="204">
        <v>1</v>
      </c>
      <c r="B134" s="367" t="s">
        <v>6633</v>
      </c>
      <c r="C134" s="367" t="s">
        <v>6633</v>
      </c>
      <c r="D134" s="367" t="s">
        <v>6633</v>
      </c>
      <c r="E134" s="367" t="s">
        <v>6633</v>
      </c>
      <c r="F134" s="204">
        <v>21</v>
      </c>
      <c r="G134" s="204">
        <v>19</v>
      </c>
      <c r="H134" s="204">
        <v>18</v>
      </c>
      <c r="I134" s="204">
        <v>16</v>
      </c>
      <c r="K134" s="375" t="s">
        <v>6634</v>
      </c>
      <c r="L134" s="377"/>
      <c r="M134" s="378" t="s">
        <v>6635</v>
      </c>
      <c r="N134" s="378" t="s">
        <v>6636</v>
      </c>
      <c r="O134" s="378" t="s">
        <v>6637</v>
      </c>
      <c r="P134" s="378" t="s">
        <v>6638</v>
      </c>
      <c r="Q134" s="395" t="s">
        <v>6724</v>
      </c>
      <c r="R134" s="395" t="s">
        <v>6725</v>
      </c>
      <c r="S134" s="378" t="s">
        <v>6635</v>
      </c>
      <c r="T134" s="378" t="s">
        <v>6636</v>
      </c>
      <c r="U134" s="378" t="s">
        <v>6637</v>
      </c>
      <c r="V134" s="378" t="s">
        <v>6638</v>
      </c>
      <c r="W134" s="395" t="s">
        <v>6724</v>
      </c>
      <c r="X134" s="395" t="s">
        <v>6725</v>
      </c>
      <c r="Y134" s="378" t="s">
        <v>6635</v>
      </c>
      <c r="Z134" s="378" t="s">
        <v>6636</v>
      </c>
      <c r="AA134" s="378" t="s">
        <v>6637</v>
      </c>
      <c r="AB134" s="378" t="s">
        <v>6638</v>
      </c>
      <c r="AC134" s="395" t="s">
        <v>6724</v>
      </c>
      <c r="AD134" s="395" t="s">
        <v>6725</v>
      </c>
      <c r="AE134" s="407"/>
    </row>
    <row r="135" spans="1:31">
      <c r="A135" s="204">
        <v>1.5</v>
      </c>
      <c r="B135" s="367" t="s">
        <v>6633</v>
      </c>
      <c r="C135" s="367" t="s">
        <v>6633</v>
      </c>
      <c r="D135" s="367" t="s">
        <v>6633</v>
      </c>
      <c r="E135" s="367" t="s">
        <v>6633</v>
      </c>
      <c r="F135" s="204">
        <v>27</v>
      </c>
      <c r="G135" s="204">
        <v>25</v>
      </c>
      <c r="H135" s="204">
        <v>23</v>
      </c>
      <c r="I135" s="204">
        <v>21</v>
      </c>
      <c r="K135" s="291"/>
      <c r="L135" s="204">
        <v>1</v>
      </c>
      <c r="M135" s="204">
        <v>15</v>
      </c>
      <c r="N135" s="204">
        <v>14</v>
      </c>
      <c r="O135" s="204">
        <v>12</v>
      </c>
      <c r="P135" s="204">
        <v>11</v>
      </c>
      <c r="Q135" s="396">
        <v>15</v>
      </c>
      <c r="R135" s="396">
        <v>20</v>
      </c>
      <c r="S135" s="204">
        <v>14</v>
      </c>
      <c r="T135" s="204">
        <v>13</v>
      </c>
      <c r="U135" s="204">
        <v>12</v>
      </c>
      <c r="V135" s="204">
        <v>11</v>
      </c>
      <c r="W135" s="396">
        <v>15</v>
      </c>
      <c r="X135" s="396">
        <v>20</v>
      </c>
      <c r="Y135" s="204">
        <v>12</v>
      </c>
      <c r="Z135" s="204">
        <v>11</v>
      </c>
      <c r="AA135" s="204">
        <v>10</v>
      </c>
      <c r="AB135" s="204">
        <v>9</v>
      </c>
      <c r="AC135" s="396">
        <v>15</v>
      </c>
      <c r="AD135" s="396">
        <v>20</v>
      </c>
      <c r="AE135" s="405"/>
    </row>
    <row r="136" spans="1:31">
      <c r="A136" s="204">
        <v>2.5</v>
      </c>
      <c r="B136" s="204">
        <v>27</v>
      </c>
      <c r="C136" s="204">
        <v>25</v>
      </c>
      <c r="D136" s="204">
        <v>23</v>
      </c>
      <c r="E136" s="204">
        <v>21</v>
      </c>
      <c r="F136" s="204">
        <v>35</v>
      </c>
      <c r="G136" s="204">
        <v>32</v>
      </c>
      <c r="H136" s="204">
        <v>30</v>
      </c>
      <c r="I136" s="204">
        <v>27</v>
      </c>
      <c r="K136" s="390"/>
      <c r="L136" s="204">
        <v>1.5</v>
      </c>
      <c r="M136" s="204">
        <v>20</v>
      </c>
      <c r="N136" s="204">
        <v>18</v>
      </c>
      <c r="O136" s="204">
        <v>17</v>
      </c>
      <c r="P136" s="204">
        <v>15</v>
      </c>
      <c r="Q136" s="396">
        <v>15</v>
      </c>
      <c r="R136" s="396">
        <v>20</v>
      </c>
      <c r="S136" s="204">
        <v>18</v>
      </c>
      <c r="T136" s="204">
        <v>16</v>
      </c>
      <c r="U136" s="204">
        <v>15</v>
      </c>
      <c r="V136" s="204">
        <v>14</v>
      </c>
      <c r="W136" s="396">
        <v>15</v>
      </c>
      <c r="X136" s="396">
        <v>20</v>
      </c>
      <c r="Y136" s="204">
        <v>17</v>
      </c>
      <c r="Z136" s="204">
        <v>15</v>
      </c>
      <c r="AA136" s="204">
        <v>14</v>
      </c>
      <c r="AB136" s="204">
        <v>13</v>
      </c>
      <c r="AC136" s="396">
        <v>20</v>
      </c>
      <c r="AD136" s="396">
        <v>25</v>
      </c>
      <c r="AE136" s="405"/>
    </row>
    <row r="137" spans="1:31">
      <c r="A137" s="204">
        <v>4</v>
      </c>
      <c r="B137" s="204">
        <v>35</v>
      </c>
      <c r="C137" s="204">
        <v>32</v>
      </c>
      <c r="D137" s="204">
        <v>30</v>
      </c>
      <c r="E137" s="204">
        <v>27</v>
      </c>
      <c r="F137" s="204">
        <v>45</v>
      </c>
      <c r="G137" s="204">
        <v>42</v>
      </c>
      <c r="H137" s="204">
        <v>38</v>
      </c>
      <c r="I137" s="204">
        <v>35</v>
      </c>
      <c r="K137" s="390"/>
      <c r="L137" s="204">
        <v>2.5</v>
      </c>
      <c r="M137" s="204">
        <v>28</v>
      </c>
      <c r="N137" s="204">
        <v>26</v>
      </c>
      <c r="O137" s="204">
        <v>24</v>
      </c>
      <c r="P137" s="204">
        <v>22</v>
      </c>
      <c r="Q137" s="396">
        <v>15</v>
      </c>
      <c r="R137" s="396">
        <v>20</v>
      </c>
      <c r="S137" s="204">
        <v>25</v>
      </c>
      <c r="T137" s="204">
        <v>23</v>
      </c>
      <c r="U137" s="204">
        <v>21</v>
      </c>
      <c r="V137" s="204">
        <v>19</v>
      </c>
      <c r="W137" s="396">
        <v>15</v>
      </c>
      <c r="X137" s="396">
        <v>20</v>
      </c>
      <c r="Y137" s="204">
        <v>23</v>
      </c>
      <c r="Z137" s="204">
        <v>21</v>
      </c>
      <c r="AA137" s="204">
        <v>19</v>
      </c>
      <c r="AB137" s="204">
        <v>18</v>
      </c>
      <c r="AC137" s="396">
        <v>20</v>
      </c>
      <c r="AD137" s="396">
        <v>25</v>
      </c>
      <c r="AE137" s="405"/>
    </row>
    <row r="138" spans="1:31">
      <c r="A138" s="204">
        <v>6</v>
      </c>
      <c r="B138" s="204">
        <v>45</v>
      </c>
      <c r="C138" s="204">
        <v>42</v>
      </c>
      <c r="D138" s="204">
        <v>38</v>
      </c>
      <c r="E138" s="204">
        <v>35</v>
      </c>
      <c r="F138" s="204">
        <v>58</v>
      </c>
      <c r="G138" s="204">
        <v>54</v>
      </c>
      <c r="H138" s="204">
        <v>50</v>
      </c>
      <c r="I138" s="204">
        <v>45</v>
      </c>
      <c r="K138" s="390"/>
      <c r="L138" s="204">
        <v>4</v>
      </c>
      <c r="M138" s="204">
        <v>37</v>
      </c>
      <c r="N138" s="204">
        <v>34</v>
      </c>
      <c r="O138" s="204">
        <v>32</v>
      </c>
      <c r="P138" s="204">
        <v>29</v>
      </c>
      <c r="Q138" s="396">
        <v>20</v>
      </c>
      <c r="R138" s="396">
        <v>25</v>
      </c>
      <c r="S138" s="204">
        <v>30</v>
      </c>
      <c r="T138" s="204">
        <v>30</v>
      </c>
      <c r="U138" s="204">
        <v>28</v>
      </c>
      <c r="V138" s="204">
        <v>26</v>
      </c>
      <c r="W138" s="396">
        <v>20</v>
      </c>
      <c r="X138" s="396">
        <v>25</v>
      </c>
      <c r="Y138" s="204">
        <v>30</v>
      </c>
      <c r="Z138" s="204">
        <v>28</v>
      </c>
      <c r="AA138" s="204">
        <v>25</v>
      </c>
      <c r="AB138" s="204">
        <v>23</v>
      </c>
      <c r="AC138" s="396">
        <v>20</v>
      </c>
      <c r="AD138" s="396">
        <v>25</v>
      </c>
      <c r="AE138" s="405"/>
    </row>
    <row r="139" spans="1:31">
      <c r="A139" s="204">
        <v>10</v>
      </c>
      <c r="B139" s="204">
        <v>65</v>
      </c>
      <c r="C139" s="204">
        <v>60</v>
      </c>
      <c r="D139" s="204">
        <v>56</v>
      </c>
      <c r="E139" s="204">
        <v>51</v>
      </c>
      <c r="F139" s="204">
        <v>85</v>
      </c>
      <c r="G139" s="204">
        <v>79</v>
      </c>
      <c r="H139" s="204">
        <v>73</v>
      </c>
      <c r="I139" s="204">
        <v>67</v>
      </c>
      <c r="K139" s="390"/>
      <c r="L139" s="204">
        <v>6</v>
      </c>
      <c r="M139" s="204">
        <v>49</v>
      </c>
      <c r="N139" s="204">
        <v>45</v>
      </c>
      <c r="O139" s="204">
        <v>42</v>
      </c>
      <c r="P139" s="204">
        <v>38</v>
      </c>
      <c r="Q139" s="396">
        <v>20</v>
      </c>
      <c r="R139" s="396">
        <v>25</v>
      </c>
      <c r="S139" s="204">
        <v>40</v>
      </c>
      <c r="T139" s="204">
        <v>40</v>
      </c>
      <c r="U139" s="204">
        <v>37</v>
      </c>
      <c r="V139" s="204">
        <v>34</v>
      </c>
      <c r="W139" s="396">
        <v>20</v>
      </c>
      <c r="X139" s="396">
        <v>25</v>
      </c>
      <c r="Y139" s="204">
        <v>39</v>
      </c>
      <c r="Z139" s="204">
        <v>36</v>
      </c>
      <c r="AA139" s="204">
        <v>33</v>
      </c>
      <c r="AB139" s="204">
        <v>30</v>
      </c>
      <c r="AC139" s="396">
        <v>20</v>
      </c>
      <c r="AD139" s="396">
        <v>25</v>
      </c>
      <c r="AE139" s="405"/>
    </row>
    <row r="140" spans="1:31">
      <c r="A140" s="204">
        <v>16</v>
      </c>
      <c r="B140" s="204">
        <v>85</v>
      </c>
      <c r="C140" s="204">
        <v>79</v>
      </c>
      <c r="D140" s="204">
        <v>73</v>
      </c>
      <c r="E140" s="204">
        <v>67</v>
      </c>
      <c r="F140" s="204">
        <v>110</v>
      </c>
      <c r="G140" s="204">
        <v>102</v>
      </c>
      <c r="H140" s="204">
        <v>95</v>
      </c>
      <c r="I140" s="204">
        <v>87</v>
      </c>
      <c r="K140" s="390"/>
      <c r="L140" s="204">
        <v>10</v>
      </c>
      <c r="M140" s="204">
        <v>68</v>
      </c>
      <c r="N140" s="204">
        <v>63</v>
      </c>
      <c r="O140" s="204">
        <v>58</v>
      </c>
      <c r="P140" s="204">
        <v>53</v>
      </c>
      <c r="Q140" s="396">
        <v>25</v>
      </c>
      <c r="R140" s="396">
        <v>32</v>
      </c>
      <c r="S140" s="204">
        <v>56</v>
      </c>
      <c r="T140" s="204">
        <v>56</v>
      </c>
      <c r="U140" s="204">
        <v>51</v>
      </c>
      <c r="V140" s="204">
        <v>47</v>
      </c>
      <c r="W140" s="396">
        <v>25</v>
      </c>
      <c r="X140" s="396">
        <v>32</v>
      </c>
      <c r="Y140" s="204">
        <v>53</v>
      </c>
      <c r="Z140" s="204">
        <v>49</v>
      </c>
      <c r="AA140" s="204">
        <v>45</v>
      </c>
      <c r="AB140" s="204">
        <v>41</v>
      </c>
      <c r="AC140" s="396">
        <v>25</v>
      </c>
      <c r="AD140" s="396">
        <v>32</v>
      </c>
      <c r="AE140" s="405"/>
    </row>
    <row r="141" spans="1:31">
      <c r="A141" s="204">
        <v>25</v>
      </c>
      <c r="B141" s="204">
        <v>110</v>
      </c>
      <c r="C141" s="204">
        <v>102</v>
      </c>
      <c r="D141" s="204">
        <v>95</v>
      </c>
      <c r="E141" s="204">
        <v>87</v>
      </c>
      <c r="F141" s="204">
        <v>145</v>
      </c>
      <c r="G141" s="204">
        <v>135</v>
      </c>
      <c r="H141" s="204">
        <v>125</v>
      </c>
      <c r="I141" s="204">
        <v>114</v>
      </c>
      <c r="K141" s="380" t="s">
        <v>6726</v>
      </c>
      <c r="L141" s="204">
        <v>16</v>
      </c>
      <c r="M141" s="204">
        <v>86</v>
      </c>
      <c r="N141" s="204">
        <v>80</v>
      </c>
      <c r="O141" s="204">
        <v>74</v>
      </c>
      <c r="P141" s="204">
        <v>68</v>
      </c>
      <c r="Q141" s="396">
        <v>25</v>
      </c>
      <c r="R141" s="396">
        <v>32</v>
      </c>
      <c r="S141" s="204">
        <v>71</v>
      </c>
      <c r="T141" s="204">
        <v>71</v>
      </c>
      <c r="U141" s="204">
        <v>66</v>
      </c>
      <c r="V141" s="204">
        <v>60</v>
      </c>
      <c r="W141" s="396">
        <v>32</v>
      </c>
      <c r="X141" s="396">
        <v>32</v>
      </c>
      <c r="Y141" s="204">
        <v>69</v>
      </c>
      <c r="Z141" s="204">
        <v>64</v>
      </c>
      <c r="AA141" s="204">
        <v>59</v>
      </c>
      <c r="AB141" s="204">
        <v>54</v>
      </c>
      <c r="AC141" s="396">
        <v>32</v>
      </c>
      <c r="AD141" s="396">
        <v>40</v>
      </c>
      <c r="AE141" s="405"/>
    </row>
    <row r="142" spans="1:31">
      <c r="A142" s="204">
        <v>35</v>
      </c>
      <c r="B142" s="204">
        <v>138</v>
      </c>
      <c r="C142" s="204">
        <v>129</v>
      </c>
      <c r="D142" s="204">
        <v>119</v>
      </c>
      <c r="E142" s="204">
        <v>109</v>
      </c>
      <c r="F142" s="204">
        <v>180</v>
      </c>
      <c r="G142" s="204">
        <v>168</v>
      </c>
      <c r="H142" s="204">
        <v>155</v>
      </c>
      <c r="I142" s="204">
        <v>142</v>
      </c>
      <c r="K142" s="380" t="s">
        <v>6727</v>
      </c>
      <c r="L142" s="204">
        <v>25</v>
      </c>
      <c r="M142" s="204">
        <v>113</v>
      </c>
      <c r="N142" s="204">
        <v>105</v>
      </c>
      <c r="O142" s="204">
        <v>97</v>
      </c>
      <c r="P142" s="204">
        <v>89</v>
      </c>
      <c r="Q142" s="396">
        <v>32</v>
      </c>
      <c r="R142" s="396">
        <v>40</v>
      </c>
      <c r="S142" s="204">
        <v>93</v>
      </c>
      <c r="T142" s="204">
        <v>93</v>
      </c>
      <c r="U142" s="204">
        <v>86</v>
      </c>
      <c r="V142" s="204">
        <v>79</v>
      </c>
      <c r="W142" s="396">
        <v>32</v>
      </c>
      <c r="X142" s="396">
        <v>32</v>
      </c>
      <c r="Y142" s="204">
        <v>90</v>
      </c>
      <c r="Z142" s="204">
        <v>84</v>
      </c>
      <c r="AA142" s="204">
        <v>77</v>
      </c>
      <c r="AB142" s="204">
        <v>71</v>
      </c>
      <c r="AC142" s="396">
        <v>40</v>
      </c>
      <c r="AD142" s="396">
        <v>50</v>
      </c>
      <c r="AE142" s="405"/>
    </row>
    <row r="143" spans="1:31">
      <c r="A143" s="204">
        <v>50</v>
      </c>
      <c r="B143" s="204">
        <v>175</v>
      </c>
      <c r="C143" s="204">
        <v>163</v>
      </c>
      <c r="D143" s="204">
        <v>151</v>
      </c>
      <c r="E143" s="204">
        <v>138</v>
      </c>
      <c r="F143" s="204">
        <v>230</v>
      </c>
      <c r="G143" s="204">
        <v>215</v>
      </c>
      <c r="H143" s="204">
        <v>198</v>
      </c>
      <c r="I143" s="204">
        <v>181</v>
      </c>
      <c r="K143" s="380" t="s">
        <v>6728</v>
      </c>
      <c r="L143" s="204">
        <v>35</v>
      </c>
      <c r="M143" s="204">
        <v>140</v>
      </c>
      <c r="N143" s="204">
        <v>130</v>
      </c>
      <c r="O143" s="204">
        <v>121</v>
      </c>
      <c r="P143" s="204">
        <v>110</v>
      </c>
      <c r="Q143" s="396">
        <v>32</v>
      </c>
      <c r="R143" s="396">
        <v>40</v>
      </c>
      <c r="S143" s="204">
        <v>114</v>
      </c>
      <c r="T143" s="204">
        <v>114</v>
      </c>
      <c r="U143" s="204">
        <v>105</v>
      </c>
      <c r="V143" s="204">
        <v>96</v>
      </c>
      <c r="W143" s="396">
        <v>32</v>
      </c>
      <c r="X143" s="396">
        <v>40</v>
      </c>
      <c r="Y143" s="204">
        <v>110</v>
      </c>
      <c r="Z143" s="204">
        <v>102</v>
      </c>
      <c r="AA143" s="204">
        <v>95</v>
      </c>
      <c r="AB143" s="204">
        <v>87</v>
      </c>
      <c r="AC143" s="396">
        <v>40</v>
      </c>
      <c r="AD143" s="396">
        <v>50</v>
      </c>
      <c r="AE143" s="405"/>
    </row>
    <row r="144" spans="1:31">
      <c r="A144" s="204">
        <v>70</v>
      </c>
      <c r="B144" s="204">
        <v>220</v>
      </c>
      <c r="C144" s="204">
        <v>206</v>
      </c>
      <c r="D144" s="204">
        <v>190</v>
      </c>
      <c r="E144" s="204">
        <v>174</v>
      </c>
      <c r="F144" s="204">
        <v>285</v>
      </c>
      <c r="G144" s="204">
        <v>266</v>
      </c>
      <c r="H144" s="204">
        <v>246</v>
      </c>
      <c r="I144" s="204">
        <v>225</v>
      </c>
      <c r="K144" s="390"/>
      <c r="L144" s="204">
        <v>50</v>
      </c>
      <c r="M144" s="204">
        <v>175</v>
      </c>
      <c r="N144" s="204">
        <v>163</v>
      </c>
      <c r="O144" s="204">
        <v>151</v>
      </c>
      <c r="P144" s="204">
        <v>138</v>
      </c>
      <c r="Q144" s="396">
        <v>40</v>
      </c>
      <c r="R144" s="396">
        <v>50</v>
      </c>
      <c r="S144" s="204">
        <v>143</v>
      </c>
      <c r="T144" s="204">
        <v>143</v>
      </c>
      <c r="U144" s="204">
        <v>133</v>
      </c>
      <c r="V144" s="204">
        <v>121</v>
      </c>
      <c r="W144" s="396">
        <v>50</v>
      </c>
      <c r="X144" s="396">
        <v>50</v>
      </c>
      <c r="Y144" s="204">
        <v>137</v>
      </c>
      <c r="Z144" s="204">
        <v>128</v>
      </c>
      <c r="AA144" s="204">
        <v>118</v>
      </c>
      <c r="AB144" s="204">
        <v>108</v>
      </c>
      <c r="AC144" s="396">
        <v>50</v>
      </c>
      <c r="AD144" s="397" t="s">
        <v>6633</v>
      </c>
      <c r="AE144" s="408"/>
    </row>
    <row r="145" spans="1:31">
      <c r="A145" s="204">
        <v>95</v>
      </c>
      <c r="B145" s="204">
        <v>265</v>
      </c>
      <c r="C145" s="204">
        <v>247</v>
      </c>
      <c r="D145" s="204">
        <v>229</v>
      </c>
      <c r="E145" s="204">
        <v>209</v>
      </c>
      <c r="F145" s="204">
        <v>345</v>
      </c>
      <c r="G145" s="204">
        <v>322</v>
      </c>
      <c r="H145" s="204">
        <v>298</v>
      </c>
      <c r="I145" s="204">
        <v>272</v>
      </c>
      <c r="K145" s="390"/>
      <c r="L145" s="204">
        <v>70</v>
      </c>
      <c r="M145" s="204">
        <v>215</v>
      </c>
      <c r="N145" s="204">
        <v>201</v>
      </c>
      <c r="O145" s="204">
        <v>185</v>
      </c>
      <c r="P145" s="204">
        <v>170</v>
      </c>
      <c r="Q145" s="396">
        <v>50</v>
      </c>
      <c r="R145" s="396">
        <v>50</v>
      </c>
      <c r="S145" s="204">
        <v>180</v>
      </c>
      <c r="T145" s="204">
        <v>180</v>
      </c>
      <c r="U145" s="204">
        <v>166</v>
      </c>
      <c r="V145" s="204">
        <v>152</v>
      </c>
      <c r="W145" s="396">
        <v>50</v>
      </c>
      <c r="X145" s="396">
        <v>50</v>
      </c>
      <c r="Y145" s="204">
        <v>173</v>
      </c>
      <c r="Z145" s="204">
        <v>161</v>
      </c>
      <c r="AA145" s="204">
        <v>149</v>
      </c>
      <c r="AB145" s="204">
        <v>136</v>
      </c>
      <c r="AC145" s="396">
        <v>70</v>
      </c>
      <c r="AD145" s="397" t="s">
        <v>6633</v>
      </c>
      <c r="AE145" s="408"/>
    </row>
    <row r="146" spans="1:31">
      <c r="A146" s="204">
        <v>120</v>
      </c>
      <c r="B146" s="204">
        <v>310</v>
      </c>
      <c r="C146" s="204">
        <v>289</v>
      </c>
      <c r="D146" s="204">
        <v>268</v>
      </c>
      <c r="E146" s="204">
        <v>245</v>
      </c>
      <c r="F146" s="204">
        <v>400</v>
      </c>
      <c r="G146" s="204">
        <v>374</v>
      </c>
      <c r="H146" s="204">
        <v>346</v>
      </c>
      <c r="I146" s="204">
        <v>316</v>
      </c>
      <c r="K146" s="390"/>
      <c r="L146" s="204">
        <v>95</v>
      </c>
      <c r="M146" s="204">
        <v>260</v>
      </c>
      <c r="N146" s="204">
        <v>243</v>
      </c>
      <c r="O146" s="204">
        <v>224</v>
      </c>
      <c r="P146" s="204">
        <v>205</v>
      </c>
      <c r="Q146" s="396">
        <v>70</v>
      </c>
      <c r="R146" s="397" t="s">
        <v>6633</v>
      </c>
      <c r="S146" s="204">
        <v>219</v>
      </c>
      <c r="T146" s="204">
        <v>219</v>
      </c>
      <c r="U146" s="204">
        <v>203</v>
      </c>
      <c r="V146" s="204">
        <v>185</v>
      </c>
      <c r="W146" s="396">
        <v>70</v>
      </c>
      <c r="X146" s="397" t="s">
        <v>6633</v>
      </c>
      <c r="Y146" s="204">
        <v>210</v>
      </c>
      <c r="Z146" s="204">
        <v>196</v>
      </c>
      <c r="AA146" s="204">
        <v>181</v>
      </c>
      <c r="AB146" s="204">
        <v>166</v>
      </c>
      <c r="AC146" s="396">
        <v>70</v>
      </c>
      <c r="AD146" s="397" t="s">
        <v>6633</v>
      </c>
      <c r="AE146" s="408"/>
    </row>
    <row r="147" spans="1:31">
      <c r="A147" s="204">
        <v>150</v>
      </c>
      <c r="B147" s="204">
        <v>360</v>
      </c>
      <c r="C147" s="204">
        <v>336</v>
      </c>
      <c r="D147" s="204">
        <v>311</v>
      </c>
      <c r="E147" s="204">
        <v>284</v>
      </c>
      <c r="F147" s="204">
        <v>470</v>
      </c>
      <c r="G147" s="204">
        <v>439</v>
      </c>
      <c r="H147" s="204">
        <v>406</v>
      </c>
      <c r="I147" s="204">
        <v>371</v>
      </c>
      <c r="K147" s="390"/>
      <c r="L147" s="204">
        <v>120</v>
      </c>
      <c r="M147" s="204">
        <v>300</v>
      </c>
      <c r="N147" s="204">
        <v>280</v>
      </c>
      <c r="O147" s="204">
        <v>259</v>
      </c>
      <c r="P147" s="204">
        <v>237</v>
      </c>
      <c r="Q147" s="396">
        <v>70</v>
      </c>
      <c r="R147" s="397" t="s">
        <v>6633</v>
      </c>
      <c r="S147" s="204">
        <v>252</v>
      </c>
      <c r="T147" s="204">
        <v>252</v>
      </c>
      <c r="U147" s="204">
        <v>233</v>
      </c>
      <c r="V147" s="204">
        <v>213</v>
      </c>
      <c r="W147" s="396">
        <v>70</v>
      </c>
      <c r="X147" s="397" t="s">
        <v>6633</v>
      </c>
      <c r="Y147" s="204">
        <v>245</v>
      </c>
      <c r="Z147" s="204">
        <v>229</v>
      </c>
      <c r="AA147" s="204">
        <v>211</v>
      </c>
      <c r="AB147" s="204">
        <v>193</v>
      </c>
      <c r="AC147" s="396">
        <v>70</v>
      </c>
      <c r="AD147" s="397" t="s">
        <v>6633</v>
      </c>
      <c r="AE147" s="408"/>
    </row>
    <row r="148" spans="1:31">
      <c r="A148" s="204">
        <v>185</v>
      </c>
      <c r="B148" s="204">
        <v>420</v>
      </c>
      <c r="C148" s="204">
        <v>392</v>
      </c>
      <c r="D148" s="204">
        <v>363</v>
      </c>
      <c r="E148" s="204">
        <v>332</v>
      </c>
      <c r="F148" s="204">
        <v>540</v>
      </c>
      <c r="G148" s="204">
        <v>504</v>
      </c>
      <c r="H148" s="204">
        <v>467</v>
      </c>
      <c r="I148" s="204">
        <v>427</v>
      </c>
      <c r="K148" s="390"/>
      <c r="L148" s="204">
        <v>150</v>
      </c>
      <c r="M148" s="204">
        <v>340</v>
      </c>
      <c r="N148" s="204">
        <v>317</v>
      </c>
      <c r="O148" s="204">
        <v>294</v>
      </c>
      <c r="P148" s="204">
        <v>268</v>
      </c>
      <c r="Q148" s="396">
        <v>70</v>
      </c>
      <c r="R148" s="397" t="s">
        <v>6633</v>
      </c>
      <c r="S148" s="204">
        <v>310</v>
      </c>
      <c r="T148" s="204">
        <v>289</v>
      </c>
      <c r="U148" s="204">
        <v>268</v>
      </c>
      <c r="V148" s="204">
        <v>245</v>
      </c>
      <c r="W148" s="396">
        <v>70</v>
      </c>
      <c r="X148" s="397" t="s">
        <v>6633</v>
      </c>
      <c r="Y148" s="204">
        <v>280</v>
      </c>
      <c r="Z148" s="204">
        <v>261</v>
      </c>
      <c r="AA148" s="204">
        <v>242</v>
      </c>
      <c r="AB148" s="204">
        <v>221</v>
      </c>
      <c r="AC148" s="396">
        <v>80</v>
      </c>
      <c r="AD148" s="397" t="s">
        <v>6633</v>
      </c>
      <c r="AE148" s="408"/>
    </row>
    <row r="149" spans="1:31">
      <c r="A149" s="204">
        <v>240</v>
      </c>
      <c r="B149" s="204">
        <v>510</v>
      </c>
      <c r="C149" s="204">
        <v>476</v>
      </c>
      <c r="D149" s="204">
        <v>441</v>
      </c>
      <c r="E149" s="204">
        <v>403</v>
      </c>
      <c r="F149" s="204">
        <v>660</v>
      </c>
      <c r="G149" s="204">
        <v>617</v>
      </c>
      <c r="H149" s="204">
        <v>570</v>
      </c>
      <c r="I149" s="204">
        <v>522</v>
      </c>
      <c r="K149" s="391"/>
      <c r="L149" s="204">
        <v>185</v>
      </c>
      <c r="M149" s="204">
        <v>385</v>
      </c>
      <c r="N149" s="204">
        <v>359</v>
      </c>
      <c r="O149" s="204">
        <v>333</v>
      </c>
      <c r="P149" s="204">
        <v>304</v>
      </c>
      <c r="Q149" s="396">
        <v>80</v>
      </c>
      <c r="R149" s="397" t="s">
        <v>6633</v>
      </c>
      <c r="S149" s="204">
        <v>355</v>
      </c>
      <c r="T149" s="204">
        <v>331</v>
      </c>
      <c r="U149" s="204">
        <v>307</v>
      </c>
      <c r="V149" s="204">
        <v>280</v>
      </c>
      <c r="W149" s="396">
        <v>80</v>
      </c>
      <c r="X149" s="397" t="s">
        <v>6633</v>
      </c>
      <c r="Y149" s="204">
        <v>320</v>
      </c>
      <c r="Z149" s="204">
        <v>299</v>
      </c>
      <c r="AA149" s="204">
        <v>276</v>
      </c>
      <c r="AB149" s="204">
        <v>253</v>
      </c>
      <c r="AC149" s="396">
        <v>80</v>
      </c>
      <c r="AD149" s="397" t="s">
        <v>6633</v>
      </c>
      <c r="AE149" s="408"/>
    </row>
    <row r="150" ht="25.8" spans="11:31">
      <c r="K150" s="366" t="s">
        <v>6729</v>
      </c>
      <c r="L150" s="366"/>
      <c r="M150" s="366"/>
      <c r="N150" s="366"/>
      <c r="O150" s="366"/>
      <c r="P150" s="366"/>
      <c r="Q150" s="366"/>
      <c r="R150" s="366"/>
      <c r="S150" s="366"/>
      <c r="T150" s="366"/>
      <c r="U150" s="366"/>
      <c r="V150" s="366"/>
      <c r="W150" s="366"/>
      <c r="X150" s="366"/>
      <c r="Y150" s="366"/>
      <c r="Z150" s="366"/>
      <c r="AA150" s="366"/>
      <c r="AB150" s="366"/>
      <c r="AC150" s="366"/>
      <c r="AD150" s="366"/>
      <c r="AE150" s="404"/>
    </row>
    <row r="151" spans="11:31">
      <c r="K151" s="370" t="s">
        <v>2714</v>
      </c>
      <c r="L151" s="371"/>
      <c r="M151" s="383" t="s">
        <v>6619</v>
      </c>
      <c r="N151" s="389"/>
      <c r="O151" s="389"/>
      <c r="P151" s="389"/>
      <c r="Q151" s="389"/>
      <c r="R151" s="384"/>
      <c r="S151" s="383" t="s">
        <v>6620</v>
      </c>
      <c r="T151" s="389"/>
      <c r="U151" s="389"/>
      <c r="V151" s="389"/>
      <c r="W151" s="389"/>
      <c r="X151" s="384"/>
      <c r="Y151" s="383" t="s">
        <v>6721</v>
      </c>
      <c r="Z151" s="389"/>
      <c r="AA151" s="389"/>
      <c r="AB151" s="389"/>
      <c r="AC151" s="389"/>
      <c r="AD151" s="384"/>
      <c r="AE151" s="405"/>
    </row>
    <row r="152" spans="11:31">
      <c r="K152" s="373"/>
      <c r="L152" s="374"/>
      <c r="M152" s="383" t="s">
        <v>6722</v>
      </c>
      <c r="N152" s="389"/>
      <c r="O152" s="389"/>
      <c r="P152" s="384"/>
      <c r="Q152" s="398" t="s">
        <v>6723</v>
      </c>
      <c r="R152" s="399"/>
      <c r="S152" s="383" t="s">
        <v>6722</v>
      </c>
      <c r="T152" s="389"/>
      <c r="U152" s="389"/>
      <c r="V152" s="384"/>
      <c r="W152" s="398" t="s">
        <v>6723</v>
      </c>
      <c r="X152" s="399"/>
      <c r="Y152" s="383" t="s">
        <v>6722</v>
      </c>
      <c r="Z152" s="389"/>
      <c r="AA152" s="389"/>
      <c r="AB152" s="384"/>
      <c r="AC152" s="398" t="s">
        <v>6723</v>
      </c>
      <c r="AD152" s="399"/>
      <c r="AE152" s="406"/>
    </row>
    <row r="153" spans="11:31">
      <c r="K153" s="375" t="s">
        <v>6634</v>
      </c>
      <c r="L153" s="377"/>
      <c r="M153" s="378" t="s">
        <v>6635</v>
      </c>
      <c r="N153" s="378" t="s">
        <v>6636</v>
      </c>
      <c r="O153" s="378" t="s">
        <v>6637</v>
      </c>
      <c r="P153" s="378" t="s">
        <v>6638</v>
      </c>
      <c r="Q153" s="400"/>
      <c r="R153" s="401"/>
      <c r="S153" s="378" t="s">
        <v>6635</v>
      </c>
      <c r="T153" s="378" t="s">
        <v>6636</v>
      </c>
      <c r="U153" s="378" t="s">
        <v>6637</v>
      </c>
      <c r="V153" s="378" t="s">
        <v>6638</v>
      </c>
      <c r="W153" s="400"/>
      <c r="X153" s="401"/>
      <c r="Y153" s="378" t="s">
        <v>6635</v>
      </c>
      <c r="Z153" s="378" t="s">
        <v>6636</v>
      </c>
      <c r="AA153" s="378" t="s">
        <v>6637</v>
      </c>
      <c r="AB153" s="378" t="s">
        <v>6638</v>
      </c>
      <c r="AC153" s="400"/>
      <c r="AD153" s="401"/>
      <c r="AE153" s="406"/>
    </row>
    <row r="154" spans="11:31">
      <c r="K154" s="291"/>
      <c r="L154" s="204">
        <v>1</v>
      </c>
      <c r="M154" s="204">
        <v>13</v>
      </c>
      <c r="N154" s="204">
        <v>12</v>
      </c>
      <c r="O154" s="204">
        <v>11</v>
      </c>
      <c r="P154" s="204">
        <v>10</v>
      </c>
      <c r="Q154" s="402">
        <v>15</v>
      </c>
      <c r="R154" s="403"/>
      <c r="S154" s="204">
        <v>12</v>
      </c>
      <c r="T154" s="204">
        <v>11</v>
      </c>
      <c r="U154" s="204">
        <v>10</v>
      </c>
      <c r="V154" s="204">
        <v>9</v>
      </c>
      <c r="W154" s="402">
        <v>15</v>
      </c>
      <c r="X154" s="403"/>
      <c r="Y154" s="204">
        <v>11</v>
      </c>
      <c r="Z154" s="204">
        <v>10</v>
      </c>
      <c r="AA154" s="204">
        <v>9</v>
      </c>
      <c r="AB154" s="204">
        <v>8</v>
      </c>
      <c r="AC154" s="402">
        <v>15</v>
      </c>
      <c r="AD154" s="403"/>
      <c r="AE154" s="405"/>
    </row>
    <row r="155" spans="11:31">
      <c r="K155" s="390"/>
      <c r="L155" s="204">
        <v>1.5</v>
      </c>
      <c r="M155" s="204">
        <v>17</v>
      </c>
      <c r="N155" s="204">
        <v>15</v>
      </c>
      <c r="O155" s="204">
        <v>14</v>
      </c>
      <c r="P155" s="204">
        <v>13</v>
      </c>
      <c r="Q155" s="402">
        <v>15</v>
      </c>
      <c r="R155" s="403"/>
      <c r="S155" s="204">
        <v>16</v>
      </c>
      <c r="T155" s="204">
        <v>14</v>
      </c>
      <c r="U155" s="204">
        <v>13</v>
      </c>
      <c r="V155" s="204">
        <v>12</v>
      </c>
      <c r="W155" s="402">
        <v>15</v>
      </c>
      <c r="X155" s="403"/>
      <c r="Y155" s="204">
        <v>14</v>
      </c>
      <c r="Z155" s="204">
        <v>13</v>
      </c>
      <c r="AA155" s="204">
        <v>12</v>
      </c>
      <c r="AB155" s="204">
        <v>11</v>
      </c>
      <c r="AC155" s="402">
        <v>20</v>
      </c>
      <c r="AD155" s="403"/>
      <c r="AE155" s="405"/>
    </row>
    <row r="156" spans="11:31">
      <c r="K156" s="390"/>
      <c r="L156" s="204">
        <v>2.5</v>
      </c>
      <c r="M156" s="204">
        <v>25</v>
      </c>
      <c r="N156" s="204">
        <v>23</v>
      </c>
      <c r="O156" s="204">
        <v>21</v>
      </c>
      <c r="P156" s="204">
        <v>19</v>
      </c>
      <c r="Q156" s="402">
        <v>15</v>
      </c>
      <c r="R156" s="403"/>
      <c r="S156" s="204">
        <v>22</v>
      </c>
      <c r="T156" s="204">
        <v>20</v>
      </c>
      <c r="U156" s="204">
        <v>19</v>
      </c>
      <c r="V156" s="204">
        <v>17</v>
      </c>
      <c r="W156" s="402">
        <v>15</v>
      </c>
      <c r="X156" s="403"/>
      <c r="Y156" s="204">
        <v>20</v>
      </c>
      <c r="Z156" s="204">
        <v>18</v>
      </c>
      <c r="AA156" s="204">
        <v>17</v>
      </c>
      <c r="AB156" s="204">
        <v>15</v>
      </c>
      <c r="AC156" s="402">
        <v>21</v>
      </c>
      <c r="AD156" s="403"/>
      <c r="AE156" s="405"/>
    </row>
    <row r="157" spans="11:31">
      <c r="K157" s="390"/>
      <c r="L157" s="204">
        <v>4</v>
      </c>
      <c r="M157" s="204">
        <v>33</v>
      </c>
      <c r="N157" s="204">
        <v>30</v>
      </c>
      <c r="O157" s="204">
        <v>28</v>
      </c>
      <c r="P157" s="204">
        <v>26</v>
      </c>
      <c r="Q157" s="402">
        <v>20</v>
      </c>
      <c r="R157" s="403"/>
      <c r="S157" s="204">
        <v>30</v>
      </c>
      <c r="T157" s="204">
        <v>28</v>
      </c>
      <c r="U157" s="204">
        <v>25</v>
      </c>
      <c r="V157" s="204">
        <v>23</v>
      </c>
      <c r="W157" s="402">
        <v>20</v>
      </c>
      <c r="X157" s="403"/>
      <c r="Y157" s="204">
        <v>26</v>
      </c>
      <c r="Z157" s="204">
        <v>24</v>
      </c>
      <c r="AA157" s="204">
        <v>22</v>
      </c>
      <c r="AB157" s="204">
        <v>20</v>
      </c>
      <c r="AC157" s="402">
        <v>22</v>
      </c>
      <c r="AD157" s="403"/>
      <c r="AE157" s="405"/>
    </row>
    <row r="158" spans="11:31">
      <c r="K158" s="390"/>
      <c r="L158" s="204">
        <v>6</v>
      </c>
      <c r="M158" s="204">
        <v>43</v>
      </c>
      <c r="N158" s="204">
        <v>40</v>
      </c>
      <c r="O158" s="204">
        <v>37</v>
      </c>
      <c r="P158" s="204">
        <v>34</v>
      </c>
      <c r="Q158" s="402">
        <v>20</v>
      </c>
      <c r="R158" s="403"/>
      <c r="S158" s="204">
        <v>38</v>
      </c>
      <c r="T158" s="204">
        <v>35</v>
      </c>
      <c r="U158" s="204">
        <v>32</v>
      </c>
      <c r="V158" s="204">
        <v>30</v>
      </c>
      <c r="W158" s="402">
        <v>20</v>
      </c>
      <c r="X158" s="403"/>
      <c r="Y158" s="204">
        <v>34</v>
      </c>
      <c r="Z158" s="204">
        <v>31</v>
      </c>
      <c r="AA158" s="204">
        <v>29</v>
      </c>
      <c r="AB158" s="204">
        <v>26</v>
      </c>
      <c r="AC158" s="402">
        <v>25</v>
      </c>
      <c r="AD158" s="403"/>
      <c r="AE158" s="405"/>
    </row>
    <row r="159" spans="11:31">
      <c r="K159" s="390"/>
      <c r="L159" s="204">
        <v>10</v>
      </c>
      <c r="M159" s="204">
        <v>59</v>
      </c>
      <c r="N159" s="204">
        <v>55</v>
      </c>
      <c r="O159" s="204">
        <v>51</v>
      </c>
      <c r="P159" s="204">
        <v>46</v>
      </c>
      <c r="Q159" s="402">
        <v>25</v>
      </c>
      <c r="R159" s="403"/>
      <c r="S159" s="204">
        <v>52</v>
      </c>
      <c r="T159" s="204">
        <v>48</v>
      </c>
      <c r="U159" s="204">
        <v>44</v>
      </c>
      <c r="V159" s="204">
        <v>41</v>
      </c>
      <c r="W159" s="402">
        <v>25</v>
      </c>
      <c r="X159" s="403"/>
      <c r="Y159" s="204">
        <v>46</v>
      </c>
      <c r="Z159" s="204">
        <v>43</v>
      </c>
      <c r="AA159" s="204">
        <v>39</v>
      </c>
      <c r="AB159" s="204">
        <v>36</v>
      </c>
      <c r="AC159" s="402">
        <v>32</v>
      </c>
      <c r="AD159" s="403"/>
      <c r="AE159" s="405"/>
    </row>
    <row r="160" spans="11:31">
      <c r="K160" s="380" t="s">
        <v>6726</v>
      </c>
      <c r="L160" s="204">
        <v>16</v>
      </c>
      <c r="M160" s="204">
        <v>76</v>
      </c>
      <c r="N160" s="204">
        <v>71</v>
      </c>
      <c r="O160" s="204">
        <v>65</v>
      </c>
      <c r="P160" s="204">
        <v>60</v>
      </c>
      <c r="Q160" s="402">
        <v>32</v>
      </c>
      <c r="R160" s="403"/>
      <c r="S160" s="204">
        <v>68</v>
      </c>
      <c r="T160" s="204">
        <v>63</v>
      </c>
      <c r="U160" s="204">
        <v>58</v>
      </c>
      <c r="V160" s="204">
        <v>53</v>
      </c>
      <c r="W160" s="402">
        <v>32</v>
      </c>
      <c r="X160" s="403"/>
      <c r="Y160" s="204">
        <v>60</v>
      </c>
      <c r="Z160" s="204">
        <v>56</v>
      </c>
      <c r="AA160" s="204">
        <v>51</v>
      </c>
      <c r="AB160" s="204">
        <v>47</v>
      </c>
      <c r="AC160" s="402">
        <v>32</v>
      </c>
      <c r="AD160" s="403"/>
      <c r="AE160" s="405"/>
    </row>
    <row r="161" spans="11:31">
      <c r="K161" s="380" t="s">
        <v>6727</v>
      </c>
      <c r="L161" s="204">
        <v>25</v>
      </c>
      <c r="M161" s="204">
        <v>100</v>
      </c>
      <c r="N161" s="204">
        <v>93</v>
      </c>
      <c r="O161" s="204">
        <v>86</v>
      </c>
      <c r="P161" s="204">
        <v>79</v>
      </c>
      <c r="Q161" s="402">
        <v>32</v>
      </c>
      <c r="R161" s="403"/>
      <c r="S161" s="204">
        <v>90</v>
      </c>
      <c r="T161" s="204">
        <v>84</v>
      </c>
      <c r="U161" s="204">
        <v>77</v>
      </c>
      <c r="V161" s="204">
        <v>71</v>
      </c>
      <c r="W161" s="402">
        <v>32</v>
      </c>
      <c r="X161" s="403"/>
      <c r="Y161" s="204">
        <v>80</v>
      </c>
      <c r="Z161" s="204">
        <v>74</v>
      </c>
      <c r="AA161" s="204">
        <v>69</v>
      </c>
      <c r="AB161" s="204">
        <v>63</v>
      </c>
      <c r="AC161" s="402">
        <v>40</v>
      </c>
      <c r="AD161" s="403"/>
      <c r="AE161" s="405"/>
    </row>
    <row r="162" spans="11:31">
      <c r="K162" s="380" t="s">
        <v>6728</v>
      </c>
      <c r="L162" s="204">
        <v>35</v>
      </c>
      <c r="M162" s="204">
        <v>125</v>
      </c>
      <c r="N162" s="204">
        <v>116</v>
      </c>
      <c r="O162" s="204">
        <v>108</v>
      </c>
      <c r="P162" s="204">
        <v>98</v>
      </c>
      <c r="Q162" s="402">
        <v>40</v>
      </c>
      <c r="R162" s="403"/>
      <c r="S162" s="204">
        <v>110</v>
      </c>
      <c r="T162" s="204">
        <v>102</v>
      </c>
      <c r="U162" s="204">
        <v>95</v>
      </c>
      <c r="V162" s="204">
        <v>87</v>
      </c>
      <c r="W162" s="402">
        <v>40</v>
      </c>
      <c r="X162" s="403"/>
      <c r="Y162" s="204">
        <v>98</v>
      </c>
      <c r="Z162" s="204">
        <v>91</v>
      </c>
      <c r="AA162" s="204">
        <v>84</v>
      </c>
      <c r="AB162" s="204">
        <v>77</v>
      </c>
      <c r="AC162" s="402">
        <v>40</v>
      </c>
      <c r="AD162" s="403"/>
      <c r="AE162" s="405"/>
    </row>
    <row r="163" spans="11:31">
      <c r="K163" s="390"/>
      <c r="L163" s="204">
        <v>50</v>
      </c>
      <c r="M163" s="204">
        <v>160</v>
      </c>
      <c r="N163" s="204">
        <v>149</v>
      </c>
      <c r="O163" s="204">
        <v>138</v>
      </c>
      <c r="P163" s="204">
        <v>126</v>
      </c>
      <c r="Q163" s="402">
        <v>40</v>
      </c>
      <c r="R163" s="403"/>
      <c r="S163" s="204">
        <v>140</v>
      </c>
      <c r="T163" s="204">
        <v>130</v>
      </c>
      <c r="U163" s="204">
        <v>121</v>
      </c>
      <c r="V163" s="204">
        <v>110</v>
      </c>
      <c r="W163" s="402">
        <v>50</v>
      </c>
      <c r="X163" s="403"/>
      <c r="Y163" s="204">
        <v>123</v>
      </c>
      <c r="Z163" s="204">
        <v>115</v>
      </c>
      <c r="AA163" s="204">
        <v>106</v>
      </c>
      <c r="AB163" s="204">
        <v>97</v>
      </c>
      <c r="AC163" s="402">
        <v>50</v>
      </c>
      <c r="AD163" s="403"/>
      <c r="AE163" s="405"/>
    </row>
    <row r="164" spans="11:31">
      <c r="K164" s="390"/>
      <c r="L164" s="204">
        <v>70</v>
      </c>
      <c r="M164" s="204">
        <v>195</v>
      </c>
      <c r="N164" s="204">
        <v>182</v>
      </c>
      <c r="O164" s="204">
        <v>168</v>
      </c>
      <c r="P164" s="204">
        <v>154</v>
      </c>
      <c r="Q164" s="402">
        <v>50</v>
      </c>
      <c r="R164" s="403"/>
      <c r="S164" s="204">
        <v>175</v>
      </c>
      <c r="T164" s="204">
        <v>163</v>
      </c>
      <c r="U164" s="204">
        <v>151</v>
      </c>
      <c r="V164" s="204">
        <v>138</v>
      </c>
      <c r="W164" s="402">
        <v>50</v>
      </c>
      <c r="X164" s="403"/>
      <c r="Y164" s="204">
        <v>155</v>
      </c>
      <c r="Z164" s="204">
        <v>144</v>
      </c>
      <c r="AA164" s="204">
        <v>134</v>
      </c>
      <c r="AB164" s="204">
        <v>122</v>
      </c>
      <c r="AC164" s="402">
        <v>50</v>
      </c>
      <c r="AD164" s="403"/>
      <c r="AE164" s="405"/>
    </row>
    <row r="165" spans="11:31">
      <c r="K165" s="390"/>
      <c r="L165" s="204">
        <v>95</v>
      </c>
      <c r="M165" s="204">
        <v>240</v>
      </c>
      <c r="N165" s="204">
        <v>224</v>
      </c>
      <c r="O165" s="204">
        <v>207</v>
      </c>
      <c r="P165" s="204">
        <v>189</v>
      </c>
      <c r="Q165" s="402">
        <v>50</v>
      </c>
      <c r="R165" s="403"/>
      <c r="S165" s="204">
        <v>215</v>
      </c>
      <c r="T165" s="204">
        <v>201</v>
      </c>
      <c r="U165" s="204">
        <v>185</v>
      </c>
      <c r="V165" s="204">
        <v>170</v>
      </c>
      <c r="W165" s="402">
        <v>65</v>
      </c>
      <c r="X165" s="403"/>
      <c r="Y165" s="204">
        <v>195</v>
      </c>
      <c r="Z165" s="204">
        <v>182</v>
      </c>
      <c r="AA165" s="204">
        <v>168</v>
      </c>
      <c r="AB165" s="204">
        <v>154</v>
      </c>
      <c r="AC165" s="402">
        <v>65</v>
      </c>
      <c r="AD165" s="403"/>
      <c r="AE165" s="405"/>
    </row>
    <row r="166" spans="11:31">
      <c r="K166" s="390"/>
      <c r="L166" s="204">
        <v>120</v>
      </c>
      <c r="M166" s="204">
        <v>278</v>
      </c>
      <c r="N166" s="204">
        <v>259</v>
      </c>
      <c r="O166" s="204">
        <v>240</v>
      </c>
      <c r="P166" s="204">
        <v>219</v>
      </c>
      <c r="Q166" s="402">
        <v>65</v>
      </c>
      <c r="R166" s="403"/>
      <c r="S166" s="204">
        <v>250</v>
      </c>
      <c r="T166" s="204">
        <v>233</v>
      </c>
      <c r="U166" s="204">
        <v>216</v>
      </c>
      <c r="V166" s="204">
        <v>197</v>
      </c>
      <c r="W166" s="402">
        <v>65</v>
      </c>
      <c r="X166" s="403"/>
      <c r="Y166" s="204">
        <v>227</v>
      </c>
      <c r="Z166" s="204">
        <v>212</v>
      </c>
      <c r="AA166" s="204">
        <v>196</v>
      </c>
      <c r="AB166" s="204">
        <v>179</v>
      </c>
      <c r="AC166" s="402">
        <v>80</v>
      </c>
      <c r="AD166" s="403"/>
      <c r="AE166" s="405"/>
    </row>
    <row r="167" spans="11:31">
      <c r="K167" s="390"/>
      <c r="L167" s="204">
        <v>150</v>
      </c>
      <c r="M167" s="204">
        <v>320</v>
      </c>
      <c r="N167" s="204">
        <v>299</v>
      </c>
      <c r="O167" s="204">
        <v>276</v>
      </c>
      <c r="P167" s="204">
        <v>253</v>
      </c>
      <c r="Q167" s="402">
        <v>65</v>
      </c>
      <c r="R167" s="403"/>
      <c r="S167" s="204">
        <v>290</v>
      </c>
      <c r="T167" s="204">
        <v>271</v>
      </c>
      <c r="U167" s="204">
        <v>250</v>
      </c>
      <c r="V167" s="204">
        <v>229</v>
      </c>
      <c r="W167" s="402">
        <v>65</v>
      </c>
      <c r="X167" s="403"/>
      <c r="Y167" s="204">
        <v>265</v>
      </c>
      <c r="Z167" s="204">
        <v>247</v>
      </c>
      <c r="AA167" s="204">
        <v>229</v>
      </c>
      <c r="AB167" s="204">
        <v>209</v>
      </c>
      <c r="AC167" s="402">
        <v>80</v>
      </c>
      <c r="AD167" s="403"/>
      <c r="AE167" s="405"/>
    </row>
    <row r="168" spans="11:31">
      <c r="K168" s="391"/>
      <c r="L168" s="204">
        <v>185</v>
      </c>
      <c r="M168" s="204">
        <v>360</v>
      </c>
      <c r="N168" s="204">
        <v>336</v>
      </c>
      <c r="O168" s="204">
        <v>311</v>
      </c>
      <c r="P168" s="204">
        <v>284</v>
      </c>
      <c r="Q168" s="402">
        <v>80</v>
      </c>
      <c r="R168" s="403"/>
      <c r="S168" s="204">
        <v>330</v>
      </c>
      <c r="T168" s="204">
        <v>308</v>
      </c>
      <c r="U168" s="204">
        <v>285</v>
      </c>
      <c r="V168" s="204">
        <v>261</v>
      </c>
      <c r="W168" s="402">
        <v>80</v>
      </c>
      <c r="X168" s="403"/>
      <c r="Y168" s="204">
        <v>300</v>
      </c>
      <c r="Z168" s="204">
        <v>280</v>
      </c>
      <c r="AA168" s="204">
        <v>259</v>
      </c>
      <c r="AB168" s="204">
        <v>237</v>
      </c>
      <c r="AC168" s="402">
        <v>100</v>
      </c>
      <c r="AD168" s="403"/>
      <c r="AE168" s="405"/>
    </row>
    <row r="169" ht="25.8" spans="1:31">
      <c r="A169" s="366" t="s">
        <v>6730</v>
      </c>
      <c r="B169" s="366"/>
      <c r="C169" s="366"/>
      <c r="D169" s="366"/>
      <c r="E169" s="366"/>
      <c r="F169" s="366"/>
      <c r="G169" s="366"/>
      <c r="H169" s="366"/>
      <c r="I169" s="366"/>
      <c r="K169" s="366" t="s">
        <v>6731</v>
      </c>
      <c r="L169" s="366"/>
      <c r="M169" s="366"/>
      <c r="N169" s="366"/>
      <c r="O169" s="366"/>
      <c r="P169" s="366"/>
      <c r="Q169" s="366"/>
      <c r="R169" s="366"/>
      <c r="S169" s="366"/>
      <c r="T169" s="366"/>
      <c r="U169" s="366"/>
      <c r="V169" s="366"/>
      <c r="W169" s="366"/>
      <c r="X169" s="366"/>
      <c r="Y169" s="366"/>
      <c r="Z169" s="366"/>
      <c r="AA169" s="366"/>
      <c r="AB169" s="366"/>
      <c r="AC169" s="366"/>
      <c r="AD169" s="366"/>
      <c r="AE169" s="404"/>
    </row>
    <row r="170" spans="1:31">
      <c r="A170" s="291" t="s">
        <v>2714</v>
      </c>
      <c r="B170" s="204" t="s">
        <v>6732</v>
      </c>
      <c r="C170" s="204"/>
      <c r="D170" s="204"/>
      <c r="E170" s="204"/>
      <c r="F170" s="204" t="s">
        <v>6733</v>
      </c>
      <c r="G170" s="204"/>
      <c r="H170" s="204"/>
      <c r="I170" s="204"/>
      <c r="K170" s="370" t="s">
        <v>2714</v>
      </c>
      <c r="L170" s="371"/>
      <c r="M170" s="383" t="s">
        <v>6619</v>
      </c>
      <c r="N170" s="389"/>
      <c r="O170" s="389"/>
      <c r="P170" s="389"/>
      <c r="Q170" s="389"/>
      <c r="R170" s="384"/>
      <c r="S170" s="383" t="s">
        <v>6620</v>
      </c>
      <c r="T170" s="389"/>
      <c r="U170" s="389"/>
      <c r="V170" s="389"/>
      <c r="W170" s="389"/>
      <c r="X170" s="384"/>
      <c r="Y170" s="383" t="s">
        <v>6721</v>
      </c>
      <c r="Z170" s="389"/>
      <c r="AA170" s="389"/>
      <c r="AB170" s="389"/>
      <c r="AC170" s="389"/>
      <c r="AD170" s="384"/>
      <c r="AE170" s="405"/>
    </row>
    <row r="171" spans="1:31">
      <c r="A171" s="342" t="s">
        <v>6666</v>
      </c>
      <c r="B171" s="204" t="s">
        <v>6635</v>
      </c>
      <c r="C171" s="204" t="s">
        <v>6636</v>
      </c>
      <c r="D171" s="204" t="s">
        <v>6637</v>
      </c>
      <c r="E171" s="204" t="s">
        <v>6638</v>
      </c>
      <c r="F171" s="204" t="s">
        <v>6635</v>
      </c>
      <c r="G171" s="204" t="s">
        <v>6636</v>
      </c>
      <c r="H171" s="204" t="s">
        <v>6637</v>
      </c>
      <c r="I171" s="204" t="s">
        <v>6638</v>
      </c>
      <c r="K171" s="373"/>
      <c r="L171" s="374"/>
      <c r="M171" s="383" t="s">
        <v>6722</v>
      </c>
      <c r="N171" s="389"/>
      <c r="O171" s="389"/>
      <c r="P171" s="384"/>
      <c r="Q171" s="393" t="s">
        <v>6723</v>
      </c>
      <c r="R171" s="394"/>
      <c r="S171" s="383" t="s">
        <v>6722</v>
      </c>
      <c r="T171" s="389"/>
      <c r="U171" s="389"/>
      <c r="V171" s="384"/>
      <c r="W171" s="393" t="s">
        <v>6723</v>
      </c>
      <c r="X171" s="394"/>
      <c r="Y171" s="383" t="s">
        <v>6722</v>
      </c>
      <c r="Z171" s="389"/>
      <c r="AA171" s="389"/>
      <c r="AB171" s="384"/>
      <c r="AC171" s="393" t="s">
        <v>6723</v>
      </c>
      <c r="AD171" s="394"/>
      <c r="AE171" s="406"/>
    </row>
    <row r="172" spans="1:31">
      <c r="A172" s="204">
        <v>1</v>
      </c>
      <c r="B172" s="367" t="s">
        <v>6633</v>
      </c>
      <c r="C172" s="367" t="s">
        <v>6633</v>
      </c>
      <c r="D172" s="367" t="s">
        <v>6633</v>
      </c>
      <c r="E172" s="367" t="s">
        <v>6633</v>
      </c>
      <c r="F172" s="204">
        <v>19</v>
      </c>
      <c r="G172" s="204">
        <v>17</v>
      </c>
      <c r="H172" s="204">
        <v>16</v>
      </c>
      <c r="I172" s="204">
        <v>15</v>
      </c>
      <c r="K172" s="375" t="s">
        <v>6634</v>
      </c>
      <c r="L172" s="377"/>
      <c r="M172" s="378" t="s">
        <v>6635</v>
      </c>
      <c r="N172" s="378" t="s">
        <v>6636</v>
      </c>
      <c r="O172" s="378" t="s">
        <v>6637</v>
      </c>
      <c r="P172" s="378" t="s">
        <v>6638</v>
      </c>
      <c r="Q172" s="395" t="s">
        <v>6724</v>
      </c>
      <c r="R172" s="395" t="s">
        <v>6725</v>
      </c>
      <c r="S172" s="378" t="s">
        <v>6635</v>
      </c>
      <c r="T172" s="378" t="s">
        <v>6636</v>
      </c>
      <c r="U172" s="378" t="s">
        <v>6637</v>
      </c>
      <c r="V172" s="378" t="s">
        <v>6638</v>
      </c>
      <c r="W172" s="395" t="s">
        <v>6724</v>
      </c>
      <c r="X172" s="395" t="s">
        <v>6725</v>
      </c>
      <c r="Y172" s="378" t="s">
        <v>6635</v>
      </c>
      <c r="Z172" s="378" t="s">
        <v>6636</v>
      </c>
      <c r="AA172" s="378" t="s">
        <v>6637</v>
      </c>
      <c r="AB172" s="378" t="s">
        <v>6638</v>
      </c>
      <c r="AC172" s="395" t="s">
        <v>6724</v>
      </c>
      <c r="AD172" s="395" t="s">
        <v>6725</v>
      </c>
      <c r="AE172" s="407"/>
    </row>
    <row r="173" spans="1:31">
      <c r="A173" s="204">
        <v>1.5</v>
      </c>
      <c r="B173" s="367">
        <v>18</v>
      </c>
      <c r="C173" s="367">
        <v>16</v>
      </c>
      <c r="D173" s="367">
        <v>15</v>
      </c>
      <c r="E173" s="367">
        <v>14</v>
      </c>
      <c r="F173" s="204">
        <v>24</v>
      </c>
      <c r="G173" s="204">
        <v>22</v>
      </c>
      <c r="H173" s="204">
        <v>20</v>
      </c>
      <c r="I173" s="204">
        <v>18</v>
      </c>
      <c r="K173" s="291"/>
      <c r="L173" s="392">
        <v>1</v>
      </c>
      <c r="M173" s="204">
        <v>14</v>
      </c>
      <c r="N173" s="204">
        <v>13</v>
      </c>
      <c r="O173" s="204">
        <v>12</v>
      </c>
      <c r="P173" s="204">
        <v>11</v>
      </c>
      <c r="Q173" s="396">
        <v>15</v>
      </c>
      <c r="R173" s="396">
        <v>15</v>
      </c>
      <c r="S173" s="204">
        <v>13</v>
      </c>
      <c r="T173" s="204">
        <v>12</v>
      </c>
      <c r="U173" s="204">
        <v>11</v>
      </c>
      <c r="V173" s="204">
        <v>10</v>
      </c>
      <c r="W173" s="396">
        <v>15</v>
      </c>
      <c r="X173" s="396">
        <v>15</v>
      </c>
      <c r="Y173" s="204">
        <v>11</v>
      </c>
      <c r="Z173" s="204">
        <v>10</v>
      </c>
      <c r="AA173" s="204">
        <v>9</v>
      </c>
      <c r="AB173" s="204">
        <v>8</v>
      </c>
      <c r="AC173" s="396">
        <v>15</v>
      </c>
      <c r="AD173" s="396">
        <v>15</v>
      </c>
      <c r="AE173" s="405"/>
    </row>
    <row r="174" spans="1:31">
      <c r="A174" s="204">
        <v>2.5</v>
      </c>
      <c r="B174" s="204">
        <v>25</v>
      </c>
      <c r="C174" s="204">
        <v>23</v>
      </c>
      <c r="D174" s="204">
        <v>21</v>
      </c>
      <c r="E174" s="204">
        <v>19</v>
      </c>
      <c r="F174" s="204">
        <v>32</v>
      </c>
      <c r="G174" s="204">
        <v>29</v>
      </c>
      <c r="H174" s="204">
        <v>27</v>
      </c>
      <c r="I174" s="204">
        <v>25</v>
      </c>
      <c r="K174" s="390"/>
      <c r="L174" s="392">
        <v>1.5</v>
      </c>
      <c r="M174" s="204">
        <v>19</v>
      </c>
      <c r="N174" s="204">
        <v>17</v>
      </c>
      <c r="O174" s="204">
        <v>18</v>
      </c>
      <c r="P174" s="204">
        <v>15</v>
      </c>
      <c r="Q174" s="396">
        <v>15</v>
      </c>
      <c r="R174" s="396">
        <v>15</v>
      </c>
      <c r="S174" s="204">
        <v>17</v>
      </c>
      <c r="T174" s="204">
        <v>15</v>
      </c>
      <c r="U174" s="204">
        <v>14</v>
      </c>
      <c r="V174" s="204">
        <v>13</v>
      </c>
      <c r="W174" s="396">
        <v>15</v>
      </c>
      <c r="X174" s="396">
        <v>15</v>
      </c>
      <c r="Y174" s="204">
        <v>16</v>
      </c>
      <c r="Z174" s="204">
        <v>14</v>
      </c>
      <c r="AA174" s="204">
        <v>13</v>
      </c>
      <c r="AB174" s="204">
        <v>12</v>
      </c>
      <c r="AC174" s="396">
        <v>15</v>
      </c>
      <c r="AD174" s="396">
        <v>15</v>
      </c>
      <c r="AE174" s="405"/>
    </row>
    <row r="175" spans="1:31">
      <c r="A175" s="204">
        <v>4</v>
      </c>
      <c r="B175" s="204">
        <v>32</v>
      </c>
      <c r="C175" s="204">
        <v>29</v>
      </c>
      <c r="D175" s="204">
        <v>27</v>
      </c>
      <c r="E175" s="204">
        <v>25</v>
      </c>
      <c r="F175" s="204">
        <v>42</v>
      </c>
      <c r="G175" s="204">
        <v>33</v>
      </c>
      <c r="H175" s="204">
        <v>36</v>
      </c>
      <c r="I175" s="204">
        <v>33</v>
      </c>
      <c r="K175" s="390"/>
      <c r="L175" s="392">
        <v>2.5</v>
      </c>
      <c r="M175" s="204">
        <v>26</v>
      </c>
      <c r="N175" s="204">
        <v>24</v>
      </c>
      <c r="O175" s="204">
        <v>22</v>
      </c>
      <c r="P175" s="204">
        <v>20</v>
      </c>
      <c r="Q175" s="396">
        <v>15</v>
      </c>
      <c r="R175" s="396">
        <v>15</v>
      </c>
      <c r="S175" s="204">
        <v>24</v>
      </c>
      <c r="T175" s="204">
        <v>22</v>
      </c>
      <c r="U175" s="204">
        <v>20</v>
      </c>
      <c r="V175" s="204">
        <v>18</v>
      </c>
      <c r="W175" s="396">
        <v>15</v>
      </c>
      <c r="X175" s="396">
        <v>15</v>
      </c>
      <c r="Y175" s="204">
        <v>22</v>
      </c>
      <c r="Z175" s="204">
        <v>20</v>
      </c>
      <c r="AA175" s="204">
        <v>19</v>
      </c>
      <c r="AB175" s="204">
        <v>17</v>
      </c>
      <c r="AC175" s="396">
        <v>15</v>
      </c>
      <c r="AD175" s="396">
        <v>15</v>
      </c>
      <c r="AE175" s="405"/>
    </row>
    <row r="176" spans="1:31">
      <c r="A176" s="204">
        <v>6</v>
      </c>
      <c r="B176" s="204">
        <v>42</v>
      </c>
      <c r="C176" s="204">
        <v>39</v>
      </c>
      <c r="D176" s="204">
        <v>36</v>
      </c>
      <c r="E176" s="204">
        <v>33</v>
      </c>
      <c r="F176" s="204">
        <v>55</v>
      </c>
      <c r="G176" s="204">
        <v>51</v>
      </c>
      <c r="H176" s="204">
        <v>47</v>
      </c>
      <c r="I176" s="204">
        <v>43</v>
      </c>
      <c r="K176" s="390"/>
      <c r="L176" s="392">
        <v>4</v>
      </c>
      <c r="M176" s="204">
        <v>35</v>
      </c>
      <c r="N176" s="204">
        <v>32</v>
      </c>
      <c r="O176" s="204">
        <v>30</v>
      </c>
      <c r="P176" s="204">
        <v>27</v>
      </c>
      <c r="Q176" s="396">
        <v>15</v>
      </c>
      <c r="R176" s="396">
        <v>15</v>
      </c>
      <c r="S176" s="204">
        <v>31</v>
      </c>
      <c r="T176" s="204">
        <v>28</v>
      </c>
      <c r="U176" s="204">
        <v>26</v>
      </c>
      <c r="V176" s="204">
        <v>24</v>
      </c>
      <c r="W176" s="396">
        <v>15</v>
      </c>
      <c r="X176" s="396">
        <v>15</v>
      </c>
      <c r="Y176" s="204">
        <v>28</v>
      </c>
      <c r="Z176" s="204">
        <v>26</v>
      </c>
      <c r="AA176" s="204">
        <v>24</v>
      </c>
      <c r="AB176" s="204">
        <v>22</v>
      </c>
      <c r="AC176" s="396">
        <v>15</v>
      </c>
      <c r="AD176" s="396">
        <v>20</v>
      </c>
      <c r="AE176" s="405"/>
    </row>
    <row r="177" spans="1:31">
      <c r="A177" s="204">
        <v>10</v>
      </c>
      <c r="B177" s="204">
        <v>59</v>
      </c>
      <c r="C177" s="204">
        <v>55</v>
      </c>
      <c r="D177" s="204">
        <v>51</v>
      </c>
      <c r="E177" s="204">
        <v>46</v>
      </c>
      <c r="F177" s="204">
        <v>75</v>
      </c>
      <c r="G177" s="204">
        <v>70</v>
      </c>
      <c r="H177" s="204">
        <v>64</v>
      </c>
      <c r="I177" s="204">
        <v>59</v>
      </c>
      <c r="K177" s="390"/>
      <c r="L177" s="392">
        <v>6</v>
      </c>
      <c r="M177" s="204">
        <v>47</v>
      </c>
      <c r="N177" s="204">
        <v>43</v>
      </c>
      <c r="O177" s="204">
        <v>40</v>
      </c>
      <c r="P177" s="204">
        <v>37</v>
      </c>
      <c r="Q177" s="396">
        <v>15</v>
      </c>
      <c r="R177" s="396">
        <v>20</v>
      </c>
      <c r="S177" s="204">
        <v>41</v>
      </c>
      <c r="T177" s="204">
        <v>38</v>
      </c>
      <c r="U177" s="204">
        <v>35</v>
      </c>
      <c r="V177" s="204">
        <v>32</v>
      </c>
      <c r="W177" s="396">
        <v>15</v>
      </c>
      <c r="X177" s="396">
        <v>20</v>
      </c>
      <c r="Y177" s="204">
        <v>37</v>
      </c>
      <c r="Z177" s="204">
        <v>34</v>
      </c>
      <c r="AA177" s="204">
        <v>32</v>
      </c>
      <c r="AB177" s="204">
        <v>29</v>
      </c>
      <c r="AC177" s="396">
        <v>20</v>
      </c>
      <c r="AD177" s="396">
        <v>25</v>
      </c>
      <c r="AE177" s="405"/>
    </row>
    <row r="178" spans="1:31">
      <c r="A178" s="204">
        <v>16</v>
      </c>
      <c r="B178" s="204">
        <v>80</v>
      </c>
      <c r="C178" s="204">
        <v>74</v>
      </c>
      <c r="D178" s="204">
        <v>69</v>
      </c>
      <c r="E178" s="204">
        <v>63</v>
      </c>
      <c r="F178" s="204">
        <v>105</v>
      </c>
      <c r="G178" s="204">
        <v>98</v>
      </c>
      <c r="H178" s="204">
        <v>90</v>
      </c>
      <c r="I178" s="204">
        <v>83</v>
      </c>
      <c r="K178" s="390"/>
      <c r="L178" s="392">
        <v>10</v>
      </c>
      <c r="M178" s="204">
        <v>65</v>
      </c>
      <c r="N178" s="204">
        <v>60</v>
      </c>
      <c r="O178" s="204">
        <v>56</v>
      </c>
      <c r="P178" s="204">
        <v>51</v>
      </c>
      <c r="Q178" s="396">
        <v>200</v>
      </c>
      <c r="R178" s="396">
        <v>25</v>
      </c>
      <c r="S178" s="204">
        <v>57</v>
      </c>
      <c r="T178" s="204">
        <v>53</v>
      </c>
      <c r="U178" s="204">
        <v>49</v>
      </c>
      <c r="V178" s="204">
        <v>45</v>
      </c>
      <c r="W178" s="396">
        <v>20</v>
      </c>
      <c r="X178" s="396">
        <v>25</v>
      </c>
      <c r="Y178" s="204">
        <v>50</v>
      </c>
      <c r="Z178" s="204">
        <v>46</v>
      </c>
      <c r="AA178" s="204">
        <v>43</v>
      </c>
      <c r="AB178" s="204">
        <v>39</v>
      </c>
      <c r="AC178" s="396">
        <v>25</v>
      </c>
      <c r="AD178" s="396">
        <v>25</v>
      </c>
      <c r="AE178" s="405"/>
    </row>
    <row r="179" spans="1:31">
      <c r="A179" s="204">
        <v>25</v>
      </c>
      <c r="B179" s="204">
        <v>105</v>
      </c>
      <c r="C179" s="204">
        <v>98</v>
      </c>
      <c r="D179" s="204">
        <v>90</v>
      </c>
      <c r="E179" s="204">
        <v>83</v>
      </c>
      <c r="F179" s="204">
        <v>138</v>
      </c>
      <c r="G179" s="204">
        <v>129</v>
      </c>
      <c r="H179" s="204">
        <v>119</v>
      </c>
      <c r="I179" s="204">
        <v>109</v>
      </c>
      <c r="K179" s="380" t="s">
        <v>6734</v>
      </c>
      <c r="L179" s="392">
        <v>16</v>
      </c>
      <c r="M179" s="204">
        <v>82</v>
      </c>
      <c r="N179" s="204">
        <v>76</v>
      </c>
      <c r="O179" s="204">
        <v>70</v>
      </c>
      <c r="P179" s="204">
        <v>64</v>
      </c>
      <c r="Q179" s="396">
        <v>25</v>
      </c>
      <c r="R179" s="396">
        <v>25</v>
      </c>
      <c r="S179" s="204">
        <v>73</v>
      </c>
      <c r="T179" s="204">
        <v>68</v>
      </c>
      <c r="U179" s="204">
        <v>63</v>
      </c>
      <c r="V179" s="204">
        <v>57</v>
      </c>
      <c r="W179" s="396">
        <v>25</v>
      </c>
      <c r="X179" s="396">
        <v>32</v>
      </c>
      <c r="Y179" s="204">
        <v>65</v>
      </c>
      <c r="Z179" s="204">
        <v>60</v>
      </c>
      <c r="AA179" s="204">
        <v>56</v>
      </c>
      <c r="AB179" s="204">
        <v>51</v>
      </c>
      <c r="AC179" s="396">
        <v>25</v>
      </c>
      <c r="AD179" s="396">
        <v>32</v>
      </c>
      <c r="AE179" s="405"/>
    </row>
    <row r="180" spans="1:31">
      <c r="A180" s="204">
        <v>35</v>
      </c>
      <c r="B180" s="204">
        <v>130</v>
      </c>
      <c r="C180" s="204">
        <v>121</v>
      </c>
      <c r="D180" s="204">
        <v>112</v>
      </c>
      <c r="E180" s="204">
        <v>102</v>
      </c>
      <c r="F180" s="204">
        <v>170</v>
      </c>
      <c r="G180" s="204">
        <v>158</v>
      </c>
      <c r="H180" s="204">
        <v>147</v>
      </c>
      <c r="I180" s="204">
        <v>134</v>
      </c>
      <c r="K180" s="380"/>
      <c r="L180" s="392">
        <v>25</v>
      </c>
      <c r="M180" s="204">
        <v>107</v>
      </c>
      <c r="N180" s="204">
        <v>100</v>
      </c>
      <c r="O180" s="204">
        <v>92</v>
      </c>
      <c r="P180" s="204">
        <v>84</v>
      </c>
      <c r="Q180" s="396">
        <v>25</v>
      </c>
      <c r="R180" s="396">
        <v>32</v>
      </c>
      <c r="S180" s="204">
        <v>95</v>
      </c>
      <c r="T180" s="204">
        <v>88</v>
      </c>
      <c r="U180" s="204">
        <v>82</v>
      </c>
      <c r="V180" s="204">
        <v>75</v>
      </c>
      <c r="W180" s="396">
        <v>32</v>
      </c>
      <c r="X180" s="396">
        <v>32</v>
      </c>
      <c r="Y180" s="204">
        <v>85</v>
      </c>
      <c r="Z180" s="204">
        <v>79</v>
      </c>
      <c r="AA180" s="204">
        <v>73</v>
      </c>
      <c r="AB180" s="204">
        <v>67</v>
      </c>
      <c r="AC180" s="396">
        <v>32</v>
      </c>
      <c r="AD180" s="396">
        <v>40</v>
      </c>
      <c r="AE180" s="405"/>
    </row>
    <row r="181" spans="1:31">
      <c r="A181" s="204">
        <v>50</v>
      </c>
      <c r="B181" s="204">
        <v>165</v>
      </c>
      <c r="C181" s="204">
        <v>154</v>
      </c>
      <c r="D181" s="204">
        <v>142</v>
      </c>
      <c r="E181" s="204">
        <v>130</v>
      </c>
      <c r="F181" s="204">
        <v>215</v>
      </c>
      <c r="G181" s="204">
        <v>201</v>
      </c>
      <c r="H181" s="204">
        <v>185</v>
      </c>
      <c r="I181" s="204">
        <v>170</v>
      </c>
      <c r="K181" s="380" t="s">
        <v>6728</v>
      </c>
      <c r="L181" s="392">
        <v>35</v>
      </c>
      <c r="M181" s="204">
        <v>133</v>
      </c>
      <c r="N181" s="204">
        <v>124</v>
      </c>
      <c r="O181" s="204">
        <v>115</v>
      </c>
      <c r="P181" s="204">
        <v>105</v>
      </c>
      <c r="Q181" s="396">
        <v>32</v>
      </c>
      <c r="R181" s="396">
        <v>40</v>
      </c>
      <c r="S181" s="204">
        <v>115</v>
      </c>
      <c r="T181" s="204">
        <v>107</v>
      </c>
      <c r="U181" s="204">
        <v>99</v>
      </c>
      <c r="V181" s="204">
        <v>90</v>
      </c>
      <c r="W181" s="396">
        <v>32</v>
      </c>
      <c r="X181" s="396">
        <v>40</v>
      </c>
      <c r="Y181" s="204">
        <v>105</v>
      </c>
      <c r="Z181" s="204">
        <v>98</v>
      </c>
      <c r="AA181" s="204">
        <v>90</v>
      </c>
      <c r="AB181" s="204">
        <v>83</v>
      </c>
      <c r="AC181" s="396">
        <v>32</v>
      </c>
      <c r="AD181" s="397">
        <v>50</v>
      </c>
      <c r="AE181" s="408"/>
    </row>
    <row r="182" spans="1:31">
      <c r="A182" s="204">
        <v>70</v>
      </c>
      <c r="B182" s="204">
        <v>205</v>
      </c>
      <c r="C182" s="204">
        <v>191</v>
      </c>
      <c r="D182" s="204">
        <v>177</v>
      </c>
      <c r="E182" s="204">
        <v>162</v>
      </c>
      <c r="F182" s="204">
        <v>265</v>
      </c>
      <c r="G182" s="204">
        <v>247</v>
      </c>
      <c r="H182" s="204">
        <v>229</v>
      </c>
      <c r="I182" s="204">
        <v>200</v>
      </c>
      <c r="K182" s="390"/>
      <c r="L182" s="392">
        <v>50</v>
      </c>
      <c r="M182" s="204">
        <v>165</v>
      </c>
      <c r="N182" s="204">
        <v>154</v>
      </c>
      <c r="O182" s="204">
        <v>142</v>
      </c>
      <c r="P182" s="204">
        <v>130</v>
      </c>
      <c r="Q182" s="396">
        <v>32</v>
      </c>
      <c r="R182" s="396">
        <v>50</v>
      </c>
      <c r="S182" s="204">
        <v>146</v>
      </c>
      <c r="T182" s="204">
        <v>136</v>
      </c>
      <c r="U182" s="204">
        <v>126</v>
      </c>
      <c r="V182" s="204">
        <v>115</v>
      </c>
      <c r="W182" s="396">
        <v>40</v>
      </c>
      <c r="X182" s="396">
        <v>50</v>
      </c>
      <c r="Y182" s="204">
        <v>130</v>
      </c>
      <c r="Z182" s="204">
        <v>121</v>
      </c>
      <c r="AA182" s="204">
        <v>112</v>
      </c>
      <c r="AB182" s="204">
        <v>102</v>
      </c>
      <c r="AC182" s="396">
        <v>50</v>
      </c>
      <c r="AD182" s="397">
        <v>50</v>
      </c>
      <c r="AE182" s="408"/>
    </row>
    <row r="183" spans="1:31">
      <c r="A183" s="204">
        <v>95</v>
      </c>
      <c r="B183" s="204">
        <v>250</v>
      </c>
      <c r="C183" s="204">
        <v>233</v>
      </c>
      <c r="D183" s="204">
        <v>216</v>
      </c>
      <c r="E183" s="204">
        <v>197</v>
      </c>
      <c r="F183" s="204">
        <v>325</v>
      </c>
      <c r="G183" s="204">
        <v>303</v>
      </c>
      <c r="H183" s="204">
        <v>281</v>
      </c>
      <c r="I183" s="204">
        <v>257</v>
      </c>
      <c r="K183" s="390"/>
      <c r="L183" s="392">
        <v>70</v>
      </c>
      <c r="M183" s="204">
        <v>205</v>
      </c>
      <c r="N183" s="204">
        <v>191</v>
      </c>
      <c r="O183" s="204">
        <v>177</v>
      </c>
      <c r="P183" s="204">
        <v>162</v>
      </c>
      <c r="Q183" s="396">
        <v>50</v>
      </c>
      <c r="R183" s="396">
        <v>50</v>
      </c>
      <c r="S183" s="204">
        <v>183</v>
      </c>
      <c r="T183" s="204">
        <v>171</v>
      </c>
      <c r="U183" s="204">
        <v>158</v>
      </c>
      <c r="V183" s="204">
        <v>144</v>
      </c>
      <c r="W183" s="396">
        <v>50</v>
      </c>
      <c r="X183" s="396">
        <v>50</v>
      </c>
      <c r="Y183" s="204">
        <v>165</v>
      </c>
      <c r="Z183" s="204">
        <v>154</v>
      </c>
      <c r="AA183" s="204">
        <v>142</v>
      </c>
      <c r="AB183" s="204">
        <v>130</v>
      </c>
      <c r="AC183" s="396">
        <v>50</v>
      </c>
      <c r="AD183" s="397">
        <v>50</v>
      </c>
      <c r="AE183" s="408"/>
    </row>
    <row r="184" spans="1:31">
      <c r="A184" s="204">
        <v>120</v>
      </c>
      <c r="B184" s="204">
        <v>285</v>
      </c>
      <c r="C184" s="204">
        <v>266</v>
      </c>
      <c r="D184" s="204">
        <v>246</v>
      </c>
      <c r="E184" s="204">
        <v>225</v>
      </c>
      <c r="F184" s="204">
        <v>375</v>
      </c>
      <c r="G184" s="204">
        <v>350</v>
      </c>
      <c r="H184" s="204">
        <v>324</v>
      </c>
      <c r="I184" s="204">
        <v>296</v>
      </c>
      <c r="K184" s="390"/>
      <c r="L184" s="392">
        <v>95</v>
      </c>
      <c r="M184" s="204">
        <v>250</v>
      </c>
      <c r="N184" s="204">
        <v>233</v>
      </c>
      <c r="O184" s="204">
        <v>216</v>
      </c>
      <c r="P184" s="204">
        <v>197</v>
      </c>
      <c r="Q184" s="396">
        <v>50</v>
      </c>
      <c r="R184" s="396">
        <v>50</v>
      </c>
      <c r="S184" s="204">
        <v>225</v>
      </c>
      <c r="T184" s="204">
        <v>210</v>
      </c>
      <c r="U184" s="204">
        <v>194</v>
      </c>
      <c r="V184" s="204">
        <v>177</v>
      </c>
      <c r="W184" s="396">
        <v>50</v>
      </c>
      <c r="X184" s="397" t="s">
        <v>6633</v>
      </c>
      <c r="Y184" s="204">
        <v>200</v>
      </c>
      <c r="Z184" s="204">
        <v>187</v>
      </c>
      <c r="AA184" s="204">
        <v>173</v>
      </c>
      <c r="AB184" s="204">
        <v>158</v>
      </c>
      <c r="AC184" s="396">
        <v>70</v>
      </c>
      <c r="AD184" s="397" t="s">
        <v>6633</v>
      </c>
      <c r="AE184" s="408"/>
    </row>
    <row r="185" spans="1:31">
      <c r="A185" s="204">
        <v>150</v>
      </c>
      <c r="B185" s="204">
        <v>325</v>
      </c>
      <c r="C185" s="204">
        <v>303</v>
      </c>
      <c r="D185" s="204">
        <v>281</v>
      </c>
      <c r="E185" s="204">
        <v>257</v>
      </c>
      <c r="F185" s="204">
        <v>430</v>
      </c>
      <c r="G185" s="204">
        <v>402</v>
      </c>
      <c r="H185" s="204">
        <v>371</v>
      </c>
      <c r="I185" s="204">
        <v>340</v>
      </c>
      <c r="K185" s="390"/>
      <c r="L185" s="392">
        <v>120</v>
      </c>
      <c r="M185" s="204">
        <v>290</v>
      </c>
      <c r="N185" s="204">
        <v>270</v>
      </c>
      <c r="O185" s="204">
        <v>250</v>
      </c>
      <c r="P185" s="204">
        <v>229</v>
      </c>
      <c r="Q185" s="396">
        <v>50</v>
      </c>
      <c r="R185" s="396">
        <v>50</v>
      </c>
      <c r="S185" s="204">
        <v>260</v>
      </c>
      <c r="T185" s="204">
        <v>243</v>
      </c>
      <c r="U185" s="204">
        <v>224</v>
      </c>
      <c r="V185" s="204">
        <v>205</v>
      </c>
      <c r="W185" s="396">
        <v>50</v>
      </c>
      <c r="X185" s="397" t="s">
        <v>6633</v>
      </c>
      <c r="Y185" s="204">
        <v>230</v>
      </c>
      <c r="Z185" s="204">
        <v>215</v>
      </c>
      <c r="AA185" s="204">
        <v>198</v>
      </c>
      <c r="AB185" s="204">
        <v>181</v>
      </c>
      <c r="AC185" s="396">
        <v>70</v>
      </c>
      <c r="AD185" s="397" t="s">
        <v>6633</v>
      </c>
      <c r="AE185" s="408"/>
    </row>
    <row r="186" spans="1:31">
      <c r="A186" s="204">
        <v>185</v>
      </c>
      <c r="B186" s="204">
        <v>380</v>
      </c>
      <c r="C186" s="204">
        <v>355</v>
      </c>
      <c r="D186" s="204">
        <v>328</v>
      </c>
      <c r="E186" s="204">
        <v>300</v>
      </c>
      <c r="F186" s="204">
        <v>490</v>
      </c>
      <c r="G186" s="204">
        <v>458</v>
      </c>
      <c r="H186" s="204">
        <v>423</v>
      </c>
      <c r="I186" s="204">
        <v>387</v>
      </c>
      <c r="K186" s="390"/>
      <c r="L186" s="392">
        <v>150</v>
      </c>
      <c r="M186" s="204">
        <v>330</v>
      </c>
      <c r="N186" s="204">
        <v>308</v>
      </c>
      <c r="O186" s="204">
        <v>285</v>
      </c>
      <c r="P186" s="204">
        <v>261</v>
      </c>
      <c r="Q186" s="396">
        <v>70</v>
      </c>
      <c r="R186" s="396">
        <v>50</v>
      </c>
      <c r="S186" s="204">
        <v>300</v>
      </c>
      <c r="T186" s="204">
        <v>280</v>
      </c>
      <c r="U186" s="204">
        <v>259</v>
      </c>
      <c r="V186" s="204">
        <v>237</v>
      </c>
      <c r="W186" s="396">
        <v>70</v>
      </c>
      <c r="X186" s="397" t="s">
        <v>6633</v>
      </c>
      <c r="Y186" s="204">
        <v>265</v>
      </c>
      <c r="Z186" s="204">
        <v>247</v>
      </c>
      <c r="AA186" s="204">
        <v>229</v>
      </c>
      <c r="AB186" s="204">
        <v>209</v>
      </c>
      <c r="AC186" s="396">
        <v>70</v>
      </c>
      <c r="AD186" s="397" t="s">
        <v>6633</v>
      </c>
      <c r="AE186" s="408"/>
    </row>
    <row r="187" spans="11:31">
      <c r="K187" s="391"/>
      <c r="L187" s="392">
        <v>185</v>
      </c>
      <c r="M187" s="204">
        <v>380</v>
      </c>
      <c r="N187" s="204">
        <v>355</v>
      </c>
      <c r="O187" s="204">
        <v>325</v>
      </c>
      <c r="P187" s="204">
        <v>300</v>
      </c>
      <c r="Q187" s="396">
        <v>70</v>
      </c>
      <c r="R187" s="397" t="s">
        <v>6633</v>
      </c>
      <c r="S187" s="204">
        <v>340</v>
      </c>
      <c r="T187" s="204">
        <v>317</v>
      </c>
      <c r="U187" s="204">
        <v>294</v>
      </c>
      <c r="V187" s="204">
        <v>268</v>
      </c>
      <c r="W187" s="396">
        <v>70</v>
      </c>
      <c r="X187" s="397" t="s">
        <v>6633</v>
      </c>
      <c r="Y187" s="204">
        <v>300</v>
      </c>
      <c r="Z187" s="204">
        <v>280</v>
      </c>
      <c r="AA187" s="204">
        <v>259</v>
      </c>
      <c r="AB187" s="204">
        <v>237</v>
      </c>
      <c r="AC187" s="396">
        <v>80</v>
      </c>
      <c r="AD187" s="397" t="s">
        <v>6633</v>
      </c>
      <c r="AE187" s="408"/>
    </row>
    <row r="188" ht="25.8" spans="11:31">
      <c r="K188" s="366" t="s">
        <v>6735</v>
      </c>
      <c r="L188" s="366"/>
      <c r="M188" s="366"/>
      <c r="N188" s="366"/>
      <c r="O188" s="366"/>
      <c r="P188" s="366"/>
      <c r="Q188" s="366"/>
      <c r="R188" s="366"/>
      <c r="S188" s="366"/>
      <c r="T188" s="366"/>
      <c r="U188" s="366"/>
      <c r="V188" s="366"/>
      <c r="W188" s="366"/>
      <c r="X188" s="366"/>
      <c r="Y188" s="366"/>
      <c r="Z188" s="366"/>
      <c r="AA188" s="366"/>
      <c r="AB188" s="366"/>
      <c r="AC188" s="366"/>
      <c r="AD188" s="366"/>
      <c r="AE188" s="404"/>
    </row>
    <row r="189" spans="11:31">
      <c r="K189" s="370" t="s">
        <v>2714</v>
      </c>
      <c r="L189" s="371"/>
      <c r="M189" s="383" t="s">
        <v>6619</v>
      </c>
      <c r="N189" s="389"/>
      <c r="O189" s="389"/>
      <c r="P189" s="389"/>
      <c r="Q189" s="389"/>
      <c r="R189" s="384"/>
      <c r="S189" s="383" t="s">
        <v>6620</v>
      </c>
      <c r="T189" s="389"/>
      <c r="U189" s="389"/>
      <c r="V189" s="389"/>
      <c r="W189" s="389"/>
      <c r="X189" s="384"/>
      <c r="Y189" s="383" t="s">
        <v>6721</v>
      </c>
      <c r="Z189" s="389"/>
      <c r="AA189" s="389"/>
      <c r="AB189" s="389"/>
      <c r="AC189" s="389"/>
      <c r="AD189" s="384"/>
      <c r="AE189" s="405"/>
    </row>
    <row r="190" spans="11:31">
      <c r="K190" s="373"/>
      <c r="L190" s="374"/>
      <c r="M190" s="383" t="s">
        <v>6722</v>
      </c>
      <c r="N190" s="389"/>
      <c r="O190" s="389"/>
      <c r="P190" s="384"/>
      <c r="Q190" s="398" t="s">
        <v>6723</v>
      </c>
      <c r="R190" s="399"/>
      <c r="S190" s="383" t="s">
        <v>6722</v>
      </c>
      <c r="T190" s="389"/>
      <c r="U190" s="389"/>
      <c r="V190" s="384"/>
      <c r="W190" s="398" t="s">
        <v>6723</v>
      </c>
      <c r="X190" s="399"/>
      <c r="Y190" s="383" t="s">
        <v>6722</v>
      </c>
      <c r="Z190" s="389"/>
      <c r="AA190" s="389"/>
      <c r="AB190" s="384"/>
      <c r="AC190" s="398" t="s">
        <v>6723</v>
      </c>
      <c r="AD190" s="399"/>
      <c r="AE190" s="406"/>
    </row>
    <row r="191" spans="11:31">
      <c r="K191" s="375" t="s">
        <v>6634</v>
      </c>
      <c r="L191" s="377"/>
      <c r="M191" s="378" t="s">
        <v>6635</v>
      </c>
      <c r="N191" s="378" t="s">
        <v>6636</v>
      </c>
      <c r="O191" s="378" t="s">
        <v>6637</v>
      </c>
      <c r="P191" s="378" t="s">
        <v>6638</v>
      </c>
      <c r="Q191" s="400"/>
      <c r="R191" s="401"/>
      <c r="S191" s="378" t="s">
        <v>6635</v>
      </c>
      <c r="T191" s="378" t="s">
        <v>6636</v>
      </c>
      <c r="U191" s="378" t="s">
        <v>6637</v>
      </c>
      <c r="V191" s="378" t="s">
        <v>6638</v>
      </c>
      <c r="W191" s="400"/>
      <c r="X191" s="401"/>
      <c r="Y191" s="378" t="s">
        <v>6635</v>
      </c>
      <c r="Z191" s="378" t="s">
        <v>6636</v>
      </c>
      <c r="AA191" s="378" t="s">
        <v>6637</v>
      </c>
      <c r="AB191" s="378" t="s">
        <v>6638</v>
      </c>
      <c r="AC191" s="400"/>
      <c r="AD191" s="401"/>
      <c r="AE191" s="406"/>
    </row>
    <row r="192" spans="11:31">
      <c r="K192" s="291"/>
      <c r="L192" s="392">
        <v>1</v>
      </c>
      <c r="M192" s="204">
        <v>12</v>
      </c>
      <c r="N192" s="204">
        <v>11</v>
      </c>
      <c r="O192" s="204">
        <v>10</v>
      </c>
      <c r="P192" s="204">
        <v>9</v>
      </c>
      <c r="Q192" s="402">
        <v>15</v>
      </c>
      <c r="R192" s="403"/>
      <c r="S192" s="204">
        <v>11</v>
      </c>
      <c r="T192" s="204">
        <v>10</v>
      </c>
      <c r="U192" s="204">
        <v>9</v>
      </c>
      <c r="V192" s="204">
        <v>8</v>
      </c>
      <c r="W192" s="402">
        <v>15</v>
      </c>
      <c r="X192" s="403"/>
      <c r="Y192" s="204">
        <v>10</v>
      </c>
      <c r="Z192" s="204">
        <v>9</v>
      </c>
      <c r="AA192" s="204">
        <v>8</v>
      </c>
      <c r="AB192" s="204">
        <v>7</v>
      </c>
      <c r="AC192" s="402">
        <v>15</v>
      </c>
      <c r="AD192" s="403"/>
      <c r="AE192" s="405"/>
    </row>
    <row r="193" spans="11:31">
      <c r="K193" s="390"/>
      <c r="L193" s="392">
        <v>1.5</v>
      </c>
      <c r="M193" s="204">
        <v>16</v>
      </c>
      <c r="N193" s="204">
        <v>14</v>
      </c>
      <c r="O193" s="204">
        <v>13</v>
      </c>
      <c r="P193" s="204">
        <v>12</v>
      </c>
      <c r="Q193" s="402">
        <v>15</v>
      </c>
      <c r="R193" s="403"/>
      <c r="S193" s="204">
        <v>15</v>
      </c>
      <c r="T193" s="204">
        <v>14</v>
      </c>
      <c r="U193" s="204">
        <v>13</v>
      </c>
      <c r="V193" s="204">
        <v>12</v>
      </c>
      <c r="W193" s="402">
        <v>15</v>
      </c>
      <c r="X193" s="403"/>
      <c r="Y193" s="204">
        <v>13</v>
      </c>
      <c r="Z193" s="204">
        <v>12</v>
      </c>
      <c r="AA193" s="204">
        <v>11</v>
      </c>
      <c r="AB193" s="204">
        <v>10</v>
      </c>
      <c r="AC193" s="402">
        <v>15</v>
      </c>
      <c r="AD193" s="403"/>
      <c r="AE193" s="405"/>
    </row>
    <row r="194" spans="11:31">
      <c r="K194" s="390"/>
      <c r="L194" s="392">
        <v>2.5</v>
      </c>
      <c r="M194" s="204">
        <v>24</v>
      </c>
      <c r="N194" s="204">
        <v>22</v>
      </c>
      <c r="O194" s="204">
        <v>20</v>
      </c>
      <c r="P194" s="204">
        <v>18</v>
      </c>
      <c r="Q194" s="402">
        <v>15</v>
      </c>
      <c r="R194" s="403"/>
      <c r="S194" s="204">
        <v>21</v>
      </c>
      <c r="T194" s="204">
        <v>19</v>
      </c>
      <c r="U194" s="204">
        <v>18</v>
      </c>
      <c r="V194" s="204">
        <v>16</v>
      </c>
      <c r="W194" s="402">
        <v>15</v>
      </c>
      <c r="X194" s="403"/>
      <c r="Y194" s="289">
        <v>19</v>
      </c>
      <c r="Z194" s="289">
        <v>17</v>
      </c>
      <c r="AA194" s="204">
        <v>16</v>
      </c>
      <c r="AB194" s="204">
        <v>15</v>
      </c>
      <c r="AC194" s="402">
        <v>20</v>
      </c>
      <c r="AD194" s="403"/>
      <c r="AE194" s="405"/>
    </row>
    <row r="195" spans="11:31">
      <c r="K195" s="390"/>
      <c r="L195" s="392">
        <v>4</v>
      </c>
      <c r="M195" s="204">
        <v>31</v>
      </c>
      <c r="N195" s="204">
        <v>28</v>
      </c>
      <c r="O195" s="204">
        <v>26</v>
      </c>
      <c r="P195" s="204">
        <v>24</v>
      </c>
      <c r="Q195" s="402">
        <v>20</v>
      </c>
      <c r="R195" s="403"/>
      <c r="S195" s="204">
        <v>28</v>
      </c>
      <c r="T195" s="204">
        <v>26</v>
      </c>
      <c r="U195" s="204">
        <v>24</v>
      </c>
      <c r="V195" s="204">
        <v>22</v>
      </c>
      <c r="W195" s="402">
        <v>20</v>
      </c>
      <c r="X195" s="403"/>
      <c r="Y195" s="204">
        <v>25</v>
      </c>
      <c r="Z195" s="204">
        <v>23</v>
      </c>
      <c r="AA195" s="204">
        <v>21</v>
      </c>
      <c r="AB195" s="204">
        <v>18</v>
      </c>
      <c r="AC195" s="402">
        <v>20</v>
      </c>
      <c r="AD195" s="403"/>
      <c r="AE195" s="405"/>
    </row>
    <row r="196" spans="11:31">
      <c r="K196" s="390"/>
      <c r="L196" s="392">
        <v>6</v>
      </c>
      <c r="M196" s="204">
        <v>41</v>
      </c>
      <c r="N196" s="204">
        <v>38</v>
      </c>
      <c r="O196" s="204">
        <v>35</v>
      </c>
      <c r="P196" s="204">
        <v>32</v>
      </c>
      <c r="Q196" s="402">
        <v>20</v>
      </c>
      <c r="R196" s="403"/>
      <c r="S196" s="204">
        <v>36</v>
      </c>
      <c r="T196" s="204">
        <v>33</v>
      </c>
      <c r="U196" s="204">
        <v>31</v>
      </c>
      <c r="V196" s="204">
        <v>28</v>
      </c>
      <c r="W196" s="402">
        <v>20</v>
      </c>
      <c r="X196" s="403"/>
      <c r="Y196" s="204">
        <v>32</v>
      </c>
      <c r="Z196" s="204">
        <v>29</v>
      </c>
      <c r="AA196" s="204">
        <v>27</v>
      </c>
      <c r="AB196" s="204">
        <v>25</v>
      </c>
      <c r="AC196" s="402">
        <v>25</v>
      </c>
      <c r="AD196" s="403"/>
      <c r="AE196" s="405"/>
    </row>
    <row r="197" spans="11:31">
      <c r="K197" s="390"/>
      <c r="L197" s="392">
        <v>10</v>
      </c>
      <c r="M197" s="204">
        <v>56</v>
      </c>
      <c r="N197" s="204">
        <v>52</v>
      </c>
      <c r="O197" s="204">
        <v>48</v>
      </c>
      <c r="P197" s="204">
        <v>44</v>
      </c>
      <c r="Q197" s="402">
        <v>25</v>
      </c>
      <c r="R197" s="403"/>
      <c r="S197" s="204">
        <v>49</v>
      </c>
      <c r="T197" s="204">
        <v>45</v>
      </c>
      <c r="U197" s="204">
        <v>42</v>
      </c>
      <c r="V197" s="204">
        <v>38</v>
      </c>
      <c r="W197" s="402">
        <v>25</v>
      </c>
      <c r="X197" s="403"/>
      <c r="Y197" s="204">
        <v>44</v>
      </c>
      <c r="Z197" s="204">
        <v>41</v>
      </c>
      <c r="AA197" s="204">
        <v>38</v>
      </c>
      <c r="AB197" s="204">
        <v>34</v>
      </c>
      <c r="AC197" s="402">
        <v>32</v>
      </c>
      <c r="AD197" s="403"/>
      <c r="AE197" s="405"/>
    </row>
    <row r="198" spans="11:31">
      <c r="K198" s="380" t="s">
        <v>6726</v>
      </c>
      <c r="L198" s="392">
        <v>16</v>
      </c>
      <c r="M198" s="204">
        <v>72</v>
      </c>
      <c r="N198" s="204">
        <v>67</v>
      </c>
      <c r="O198" s="204">
        <v>62</v>
      </c>
      <c r="P198" s="204">
        <v>56</v>
      </c>
      <c r="Q198" s="402">
        <v>32</v>
      </c>
      <c r="R198" s="403"/>
      <c r="S198" s="204">
        <v>65</v>
      </c>
      <c r="T198" s="204">
        <v>60</v>
      </c>
      <c r="U198" s="204">
        <v>56</v>
      </c>
      <c r="V198" s="204">
        <v>51</v>
      </c>
      <c r="W198" s="402">
        <v>32</v>
      </c>
      <c r="X198" s="403"/>
      <c r="Y198" s="204">
        <v>57</v>
      </c>
      <c r="Z198" s="204">
        <v>53</v>
      </c>
      <c r="AA198" s="204">
        <v>49</v>
      </c>
      <c r="AB198" s="204">
        <v>45</v>
      </c>
      <c r="AC198" s="402">
        <v>32</v>
      </c>
      <c r="AD198" s="403"/>
      <c r="AE198" s="405"/>
    </row>
    <row r="199" spans="11:31">
      <c r="K199" s="380" t="s">
        <v>6727</v>
      </c>
      <c r="L199" s="392">
        <v>25</v>
      </c>
      <c r="M199" s="204">
        <v>95</v>
      </c>
      <c r="N199" s="204">
        <v>88</v>
      </c>
      <c r="O199" s="204">
        <v>82</v>
      </c>
      <c r="P199" s="204">
        <v>75</v>
      </c>
      <c r="Q199" s="402">
        <v>32</v>
      </c>
      <c r="R199" s="403"/>
      <c r="S199" s="204">
        <v>85</v>
      </c>
      <c r="T199" s="204">
        <v>79</v>
      </c>
      <c r="U199" s="204">
        <v>73</v>
      </c>
      <c r="V199" s="204">
        <v>67</v>
      </c>
      <c r="W199" s="402">
        <v>32</v>
      </c>
      <c r="X199" s="403"/>
      <c r="Y199" s="204">
        <v>75</v>
      </c>
      <c r="Z199" s="204">
        <v>70</v>
      </c>
      <c r="AA199" s="204">
        <v>64</v>
      </c>
      <c r="AB199" s="204">
        <v>59</v>
      </c>
      <c r="AC199" s="402">
        <v>40</v>
      </c>
      <c r="AD199" s="403"/>
      <c r="AE199" s="405"/>
    </row>
    <row r="200" spans="11:31">
      <c r="K200" s="380" t="s">
        <v>6728</v>
      </c>
      <c r="L200" s="392">
        <v>35</v>
      </c>
      <c r="M200" s="204">
        <v>120</v>
      </c>
      <c r="N200" s="204">
        <v>112</v>
      </c>
      <c r="O200" s="204">
        <v>103</v>
      </c>
      <c r="P200" s="204">
        <v>94</v>
      </c>
      <c r="Q200" s="402">
        <v>40</v>
      </c>
      <c r="R200" s="403"/>
      <c r="S200" s="204">
        <v>105</v>
      </c>
      <c r="T200" s="204">
        <v>98</v>
      </c>
      <c r="U200" s="204">
        <v>90</v>
      </c>
      <c r="V200" s="204">
        <v>83</v>
      </c>
      <c r="W200" s="402">
        <v>40</v>
      </c>
      <c r="X200" s="403"/>
      <c r="Y200" s="204">
        <v>93</v>
      </c>
      <c r="Z200" s="204">
        <v>86</v>
      </c>
      <c r="AA200" s="204">
        <v>80</v>
      </c>
      <c r="AB200" s="204">
        <v>73</v>
      </c>
      <c r="AC200" s="402">
        <v>50</v>
      </c>
      <c r="AD200" s="403"/>
      <c r="AE200" s="405"/>
    </row>
    <row r="201" spans="11:31">
      <c r="K201" s="390"/>
      <c r="L201" s="392">
        <v>50</v>
      </c>
      <c r="M201" s="204">
        <v>150</v>
      </c>
      <c r="N201" s="204">
        <v>140</v>
      </c>
      <c r="O201" s="204">
        <v>129</v>
      </c>
      <c r="P201" s="204">
        <v>118</v>
      </c>
      <c r="Q201" s="402">
        <v>40</v>
      </c>
      <c r="R201" s="403"/>
      <c r="S201" s="204">
        <v>132</v>
      </c>
      <c r="T201" s="204">
        <v>123</v>
      </c>
      <c r="U201" s="204">
        <v>114</v>
      </c>
      <c r="V201" s="204">
        <v>104</v>
      </c>
      <c r="W201" s="402">
        <v>50</v>
      </c>
      <c r="X201" s="403"/>
      <c r="Y201" s="204">
        <v>117</v>
      </c>
      <c r="Z201" s="204">
        <v>109</v>
      </c>
      <c r="AA201" s="204">
        <v>101</v>
      </c>
      <c r="AB201" s="204">
        <v>92</v>
      </c>
      <c r="AC201" s="402">
        <v>63</v>
      </c>
      <c r="AD201" s="403"/>
      <c r="AE201" s="405"/>
    </row>
    <row r="202" spans="11:31">
      <c r="K202" s="390"/>
      <c r="L202" s="392">
        <v>70</v>
      </c>
      <c r="M202" s="204">
        <v>185</v>
      </c>
      <c r="N202" s="204">
        <v>172</v>
      </c>
      <c r="O202" s="204">
        <v>160</v>
      </c>
      <c r="P202" s="204">
        <v>146</v>
      </c>
      <c r="Q202" s="402">
        <v>50</v>
      </c>
      <c r="R202" s="403"/>
      <c r="S202" s="204">
        <v>167</v>
      </c>
      <c r="T202" s="204">
        <v>156</v>
      </c>
      <c r="U202" s="204">
        <v>144</v>
      </c>
      <c r="V202" s="204">
        <v>130</v>
      </c>
      <c r="W202" s="402">
        <v>50</v>
      </c>
      <c r="X202" s="403"/>
      <c r="Y202" s="204">
        <v>148</v>
      </c>
      <c r="Z202" s="204">
        <v>138</v>
      </c>
      <c r="AA202" s="204">
        <v>128</v>
      </c>
      <c r="AB202" s="204">
        <v>117</v>
      </c>
      <c r="AC202" s="402">
        <v>63</v>
      </c>
      <c r="AD202" s="403"/>
      <c r="AE202" s="405"/>
    </row>
    <row r="203" spans="11:31">
      <c r="K203" s="390"/>
      <c r="L203" s="392">
        <v>95</v>
      </c>
      <c r="M203" s="204">
        <v>230</v>
      </c>
      <c r="N203" s="204">
        <v>215</v>
      </c>
      <c r="O203" s="204">
        <v>198</v>
      </c>
      <c r="P203" s="204">
        <v>181</v>
      </c>
      <c r="Q203" s="402">
        <v>50</v>
      </c>
      <c r="R203" s="403"/>
      <c r="S203" s="204">
        <v>205</v>
      </c>
      <c r="T203" s="204">
        <v>191</v>
      </c>
      <c r="U203" s="204">
        <v>177</v>
      </c>
      <c r="V203" s="204">
        <v>162</v>
      </c>
      <c r="W203" s="402">
        <v>65</v>
      </c>
      <c r="X203" s="403"/>
      <c r="Y203" s="204">
        <v>185</v>
      </c>
      <c r="Z203" s="204">
        <v>172</v>
      </c>
      <c r="AA203" s="204">
        <v>160</v>
      </c>
      <c r="AB203" s="204">
        <v>146</v>
      </c>
      <c r="AC203" s="402">
        <v>75</v>
      </c>
      <c r="AD203" s="403"/>
      <c r="AE203" s="405"/>
    </row>
    <row r="204" spans="11:31">
      <c r="K204" s="390"/>
      <c r="L204" s="392">
        <v>120</v>
      </c>
      <c r="M204" s="204">
        <v>270</v>
      </c>
      <c r="N204" s="204">
        <v>252</v>
      </c>
      <c r="O204" s="204">
        <v>233</v>
      </c>
      <c r="P204" s="204">
        <v>213</v>
      </c>
      <c r="Q204" s="402">
        <v>65</v>
      </c>
      <c r="R204" s="403"/>
      <c r="S204" s="204">
        <v>240</v>
      </c>
      <c r="T204" s="204">
        <v>224</v>
      </c>
      <c r="U204" s="204">
        <v>207</v>
      </c>
      <c r="V204" s="204">
        <v>189</v>
      </c>
      <c r="W204" s="402">
        <v>65</v>
      </c>
      <c r="X204" s="403"/>
      <c r="Y204" s="204">
        <v>215</v>
      </c>
      <c r="Z204" s="204">
        <v>201</v>
      </c>
      <c r="AA204" s="204">
        <v>185</v>
      </c>
      <c r="AB204" s="204">
        <v>172</v>
      </c>
      <c r="AC204" s="402">
        <v>75</v>
      </c>
      <c r="AD204" s="403"/>
      <c r="AE204" s="405"/>
    </row>
    <row r="205" spans="11:31">
      <c r="K205" s="390"/>
      <c r="L205" s="392">
        <v>150</v>
      </c>
      <c r="M205" s="204">
        <v>305</v>
      </c>
      <c r="N205" s="204">
        <v>285</v>
      </c>
      <c r="O205" s="204">
        <v>263</v>
      </c>
      <c r="P205" s="204">
        <v>241</v>
      </c>
      <c r="Q205" s="402">
        <v>65</v>
      </c>
      <c r="R205" s="403"/>
      <c r="S205" s="204">
        <v>275</v>
      </c>
      <c r="T205" s="204">
        <v>257</v>
      </c>
      <c r="U205" s="204">
        <v>237</v>
      </c>
      <c r="V205" s="204">
        <v>217</v>
      </c>
      <c r="W205" s="402">
        <v>65</v>
      </c>
      <c r="X205" s="403"/>
      <c r="Y205" s="204">
        <v>250</v>
      </c>
      <c r="Z205" s="204">
        <v>233</v>
      </c>
      <c r="AA205" s="204">
        <v>216</v>
      </c>
      <c r="AB205" s="204">
        <v>197</v>
      </c>
      <c r="AC205" s="402">
        <v>75</v>
      </c>
      <c r="AD205" s="403"/>
      <c r="AE205" s="405"/>
    </row>
    <row r="206" spans="11:31">
      <c r="K206" s="391"/>
      <c r="L206" s="392">
        <v>185</v>
      </c>
      <c r="M206" s="204">
        <v>355</v>
      </c>
      <c r="N206" s="204">
        <v>331</v>
      </c>
      <c r="O206" s="204">
        <v>307</v>
      </c>
      <c r="P206" s="204">
        <v>280</v>
      </c>
      <c r="Q206" s="402">
        <v>80</v>
      </c>
      <c r="R206" s="403"/>
      <c r="S206" s="204">
        <v>289</v>
      </c>
      <c r="T206" s="204">
        <v>289</v>
      </c>
      <c r="U206" s="204">
        <v>268</v>
      </c>
      <c r="V206" s="204">
        <v>245</v>
      </c>
      <c r="W206" s="402">
        <v>80</v>
      </c>
      <c r="X206" s="403"/>
      <c r="Y206" s="204">
        <v>280</v>
      </c>
      <c r="Z206" s="204">
        <v>261</v>
      </c>
      <c r="AA206" s="204">
        <v>242</v>
      </c>
      <c r="AB206" s="204">
        <v>221</v>
      </c>
      <c r="AC206" s="402">
        <v>90</v>
      </c>
      <c r="AD206" s="403"/>
      <c r="AE206" s="405"/>
    </row>
  </sheetData>
  <mergeCells count="184">
    <mergeCell ref="A1:G1"/>
    <mergeCell ref="K1:X1"/>
    <mergeCell ref="AF1:AT1"/>
    <mergeCell ref="B2:C2"/>
    <mergeCell ref="D2:E2"/>
    <mergeCell ref="F2:G2"/>
    <mergeCell ref="AG2:AH2"/>
    <mergeCell ref="AJ2:AK2"/>
    <mergeCell ref="AL2:AN2"/>
    <mergeCell ref="AO2:AQ2"/>
    <mergeCell ref="AR2:AT2"/>
    <mergeCell ref="AJ3:AK3"/>
    <mergeCell ref="AL3:AN3"/>
    <mergeCell ref="AO3:AQ3"/>
    <mergeCell ref="AR3:AT3"/>
    <mergeCell ref="K4:L4"/>
    <mergeCell ref="A20:I20"/>
    <mergeCell ref="A21:I21"/>
    <mergeCell ref="B22:C22"/>
    <mergeCell ref="D22:E22"/>
    <mergeCell ref="F22:G22"/>
    <mergeCell ref="H22:I22"/>
    <mergeCell ref="A53:I53"/>
    <mergeCell ref="A54:I54"/>
    <mergeCell ref="B55:C55"/>
    <mergeCell ref="D55:E55"/>
    <mergeCell ref="F55:G55"/>
    <mergeCell ref="H55:I55"/>
    <mergeCell ref="A75:I75"/>
    <mergeCell ref="B76:E76"/>
    <mergeCell ref="F76:I76"/>
    <mergeCell ref="A93:I93"/>
    <mergeCell ref="A94:I94"/>
    <mergeCell ref="A95:E95"/>
    <mergeCell ref="C96:D96"/>
    <mergeCell ref="A131:I131"/>
    <mergeCell ref="K131:AD131"/>
    <mergeCell ref="B132:E132"/>
    <mergeCell ref="F132:I132"/>
    <mergeCell ref="M132:R132"/>
    <mergeCell ref="S132:X132"/>
    <mergeCell ref="Y132:AD132"/>
    <mergeCell ref="M133:P133"/>
    <mergeCell ref="Q133:R133"/>
    <mergeCell ref="S133:V133"/>
    <mergeCell ref="W133:X133"/>
    <mergeCell ref="Y133:AB133"/>
    <mergeCell ref="AC133:AD133"/>
    <mergeCell ref="K134:L134"/>
    <mergeCell ref="K150:AD150"/>
    <mergeCell ref="M151:R151"/>
    <mergeCell ref="S151:X151"/>
    <mergeCell ref="Y151:AD151"/>
    <mergeCell ref="M152:P152"/>
    <mergeCell ref="S152:V152"/>
    <mergeCell ref="Y152:AB152"/>
    <mergeCell ref="K153:L153"/>
    <mergeCell ref="Q154:R154"/>
    <mergeCell ref="W154:X154"/>
    <mergeCell ref="AC154:AD154"/>
    <mergeCell ref="Q155:R155"/>
    <mergeCell ref="W155:X155"/>
    <mergeCell ref="AC155:AD155"/>
    <mergeCell ref="Q156:R156"/>
    <mergeCell ref="W156:X156"/>
    <mergeCell ref="AC156:AD156"/>
    <mergeCell ref="Q157:R157"/>
    <mergeCell ref="W157:X157"/>
    <mergeCell ref="AC157:AD157"/>
    <mergeCell ref="Q158:R158"/>
    <mergeCell ref="W158:X158"/>
    <mergeCell ref="AC158:AD158"/>
    <mergeCell ref="Q159:R159"/>
    <mergeCell ref="W159:X159"/>
    <mergeCell ref="AC159:AD159"/>
    <mergeCell ref="Q160:R160"/>
    <mergeCell ref="W160:X160"/>
    <mergeCell ref="AC160:AD160"/>
    <mergeCell ref="Q161:R161"/>
    <mergeCell ref="W161:X161"/>
    <mergeCell ref="AC161:AD161"/>
    <mergeCell ref="Q162:R162"/>
    <mergeCell ref="W162:X162"/>
    <mergeCell ref="AC162:AD162"/>
    <mergeCell ref="Q163:R163"/>
    <mergeCell ref="W163:X163"/>
    <mergeCell ref="AC163:AD163"/>
    <mergeCell ref="Q164:R164"/>
    <mergeCell ref="W164:X164"/>
    <mergeCell ref="AC164:AD164"/>
    <mergeCell ref="Q165:R165"/>
    <mergeCell ref="W165:X165"/>
    <mergeCell ref="AC165:AD165"/>
    <mergeCell ref="Q166:R166"/>
    <mergeCell ref="W166:X166"/>
    <mergeCell ref="AC166:AD166"/>
    <mergeCell ref="Q167:R167"/>
    <mergeCell ref="W167:X167"/>
    <mergeCell ref="AC167:AD167"/>
    <mergeCell ref="Q168:R168"/>
    <mergeCell ref="W168:X168"/>
    <mergeCell ref="AC168:AD168"/>
    <mergeCell ref="A169:I169"/>
    <mergeCell ref="K169:AD169"/>
    <mergeCell ref="B170:E170"/>
    <mergeCell ref="F170:I170"/>
    <mergeCell ref="M170:R170"/>
    <mergeCell ref="S170:X170"/>
    <mergeCell ref="Y170:AD170"/>
    <mergeCell ref="M171:P171"/>
    <mergeCell ref="Q171:R171"/>
    <mergeCell ref="S171:V171"/>
    <mergeCell ref="W171:X171"/>
    <mergeCell ref="Y171:AB171"/>
    <mergeCell ref="AC171:AD171"/>
    <mergeCell ref="K172:L172"/>
    <mergeCell ref="K188:AD188"/>
    <mergeCell ref="M189:R189"/>
    <mergeCell ref="S189:X189"/>
    <mergeCell ref="Y189:AD189"/>
    <mergeCell ref="M190:P190"/>
    <mergeCell ref="S190:V190"/>
    <mergeCell ref="Y190:AB190"/>
    <mergeCell ref="K191:L191"/>
    <mergeCell ref="Q192:R192"/>
    <mergeCell ref="W192:X192"/>
    <mergeCell ref="AC192:AD192"/>
    <mergeCell ref="Q193:R193"/>
    <mergeCell ref="W193:X193"/>
    <mergeCell ref="AC193:AD193"/>
    <mergeCell ref="Q194:R194"/>
    <mergeCell ref="W194:X194"/>
    <mergeCell ref="AC194:AD194"/>
    <mergeCell ref="Q195:R195"/>
    <mergeCell ref="W195:X195"/>
    <mergeCell ref="AC195:AD195"/>
    <mergeCell ref="Q196:R196"/>
    <mergeCell ref="W196:X196"/>
    <mergeCell ref="AC196:AD196"/>
    <mergeCell ref="Q197:R197"/>
    <mergeCell ref="W197:X197"/>
    <mergeCell ref="AC197:AD197"/>
    <mergeCell ref="Q198:R198"/>
    <mergeCell ref="W198:X198"/>
    <mergeCell ref="AC198:AD198"/>
    <mergeCell ref="Q199:R199"/>
    <mergeCell ref="W199:X199"/>
    <mergeCell ref="AC199:AD199"/>
    <mergeCell ref="Q200:R200"/>
    <mergeCell ref="W200:X200"/>
    <mergeCell ref="AC200:AD200"/>
    <mergeCell ref="Q201:R201"/>
    <mergeCell ref="W201:X201"/>
    <mergeCell ref="AC201:AD201"/>
    <mergeCell ref="Q202:R202"/>
    <mergeCell ref="W202:X202"/>
    <mergeCell ref="AC202:AD202"/>
    <mergeCell ref="Q203:R203"/>
    <mergeCell ref="W203:X203"/>
    <mergeCell ref="AC203:AD203"/>
    <mergeCell ref="Q204:R204"/>
    <mergeCell ref="W204:X204"/>
    <mergeCell ref="AC204:AD204"/>
    <mergeCell ref="Q205:R205"/>
    <mergeCell ref="W205:X205"/>
    <mergeCell ref="AC205:AD205"/>
    <mergeCell ref="Q206:R206"/>
    <mergeCell ref="W206:X206"/>
    <mergeCell ref="AC206:AD206"/>
    <mergeCell ref="AF2:AF3"/>
    <mergeCell ref="K2:L3"/>
    <mergeCell ref="M2:P3"/>
    <mergeCell ref="Q2:T3"/>
    <mergeCell ref="U2:X3"/>
    <mergeCell ref="K132:L133"/>
    <mergeCell ref="K151:L152"/>
    <mergeCell ref="Q152:R153"/>
    <mergeCell ref="W152:X153"/>
    <mergeCell ref="AC152:AD153"/>
    <mergeCell ref="K170:L171"/>
    <mergeCell ref="K189:L190"/>
    <mergeCell ref="Q190:R191"/>
    <mergeCell ref="W190:X191"/>
    <mergeCell ref="AC190:AD191"/>
  </mergeCells>
  <hyperlinks>
    <hyperlink ref="H1" location="目录!A1" display="目录!A1"/>
  </hyperlinks>
  <pageMargins left="0.7" right="0.7" top="0.75" bottom="0.75" header="0.3" footer="0.3"/>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5"/>
  <sheetViews>
    <sheetView workbookViewId="0">
      <selection activeCell="K34" sqref="K34"/>
    </sheetView>
  </sheetViews>
  <sheetFormatPr defaultColWidth="9" defaultRowHeight="15.6"/>
  <cols>
    <col min="1" max="1" width="7.25" style="18" customWidth="1"/>
    <col min="2" max="14" width="10.625" style="18" customWidth="1"/>
    <col min="15" max="256" width="9" style="18"/>
    <col min="257" max="257" width="7.25" style="18" customWidth="1"/>
    <col min="258" max="270" width="10.625" style="18" customWidth="1"/>
    <col min="271" max="512" width="9" style="18"/>
    <col min="513" max="513" width="7.25" style="18" customWidth="1"/>
    <col min="514" max="526" width="10.625" style="18" customWidth="1"/>
    <col min="527" max="768" width="9" style="18"/>
    <col min="769" max="769" width="7.25" style="18" customWidth="1"/>
    <col min="770" max="782" width="10.625" style="18" customWidth="1"/>
    <col min="783" max="1024" width="9" style="18"/>
    <col min="1025" max="1025" width="7.25" style="18" customWidth="1"/>
    <col min="1026" max="1038" width="10.625" style="18" customWidth="1"/>
    <col min="1039" max="1280" width="9" style="18"/>
    <col min="1281" max="1281" width="7.25" style="18" customWidth="1"/>
    <col min="1282" max="1294" width="10.625" style="18" customWidth="1"/>
    <col min="1295" max="1536" width="9" style="18"/>
    <col min="1537" max="1537" width="7.25" style="18" customWidth="1"/>
    <col min="1538" max="1550" width="10.625" style="18" customWidth="1"/>
    <col min="1551" max="1792" width="9" style="18"/>
    <col min="1793" max="1793" width="7.25" style="18" customWidth="1"/>
    <col min="1794" max="1806" width="10.625" style="18" customWidth="1"/>
    <col min="1807" max="2048" width="9" style="18"/>
    <col min="2049" max="2049" width="7.25" style="18" customWidth="1"/>
    <col min="2050" max="2062" width="10.625" style="18" customWidth="1"/>
    <col min="2063" max="2304" width="9" style="18"/>
    <col min="2305" max="2305" width="7.25" style="18" customWidth="1"/>
    <col min="2306" max="2318" width="10.625" style="18" customWidth="1"/>
    <col min="2319" max="2560" width="9" style="18"/>
    <col min="2561" max="2561" width="7.25" style="18" customWidth="1"/>
    <col min="2562" max="2574" width="10.625" style="18" customWidth="1"/>
    <col min="2575" max="2816" width="9" style="18"/>
    <col min="2817" max="2817" width="7.25" style="18" customWidth="1"/>
    <col min="2818" max="2830" width="10.625" style="18" customWidth="1"/>
    <col min="2831" max="3072" width="9" style="18"/>
    <col min="3073" max="3073" width="7.25" style="18" customWidth="1"/>
    <col min="3074" max="3086" width="10.625" style="18" customWidth="1"/>
    <col min="3087" max="3328" width="9" style="18"/>
    <col min="3329" max="3329" width="7.25" style="18" customWidth="1"/>
    <col min="3330" max="3342" width="10.625" style="18" customWidth="1"/>
    <col min="3343" max="3584" width="9" style="18"/>
    <col min="3585" max="3585" width="7.25" style="18" customWidth="1"/>
    <col min="3586" max="3598" width="10.625" style="18" customWidth="1"/>
    <col min="3599" max="3840" width="9" style="18"/>
    <col min="3841" max="3841" width="7.25" style="18" customWidth="1"/>
    <col min="3842" max="3854" width="10.625" style="18" customWidth="1"/>
    <col min="3855" max="4096" width="9" style="18"/>
    <col min="4097" max="4097" width="7.25" style="18" customWidth="1"/>
    <col min="4098" max="4110" width="10.625" style="18" customWidth="1"/>
    <col min="4111" max="4352" width="9" style="18"/>
    <col min="4353" max="4353" width="7.25" style="18" customWidth="1"/>
    <col min="4354" max="4366" width="10.625" style="18" customWidth="1"/>
    <col min="4367" max="4608" width="9" style="18"/>
    <col min="4609" max="4609" width="7.25" style="18" customWidth="1"/>
    <col min="4610" max="4622" width="10.625" style="18" customWidth="1"/>
    <col min="4623" max="4864" width="9" style="18"/>
    <col min="4865" max="4865" width="7.25" style="18" customWidth="1"/>
    <col min="4866" max="4878" width="10.625" style="18" customWidth="1"/>
    <col min="4879" max="5120" width="9" style="18"/>
    <col min="5121" max="5121" width="7.25" style="18" customWidth="1"/>
    <col min="5122" max="5134" width="10.625" style="18" customWidth="1"/>
    <col min="5135" max="5376" width="9" style="18"/>
    <col min="5377" max="5377" width="7.25" style="18" customWidth="1"/>
    <col min="5378" max="5390" width="10.625" style="18" customWidth="1"/>
    <col min="5391" max="5632" width="9" style="18"/>
    <col min="5633" max="5633" width="7.25" style="18" customWidth="1"/>
    <col min="5634" max="5646" width="10.625" style="18" customWidth="1"/>
    <col min="5647" max="5888" width="9" style="18"/>
    <col min="5889" max="5889" width="7.25" style="18" customWidth="1"/>
    <col min="5890" max="5902" width="10.625" style="18" customWidth="1"/>
    <col min="5903" max="6144" width="9" style="18"/>
    <col min="6145" max="6145" width="7.25" style="18" customWidth="1"/>
    <col min="6146" max="6158" width="10.625" style="18" customWidth="1"/>
    <col min="6159" max="6400" width="9" style="18"/>
    <col min="6401" max="6401" width="7.25" style="18" customWidth="1"/>
    <col min="6402" max="6414" width="10.625" style="18" customWidth="1"/>
    <col min="6415" max="6656" width="9" style="18"/>
    <col min="6657" max="6657" width="7.25" style="18" customWidth="1"/>
    <col min="6658" max="6670" width="10.625" style="18" customWidth="1"/>
    <col min="6671" max="6912" width="9" style="18"/>
    <col min="6913" max="6913" width="7.25" style="18" customWidth="1"/>
    <col min="6914" max="6926" width="10.625" style="18" customWidth="1"/>
    <col min="6927" max="7168" width="9" style="18"/>
    <col min="7169" max="7169" width="7.25" style="18" customWidth="1"/>
    <col min="7170" max="7182" width="10.625" style="18" customWidth="1"/>
    <col min="7183" max="7424" width="9" style="18"/>
    <col min="7425" max="7425" width="7.25" style="18" customWidth="1"/>
    <col min="7426" max="7438" width="10.625" style="18" customWidth="1"/>
    <col min="7439" max="7680" width="9" style="18"/>
    <col min="7681" max="7681" width="7.25" style="18" customWidth="1"/>
    <col min="7682" max="7694" width="10.625" style="18" customWidth="1"/>
    <col min="7695" max="7936" width="9" style="18"/>
    <col min="7937" max="7937" width="7.25" style="18" customWidth="1"/>
    <col min="7938" max="7950" width="10.625" style="18" customWidth="1"/>
    <col min="7951" max="8192" width="9" style="18"/>
    <col min="8193" max="8193" width="7.25" style="18" customWidth="1"/>
    <col min="8194" max="8206" width="10.625" style="18" customWidth="1"/>
    <col min="8207" max="8448" width="9" style="18"/>
    <col min="8449" max="8449" width="7.25" style="18" customWidth="1"/>
    <col min="8450" max="8462" width="10.625" style="18" customWidth="1"/>
    <col min="8463" max="8704" width="9" style="18"/>
    <col min="8705" max="8705" width="7.25" style="18" customWidth="1"/>
    <col min="8706" max="8718" width="10.625" style="18" customWidth="1"/>
    <col min="8719" max="8960" width="9" style="18"/>
    <col min="8961" max="8961" width="7.25" style="18" customWidth="1"/>
    <col min="8962" max="8974" width="10.625" style="18" customWidth="1"/>
    <col min="8975" max="9216" width="9" style="18"/>
    <col min="9217" max="9217" width="7.25" style="18" customWidth="1"/>
    <col min="9218" max="9230" width="10.625" style="18" customWidth="1"/>
    <col min="9231" max="9472" width="9" style="18"/>
    <col min="9473" max="9473" width="7.25" style="18" customWidth="1"/>
    <col min="9474" max="9486" width="10.625" style="18" customWidth="1"/>
    <col min="9487" max="9728" width="9" style="18"/>
    <col min="9729" max="9729" width="7.25" style="18" customWidth="1"/>
    <col min="9730" max="9742" width="10.625" style="18" customWidth="1"/>
    <col min="9743" max="9984" width="9" style="18"/>
    <col min="9985" max="9985" width="7.25" style="18" customWidth="1"/>
    <col min="9986" max="9998" width="10.625" style="18" customWidth="1"/>
    <col min="9999" max="10240" width="9" style="18"/>
    <col min="10241" max="10241" width="7.25" style="18" customWidth="1"/>
    <col min="10242" max="10254" width="10.625" style="18" customWidth="1"/>
    <col min="10255" max="10496" width="9" style="18"/>
    <col min="10497" max="10497" width="7.25" style="18" customWidth="1"/>
    <col min="10498" max="10510" width="10.625" style="18" customWidth="1"/>
    <col min="10511" max="10752" width="9" style="18"/>
    <col min="10753" max="10753" width="7.25" style="18" customWidth="1"/>
    <col min="10754" max="10766" width="10.625" style="18" customWidth="1"/>
    <col min="10767" max="11008" width="9" style="18"/>
    <col min="11009" max="11009" width="7.25" style="18" customWidth="1"/>
    <col min="11010" max="11022" width="10.625" style="18" customWidth="1"/>
    <col min="11023" max="11264" width="9" style="18"/>
    <col min="11265" max="11265" width="7.25" style="18" customWidth="1"/>
    <col min="11266" max="11278" width="10.625" style="18" customWidth="1"/>
    <col min="11279" max="11520" width="9" style="18"/>
    <col min="11521" max="11521" width="7.25" style="18" customWidth="1"/>
    <col min="11522" max="11534" width="10.625" style="18" customWidth="1"/>
    <col min="11535" max="11776" width="9" style="18"/>
    <col min="11777" max="11777" width="7.25" style="18" customWidth="1"/>
    <col min="11778" max="11790" width="10.625" style="18" customWidth="1"/>
    <col min="11791" max="12032" width="9" style="18"/>
    <col min="12033" max="12033" width="7.25" style="18" customWidth="1"/>
    <col min="12034" max="12046" width="10.625" style="18" customWidth="1"/>
    <col min="12047" max="12288" width="9" style="18"/>
    <col min="12289" max="12289" width="7.25" style="18" customWidth="1"/>
    <col min="12290" max="12302" width="10.625" style="18" customWidth="1"/>
    <col min="12303" max="12544" width="9" style="18"/>
    <col min="12545" max="12545" width="7.25" style="18" customWidth="1"/>
    <col min="12546" max="12558" width="10.625" style="18" customWidth="1"/>
    <col min="12559" max="12800" width="9" style="18"/>
    <col min="12801" max="12801" width="7.25" style="18" customWidth="1"/>
    <col min="12802" max="12814" width="10.625" style="18" customWidth="1"/>
    <col min="12815" max="13056" width="9" style="18"/>
    <col min="13057" max="13057" width="7.25" style="18" customWidth="1"/>
    <col min="13058" max="13070" width="10.625" style="18" customWidth="1"/>
    <col min="13071" max="13312" width="9" style="18"/>
    <col min="13313" max="13313" width="7.25" style="18" customWidth="1"/>
    <col min="13314" max="13326" width="10.625" style="18" customWidth="1"/>
    <col min="13327" max="13568" width="9" style="18"/>
    <col min="13569" max="13569" width="7.25" style="18" customWidth="1"/>
    <col min="13570" max="13582" width="10.625" style="18" customWidth="1"/>
    <col min="13583" max="13824" width="9" style="18"/>
    <col min="13825" max="13825" width="7.25" style="18" customWidth="1"/>
    <col min="13826" max="13838" width="10.625" style="18" customWidth="1"/>
    <col min="13839" max="14080" width="9" style="18"/>
    <col min="14081" max="14081" width="7.25" style="18" customWidth="1"/>
    <col min="14082" max="14094" width="10.625" style="18" customWidth="1"/>
    <col min="14095" max="14336" width="9" style="18"/>
    <col min="14337" max="14337" width="7.25" style="18" customWidth="1"/>
    <col min="14338" max="14350" width="10.625" style="18" customWidth="1"/>
    <col min="14351" max="14592" width="9" style="18"/>
    <col min="14593" max="14593" width="7.25" style="18" customWidth="1"/>
    <col min="14594" max="14606" width="10.625" style="18" customWidth="1"/>
    <col min="14607" max="14848" width="9" style="18"/>
    <col min="14849" max="14849" width="7.25" style="18" customWidth="1"/>
    <col min="14850" max="14862" width="10.625" style="18" customWidth="1"/>
    <col min="14863" max="15104" width="9" style="18"/>
    <col min="15105" max="15105" width="7.25" style="18" customWidth="1"/>
    <col min="15106" max="15118" width="10.625" style="18" customWidth="1"/>
    <col min="15119" max="15360" width="9" style="18"/>
    <col min="15361" max="15361" width="7.25" style="18" customWidth="1"/>
    <col min="15362" max="15374" width="10.625" style="18" customWidth="1"/>
    <col min="15375" max="15616" width="9" style="18"/>
    <col min="15617" max="15617" width="7.25" style="18" customWidth="1"/>
    <col min="15618" max="15630" width="10.625" style="18" customWidth="1"/>
    <col min="15631" max="15872" width="9" style="18"/>
    <col min="15873" max="15873" width="7.25" style="18" customWidth="1"/>
    <col min="15874" max="15886" width="10.625" style="18" customWidth="1"/>
    <col min="15887" max="16128" width="9" style="18"/>
    <col min="16129" max="16129" width="7.25" style="18" customWidth="1"/>
    <col min="16130" max="16142" width="10.625" style="18" customWidth="1"/>
    <col min="16143" max="16384" width="9" style="18"/>
  </cols>
  <sheetData>
    <row r="1" ht="14.25" customHeight="1" spans="1:16">
      <c r="A1" s="329" t="s">
        <v>54</v>
      </c>
      <c r="B1" s="330"/>
      <c r="C1" s="330"/>
      <c r="D1" s="330"/>
      <c r="E1" s="330"/>
      <c r="F1" s="330"/>
      <c r="G1" s="330"/>
      <c r="H1" s="330"/>
      <c r="I1" s="330"/>
      <c r="J1" s="330"/>
      <c r="K1" s="330"/>
      <c r="L1" s="330"/>
      <c r="M1" s="330"/>
      <c r="N1" s="330"/>
      <c r="O1" s="330"/>
      <c r="P1" s="348" t="s">
        <v>88</v>
      </c>
    </row>
    <row r="2" ht="14.25" customHeight="1" spans="1:16">
      <c r="A2" s="331"/>
      <c r="B2" s="332"/>
      <c r="C2" s="332"/>
      <c r="D2" s="332"/>
      <c r="E2" s="332"/>
      <c r="F2" s="332"/>
      <c r="G2" s="332"/>
      <c r="H2" s="332"/>
      <c r="I2" s="332"/>
      <c r="J2" s="332"/>
      <c r="K2" s="332"/>
      <c r="L2" s="332"/>
      <c r="M2" s="332"/>
      <c r="N2" s="332"/>
      <c r="O2" s="332"/>
      <c r="P2" s="349"/>
    </row>
    <row r="3" ht="15" customHeight="1" spans="1:16">
      <c r="A3" s="333"/>
      <c r="B3" s="334"/>
      <c r="C3" s="334"/>
      <c r="D3" s="334"/>
      <c r="E3" s="334"/>
      <c r="F3" s="334"/>
      <c r="G3" s="334"/>
      <c r="H3" s="334"/>
      <c r="I3" s="334"/>
      <c r="J3" s="334"/>
      <c r="K3" s="334"/>
      <c r="L3" s="334"/>
      <c r="M3" s="334"/>
      <c r="N3" s="334"/>
      <c r="O3" s="334"/>
      <c r="P3" s="350"/>
    </row>
    <row r="4" spans="1:16">
      <c r="A4" s="335" t="s">
        <v>8</v>
      </c>
      <c r="B4" s="336" t="s">
        <v>6736</v>
      </c>
      <c r="C4" s="336" t="s">
        <v>6737</v>
      </c>
      <c r="D4" s="336"/>
      <c r="E4" s="336"/>
      <c r="F4" s="336"/>
      <c r="G4" s="336"/>
      <c r="H4" s="336"/>
      <c r="I4" s="336"/>
      <c r="J4" s="336"/>
      <c r="K4" s="336"/>
      <c r="L4" s="336"/>
      <c r="M4" s="336"/>
      <c r="N4" s="336"/>
      <c r="O4" s="351" t="s">
        <v>6738</v>
      </c>
      <c r="P4" s="352" t="s">
        <v>6739</v>
      </c>
    </row>
    <row r="5" spans="1:16">
      <c r="A5" s="337"/>
      <c r="B5" s="338"/>
      <c r="C5" s="204" t="s">
        <v>6740</v>
      </c>
      <c r="D5" s="204"/>
      <c r="E5" s="204" t="s">
        <v>6741</v>
      </c>
      <c r="F5" s="204"/>
      <c r="G5" s="204" t="s">
        <v>6742</v>
      </c>
      <c r="H5" s="204"/>
      <c r="I5" s="204" t="s">
        <v>6743</v>
      </c>
      <c r="J5" s="204"/>
      <c r="K5" s="204" t="s">
        <v>6744</v>
      </c>
      <c r="L5" s="204"/>
      <c r="M5" s="204" t="s">
        <v>6745</v>
      </c>
      <c r="N5" s="204"/>
      <c r="O5" s="353"/>
      <c r="P5" s="354"/>
    </row>
    <row r="6" ht="16.35" spans="1:16">
      <c r="A6" s="339"/>
      <c r="B6" s="340"/>
      <c r="C6" s="340" t="s">
        <v>6746</v>
      </c>
      <c r="D6" s="340" t="s">
        <v>2712</v>
      </c>
      <c r="E6" s="340" t="s">
        <v>6746</v>
      </c>
      <c r="F6" s="340" t="s">
        <v>2712</v>
      </c>
      <c r="G6" s="340" t="s">
        <v>6746</v>
      </c>
      <c r="H6" s="340" t="s">
        <v>2712</v>
      </c>
      <c r="I6" s="340" t="s">
        <v>6746</v>
      </c>
      <c r="J6" s="340" t="s">
        <v>2712</v>
      </c>
      <c r="K6" s="340" t="s">
        <v>6746</v>
      </c>
      <c r="L6" s="340" t="s">
        <v>2712</v>
      </c>
      <c r="M6" s="340" t="s">
        <v>6746</v>
      </c>
      <c r="N6" s="340" t="s">
        <v>2712</v>
      </c>
      <c r="O6" s="355"/>
      <c r="P6" s="356"/>
    </row>
    <row r="7" spans="1:16">
      <c r="A7" s="341">
        <v>1</v>
      </c>
      <c r="B7" s="342">
        <v>4</v>
      </c>
      <c r="C7" s="342">
        <v>13.4</v>
      </c>
      <c r="D7" s="342"/>
      <c r="E7" s="342">
        <v>14.3</v>
      </c>
      <c r="F7" s="342"/>
      <c r="G7" s="342">
        <v>14.5</v>
      </c>
      <c r="H7" s="342"/>
      <c r="I7" s="342"/>
      <c r="J7" s="342"/>
      <c r="K7" s="342">
        <v>13.7</v>
      </c>
      <c r="L7" s="342"/>
      <c r="M7" s="342">
        <v>14.8</v>
      </c>
      <c r="N7" s="342"/>
      <c r="O7" s="342">
        <f>D7*3.14*C7*C7/4+F7*3.14*E7*E7/4+H7*3.14*G7*G7/4+J7*3.14*I7*I7/4+L7*3.14*K7*K7/4+N7*3.14*M7*M7/4</f>
        <v>0</v>
      </c>
      <c r="P7" s="357">
        <f>D7*C7+F7*E7+H7*G7+J7*I7+L7*K7+N7*M7</f>
        <v>0</v>
      </c>
    </row>
    <row r="8" spans="1:16">
      <c r="A8" s="343">
        <v>2</v>
      </c>
      <c r="B8" s="204">
        <v>6</v>
      </c>
      <c r="C8" s="204">
        <v>14.6</v>
      </c>
      <c r="D8" s="204"/>
      <c r="E8" s="204">
        <v>15.6</v>
      </c>
      <c r="F8" s="204"/>
      <c r="G8" s="204">
        <v>15.9</v>
      </c>
      <c r="H8" s="204"/>
      <c r="I8" s="204"/>
      <c r="J8" s="204"/>
      <c r="K8" s="204">
        <v>14.9</v>
      </c>
      <c r="L8" s="204"/>
      <c r="M8" s="204">
        <v>16.1</v>
      </c>
      <c r="N8" s="204"/>
      <c r="O8" s="204">
        <f>D8*3.14*C8*C8/4+F8*3.14*E8*E8/4+H8*3.14*G8*G8/4+J8*3.14*I8*I8/4+L8*3.14*K8*K8/4+N8*3.14*M8*M8/4</f>
        <v>0</v>
      </c>
      <c r="P8" s="358">
        <f>D8*C8+F8*E8+H8*G8+J8*I8+L8*K8+N8*M8</f>
        <v>0</v>
      </c>
    </row>
    <row r="9" spans="1:16">
      <c r="A9" s="343">
        <v>3</v>
      </c>
      <c r="B9" s="204">
        <v>10</v>
      </c>
      <c r="C9" s="204">
        <v>17.3</v>
      </c>
      <c r="D9" s="204"/>
      <c r="E9" s="204">
        <v>18.4</v>
      </c>
      <c r="F9" s="204"/>
      <c r="G9" s="204">
        <v>18.9</v>
      </c>
      <c r="H9" s="204"/>
      <c r="I9" s="204"/>
      <c r="J9" s="204"/>
      <c r="K9" s="204">
        <v>18</v>
      </c>
      <c r="L9" s="204"/>
      <c r="M9" s="204">
        <v>19.6</v>
      </c>
      <c r="N9" s="204"/>
      <c r="O9" s="204">
        <f t="shared" ref="O9:O20" si="0">D9*3.14*C9*C9/4+F9*3.14*E9*E9/4+H9*3.14*G9*G9/4+J9*3.14*I9*I9/4+L9*3.14*K9*K9/4+N9*3.14*M9*M9/4</f>
        <v>0</v>
      </c>
      <c r="P9" s="358">
        <f t="shared" ref="P9:P20" si="1">D9*C9+F9*E9+H9*G9+J9*I9+L9*K9+N9*M9</f>
        <v>0</v>
      </c>
    </row>
    <row r="10" spans="1:16">
      <c r="A10" s="343">
        <v>4</v>
      </c>
      <c r="B10" s="204">
        <v>16</v>
      </c>
      <c r="C10" s="204">
        <v>20</v>
      </c>
      <c r="D10" s="204"/>
      <c r="E10" s="204">
        <v>21.4</v>
      </c>
      <c r="F10" s="204"/>
      <c r="G10" s="204">
        <v>21.9</v>
      </c>
      <c r="H10" s="204"/>
      <c r="I10" s="204"/>
      <c r="J10" s="204"/>
      <c r="K10" s="204">
        <v>20.6</v>
      </c>
      <c r="L10" s="204"/>
      <c r="M10" s="204">
        <v>22.4</v>
      </c>
      <c r="N10" s="204"/>
      <c r="O10" s="204">
        <f t="shared" si="0"/>
        <v>0</v>
      </c>
      <c r="P10" s="358">
        <f t="shared" si="1"/>
        <v>0</v>
      </c>
    </row>
    <row r="11" spans="1:16">
      <c r="A11" s="343">
        <v>5</v>
      </c>
      <c r="B11" s="204">
        <v>25</v>
      </c>
      <c r="C11" s="204">
        <v>23.8</v>
      </c>
      <c r="D11" s="204"/>
      <c r="E11" s="204">
        <v>25.4</v>
      </c>
      <c r="F11" s="204"/>
      <c r="G11" s="204">
        <v>26.2</v>
      </c>
      <c r="H11" s="204"/>
      <c r="I11" s="204"/>
      <c r="J11" s="204"/>
      <c r="K11" s="204">
        <v>24.8</v>
      </c>
      <c r="L11" s="204"/>
      <c r="M11" s="204">
        <v>27.2</v>
      </c>
      <c r="N11" s="204"/>
      <c r="O11" s="204">
        <f t="shared" si="0"/>
        <v>0</v>
      </c>
      <c r="P11" s="358">
        <f t="shared" si="1"/>
        <v>0</v>
      </c>
    </row>
    <row r="12" spans="1:16">
      <c r="A12" s="344">
        <v>6</v>
      </c>
      <c r="B12" s="204">
        <v>35</v>
      </c>
      <c r="C12" s="204">
        <v>25.8</v>
      </c>
      <c r="D12" s="204"/>
      <c r="E12" s="204">
        <v>27.5</v>
      </c>
      <c r="F12" s="204"/>
      <c r="G12" s="204">
        <v>28.8</v>
      </c>
      <c r="H12" s="204">
        <v>6</v>
      </c>
      <c r="I12" s="204"/>
      <c r="J12" s="204"/>
      <c r="K12" s="204">
        <v>27.6</v>
      </c>
      <c r="L12" s="204"/>
      <c r="M12" s="204">
        <v>30.5</v>
      </c>
      <c r="N12" s="204"/>
      <c r="O12" s="204">
        <f t="shared" si="0"/>
        <v>3906.6624</v>
      </c>
      <c r="P12" s="358">
        <f t="shared" si="1"/>
        <v>172.8</v>
      </c>
    </row>
    <row r="13" spans="1:16">
      <c r="A13" s="343">
        <v>7</v>
      </c>
      <c r="B13" s="204">
        <v>50</v>
      </c>
      <c r="C13" s="204">
        <v>29.9</v>
      </c>
      <c r="D13" s="204"/>
      <c r="E13" s="204">
        <v>32.1</v>
      </c>
      <c r="F13" s="204"/>
      <c r="G13" s="204">
        <v>33.4</v>
      </c>
      <c r="H13" s="204"/>
      <c r="I13" s="204"/>
      <c r="J13" s="204"/>
      <c r="K13" s="204">
        <v>31.6</v>
      </c>
      <c r="L13" s="204"/>
      <c r="M13" s="204">
        <v>35</v>
      </c>
      <c r="N13" s="204"/>
      <c r="O13" s="204">
        <f t="shared" si="0"/>
        <v>0</v>
      </c>
      <c r="P13" s="358">
        <f t="shared" si="1"/>
        <v>0</v>
      </c>
    </row>
    <row r="14" spans="1:16">
      <c r="A14" s="343">
        <v>8</v>
      </c>
      <c r="B14" s="204">
        <v>70</v>
      </c>
      <c r="C14" s="204">
        <v>34.6</v>
      </c>
      <c r="D14" s="204"/>
      <c r="E14" s="204">
        <v>37.1</v>
      </c>
      <c r="F14" s="204"/>
      <c r="G14" s="204">
        <v>38.8</v>
      </c>
      <c r="H14" s="204">
        <v>4</v>
      </c>
      <c r="I14" s="204"/>
      <c r="J14" s="204"/>
      <c r="K14" s="204">
        <v>36.8</v>
      </c>
      <c r="L14" s="204"/>
      <c r="M14" s="204">
        <v>40.8</v>
      </c>
      <c r="N14" s="204"/>
      <c r="O14" s="204">
        <f t="shared" si="0"/>
        <v>4727.0816</v>
      </c>
      <c r="P14" s="358">
        <f t="shared" si="1"/>
        <v>155.2</v>
      </c>
    </row>
    <row r="15" spans="1:16">
      <c r="A15" s="343">
        <v>9</v>
      </c>
      <c r="B15" s="204">
        <v>95</v>
      </c>
      <c r="C15" s="204">
        <v>39.3</v>
      </c>
      <c r="D15" s="204"/>
      <c r="E15" s="204">
        <v>42.2</v>
      </c>
      <c r="F15" s="204"/>
      <c r="G15" s="204">
        <v>44.1</v>
      </c>
      <c r="H15" s="204"/>
      <c r="I15" s="204"/>
      <c r="J15" s="204"/>
      <c r="K15" s="204">
        <v>41.8</v>
      </c>
      <c r="L15" s="204"/>
      <c r="M15" s="204">
        <v>46.4</v>
      </c>
      <c r="N15" s="204"/>
      <c r="O15" s="204">
        <f t="shared" si="0"/>
        <v>0</v>
      </c>
      <c r="P15" s="358">
        <f t="shared" si="1"/>
        <v>0</v>
      </c>
    </row>
    <row r="16" spans="1:16">
      <c r="A16" s="343">
        <v>10</v>
      </c>
      <c r="B16" s="204">
        <v>120</v>
      </c>
      <c r="C16" s="204">
        <v>44.2</v>
      </c>
      <c r="D16" s="204"/>
      <c r="E16" s="204">
        <v>47.7</v>
      </c>
      <c r="F16" s="204"/>
      <c r="G16" s="204">
        <v>49.5</v>
      </c>
      <c r="H16" s="204">
        <v>20</v>
      </c>
      <c r="I16" s="204"/>
      <c r="J16" s="204"/>
      <c r="K16" s="204">
        <v>46.5</v>
      </c>
      <c r="L16" s="204"/>
      <c r="M16" s="204">
        <v>51.7</v>
      </c>
      <c r="N16" s="204"/>
      <c r="O16" s="204">
        <f t="shared" si="0"/>
        <v>38468.925</v>
      </c>
      <c r="P16" s="358">
        <f t="shared" si="1"/>
        <v>990</v>
      </c>
    </row>
    <row r="17" spans="1:16">
      <c r="A17" s="344">
        <v>11</v>
      </c>
      <c r="B17" s="204">
        <v>150</v>
      </c>
      <c r="C17" s="204">
        <v>48</v>
      </c>
      <c r="D17" s="204"/>
      <c r="E17" s="204">
        <v>51.4</v>
      </c>
      <c r="F17" s="204"/>
      <c r="G17" s="204">
        <v>54.1</v>
      </c>
      <c r="H17" s="204"/>
      <c r="I17" s="204"/>
      <c r="J17" s="204"/>
      <c r="K17" s="204">
        <v>51.6</v>
      </c>
      <c r="L17" s="204"/>
      <c r="M17" s="204">
        <v>57.4</v>
      </c>
      <c r="N17" s="204"/>
      <c r="O17" s="204">
        <f t="shared" si="0"/>
        <v>0</v>
      </c>
      <c r="P17" s="358">
        <f t="shared" si="1"/>
        <v>0</v>
      </c>
    </row>
    <row r="18" spans="1:16">
      <c r="A18" s="343">
        <v>12</v>
      </c>
      <c r="B18" s="204">
        <v>185</v>
      </c>
      <c r="C18" s="204">
        <v>53.8</v>
      </c>
      <c r="D18" s="204"/>
      <c r="E18" s="204">
        <v>57.7</v>
      </c>
      <c r="F18" s="204"/>
      <c r="G18" s="204">
        <v>60.5</v>
      </c>
      <c r="H18" s="204"/>
      <c r="I18" s="204"/>
      <c r="J18" s="204"/>
      <c r="K18" s="204">
        <v>57.6</v>
      </c>
      <c r="L18" s="204"/>
      <c r="M18" s="204">
        <v>64.1</v>
      </c>
      <c r="N18" s="204"/>
      <c r="O18" s="204">
        <f t="shared" si="0"/>
        <v>0</v>
      </c>
      <c r="P18" s="358">
        <f t="shared" si="1"/>
        <v>0</v>
      </c>
    </row>
    <row r="19" spans="1:16">
      <c r="A19" s="343">
        <v>13</v>
      </c>
      <c r="B19" s="204">
        <v>240</v>
      </c>
      <c r="C19" s="204">
        <v>60.5</v>
      </c>
      <c r="D19" s="204"/>
      <c r="E19" s="204">
        <v>64.9</v>
      </c>
      <c r="F19" s="204"/>
      <c r="G19" s="204">
        <v>68.2</v>
      </c>
      <c r="H19" s="204"/>
      <c r="I19" s="204"/>
      <c r="J19" s="204"/>
      <c r="K19" s="204">
        <v>64.9</v>
      </c>
      <c r="L19" s="204"/>
      <c r="M19" s="204">
        <v>72.3</v>
      </c>
      <c r="N19" s="204"/>
      <c r="O19" s="204">
        <f t="shared" si="0"/>
        <v>0</v>
      </c>
      <c r="P19" s="358">
        <f t="shared" si="1"/>
        <v>0</v>
      </c>
    </row>
    <row r="20" ht="16.35" spans="1:16">
      <c r="A20" s="345">
        <v>14</v>
      </c>
      <c r="B20" s="291">
        <v>300</v>
      </c>
      <c r="C20" s="291">
        <v>66.9</v>
      </c>
      <c r="D20" s="291"/>
      <c r="E20" s="291">
        <v>74</v>
      </c>
      <c r="F20" s="291"/>
      <c r="G20" s="291">
        <v>75.1</v>
      </c>
      <c r="H20" s="291"/>
      <c r="I20" s="291"/>
      <c r="J20" s="291"/>
      <c r="K20" s="291">
        <v>71.8</v>
      </c>
      <c r="L20" s="291"/>
      <c r="M20" s="291">
        <v>80</v>
      </c>
      <c r="N20" s="291"/>
      <c r="O20" s="291">
        <f t="shared" si="0"/>
        <v>0</v>
      </c>
      <c r="P20" s="359">
        <f t="shared" si="1"/>
        <v>0</v>
      </c>
    </row>
    <row r="21" spans="1:16">
      <c r="A21" s="335" t="s">
        <v>6747</v>
      </c>
      <c r="B21" s="336"/>
      <c r="C21" s="336"/>
      <c r="D21" s="336"/>
      <c r="E21" s="336"/>
      <c r="F21" s="346"/>
      <c r="G21" s="346"/>
      <c r="H21" s="346"/>
      <c r="I21" s="346"/>
      <c r="J21" s="346"/>
      <c r="K21" s="346"/>
      <c r="L21" s="346"/>
      <c r="M21" s="346"/>
      <c r="N21" s="346"/>
      <c r="O21" s="360">
        <f>SUM(O7:O20)</f>
        <v>47102.669</v>
      </c>
      <c r="P21" s="361"/>
    </row>
    <row r="22" spans="1:16">
      <c r="A22" s="337" t="s">
        <v>6748</v>
      </c>
      <c r="B22" s="204"/>
      <c r="C22" s="204"/>
      <c r="D22" s="204"/>
      <c r="E22" s="204"/>
      <c r="F22" s="204"/>
      <c r="G22" s="204"/>
      <c r="H22" s="204"/>
      <c r="I22" s="204"/>
      <c r="J22" s="204"/>
      <c r="K22" s="204"/>
      <c r="L22" s="204"/>
      <c r="M22" s="204"/>
      <c r="N22" s="204"/>
      <c r="O22" s="362">
        <f>O21/0.4</f>
        <v>117756.6725</v>
      </c>
      <c r="P22" s="358"/>
    </row>
    <row r="23" ht="16.35" spans="1:16">
      <c r="A23" s="339" t="s">
        <v>6749</v>
      </c>
      <c r="B23" s="347"/>
      <c r="C23" s="347"/>
      <c r="D23" s="347"/>
      <c r="E23" s="347"/>
      <c r="F23" s="347"/>
      <c r="G23" s="347"/>
      <c r="H23" s="347"/>
      <c r="I23" s="347"/>
      <c r="J23" s="347"/>
      <c r="K23" s="347"/>
      <c r="L23" s="347"/>
      <c r="M23" s="347"/>
      <c r="N23" s="347"/>
      <c r="O23" s="363"/>
      <c r="P23" s="364">
        <f>SUM(P7:P20)</f>
        <v>1318</v>
      </c>
    </row>
    <row r="24" spans="1:14">
      <c r="A24" s="289"/>
      <c r="B24" s="289"/>
      <c r="C24" s="289"/>
      <c r="D24" s="289"/>
      <c r="E24" s="289"/>
      <c r="F24" s="289"/>
      <c r="G24" s="289"/>
      <c r="H24" s="289"/>
      <c r="I24" s="289"/>
      <c r="J24" s="289"/>
      <c r="K24" s="289"/>
      <c r="L24" s="289"/>
      <c r="M24" s="289"/>
      <c r="N24" s="289"/>
    </row>
    <row r="25" spans="1:14">
      <c r="A25" s="289"/>
      <c r="B25" s="289"/>
      <c r="C25" s="289"/>
      <c r="D25" s="289"/>
      <c r="E25" s="289"/>
      <c r="F25" s="289"/>
      <c r="G25" s="289"/>
      <c r="H25" s="289"/>
      <c r="I25" s="289"/>
      <c r="J25" s="289"/>
      <c r="K25" s="289"/>
      <c r="L25" s="289"/>
      <c r="M25" s="289"/>
      <c r="N25" s="289"/>
    </row>
  </sheetData>
  <mergeCells count="16">
    <mergeCell ref="C4:N4"/>
    <mergeCell ref="C5:D5"/>
    <mergeCell ref="E5:F5"/>
    <mergeCell ref="G5:H5"/>
    <mergeCell ref="I5:J5"/>
    <mergeCell ref="K5:L5"/>
    <mergeCell ref="M5:N5"/>
    <mergeCell ref="A21:E21"/>
    <mergeCell ref="A22:E22"/>
    <mergeCell ref="A23:E23"/>
    <mergeCell ref="A4:A6"/>
    <mergeCell ref="B4:B6"/>
    <mergeCell ref="O4:O6"/>
    <mergeCell ref="P1:P3"/>
    <mergeCell ref="P4:P6"/>
    <mergeCell ref="A1:O3"/>
  </mergeCells>
  <hyperlinks>
    <hyperlink ref="P1:P3" location="目录!A1" display="目录!A1"/>
    <hyperlink ref="A1:O3" r:id="rId1" display="桥架 计算"/>
  </hyperlinks>
  <pageMargins left="0.7" right="0.7" top="0.75" bottom="0.75" header="0.3" footer="0.3"/>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0"/>
  <sheetViews>
    <sheetView topLeftCell="A7" workbookViewId="0">
      <selection activeCell="R12" sqref="R12"/>
    </sheetView>
  </sheetViews>
  <sheetFormatPr defaultColWidth="9" defaultRowHeight="15.6"/>
  <cols>
    <col min="1" max="1" width="12.5" style="18" customWidth="1"/>
    <col min="2" max="10" width="6.5" style="18" customWidth="1"/>
    <col min="11" max="11" width="7.5" style="18" customWidth="1"/>
    <col min="12" max="14" width="6.5" style="18" customWidth="1"/>
    <col min="15" max="256" width="9" style="18"/>
    <col min="257" max="257" width="12.5" style="18" customWidth="1"/>
    <col min="258" max="266" width="6.5" style="18" customWidth="1"/>
    <col min="267" max="267" width="7.5" style="18" customWidth="1"/>
    <col min="268" max="270" width="6.5" style="18" customWidth="1"/>
    <col min="271" max="512" width="9" style="18"/>
    <col min="513" max="513" width="12.5" style="18" customWidth="1"/>
    <col min="514" max="522" width="6.5" style="18" customWidth="1"/>
    <col min="523" max="523" width="7.5" style="18" customWidth="1"/>
    <col min="524" max="526" width="6.5" style="18" customWidth="1"/>
    <col min="527" max="768" width="9" style="18"/>
    <col min="769" max="769" width="12.5" style="18" customWidth="1"/>
    <col min="770" max="778" width="6.5" style="18" customWidth="1"/>
    <col min="779" max="779" width="7.5" style="18" customWidth="1"/>
    <col min="780" max="782" width="6.5" style="18" customWidth="1"/>
    <col min="783" max="1024" width="9" style="18"/>
    <col min="1025" max="1025" width="12.5" style="18" customWidth="1"/>
    <col min="1026" max="1034" width="6.5" style="18" customWidth="1"/>
    <col min="1035" max="1035" width="7.5" style="18" customWidth="1"/>
    <col min="1036" max="1038" width="6.5" style="18" customWidth="1"/>
    <col min="1039" max="1280" width="9" style="18"/>
    <col min="1281" max="1281" width="12.5" style="18" customWidth="1"/>
    <col min="1282" max="1290" width="6.5" style="18" customWidth="1"/>
    <col min="1291" max="1291" width="7.5" style="18" customWidth="1"/>
    <col min="1292" max="1294" width="6.5" style="18" customWidth="1"/>
    <col min="1295" max="1536" width="9" style="18"/>
    <col min="1537" max="1537" width="12.5" style="18" customWidth="1"/>
    <col min="1538" max="1546" width="6.5" style="18" customWidth="1"/>
    <col min="1547" max="1547" width="7.5" style="18" customWidth="1"/>
    <col min="1548" max="1550" width="6.5" style="18" customWidth="1"/>
    <col min="1551" max="1792" width="9" style="18"/>
    <col min="1793" max="1793" width="12.5" style="18" customWidth="1"/>
    <col min="1794" max="1802" width="6.5" style="18" customWidth="1"/>
    <col min="1803" max="1803" width="7.5" style="18" customWidth="1"/>
    <col min="1804" max="1806" width="6.5" style="18" customWidth="1"/>
    <col min="1807" max="2048" width="9" style="18"/>
    <col min="2049" max="2049" width="12.5" style="18" customWidth="1"/>
    <col min="2050" max="2058" width="6.5" style="18" customWidth="1"/>
    <col min="2059" max="2059" width="7.5" style="18" customWidth="1"/>
    <col min="2060" max="2062" width="6.5" style="18" customWidth="1"/>
    <col min="2063" max="2304" width="9" style="18"/>
    <col min="2305" max="2305" width="12.5" style="18" customWidth="1"/>
    <col min="2306" max="2314" width="6.5" style="18" customWidth="1"/>
    <col min="2315" max="2315" width="7.5" style="18" customWidth="1"/>
    <col min="2316" max="2318" width="6.5" style="18" customWidth="1"/>
    <col min="2319" max="2560" width="9" style="18"/>
    <col min="2561" max="2561" width="12.5" style="18" customWidth="1"/>
    <col min="2562" max="2570" width="6.5" style="18" customWidth="1"/>
    <col min="2571" max="2571" width="7.5" style="18" customWidth="1"/>
    <col min="2572" max="2574" width="6.5" style="18" customWidth="1"/>
    <col min="2575" max="2816" width="9" style="18"/>
    <col min="2817" max="2817" width="12.5" style="18" customWidth="1"/>
    <col min="2818" max="2826" width="6.5" style="18" customWidth="1"/>
    <col min="2827" max="2827" width="7.5" style="18" customWidth="1"/>
    <col min="2828" max="2830" width="6.5" style="18" customWidth="1"/>
    <col min="2831" max="3072" width="9" style="18"/>
    <col min="3073" max="3073" width="12.5" style="18" customWidth="1"/>
    <col min="3074" max="3082" width="6.5" style="18" customWidth="1"/>
    <col min="3083" max="3083" width="7.5" style="18" customWidth="1"/>
    <col min="3084" max="3086" width="6.5" style="18" customWidth="1"/>
    <col min="3087" max="3328" width="9" style="18"/>
    <col min="3329" max="3329" width="12.5" style="18" customWidth="1"/>
    <col min="3330" max="3338" width="6.5" style="18" customWidth="1"/>
    <col min="3339" max="3339" width="7.5" style="18" customWidth="1"/>
    <col min="3340" max="3342" width="6.5" style="18" customWidth="1"/>
    <col min="3343" max="3584" width="9" style="18"/>
    <col min="3585" max="3585" width="12.5" style="18" customWidth="1"/>
    <col min="3586" max="3594" width="6.5" style="18" customWidth="1"/>
    <col min="3595" max="3595" width="7.5" style="18" customWidth="1"/>
    <col min="3596" max="3598" width="6.5" style="18" customWidth="1"/>
    <col min="3599" max="3840" width="9" style="18"/>
    <col min="3841" max="3841" width="12.5" style="18" customWidth="1"/>
    <col min="3842" max="3850" width="6.5" style="18" customWidth="1"/>
    <col min="3851" max="3851" width="7.5" style="18" customWidth="1"/>
    <col min="3852" max="3854" width="6.5" style="18" customWidth="1"/>
    <col min="3855" max="4096" width="9" style="18"/>
    <col min="4097" max="4097" width="12.5" style="18" customWidth="1"/>
    <col min="4098" max="4106" width="6.5" style="18" customWidth="1"/>
    <col min="4107" max="4107" width="7.5" style="18" customWidth="1"/>
    <col min="4108" max="4110" width="6.5" style="18" customWidth="1"/>
    <col min="4111" max="4352" width="9" style="18"/>
    <col min="4353" max="4353" width="12.5" style="18" customWidth="1"/>
    <col min="4354" max="4362" width="6.5" style="18" customWidth="1"/>
    <col min="4363" max="4363" width="7.5" style="18" customWidth="1"/>
    <col min="4364" max="4366" width="6.5" style="18" customWidth="1"/>
    <col min="4367" max="4608" width="9" style="18"/>
    <col min="4609" max="4609" width="12.5" style="18" customWidth="1"/>
    <col min="4610" max="4618" width="6.5" style="18" customWidth="1"/>
    <col min="4619" max="4619" width="7.5" style="18" customWidth="1"/>
    <col min="4620" max="4622" width="6.5" style="18" customWidth="1"/>
    <col min="4623" max="4864" width="9" style="18"/>
    <col min="4865" max="4865" width="12.5" style="18" customWidth="1"/>
    <col min="4866" max="4874" width="6.5" style="18" customWidth="1"/>
    <col min="4875" max="4875" width="7.5" style="18" customWidth="1"/>
    <col min="4876" max="4878" width="6.5" style="18" customWidth="1"/>
    <col min="4879" max="5120" width="9" style="18"/>
    <col min="5121" max="5121" width="12.5" style="18" customWidth="1"/>
    <col min="5122" max="5130" width="6.5" style="18" customWidth="1"/>
    <col min="5131" max="5131" width="7.5" style="18" customWidth="1"/>
    <col min="5132" max="5134" width="6.5" style="18" customWidth="1"/>
    <col min="5135" max="5376" width="9" style="18"/>
    <col min="5377" max="5377" width="12.5" style="18" customWidth="1"/>
    <col min="5378" max="5386" width="6.5" style="18" customWidth="1"/>
    <col min="5387" max="5387" width="7.5" style="18" customWidth="1"/>
    <col min="5388" max="5390" width="6.5" style="18" customWidth="1"/>
    <col min="5391" max="5632" width="9" style="18"/>
    <col min="5633" max="5633" width="12.5" style="18" customWidth="1"/>
    <col min="5634" max="5642" width="6.5" style="18" customWidth="1"/>
    <col min="5643" max="5643" width="7.5" style="18" customWidth="1"/>
    <col min="5644" max="5646" width="6.5" style="18" customWidth="1"/>
    <col min="5647" max="5888" width="9" style="18"/>
    <col min="5889" max="5889" width="12.5" style="18" customWidth="1"/>
    <col min="5890" max="5898" width="6.5" style="18" customWidth="1"/>
    <col min="5899" max="5899" width="7.5" style="18" customWidth="1"/>
    <col min="5900" max="5902" width="6.5" style="18" customWidth="1"/>
    <col min="5903" max="6144" width="9" style="18"/>
    <col min="6145" max="6145" width="12.5" style="18" customWidth="1"/>
    <col min="6146" max="6154" width="6.5" style="18" customWidth="1"/>
    <col min="6155" max="6155" width="7.5" style="18" customWidth="1"/>
    <col min="6156" max="6158" width="6.5" style="18" customWidth="1"/>
    <col min="6159" max="6400" width="9" style="18"/>
    <col min="6401" max="6401" width="12.5" style="18" customWidth="1"/>
    <col min="6402" max="6410" width="6.5" style="18" customWidth="1"/>
    <col min="6411" max="6411" width="7.5" style="18" customWidth="1"/>
    <col min="6412" max="6414" width="6.5" style="18" customWidth="1"/>
    <col min="6415" max="6656" width="9" style="18"/>
    <col min="6657" max="6657" width="12.5" style="18" customWidth="1"/>
    <col min="6658" max="6666" width="6.5" style="18" customWidth="1"/>
    <col min="6667" max="6667" width="7.5" style="18" customWidth="1"/>
    <col min="6668" max="6670" width="6.5" style="18" customWidth="1"/>
    <col min="6671" max="6912" width="9" style="18"/>
    <col min="6913" max="6913" width="12.5" style="18" customWidth="1"/>
    <col min="6914" max="6922" width="6.5" style="18" customWidth="1"/>
    <col min="6923" max="6923" width="7.5" style="18" customWidth="1"/>
    <col min="6924" max="6926" width="6.5" style="18" customWidth="1"/>
    <col min="6927" max="7168" width="9" style="18"/>
    <col min="7169" max="7169" width="12.5" style="18" customWidth="1"/>
    <col min="7170" max="7178" width="6.5" style="18" customWidth="1"/>
    <col min="7179" max="7179" width="7.5" style="18" customWidth="1"/>
    <col min="7180" max="7182" width="6.5" style="18" customWidth="1"/>
    <col min="7183" max="7424" width="9" style="18"/>
    <col min="7425" max="7425" width="12.5" style="18" customWidth="1"/>
    <col min="7426" max="7434" width="6.5" style="18" customWidth="1"/>
    <col min="7435" max="7435" width="7.5" style="18" customWidth="1"/>
    <col min="7436" max="7438" width="6.5" style="18" customWidth="1"/>
    <col min="7439" max="7680" width="9" style="18"/>
    <col min="7681" max="7681" width="12.5" style="18" customWidth="1"/>
    <col min="7682" max="7690" width="6.5" style="18" customWidth="1"/>
    <col min="7691" max="7691" width="7.5" style="18" customWidth="1"/>
    <col min="7692" max="7694" width="6.5" style="18" customWidth="1"/>
    <col min="7695" max="7936" width="9" style="18"/>
    <col min="7937" max="7937" width="12.5" style="18" customWidth="1"/>
    <col min="7938" max="7946" width="6.5" style="18" customWidth="1"/>
    <col min="7947" max="7947" width="7.5" style="18" customWidth="1"/>
    <col min="7948" max="7950" width="6.5" style="18" customWidth="1"/>
    <col min="7951" max="8192" width="9" style="18"/>
    <col min="8193" max="8193" width="12.5" style="18" customWidth="1"/>
    <col min="8194" max="8202" width="6.5" style="18" customWidth="1"/>
    <col min="8203" max="8203" width="7.5" style="18" customWidth="1"/>
    <col min="8204" max="8206" width="6.5" style="18" customWidth="1"/>
    <col min="8207" max="8448" width="9" style="18"/>
    <col min="8449" max="8449" width="12.5" style="18" customWidth="1"/>
    <col min="8450" max="8458" width="6.5" style="18" customWidth="1"/>
    <col min="8459" max="8459" width="7.5" style="18" customWidth="1"/>
    <col min="8460" max="8462" width="6.5" style="18" customWidth="1"/>
    <col min="8463" max="8704" width="9" style="18"/>
    <col min="8705" max="8705" width="12.5" style="18" customWidth="1"/>
    <col min="8706" max="8714" width="6.5" style="18" customWidth="1"/>
    <col min="8715" max="8715" width="7.5" style="18" customWidth="1"/>
    <col min="8716" max="8718" width="6.5" style="18" customWidth="1"/>
    <col min="8719" max="8960" width="9" style="18"/>
    <col min="8961" max="8961" width="12.5" style="18" customWidth="1"/>
    <col min="8962" max="8970" width="6.5" style="18" customWidth="1"/>
    <col min="8971" max="8971" width="7.5" style="18" customWidth="1"/>
    <col min="8972" max="8974" width="6.5" style="18" customWidth="1"/>
    <col min="8975" max="9216" width="9" style="18"/>
    <col min="9217" max="9217" width="12.5" style="18" customWidth="1"/>
    <col min="9218" max="9226" width="6.5" style="18" customWidth="1"/>
    <col min="9227" max="9227" width="7.5" style="18" customWidth="1"/>
    <col min="9228" max="9230" width="6.5" style="18" customWidth="1"/>
    <col min="9231" max="9472" width="9" style="18"/>
    <col min="9473" max="9473" width="12.5" style="18" customWidth="1"/>
    <col min="9474" max="9482" width="6.5" style="18" customWidth="1"/>
    <col min="9483" max="9483" width="7.5" style="18" customWidth="1"/>
    <col min="9484" max="9486" width="6.5" style="18" customWidth="1"/>
    <col min="9487" max="9728" width="9" style="18"/>
    <col min="9729" max="9729" width="12.5" style="18" customWidth="1"/>
    <col min="9730" max="9738" width="6.5" style="18" customWidth="1"/>
    <col min="9739" max="9739" width="7.5" style="18" customWidth="1"/>
    <col min="9740" max="9742" width="6.5" style="18" customWidth="1"/>
    <col min="9743" max="9984" width="9" style="18"/>
    <col min="9985" max="9985" width="12.5" style="18" customWidth="1"/>
    <col min="9986" max="9994" width="6.5" style="18" customWidth="1"/>
    <col min="9995" max="9995" width="7.5" style="18" customWidth="1"/>
    <col min="9996" max="9998" width="6.5" style="18" customWidth="1"/>
    <col min="9999" max="10240" width="9" style="18"/>
    <col min="10241" max="10241" width="12.5" style="18" customWidth="1"/>
    <col min="10242" max="10250" width="6.5" style="18" customWidth="1"/>
    <col min="10251" max="10251" width="7.5" style="18" customWidth="1"/>
    <col min="10252" max="10254" width="6.5" style="18" customWidth="1"/>
    <col min="10255" max="10496" width="9" style="18"/>
    <col min="10497" max="10497" width="12.5" style="18" customWidth="1"/>
    <col min="10498" max="10506" width="6.5" style="18" customWidth="1"/>
    <col min="10507" max="10507" width="7.5" style="18" customWidth="1"/>
    <col min="10508" max="10510" width="6.5" style="18" customWidth="1"/>
    <col min="10511" max="10752" width="9" style="18"/>
    <col min="10753" max="10753" width="12.5" style="18" customWidth="1"/>
    <col min="10754" max="10762" width="6.5" style="18" customWidth="1"/>
    <col min="10763" max="10763" width="7.5" style="18" customWidth="1"/>
    <col min="10764" max="10766" width="6.5" style="18" customWidth="1"/>
    <col min="10767" max="11008" width="9" style="18"/>
    <col min="11009" max="11009" width="12.5" style="18" customWidth="1"/>
    <col min="11010" max="11018" width="6.5" style="18" customWidth="1"/>
    <col min="11019" max="11019" width="7.5" style="18" customWidth="1"/>
    <col min="11020" max="11022" width="6.5" style="18" customWidth="1"/>
    <col min="11023" max="11264" width="9" style="18"/>
    <col min="11265" max="11265" width="12.5" style="18" customWidth="1"/>
    <col min="11266" max="11274" width="6.5" style="18" customWidth="1"/>
    <col min="11275" max="11275" width="7.5" style="18" customWidth="1"/>
    <col min="11276" max="11278" width="6.5" style="18" customWidth="1"/>
    <col min="11279" max="11520" width="9" style="18"/>
    <col min="11521" max="11521" width="12.5" style="18" customWidth="1"/>
    <col min="11522" max="11530" width="6.5" style="18" customWidth="1"/>
    <col min="11531" max="11531" width="7.5" style="18" customWidth="1"/>
    <col min="11532" max="11534" width="6.5" style="18" customWidth="1"/>
    <col min="11535" max="11776" width="9" style="18"/>
    <col min="11777" max="11777" width="12.5" style="18" customWidth="1"/>
    <col min="11778" max="11786" width="6.5" style="18" customWidth="1"/>
    <col min="11787" max="11787" width="7.5" style="18" customWidth="1"/>
    <col min="11788" max="11790" width="6.5" style="18" customWidth="1"/>
    <col min="11791" max="12032" width="9" style="18"/>
    <col min="12033" max="12033" width="12.5" style="18" customWidth="1"/>
    <col min="12034" max="12042" width="6.5" style="18" customWidth="1"/>
    <col min="12043" max="12043" width="7.5" style="18" customWidth="1"/>
    <col min="12044" max="12046" width="6.5" style="18" customWidth="1"/>
    <col min="12047" max="12288" width="9" style="18"/>
    <col min="12289" max="12289" width="12.5" style="18" customWidth="1"/>
    <col min="12290" max="12298" width="6.5" style="18" customWidth="1"/>
    <col min="12299" max="12299" width="7.5" style="18" customWidth="1"/>
    <col min="12300" max="12302" width="6.5" style="18" customWidth="1"/>
    <col min="12303" max="12544" width="9" style="18"/>
    <col min="12545" max="12545" width="12.5" style="18" customWidth="1"/>
    <col min="12546" max="12554" width="6.5" style="18" customWidth="1"/>
    <col min="12555" max="12555" width="7.5" style="18" customWidth="1"/>
    <col min="12556" max="12558" width="6.5" style="18" customWidth="1"/>
    <col min="12559" max="12800" width="9" style="18"/>
    <col min="12801" max="12801" width="12.5" style="18" customWidth="1"/>
    <col min="12802" max="12810" width="6.5" style="18" customWidth="1"/>
    <col min="12811" max="12811" width="7.5" style="18" customWidth="1"/>
    <col min="12812" max="12814" width="6.5" style="18" customWidth="1"/>
    <col min="12815" max="13056" width="9" style="18"/>
    <col min="13057" max="13057" width="12.5" style="18" customWidth="1"/>
    <col min="13058" max="13066" width="6.5" style="18" customWidth="1"/>
    <col min="13067" max="13067" width="7.5" style="18" customWidth="1"/>
    <col min="13068" max="13070" width="6.5" style="18" customWidth="1"/>
    <col min="13071" max="13312" width="9" style="18"/>
    <col min="13313" max="13313" width="12.5" style="18" customWidth="1"/>
    <col min="13314" max="13322" width="6.5" style="18" customWidth="1"/>
    <col min="13323" max="13323" width="7.5" style="18" customWidth="1"/>
    <col min="13324" max="13326" width="6.5" style="18" customWidth="1"/>
    <col min="13327" max="13568" width="9" style="18"/>
    <col min="13569" max="13569" width="12.5" style="18" customWidth="1"/>
    <col min="13570" max="13578" width="6.5" style="18" customWidth="1"/>
    <col min="13579" max="13579" width="7.5" style="18" customWidth="1"/>
    <col min="13580" max="13582" width="6.5" style="18" customWidth="1"/>
    <col min="13583" max="13824" width="9" style="18"/>
    <col min="13825" max="13825" width="12.5" style="18" customWidth="1"/>
    <col min="13826" max="13834" width="6.5" style="18" customWidth="1"/>
    <col min="13835" max="13835" width="7.5" style="18" customWidth="1"/>
    <col min="13836" max="13838" width="6.5" style="18" customWidth="1"/>
    <col min="13839" max="14080" width="9" style="18"/>
    <col min="14081" max="14081" width="12.5" style="18" customWidth="1"/>
    <col min="14082" max="14090" width="6.5" style="18" customWidth="1"/>
    <col min="14091" max="14091" width="7.5" style="18" customWidth="1"/>
    <col min="14092" max="14094" width="6.5" style="18" customWidth="1"/>
    <col min="14095" max="14336" width="9" style="18"/>
    <col min="14337" max="14337" width="12.5" style="18" customWidth="1"/>
    <col min="14338" max="14346" width="6.5" style="18" customWidth="1"/>
    <col min="14347" max="14347" width="7.5" style="18" customWidth="1"/>
    <col min="14348" max="14350" width="6.5" style="18" customWidth="1"/>
    <col min="14351" max="14592" width="9" style="18"/>
    <col min="14593" max="14593" width="12.5" style="18" customWidth="1"/>
    <col min="14594" max="14602" width="6.5" style="18" customWidth="1"/>
    <col min="14603" max="14603" width="7.5" style="18" customWidth="1"/>
    <col min="14604" max="14606" width="6.5" style="18" customWidth="1"/>
    <col min="14607" max="14848" width="9" style="18"/>
    <col min="14849" max="14849" width="12.5" style="18" customWidth="1"/>
    <col min="14850" max="14858" width="6.5" style="18" customWidth="1"/>
    <col min="14859" max="14859" width="7.5" style="18" customWidth="1"/>
    <col min="14860" max="14862" width="6.5" style="18" customWidth="1"/>
    <col min="14863" max="15104" width="9" style="18"/>
    <col min="15105" max="15105" width="12.5" style="18" customWidth="1"/>
    <col min="15106" max="15114" width="6.5" style="18" customWidth="1"/>
    <col min="15115" max="15115" width="7.5" style="18" customWidth="1"/>
    <col min="15116" max="15118" width="6.5" style="18" customWidth="1"/>
    <col min="15119" max="15360" width="9" style="18"/>
    <col min="15361" max="15361" width="12.5" style="18" customWidth="1"/>
    <col min="15362" max="15370" width="6.5" style="18" customWidth="1"/>
    <col min="15371" max="15371" width="7.5" style="18" customWidth="1"/>
    <col min="15372" max="15374" width="6.5" style="18" customWidth="1"/>
    <col min="15375" max="15616" width="9" style="18"/>
    <col min="15617" max="15617" width="12.5" style="18" customWidth="1"/>
    <col min="15618" max="15626" width="6.5" style="18" customWidth="1"/>
    <col min="15627" max="15627" width="7.5" style="18" customWidth="1"/>
    <col min="15628" max="15630" width="6.5" style="18" customWidth="1"/>
    <col min="15631" max="15872" width="9" style="18"/>
    <col min="15873" max="15873" width="12.5" style="18" customWidth="1"/>
    <col min="15874" max="15882" width="6.5" style="18" customWidth="1"/>
    <col min="15883" max="15883" width="7.5" style="18" customWidth="1"/>
    <col min="15884" max="15886" width="6.5" style="18" customWidth="1"/>
    <col min="15887" max="16128" width="9" style="18"/>
    <col min="16129" max="16129" width="12.5" style="18" customWidth="1"/>
    <col min="16130" max="16138" width="6.5" style="18" customWidth="1"/>
    <col min="16139" max="16139" width="7.5" style="18" customWidth="1"/>
    <col min="16140" max="16142" width="6.5" style="18" customWidth="1"/>
    <col min="16143" max="16384" width="9" style="18"/>
  </cols>
  <sheetData>
    <row r="1" spans="1:15">
      <c r="A1" s="323" t="s">
        <v>2598</v>
      </c>
      <c r="B1" s="323"/>
      <c r="C1" s="323"/>
      <c r="D1" s="323"/>
      <c r="E1" s="323"/>
      <c r="F1" s="323"/>
      <c r="G1" s="323"/>
      <c r="H1" s="323"/>
      <c r="I1" s="323"/>
      <c r="J1" s="323"/>
      <c r="K1" s="323"/>
      <c r="L1" s="323"/>
      <c r="M1" s="323"/>
      <c r="N1" s="323"/>
      <c r="O1" s="328" t="s">
        <v>88</v>
      </c>
    </row>
    <row r="2" spans="1:15">
      <c r="A2" s="324" t="s">
        <v>2599</v>
      </c>
      <c r="B2" s="58" t="s">
        <v>2600</v>
      </c>
      <c r="C2" s="58"/>
      <c r="D2" s="58"/>
      <c r="E2" s="58"/>
      <c r="F2" s="58"/>
      <c r="G2" s="58"/>
      <c r="H2" s="58"/>
      <c r="I2" s="58"/>
      <c r="J2" s="58"/>
      <c r="K2" s="58"/>
      <c r="L2" s="58"/>
      <c r="M2" s="58"/>
      <c r="N2" s="58"/>
      <c r="O2" s="328"/>
    </row>
    <row r="3" spans="1:14">
      <c r="A3" s="324"/>
      <c r="B3" s="325">
        <v>0.7</v>
      </c>
      <c r="C3" s="325">
        <v>0.75</v>
      </c>
      <c r="D3" s="325">
        <v>0.8</v>
      </c>
      <c r="E3" s="325">
        <v>0.82</v>
      </c>
      <c r="F3" s="325">
        <v>0.84</v>
      </c>
      <c r="G3" s="325">
        <v>0.86</v>
      </c>
      <c r="H3" s="325">
        <v>0.88</v>
      </c>
      <c r="I3" s="325">
        <v>0.9</v>
      </c>
      <c r="J3" s="325">
        <v>0.92</v>
      </c>
      <c r="K3" s="325">
        <v>0.94</v>
      </c>
      <c r="L3" s="325">
        <v>0.96</v>
      </c>
      <c r="M3" s="325">
        <v>0.98</v>
      </c>
      <c r="N3" s="325">
        <v>1</v>
      </c>
    </row>
    <row r="4" spans="1:14">
      <c r="A4" s="326">
        <v>0.3</v>
      </c>
      <c r="B4" s="327">
        <f>SQRT(1-A4*A4)/A4-SQRT(1-B3*B3)/B3</f>
        <v>2.15959327683608</v>
      </c>
      <c r="C4" s="327">
        <f>SQRT(1-A4*A4)/A4-SQRT(1-C3*C3)/C3</f>
        <v>2.29788023436829</v>
      </c>
      <c r="D4" s="327">
        <f>SQRT(1-A4*A4)/A4-SQRT(1-D3*D3)/D3</f>
        <v>2.42979733805649</v>
      </c>
      <c r="E4" s="327">
        <f>SQRT(1-A4*A4)/A4-SQRT(1-E3*E3)/E3</f>
        <v>2.48179304433677</v>
      </c>
      <c r="F4" s="327">
        <f>SQRT(1-A4*A4)/A4-SQRT(1-F3*F3)/F3</f>
        <v>2.53386114918741</v>
      </c>
      <c r="G4" s="327">
        <f>SQRT(1-A4*A4)/A4-SQRT(1-G3*G3)/G3</f>
        <v>2.58643218353681</v>
      </c>
      <c r="H4" s="327">
        <f>SQRT(1-A4*A4)/A4-SQRT(1-H3*H3)/H3</f>
        <v>2.6400545159184</v>
      </c>
      <c r="I4" s="327">
        <f>SQRT(1-A4*A4)/A4-SQRT(1-I3*I3)/I3</f>
        <v>2.69547523321863</v>
      </c>
      <c r="J4" s="327">
        <f>SQRT(1-A4*A4)/A4-SQRT(1-J3*J3)/J3</f>
        <v>2.75379912192028</v>
      </c>
      <c r="K4" s="327">
        <f>SQRT(1-A4*A4)/A4-SQRT(1-K3*K3)/K3</f>
        <v>2.81684580381751</v>
      </c>
      <c r="L4" s="327">
        <f>SQRT(1-A4*A4)/A4-SQRT(1-L3*L3)/L3</f>
        <v>2.88813067138982</v>
      </c>
      <c r="M4" s="327">
        <f>SQRT(1-A4*A4)/A4-SQRT(1-M3*M3)/M3</f>
        <v>2.97673867742248</v>
      </c>
      <c r="N4" s="327">
        <f>SQRT(1-A4*A4)/A4-SQRT(1-N3*N3)/N3</f>
        <v>3.17979733805649</v>
      </c>
    </row>
    <row r="5" spans="1:14">
      <c r="A5" s="326">
        <v>0.35</v>
      </c>
      <c r="B5" s="327">
        <f>SQRT(1-A5*A5)/A5-SQRT(1-B3*B3)/B3</f>
        <v>1.65622365237891</v>
      </c>
      <c r="C5" s="327">
        <f>SQRT(1-A5*A5)/A5-SQRT(1-C3*C3)/C3</f>
        <v>1.79451060991112</v>
      </c>
      <c r="D5" s="327">
        <f>SQRT(1-A5*A5)/A5-SQRT(1-D3*D3)/D3</f>
        <v>1.92642771359931</v>
      </c>
      <c r="E5" s="327">
        <f>SQRT(1-A5*A5)/A5-SQRT(1-E3*E3)/E3</f>
        <v>1.9784234198796</v>
      </c>
      <c r="F5" s="327">
        <f>SQRT(1-A5*A5)/A5-SQRT(1-F3*F3)/F3</f>
        <v>2.03049152473024</v>
      </c>
      <c r="G5" s="327">
        <f>SQRT(1-A5*A5)/A5-SQRT(1-G3*G3)/G3</f>
        <v>2.08306255907964</v>
      </c>
      <c r="H5" s="327">
        <f>SQRT(1-A5*A5)/A5-SQRT(1-H3*H3)/H3</f>
        <v>2.13668489146123</v>
      </c>
      <c r="I5" s="327">
        <f>SQRT(1-A5*A5)/A5-SQRT(1-I3*I3)/I3</f>
        <v>2.19210560876146</v>
      </c>
      <c r="J5" s="327">
        <f>SQRT(1-A5*A5)/A5-SQRT(1-J3*J3)/J3</f>
        <v>2.25042949746311</v>
      </c>
      <c r="K5" s="327">
        <f>SQRT(1-A5*A5)/A5-SQRT(1-K3*K3)/K3</f>
        <v>2.31347617936033</v>
      </c>
      <c r="L5" s="327">
        <f>SQRT(1-A5*A5)/A5-SQRT(1-L3*L3)/L3</f>
        <v>2.38476104693265</v>
      </c>
      <c r="M5" s="327">
        <f>SQRT(1-A5*A5)/A5-SQRT(1-M3*M3)/M3</f>
        <v>2.47336905296531</v>
      </c>
      <c r="N5" s="327">
        <f>SQRT(1-A5*A5)/A5-SQRT(1-N3*N3)/N3</f>
        <v>2.67642771359931</v>
      </c>
    </row>
    <row r="6" spans="1:14">
      <c r="A6" s="326">
        <v>0.4</v>
      </c>
      <c r="B6" s="327">
        <f>SQRT(1-A6*A6)/A6-SQRT(1-B3*B3)/B3</f>
        <v>1.27108378625751</v>
      </c>
      <c r="C6" s="327">
        <f>SQRT(1-A6*A6)/A6-SQRT(1-C3*C3)/C3</f>
        <v>1.40937074378972</v>
      </c>
      <c r="D6" s="327">
        <f>SQRT(1-A6*A6)/A6-SQRT(1-D3*D3)/D3</f>
        <v>1.54128784747792</v>
      </c>
      <c r="E6" s="327">
        <f>SQRT(1-A6*A6)/A6-SQRT(1-E3*E3)/E3</f>
        <v>1.5932835537582</v>
      </c>
      <c r="F6" s="327">
        <f>SQRT(1-A6*A6)/A6-SQRT(1-F3*F3)/F3</f>
        <v>1.64535165860885</v>
      </c>
      <c r="G6" s="327">
        <f>SQRT(1-A6*A6)/A6-SQRT(1-G3*G3)/G3</f>
        <v>1.69792269295824</v>
      </c>
      <c r="H6" s="327">
        <f>SQRT(1-A6*A6)/A6-SQRT(1-H3*H3)/H3</f>
        <v>1.75154502533983</v>
      </c>
      <c r="I6" s="327">
        <f>SQRT(1-A6*A6)/A6-SQRT(1-I3*I3)/I3</f>
        <v>1.80696574264007</v>
      </c>
      <c r="J6" s="327">
        <f>SQRT(1-A6*A6)/A6-SQRT(1-J3*J3)/J3</f>
        <v>1.86528963134172</v>
      </c>
      <c r="K6" s="327">
        <f>SQRT(1-A6*A6)/A6-SQRT(1-K3*K3)/K3</f>
        <v>1.92833631323894</v>
      </c>
      <c r="L6" s="327">
        <f>SQRT(1-A6*A6)/A6-SQRT(1-L3*L3)/L3</f>
        <v>1.99962118081125</v>
      </c>
      <c r="M6" s="327">
        <f>SQRT(1-A6*A6)/A6-SQRT(1-M3*M3)/M3</f>
        <v>2.08822918684392</v>
      </c>
      <c r="N6" s="327">
        <f>SQRT(1-A6*A6)/A6-SQRT(1-N3*N3)/N3</f>
        <v>2.29128784747792</v>
      </c>
    </row>
    <row r="7" spans="1:14">
      <c r="A7" s="326">
        <v>0.45</v>
      </c>
      <c r="B7" s="327">
        <f>SQRT(1-A7*A7)/A7-SQRT(1-B3*B3)/B3</f>
        <v>0.964303838723121</v>
      </c>
      <c r="C7" s="327">
        <f>SQRT(1-A7*A7)/A7-SQRT(1-C3*C3)/C3</f>
        <v>1.10259079625533</v>
      </c>
      <c r="D7" s="327">
        <f>SQRT(1-A7*A7)/A7-SQRT(1-D3*D3)/D3</f>
        <v>1.23450789994353</v>
      </c>
      <c r="E7" s="327">
        <f>SQRT(1-A7*A7)/A7-SQRT(1-E3*E3)/E3</f>
        <v>1.28650360622381</v>
      </c>
      <c r="F7" s="327">
        <f>SQRT(1-A7*A7)/A7-SQRT(1-F3*F3)/F3</f>
        <v>1.33857171107445</v>
      </c>
      <c r="G7" s="327">
        <f>SQRT(1-A7*A7)/A7-SQRT(1-G3*G3)/G3</f>
        <v>1.39114274542385</v>
      </c>
      <c r="H7" s="327">
        <f>SQRT(1-A7*A7)/A7-SQRT(1-H3*H3)/H3</f>
        <v>1.44476507780544</v>
      </c>
      <c r="I7" s="327">
        <f>SQRT(1-A7*A7)/A7-SQRT(1-I3*I3)/I3</f>
        <v>1.50018579510568</v>
      </c>
      <c r="J7" s="327">
        <f>SQRT(1-A7*A7)/A7-SQRT(1-J3*J3)/J3</f>
        <v>1.55850968380732</v>
      </c>
      <c r="K7" s="327">
        <f>SQRT(1-A7*A7)/A7-SQRT(1-K3*K3)/K3</f>
        <v>1.62155636570455</v>
      </c>
      <c r="L7" s="327">
        <f>SQRT(1-A7*A7)/A7-SQRT(1-L3*L3)/L3</f>
        <v>1.69284123327686</v>
      </c>
      <c r="M7" s="327">
        <f>SQRT(1-A7*A7)/A7-SQRT(1-M3*M3)/M3</f>
        <v>1.78144923930952</v>
      </c>
      <c r="N7" s="327">
        <f>SQRT(1-A7*A7)/A7-SQRT(1-N3*N3)/N3</f>
        <v>1.98450789994353</v>
      </c>
    </row>
    <row r="8" spans="1:14">
      <c r="A8" s="326">
        <v>0.5</v>
      </c>
      <c r="B8" s="327">
        <f>SQRT(1-A8*A8)/A8-SQRT(1-B3*B3)/B3</f>
        <v>0.71184674634847</v>
      </c>
      <c r="C8" s="327">
        <f>SQRT(1-A8*A8)/A8-SQRT(1-C3*C3)/C3</f>
        <v>0.85013370388068</v>
      </c>
      <c r="D8" s="327">
        <f>SQRT(1-A8*A8)/A8-SQRT(1-D3*D3)/D3</f>
        <v>0.982050807568877</v>
      </c>
      <c r="E8" s="327">
        <f>SQRT(1-A8*A8)/A8-SQRT(1-E3*E3)/E3</f>
        <v>1.03404651384916</v>
      </c>
      <c r="F8" s="327">
        <f>SQRT(1-A8*A8)/A8-SQRT(1-F3*F3)/F3</f>
        <v>1.0861146186998</v>
      </c>
      <c r="G8" s="327">
        <f>SQRT(1-A8*A8)/A8-SQRT(1-G3*G3)/G3</f>
        <v>1.1386856530492</v>
      </c>
      <c r="H8" s="327">
        <f>SQRT(1-A8*A8)/A8-SQRT(1-H3*H3)/H3</f>
        <v>1.19230798543079</v>
      </c>
      <c r="I8" s="327">
        <f>SQRT(1-A8*A8)/A8-SQRT(1-I3*I3)/I3</f>
        <v>1.24772870273102</v>
      </c>
      <c r="J8" s="327">
        <f>SQRT(1-A8*A8)/A8-SQRT(1-J3*J3)/J3</f>
        <v>1.30605259143267</v>
      </c>
      <c r="K8" s="327">
        <f>SQRT(1-A8*A8)/A8-SQRT(1-K3*K3)/K3</f>
        <v>1.3690992733299</v>
      </c>
      <c r="L8" s="327">
        <f>SQRT(1-A8*A8)/A8-SQRT(1-L3*L3)/L3</f>
        <v>1.44038414090221</v>
      </c>
      <c r="M8" s="327">
        <f>SQRT(1-A8*A8)/A8-SQRT(1-M3*M3)/M3</f>
        <v>1.52899214693487</v>
      </c>
      <c r="N8" s="327">
        <f>SQRT(1-A8*A8)/A8-SQRT(1-N3*N3)/N3</f>
        <v>1.73205080756888</v>
      </c>
    </row>
    <row r="9" spans="1:14">
      <c r="A9" s="326">
        <v>0.52</v>
      </c>
      <c r="B9" s="327">
        <f>SQRT(1-A9*A9)/A9-SQRT(1-B3*B3)/B3</f>
        <v>0.622423362169025</v>
      </c>
      <c r="C9" s="327">
        <f>SQRT(1-A9*A9)/A9-SQRT(1-C3*C3)/C3</f>
        <v>0.760710319701236</v>
      </c>
      <c r="D9" s="327">
        <f>SQRT(1-A9*A9)/A9-SQRT(1-D3*D3)/D3</f>
        <v>0.892627423389433</v>
      </c>
      <c r="E9" s="327">
        <f>SQRT(1-A9*A9)/A9-SQRT(1-E3*E3)/E3</f>
        <v>0.944623129669716</v>
      </c>
      <c r="F9" s="327">
        <f>SQRT(1-A9*A9)/A9-SQRT(1-F3*F3)/F3</f>
        <v>0.996691234520359</v>
      </c>
      <c r="G9" s="327">
        <f>SQRT(1-A9*A9)/A9-SQRT(1-G3*G3)/G3</f>
        <v>1.04926226886975</v>
      </c>
      <c r="H9" s="327">
        <f>SQRT(1-A9*A9)/A9-SQRT(1-H3*H3)/H3</f>
        <v>1.10288460125135</v>
      </c>
      <c r="I9" s="327">
        <f>SQRT(1-A9*A9)/A9-SQRT(1-I3*I3)/I3</f>
        <v>1.15830531855158</v>
      </c>
      <c r="J9" s="327">
        <f>SQRT(1-A9*A9)/A9-SQRT(1-J3*J3)/J3</f>
        <v>1.21662920725323</v>
      </c>
      <c r="K9" s="327">
        <f>SQRT(1-A9*A9)/A9-SQRT(1-K3*K3)/K3</f>
        <v>1.27967588915045</v>
      </c>
      <c r="L9" s="327">
        <f>SQRT(1-A9*A9)/A9-SQRT(1-L3*L3)/L3</f>
        <v>1.35096075672277</v>
      </c>
      <c r="M9" s="327">
        <f>SQRT(1-A9*A9)/A9-SQRT(1-M3*M3)/M3</f>
        <v>1.43956876275543</v>
      </c>
      <c r="N9" s="327">
        <f>SQRT(1-A9*A9)/A9-SQRT(1-N3*N3)/N3</f>
        <v>1.64262742338943</v>
      </c>
    </row>
    <row r="10" spans="1:14">
      <c r="A10" s="326">
        <v>0.54</v>
      </c>
      <c r="B10" s="327">
        <f>SQRT(1-A10*A10)/A10-SQRT(1-B3*B3)/B3</f>
        <v>0.538434858224097</v>
      </c>
      <c r="C10" s="327">
        <f>SQRT(1-A10*A10)/A10-SQRT(1-C3*C3)/C3</f>
        <v>0.676721815756308</v>
      </c>
      <c r="D10" s="327">
        <f>SQRT(1-A10*A10)/A10-SQRT(1-D3*D3)/D3</f>
        <v>0.808638919444505</v>
      </c>
      <c r="E10" s="327">
        <f>SQRT(1-A10*A10)/A10-SQRT(1-E3*E3)/E3</f>
        <v>0.860634625724788</v>
      </c>
      <c r="F10" s="327">
        <f>SQRT(1-A10*A10)/A10-SQRT(1-F3*F3)/F3</f>
        <v>0.912702730575431</v>
      </c>
      <c r="G10" s="327">
        <f>SQRT(1-A10*A10)/A10-SQRT(1-G3*G3)/G3</f>
        <v>0.965273764924827</v>
      </c>
      <c r="H10" s="327">
        <f>SQRT(1-A10*A10)/A10-SQRT(1-H3*H3)/H3</f>
        <v>1.01889609730642</v>
      </c>
      <c r="I10" s="327">
        <f>SQRT(1-A10*A10)/A10-SQRT(1-I3*I3)/I3</f>
        <v>1.07431681460665</v>
      </c>
      <c r="J10" s="327">
        <f>SQRT(1-A10*A10)/A10-SQRT(1-J3*J3)/J3</f>
        <v>1.1326407033083</v>
      </c>
      <c r="K10" s="327">
        <f>SQRT(1-A10*A10)/A10-SQRT(1-K3*K3)/K3</f>
        <v>1.19568738520553</v>
      </c>
      <c r="L10" s="327">
        <f>SQRT(1-A10*A10)/A10-SQRT(1-L3*L3)/L3</f>
        <v>1.26697225277784</v>
      </c>
      <c r="M10" s="327">
        <f>SQRT(1-A10*A10)/A10-SQRT(1-M3*M3)/M3</f>
        <v>1.3555802588105</v>
      </c>
      <c r="N10" s="327">
        <f>SQRT(1-A10*A10)/A10-SQRT(1-N3*N3)/N3</f>
        <v>1.5586389194445</v>
      </c>
    </row>
    <row r="11" spans="1:14">
      <c r="A11" s="326">
        <v>0.56</v>
      </c>
      <c r="B11" s="327">
        <f>SQRT(1-A11*A11)/A11-SQRT(1-B3*B3)/B3</f>
        <v>0.459247022865877</v>
      </c>
      <c r="C11" s="327">
        <f>SQRT(1-A11*A11)/A11-SQRT(1-C3*C3)/C3</f>
        <v>0.597533980398087</v>
      </c>
      <c r="D11" s="327">
        <f>SQRT(1-A11*A11)/A11-SQRT(1-D3*D3)/D3</f>
        <v>0.729451084086284</v>
      </c>
      <c r="E11" s="327">
        <f>SQRT(1-A11*A11)/A11-SQRT(1-E3*E3)/E3</f>
        <v>0.781446790366568</v>
      </c>
      <c r="F11" s="327">
        <f>SQRT(1-A11*A11)/A11-SQRT(1-F3*F3)/F3</f>
        <v>0.833514895217211</v>
      </c>
      <c r="G11" s="327">
        <f>SQRT(1-A11*A11)/A11-SQRT(1-G3*G3)/G3</f>
        <v>0.886085929566606</v>
      </c>
      <c r="H11" s="327">
        <f>SQRT(1-A11*A11)/A11-SQRT(1-H3*H3)/H3</f>
        <v>0.939708261948197</v>
      </c>
      <c r="I11" s="327">
        <f>SQRT(1-A11*A11)/A11-SQRT(1-I3*I3)/I3</f>
        <v>0.995128979248431</v>
      </c>
      <c r="J11" s="327">
        <f>SQRT(1-A11*A11)/A11-SQRT(1-J3*J3)/J3</f>
        <v>1.05345286795008</v>
      </c>
      <c r="K11" s="327">
        <f>SQRT(1-A11*A11)/A11-SQRT(1-K3*K3)/K3</f>
        <v>1.11649954984731</v>
      </c>
      <c r="L11" s="327">
        <f>SQRT(1-A11*A11)/A11-SQRT(1-L3*L3)/L3</f>
        <v>1.18778441741962</v>
      </c>
      <c r="M11" s="327">
        <f>SQRT(1-A11*A11)/A11-SQRT(1-M3*M3)/M3</f>
        <v>1.27639242345228</v>
      </c>
      <c r="N11" s="327">
        <f>SQRT(1-A11*A11)/A11-SQRT(1-N3*N3)/N3</f>
        <v>1.47945108408628</v>
      </c>
    </row>
    <row r="12" spans="1:14">
      <c r="A12" s="326">
        <v>0.58</v>
      </c>
      <c r="B12" s="327">
        <f>SQRT(1-A12*A12)/A12-SQRT(1-B3*B3)/B3</f>
        <v>0.384307101153131</v>
      </c>
      <c r="C12" s="327">
        <f>SQRT(1-A12*A12)/A12-SQRT(1-C3*C3)/C3</f>
        <v>0.522594058685341</v>
      </c>
      <c r="D12" s="327">
        <f>SQRT(1-A12*A12)/A12-SQRT(1-D3*D3)/D3</f>
        <v>0.654511162373538</v>
      </c>
      <c r="E12" s="327">
        <f>SQRT(1-A12*A12)/A12-SQRT(1-E3*E3)/E3</f>
        <v>0.706506868653822</v>
      </c>
      <c r="F12" s="327">
        <f>SQRT(1-A12*A12)/A12-SQRT(1-F3*F3)/F3</f>
        <v>0.758574973504465</v>
      </c>
      <c r="G12" s="327">
        <f>SQRT(1-A12*A12)/A12-SQRT(1-G3*G3)/G3</f>
        <v>0.81114600785386</v>
      </c>
      <c r="H12" s="327">
        <f>SQRT(1-A12*A12)/A12-SQRT(1-H3*H3)/H3</f>
        <v>0.864768340235451</v>
      </c>
      <c r="I12" s="327">
        <f>SQRT(1-A12*A12)/A12-SQRT(1-I3*I3)/I3</f>
        <v>0.920189057535686</v>
      </c>
      <c r="J12" s="327">
        <f>SQRT(1-A12*A12)/A12-SQRT(1-J3*J3)/J3</f>
        <v>0.978512946237333</v>
      </c>
      <c r="K12" s="327">
        <f>SQRT(1-A12*A12)/A12-SQRT(1-K3*K3)/K3</f>
        <v>1.04155962813456</v>
      </c>
      <c r="L12" s="327">
        <f>SQRT(1-A12*A12)/A12-SQRT(1-L3*L3)/L3</f>
        <v>1.11284449570687</v>
      </c>
      <c r="M12" s="327">
        <f>SQRT(1-A12*A12)/A12-SQRT(1-M3*M3)/M3</f>
        <v>1.20145250173953</v>
      </c>
      <c r="N12" s="327">
        <f>SQRT(1-A12*A12)/A12-SQRT(1-N3*N3)/N3</f>
        <v>1.40451116237354</v>
      </c>
    </row>
    <row r="13" spans="1:14">
      <c r="A13" s="326">
        <v>0.6</v>
      </c>
      <c r="B13" s="327">
        <f>SQRT(1-A13*A13)/A13-SQRT(1-B3*B3)/B3</f>
        <v>0.313129272112926</v>
      </c>
      <c r="C13" s="327">
        <f>SQRT(1-A13*A13)/A13-SQRT(1-C3*C3)/C3</f>
        <v>0.451416229645137</v>
      </c>
      <c r="D13" s="327">
        <f>SQRT(1-A13*A13)/A13-SQRT(1-D3*D3)/D3</f>
        <v>0.583333333333334</v>
      </c>
      <c r="E13" s="327">
        <f>SQRT(1-A13*A13)/A13-SQRT(1-E3*E3)/E3</f>
        <v>0.635329039613617</v>
      </c>
      <c r="F13" s="327">
        <f>SQRT(1-A13*A13)/A13-SQRT(1-F3*F3)/F3</f>
        <v>0.68739714446426</v>
      </c>
      <c r="G13" s="327">
        <f>SQRT(1-A13*A13)/A13-SQRT(1-G3*G3)/G3</f>
        <v>0.739968178813656</v>
      </c>
      <c r="H13" s="327">
        <f>SQRT(1-A13*A13)/A13-SQRT(1-H3*H3)/H3</f>
        <v>0.793590511195246</v>
      </c>
      <c r="I13" s="327">
        <f>SQRT(1-A13*A13)/A13-SQRT(1-I3*I3)/I3</f>
        <v>0.849011228495481</v>
      </c>
      <c r="J13" s="327">
        <f>SQRT(1-A13*A13)/A13-SQRT(1-J3*J3)/J3</f>
        <v>0.907335117197129</v>
      </c>
      <c r="K13" s="327">
        <f>SQRT(1-A13*A13)/A13-SQRT(1-K3*K3)/K3</f>
        <v>0.970381799094355</v>
      </c>
      <c r="L13" s="327">
        <f>SQRT(1-A13*A13)/A13-SQRT(1-L3*L3)/L3</f>
        <v>1.04166666666667</v>
      </c>
      <c r="M13" s="327">
        <f>SQRT(1-A13*A13)/A13-SQRT(1-M3*M3)/M3</f>
        <v>1.13027467269933</v>
      </c>
      <c r="N13" s="327">
        <f>SQRT(1-A13*A13)/A13-SQRT(1-N3*N3)/N3</f>
        <v>1.33333333333333</v>
      </c>
    </row>
    <row r="14" spans="1:14">
      <c r="A14" s="326">
        <v>0.62</v>
      </c>
      <c r="B14" s="327">
        <f>SQRT(1-A14*A14)/A14-SQRT(1-B3*B3)/B3</f>
        <v>0.245282728839788</v>
      </c>
      <c r="C14" s="327">
        <f>SQRT(1-A14*A14)/A14-SQRT(1-C3*C3)/C3</f>
        <v>0.383569686371999</v>
      </c>
      <c r="D14" s="327">
        <f>SQRT(1-A14*A14)/A14-SQRT(1-D3*D3)/D3</f>
        <v>0.515486790060196</v>
      </c>
      <c r="E14" s="327">
        <f>SQRT(1-A14*A14)/A14-SQRT(1-E3*E3)/E3</f>
        <v>0.567482496340479</v>
      </c>
      <c r="F14" s="327">
        <f>SQRT(1-A14*A14)/A14-SQRT(1-F3*F3)/F3</f>
        <v>0.619550601191122</v>
      </c>
      <c r="G14" s="327">
        <f>SQRT(1-A14*A14)/A14-SQRT(1-G3*G3)/G3</f>
        <v>0.672121635540518</v>
      </c>
      <c r="H14" s="327">
        <f>SQRT(1-A14*A14)/A14-SQRT(1-H3*H3)/H3</f>
        <v>0.725743967922108</v>
      </c>
      <c r="I14" s="327">
        <f>SQRT(1-A14*A14)/A14-SQRT(1-I3*I3)/I3</f>
        <v>0.781164685222343</v>
      </c>
      <c r="J14" s="327">
        <f>SQRT(1-A14*A14)/A14-SQRT(1-J3*J3)/J3</f>
        <v>0.839488573923991</v>
      </c>
      <c r="K14" s="327">
        <f>SQRT(1-A14*A14)/A14-SQRT(1-K3*K3)/K3</f>
        <v>0.902535255821217</v>
      </c>
      <c r="L14" s="327">
        <f>SQRT(1-A14*A14)/A14-SQRT(1-L3*L3)/L3</f>
        <v>0.973820123393529</v>
      </c>
      <c r="M14" s="327">
        <f>SQRT(1-A14*A14)/A14-SQRT(1-M3*M3)/M3</f>
        <v>1.06242812942619</v>
      </c>
      <c r="N14" s="327">
        <f>SQRT(1-A14*A14)/A14-SQRT(1-N3*N3)/N3</f>
        <v>1.2654867900602</v>
      </c>
    </row>
    <row r="15" spans="1:14">
      <c r="A15" s="326">
        <v>0.64</v>
      </c>
      <c r="B15" s="327">
        <f>SQRT(1-A15*A15)/A15-SQRT(1-B3*B3)/B3</f>
        <v>0.180381733298252</v>
      </c>
      <c r="C15" s="327">
        <f>SQRT(1-A15*A15)/A15-SQRT(1-C3*C3)/C3</f>
        <v>0.318668690830462</v>
      </c>
      <c r="D15" s="327">
        <f>SQRT(1-A15*A15)/A15-SQRT(1-D3*D3)/D3</f>
        <v>0.450585794518659</v>
      </c>
      <c r="E15" s="327">
        <f>SQRT(1-A15*A15)/A15-SQRT(1-E3*E3)/E3</f>
        <v>0.502581500798943</v>
      </c>
      <c r="F15" s="327">
        <f>SQRT(1-A15*A15)/A15-SQRT(1-F3*F3)/F3</f>
        <v>0.554649605649586</v>
      </c>
      <c r="G15" s="327">
        <f>SQRT(1-A15*A15)/A15-SQRT(1-G3*G3)/G3</f>
        <v>0.607220639998981</v>
      </c>
      <c r="H15" s="327">
        <f>SQRT(1-A15*A15)/A15-SQRT(1-H3*H3)/H3</f>
        <v>0.660842972380572</v>
      </c>
      <c r="I15" s="327">
        <f>SQRT(1-A15*A15)/A15-SQRT(1-I3*I3)/I3</f>
        <v>0.716263689680807</v>
      </c>
      <c r="J15" s="327">
        <f>SQRT(1-A15*A15)/A15-SQRT(1-J3*J3)/J3</f>
        <v>0.774587578382454</v>
      </c>
      <c r="K15" s="327">
        <f>SQRT(1-A15*A15)/A15-SQRT(1-K3*K3)/K3</f>
        <v>0.837634260279681</v>
      </c>
      <c r="L15" s="327">
        <f>SQRT(1-A15*A15)/A15-SQRT(1-L3*L3)/L3</f>
        <v>0.908919127851992</v>
      </c>
      <c r="M15" s="327">
        <f>SQRT(1-A15*A15)/A15-SQRT(1-M3*M3)/M3</f>
        <v>0.997527133884655</v>
      </c>
      <c r="N15" s="327">
        <f>SQRT(1-A15*A15)/A15-SQRT(1-N3*N3)/N3</f>
        <v>1.20058579451866</v>
      </c>
    </row>
    <row r="16" spans="1:14">
      <c r="A16" s="326">
        <v>0.66</v>
      </c>
      <c r="B16" s="327">
        <f>SQRT(1-A16*A16)/A16-SQRT(1-B3*B3)/B3</f>
        <v>0.118077149142802</v>
      </c>
      <c r="C16" s="327">
        <f>SQRT(1-A16*A16)/A16-SQRT(1-C3*C3)/C3</f>
        <v>0.256364106675012</v>
      </c>
      <c r="D16" s="327">
        <f>SQRT(1-A16*A16)/A16-SQRT(1-D3*D3)/D3</f>
        <v>0.388281210363209</v>
      </c>
      <c r="E16" s="327">
        <f>SQRT(1-A16*A16)/A16-SQRT(1-E3*E3)/E3</f>
        <v>0.440276916643492</v>
      </c>
      <c r="F16" s="327">
        <f>SQRT(1-A16*A16)/A16-SQRT(1-F3*F3)/F3</f>
        <v>0.492345021494136</v>
      </c>
      <c r="G16" s="327">
        <f>SQRT(1-A16*A16)/A16-SQRT(1-G3*G3)/G3</f>
        <v>0.544916055843531</v>
      </c>
      <c r="H16" s="327">
        <f>SQRT(1-A16*A16)/A16-SQRT(1-H3*H3)/H3</f>
        <v>0.598538388225122</v>
      </c>
      <c r="I16" s="327">
        <f>SQRT(1-A16*A16)/A16-SQRT(1-I3*I3)/I3</f>
        <v>0.653959105525356</v>
      </c>
      <c r="J16" s="327">
        <f>SQRT(1-A16*A16)/A16-SQRT(1-J3*J3)/J3</f>
        <v>0.712282994227004</v>
      </c>
      <c r="K16" s="327">
        <f>SQRT(1-A16*A16)/A16-SQRT(1-K3*K3)/K3</f>
        <v>0.775329676124231</v>
      </c>
      <c r="L16" s="327">
        <f>SQRT(1-A16*A16)/A16-SQRT(1-L3*L3)/L3</f>
        <v>0.846614543696542</v>
      </c>
      <c r="M16" s="327">
        <f>SQRT(1-A16*A16)/A16-SQRT(1-M3*M3)/M3</f>
        <v>0.935222549729205</v>
      </c>
      <c r="N16" s="327">
        <f>SQRT(1-A16*A16)/A16-SQRT(1-N3*N3)/N3</f>
        <v>1.13828121036321</v>
      </c>
    </row>
    <row r="17" spans="1:14">
      <c r="A17" s="326">
        <v>0.68</v>
      </c>
      <c r="B17" s="327">
        <f>SQRT(1-A17*A17)/A17-SQRT(1-B3*B3)/B3</f>
        <v>0.0580490434750844</v>
      </c>
      <c r="C17" s="327">
        <f>SQRT(1-A17*A17)/A17-SQRT(1-C3*C3)/C3</f>
        <v>0.196336001007295</v>
      </c>
      <c r="D17" s="327">
        <f>SQRT(1-A17*A17)/A17-SQRT(1-D3*D3)/D3</f>
        <v>0.328253104695492</v>
      </c>
      <c r="E17" s="327">
        <f>SQRT(1-A17*A17)/A17-SQRT(1-E3*E3)/E3</f>
        <v>0.380248810975775</v>
      </c>
      <c r="F17" s="327">
        <f>SQRT(1-A17*A17)/A17-SQRT(1-F3*F3)/F3</f>
        <v>0.432316915826418</v>
      </c>
      <c r="G17" s="327">
        <f>SQRT(1-A17*A17)/A17-SQRT(1-G3*G3)/G3</f>
        <v>0.484887950175814</v>
      </c>
      <c r="H17" s="327">
        <f>SQRT(1-A17*A17)/A17-SQRT(1-H3*H3)/H3</f>
        <v>0.538510282557404</v>
      </c>
      <c r="I17" s="327">
        <f>SQRT(1-A17*A17)/A17-SQRT(1-I3*I3)/I3</f>
        <v>0.593930999857639</v>
      </c>
      <c r="J17" s="327">
        <f>SQRT(1-A17*A17)/A17-SQRT(1-J3*J3)/J3</f>
        <v>0.652254888559287</v>
      </c>
      <c r="K17" s="327">
        <f>SQRT(1-A17*A17)/A17-SQRT(1-K3*K3)/K3</f>
        <v>0.715301570456513</v>
      </c>
      <c r="L17" s="327">
        <f>SQRT(1-A17*A17)/A17-SQRT(1-L3*L3)/L3</f>
        <v>0.786586438028825</v>
      </c>
      <c r="M17" s="327">
        <f>SQRT(1-A17*A17)/A17-SQRT(1-M3*M3)/M3</f>
        <v>0.875194444061487</v>
      </c>
      <c r="N17" s="327">
        <f>SQRT(1-A17*A17)/A17-SQRT(1-N3*N3)/N3</f>
        <v>1.07825310469549</v>
      </c>
    </row>
    <row r="18" spans="1:14">
      <c r="A18" s="326">
        <v>0.7</v>
      </c>
      <c r="B18" s="327"/>
      <c r="C18" s="327">
        <f>SQRT(1-A18*A18)/A18-SQRT(1-C3*C3)/C3</f>
        <v>0.13828695753221</v>
      </c>
      <c r="D18" s="327">
        <f>SQRT(1-A18*A18)/A18-SQRT(1-D3*D3)/D3</f>
        <v>0.270204061220407</v>
      </c>
      <c r="E18" s="327">
        <f>SQRT(1-A18*A18)/A18-SQRT(1-E3*E3)/E3</f>
        <v>0.322199767500691</v>
      </c>
      <c r="F18" s="327">
        <f>SQRT(1-A18*A18)/A18-SQRT(1-F3*F3)/F3</f>
        <v>0.374267872351334</v>
      </c>
      <c r="G18" s="327">
        <f>SQRT(1-A18*A18)/A18-SQRT(1-G3*G3)/G3</f>
        <v>0.426838906700729</v>
      </c>
      <c r="H18" s="327">
        <f>SQRT(1-A18*A18)/A18-SQRT(1-H3*H3)/H3</f>
        <v>0.48046123908232</v>
      </c>
      <c r="I18" s="327">
        <f>SQRT(1-A18*A18)/A18-SQRT(1-I3*I3)/I3</f>
        <v>0.535881956382555</v>
      </c>
      <c r="J18" s="327">
        <f>SQRT(1-A18*A18)/A18-SQRT(1-J3*J3)/J3</f>
        <v>0.594205845084202</v>
      </c>
      <c r="K18" s="327">
        <f>SQRT(1-A18*A18)/A18-SQRT(1-K3*K3)/K3</f>
        <v>0.657252526981429</v>
      </c>
      <c r="L18" s="327">
        <f>SQRT(1-A18*A18)/A18-SQRT(1-L3*L3)/L3</f>
        <v>0.72853739455374</v>
      </c>
      <c r="M18" s="327">
        <f>SQRT(1-A18*A18)/A18-SQRT(1-M3*M3)/M3</f>
        <v>0.817145400586403</v>
      </c>
      <c r="N18" s="327">
        <f>SQRT(1-A18*A18)/A18-SQRT(1-N3*N3)/N3</f>
        <v>1.02020406122041</v>
      </c>
    </row>
    <row r="19" spans="1:14">
      <c r="A19" s="326">
        <v>0.72</v>
      </c>
      <c r="B19" s="327"/>
      <c r="C19" s="327">
        <f>SQRT(1-A19*A19)/A19-SQRT(1-C3*C3)/C3</f>
        <v>0.0819357614727739</v>
      </c>
      <c r="D19" s="327">
        <f>SQRT(1-A19*A19)/A19-SQRT(1-D3*D3)/D3</f>
        <v>0.213852865160971</v>
      </c>
      <c r="E19" s="327">
        <f>SQRT(1-A19*A19)/A19-SQRT(1-E3*E3)/E3</f>
        <v>0.265848571441254</v>
      </c>
      <c r="F19" s="327">
        <f>SQRT(1-A19*A19)/A19-SQRT(1-F3*F3)/F3</f>
        <v>0.317916676291897</v>
      </c>
      <c r="G19" s="327">
        <f>SQRT(1-A19*A19)/A19-SQRT(1-G3*G3)/G3</f>
        <v>0.370487710641293</v>
      </c>
      <c r="H19" s="327">
        <f>SQRT(1-A19*A19)/A19-SQRT(1-H3*H3)/H3</f>
        <v>0.424110043022884</v>
      </c>
      <c r="I19" s="327">
        <f>SQRT(1-A19*A19)/A19-SQRT(1-I3*I3)/I3</f>
        <v>0.479530760323118</v>
      </c>
      <c r="J19" s="327">
        <f>SQRT(1-A19*A19)/A19-SQRT(1-J3*J3)/J3</f>
        <v>0.537854649024766</v>
      </c>
      <c r="K19" s="327">
        <f>SQRT(1-A19*A19)/A19-SQRT(1-K3*K3)/K3</f>
        <v>0.600901330921992</v>
      </c>
      <c r="L19" s="327">
        <f>SQRT(1-A19*A19)/A19-SQRT(1-L3*L3)/L3</f>
        <v>0.672186198494304</v>
      </c>
      <c r="M19" s="327">
        <f>SQRT(1-A19*A19)/A19-SQRT(1-M3*M3)/M3</f>
        <v>0.760794204526966</v>
      </c>
      <c r="N19" s="327">
        <f>SQRT(1-A19*A19)/A19-SQRT(1-N3*N3)/N3</f>
        <v>0.963852865160971</v>
      </c>
    </row>
    <row r="20" spans="1:14">
      <c r="A20" s="326">
        <v>0.74</v>
      </c>
      <c r="B20" s="327"/>
      <c r="C20" s="327">
        <f>SQRT(1-A20*A20)/A20-SQRT(1-C3*C3)/C3</f>
        <v>0.0270110974361403</v>
      </c>
      <c r="D20" s="327">
        <f>SQRT(1-A20*A20)/A20-SQRT(1-D3*D3)/D3</f>
        <v>0.158928201124337</v>
      </c>
      <c r="E20" s="327">
        <f>SQRT(1-A20*A20)/A20-SQRT(1-E3*E3)/E3</f>
        <v>0.210923907404621</v>
      </c>
      <c r="F20" s="327">
        <f>SQRT(1-A20*A20)/A20-SQRT(1-F3*F3)/F3</f>
        <v>0.262992012255264</v>
      </c>
      <c r="G20" s="327">
        <f>SQRT(1-A20*A20)/A20-SQRT(1-G3*G3)/G3</f>
        <v>0.315563046604659</v>
      </c>
      <c r="H20" s="327">
        <f>SQRT(1-A20*A20)/A20-SQRT(1-H3*H3)/H3</f>
        <v>0.36918537898625</v>
      </c>
      <c r="I20" s="327">
        <f>SQRT(1-A20*A20)/A20-SQRT(1-I3*I3)/I3</f>
        <v>0.424606096286485</v>
      </c>
      <c r="J20" s="327">
        <f>SQRT(1-A20*A20)/A20-SQRT(1-J3*J3)/J3</f>
        <v>0.482929984988132</v>
      </c>
      <c r="K20" s="327">
        <f>SQRT(1-A20*A20)/A20-SQRT(1-K3*K3)/K3</f>
        <v>0.545976666885359</v>
      </c>
      <c r="L20" s="327">
        <f>SQRT(1-A20*A20)/A20-SQRT(1-L3*L3)/L3</f>
        <v>0.61726153445767</v>
      </c>
      <c r="M20" s="327">
        <f>SQRT(1-A20*A20)/A20-SQRT(1-M3*M3)/M3</f>
        <v>0.705869540490333</v>
      </c>
      <c r="N20" s="327">
        <f>SQRT(1-A20*A20)/A20-SQRT(1-N3*N3)/N3</f>
        <v>0.908928201124337</v>
      </c>
    </row>
    <row r="21" spans="1:14">
      <c r="A21" s="326">
        <v>0.76</v>
      </c>
      <c r="B21" s="327"/>
      <c r="C21" s="327"/>
      <c r="D21" s="327">
        <f>SQRT(1-A21*A21)/A21-SQRT(1-D3*D3)/D3</f>
        <v>0.105161937330101</v>
      </c>
      <c r="E21" s="327">
        <f>SQRT(1-A21*A21)/A21-SQRT(1-E3*E3)/E3</f>
        <v>0.157157643610385</v>
      </c>
      <c r="F21" s="327">
        <f>SQRT(1-A21*A21)/A21-SQRT(1-F3*F3)/F3</f>
        <v>0.209225748461028</v>
      </c>
      <c r="G21" s="327">
        <f>SQRT(1-A21*A21)/A21-SQRT(1-G3*G3)/G3</f>
        <v>0.261796782810423</v>
      </c>
      <c r="H21" s="327">
        <f>SQRT(1-A21*A21)/A21-SQRT(1-H3*H3)/H3</f>
        <v>0.315419115192014</v>
      </c>
      <c r="I21" s="327">
        <f>SQRT(1-A21*A21)/A21-SQRT(1-I3*I3)/I3</f>
        <v>0.370839832492249</v>
      </c>
      <c r="J21" s="327">
        <f>SQRT(1-A21*A21)/A21-SQRT(1-J3*J3)/J3</f>
        <v>0.429163721193896</v>
      </c>
      <c r="K21" s="327">
        <f>SQRT(1-A21*A21)/A21-SQRT(1-K3*K3)/K3</f>
        <v>0.492210403091123</v>
      </c>
      <c r="L21" s="327">
        <f>SQRT(1-A21*A21)/A21-SQRT(1-L3*L3)/L3</f>
        <v>0.563495270663434</v>
      </c>
      <c r="M21" s="327">
        <f>SQRT(1-A21*A21)/A21-SQRT(1-M3*M3)/M3</f>
        <v>0.652103276696097</v>
      </c>
      <c r="N21" s="327">
        <f>SQRT(1-A21*A21)/A21-SQRT(1-N3*N3)/N3</f>
        <v>0.855161937330101</v>
      </c>
    </row>
    <row r="22" spans="1:14">
      <c r="A22" s="326">
        <v>0.78</v>
      </c>
      <c r="B22" s="327"/>
      <c r="C22" s="327"/>
      <c r="D22" s="327">
        <f>SQRT(1-A22*A22)/A22-SQRT(1-D3*D3)/D3</f>
        <v>0.0522814280595907</v>
      </c>
      <c r="E22" s="327">
        <f>SQRT(1-A22*A22)/A22-SQRT(1-E3*E3)/E3</f>
        <v>0.104277134339874</v>
      </c>
      <c r="F22" s="327">
        <f>SQRT(1-A22*A22)/A22-SQRT(1-F3*F3)/F3</f>
        <v>0.156345239190517</v>
      </c>
      <c r="G22" s="327">
        <f>SQRT(1-A22*A22)/A22-SQRT(1-G3*G3)/G3</f>
        <v>0.208916273539913</v>
      </c>
      <c r="H22" s="327">
        <f>SQRT(1-A22*A22)/A22-SQRT(1-H3*H3)/H3</f>
        <v>0.262538605921503</v>
      </c>
      <c r="I22" s="327">
        <f>SQRT(1-A22*A22)/A22-SQRT(1-I3*I3)/I3</f>
        <v>0.317959323221738</v>
      </c>
      <c r="J22" s="327">
        <f>SQRT(1-A22*A22)/A22-SQRT(1-J3*J3)/J3</f>
        <v>0.376283211923386</v>
      </c>
      <c r="K22" s="327">
        <f>SQRT(1-A22*A22)/A22-SQRT(1-K3*K3)/K3</f>
        <v>0.439329893820612</v>
      </c>
      <c r="L22" s="327">
        <f>SQRT(1-A22*A22)/A22-SQRT(1-L3*L3)/L3</f>
        <v>0.510614761392924</v>
      </c>
      <c r="M22" s="327">
        <f>SQRT(1-A22*A22)/A22-SQRT(1-M3*M3)/M3</f>
        <v>0.599222767425586</v>
      </c>
      <c r="N22" s="327">
        <f>SQRT(1-A22*A22)/A22-SQRT(1-N3*N3)/N3</f>
        <v>0.80228142805959</v>
      </c>
    </row>
    <row r="23" spans="1:14">
      <c r="A23" s="326">
        <v>0.8</v>
      </c>
      <c r="B23" s="327"/>
      <c r="C23" s="327"/>
      <c r="D23" s="327"/>
      <c r="E23" s="327">
        <f>SQRT(1-A23*A23)/A23-SQRT(1-E3*E3)/E3</f>
        <v>0.0519957062802833</v>
      </c>
      <c r="F23" s="327">
        <f>SQRT(1-A23*A23)/A23-SQRT(1-F3*F3)/F3</f>
        <v>0.104063811130926</v>
      </c>
      <c r="G23" s="327">
        <f>SQRT(1-A23*A23)/A23-SQRT(1-G3*G3)/G3</f>
        <v>0.156634845480322</v>
      </c>
      <c r="H23" s="327">
        <f>SQRT(1-A23*A23)/A23-SQRT(1-H3*H3)/H3</f>
        <v>0.210257177861913</v>
      </c>
      <c r="I23" s="327">
        <f>SQRT(1-A23*A23)/A23-SQRT(1-I3*I3)/I3</f>
        <v>0.265677895162147</v>
      </c>
      <c r="J23" s="327">
        <f>SQRT(1-A23*A23)/A23-SQRT(1-J3*J3)/J3</f>
        <v>0.324001783863795</v>
      </c>
      <c r="K23" s="327">
        <f>SQRT(1-A23*A23)/A23-SQRT(1-K3*K3)/K3</f>
        <v>0.387048465761021</v>
      </c>
      <c r="L23" s="327">
        <f>SQRT(1-A23*A23)/A23-SQRT(1-L3*L3)/L3</f>
        <v>0.458333333333333</v>
      </c>
      <c r="M23" s="327">
        <f>SQRT(1-A23*A23)/A23-SQRT(1-M3*M3)/M3</f>
        <v>0.546941339365995</v>
      </c>
      <c r="N23" s="327">
        <f>SQRT(1-A23*A23)/A23-SQRT(1-N3*N3)/N3</f>
        <v>0.75</v>
      </c>
    </row>
    <row r="24" spans="1:14">
      <c r="A24" s="326">
        <v>0.82</v>
      </c>
      <c r="B24" s="327"/>
      <c r="C24" s="327"/>
      <c r="D24" s="327"/>
      <c r="E24" s="327"/>
      <c r="F24" s="327">
        <f>SQRT(1-A24*A24)/A24-SQRT(1-F3*F3)/F3</f>
        <v>0.0520681048506432</v>
      </c>
      <c r="G24" s="327">
        <f>SQRT(1-A24*A24)/A24-SQRT(1-G3*G3)/G3</f>
        <v>0.104639139200039</v>
      </c>
      <c r="H24" s="327">
        <f>SQRT(1-A24*A24)/A24-SQRT(1-H3*H3)/H3</f>
        <v>0.158261471581629</v>
      </c>
      <c r="I24" s="327">
        <f>SQRT(1-A24*A24)/A24-SQRT(1-I3*I3)/I3</f>
        <v>0.213682188881864</v>
      </c>
      <c r="J24" s="327">
        <f>SQRT(1-A24*A24)/A24-SQRT(1-J3*J3)/J3</f>
        <v>0.272006077583512</v>
      </c>
      <c r="K24" s="327">
        <f>SQRT(1-F24*F24)/F24-SQRT(1-K3*K3)/K3</f>
        <v>18.816612213976</v>
      </c>
      <c r="L24" s="327">
        <f>SQRT(1-A24*A24)/A24-SQRT(1-L3*L3)/L3</f>
        <v>0.40633762705305</v>
      </c>
      <c r="M24" s="327">
        <f>SQRT(1-A24*A24)/A24-SQRT(1-M3*M3)/M3</f>
        <v>0.494945633085712</v>
      </c>
      <c r="N24" s="327">
        <f>SQRT(1-A24*A24)/A24-SQRT(1-N3*N3)/N3</f>
        <v>0.698004293719717</v>
      </c>
    </row>
    <row r="25" spans="1:14">
      <c r="A25" s="326">
        <v>0.84</v>
      </c>
      <c r="B25" s="327"/>
      <c r="C25" s="327"/>
      <c r="D25" s="327"/>
      <c r="E25" s="327"/>
      <c r="F25" s="327"/>
      <c r="G25" s="327">
        <f>SQRT(1-A25*A25)/A25-SQRT(1-G3*G3)/G3</f>
        <v>0.0525710343493955</v>
      </c>
      <c r="H25" s="327">
        <f>SQRT(1-A25*A25)/A25-SQRT(1-H3*H3)/H3</f>
        <v>0.106193366730986</v>
      </c>
      <c r="I25" s="327">
        <f>SQRT(1-A25*A25)/A25-SQRT(1-I3*I3)/I3</f>
        <v>0.161614084031221</v>
      </c>
      <c r="J25" s="327">
        <f>SQRT(1-A25*A25)/A25-SQRT(1-J3*J3)/J3</f>
        <v>0.219937972732869</v>
      </c>
      <c r="K25" s="327">
        <f>SQRT(1-A25*A25)/A25-SQRT(1-K3*K3)/K3</f>
        <v>0.282984654630095</v>
      </c>
      <c r="L25" s="327">
        <f>SQRT(1-A25*A25)/A25-SQRT(1-L3*L3)/L3</f>
        <v>0.354269522202407</v>
      </c>
      <c r="M25" s="327">
        <f>SQRT(1-A25*A25)/A25-SQRT(1-M3*M3)/M3</f>
        <v>0.442877528235069</v>
      </c>
      <c r="N25" s="327">
        <f>SQRT(1-A25*A25)/A25-SQRT(1-N3*N3)/N3</f>
        <v>0.645936188869073</v>
      </c>
    </row>
    <row r="26" spans="1:14">
      <c r="A26" s="326">
        <v>0.86</v>
      </c>
      <c r="B26" s="327"/>
      <c r="C26" s="327"/>
      <c r="D26" s="327"/>
      <c r="E26" s="327"/>
      <c r="F26" s="327"/>
      <c r="G26" s="327"/>
      <c r="H26" s="327">
        <f>SQRT(1-A26*A26)/A26-SQRT(1-H3*H3)/H3</f>
        <v>0.0536223323815908</v>
      </c>
      <c r="I26" s="327">
        <f>SQRT(1-A26*A26)/A26-SQRT(1-I3*I3)/I3</f>
        <v>0.109043049681825</v>
      </c>
      <c r="J26" s="327">
        <f>SQRT(1-A26*A26)/A26-SQRT(1-J3*J3)/J3</f>
        <v>0.167366938383473</v>
      </c>
      <c r="K26" s="327">
        <f>SQRT(1-A26*A26)/A26-SQRT(1-K3*K3)/K3</f>
        <v>0.230413620280699</v>
      </c>
      <c r="L26" s="327">
        <f>SQRT(1-A26*A26)/A26-SQRT(1-L3*L3)/L3</f>
        <v>0.301698487853011</v>
      </c>
      <c r="M26" s="327">
        <f>SQRT(1-A26*A26)/A26-SQRT(1-M3*M3)/M3</f>
        <v>0.390306493885674</v>
      </c>
      <c r="N26" s="327">
        <f>SQRT(1-A26*A26)/A26-SQRT(1-N3*N3)/N3</f>
        <v>0.593365154519678</v>
      </c>
    </row>
    <row r="27" spans="1:14">
      <c r="A27" s="326">
        <v>0.88</v>
      </c>
      <c r="B27" s="327"/>
      <c r="C27" s="327"/>
      <c r="D27" s="327"/>
      <c r="E27" s="327"/>
      <c r="F27" s="327"/>
      <c r="G27" s="327"/>
      <c r="H27" s="327"/>
      <c r="I27" s="327">
        <f>SQRT(1-A27*A27)/A27-SQRT(1-I3*I3)/I3</f>
        <v>0.0554207173002346</v>
      </c>
      <c r="J27" s="327">
        <f>SQRT(1-A27*A27)/A27-SQRT(1-J3*J3)/J3</f>
        <v>0.113744606001882</v>
      </c>
      <c r="K27" s="327">
        <f>SQRT(1-A27*A27)/A27-SQRT(1-K3*K3)/K3</f>
        <v>0.176791287899109</v>
      </c>
      <c r="L27" s="327">
        <f>SQRT(1-A27*A27)/A27-SQRT(1-L3*L3)/L3</f>
        <v>0.24807615547142</v>
      </c>
      <c r="M27" s="327">
        <f>SQRT(1-A27*A27)/A27-SQRT(1-M3*M3)/M3</f>
        <v>0.336684161504083</v>
      </c>
      <c r="N27" s="327">
        <f>SQRT(1-A27*A27)/A27-SQRT(1-N3*N3)/N3</f>
        <v>0.539742822138087</v>
      </c>
    </row>
    <row r="28" spans="1:14">
      <c r="A28" s="326">
        <v>0.9</v>
      </c>
      <c r="B28" s="327"/>
      <c r="C28" s="327"/>
      <c r="D28" s="327"/>
      <c r="E28" s="327"/>
      <c r="F28" s="327"/>
      <c r="G28" s="327"/>
      <c r="H28" s="327"/>
      <c r="I28" s="327"/>
      <c r="J28" s="327">
        <f>SQRT(1-A28*A28)/A28-SQRT(1-J3*J3)/J3</f>
        <v>0.0583238887016477</v>
      </c>
      <c r="K28" s="327">
        <f>SQRT(1-A28*A28)/A28-SQRT(1-K3*K3)/K3</f>
        <v>0.121370570598874</v>
      </c>
      <c r="L28" s="327">
        <f>SQRT(1-A28*A28)/A28-SQRT(1-L3*L3)/L3</f>
        <v>0.192655438171186</v>
      </c>
      <c r="M28" s="327">
        <f>SQRT(1-A28*A28)/A28-SQRT(1-M3*M3)/M3</f>
        <v>0.281263444203848</v>
      </c>
      <c r="N28" s="327">
        <f>SQRT(1-A28*A28)/A28-SQRT(1-N3*N3)/N3</f>
        <v>0.484322104837853</v>
      </c>
    </row>
    <row r="29" spans="1:14">
      <c r="A29" s="326">
        <v>0.92</v>
      </c>
      <c r="B29" s="327"/>
      <c r="C29" s="327"/>
      <c r="D29" s="327"/>
      <c r="E29" s="327"/>
      <c r="F29" s="327"/>
      <c r="G29" s="327"/>
      <c r="H29" s="327"/>
      <c r="I29" s="327"/>
      <c r="J29" s="327"/>
      <c r="K29" s="327">
        <f>SQRT(1-A29*A29)/A29-SQRT(1-K3*K3)/K3</f>
        <v>0.0630466818972264</v>
      </c>
      <c r="L29" s="327">
        <f>SQRT(1-A29*A29)/A29-SQRT(1-L3*L3)/L3</f>
        <v>0.134331549469538</v>
      </c>
      <c r="M29" s="327">
        <f>SQRT(1-A29*A29)/A29-SQRT(1-M3*M3)/M3</f>
        <v>0.222939555502201</v>
      </c>
      <c r="N29" s="327">
        <f>SQRT(1-A29*A29)/A29-SQRT(1-N3*N3)/N3</f>
        <v>0.425998216136205</v>
      </c>
    </row>
    <row r="30" spans="1:14">
      <c r="A30" s="326">
        <v>0.94</v>
      </c>
      <c r="B30" s="327"/>
      <c r="C30" s="327"/>
      <c r="D30" s="327"/>
      <c r="E30" s="327"/>
      <c r="F30" s="327"/>
      <c r="G30" s="327"/>
      <c r="H30" s="327"/>
      <c r="I30" s="327"/>
      <c r="J30" s="327"/>
      <c r="K30" s="327"/>
      <c r="L30" s="327">
        <f>SQRT(1-A30*A30)/A30-SQRT(1-L3*L3)/L3</f>
        <v>0.0712848675723117</v>
      </c>
      <c r="M30" s="327">
        <f>SQRT(1-A30*A30)/A30-SQRT(1-M3*M3)/M3</f>
        <v>0.159892873604974</v>
      </c>
      <c r="N30" s="327">
        <f>SQRT(1-A30*A30)/A30-SQRT(1-N3*N3)/N3</f>
        <v>0.362951534238978</v>
      </c>
    </row>
  </sheetData>
  <mergeCells count="4">
    <mergeCell ref="A1:N1"/>
    <mergeCell ref="B2:N2"/>
    <mergeCell ref="A2:A3"/>
    <mergeCell ref="O1:O2"/>
  </mergeCells>
  <hyperlinks>
    <hyperlink ref="O1:O2" location="目录!A1" display="目录!A1"/>
  </hyperlinks>
  <pageMargins left="0.7" right="0.7" top="0.75" bottom="0.75" header="0.3" footer="0.3"/>
  <pageSetup paperSize="9" orientation="portrait"/>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19" workbookViewId="0">
      <selection activeCell="L26" sqref="L26"/>
    </sheetView>
  </sheetViews>
  <sheetFormatPr defaultColWidth="9" defaultRowHeight="15.6" outlineLevelCol="4"/>
  <cols>
    <col min="1" max="1" width="10.375" customWidth="1"/>
    <col min="2" max="2" width="12.625" customWidth="1"/>
    <col min="3" max="3" width="36.125" customWidth="1"/>
    <col min="5" max="5" width="22.25" customWidth="1"/>
  </cols>
  <sheetData>
    <row r="1" ht="18" customHeight="1" spans="1:5">
      <c r="A1" s="313" t="s">
        <v>6750</v>
      </c>
      <c r="B1" s="313"/>
      <c r="C1" s="313"/>
      <c r="D1" s="313"/>
      <c r="E1" s="314" t="s">
        <v>88</v>
      </c>
    </row>
    <row r="2" ht="18" customHeight="1" spans="1:5">
      <c r="A2" s="315" t="s">
        <v>6751</v>
      </c>
      <c r="B2" s="315" t="s">
        <v>6752</v>
      </c>
      <c r="C2" s="58" t="s">
        <v>6753</v>
      </c>
      <c r="D2" s="313"/>
      <c r="E2" s="313"/>
    </row>
    <row r="3" ht="18" customHeight="1" spans="1:5">
      <c r="A3" s="316" t="s">
        <v>6754</v>
      </c>
      <c r="B3" s="315" t="s">
        <v>6755</v>
      </c>
      <c r="C3" s="316" t="s">
        <v>6756</v>
      </c>
      <c r="D3" s="313"/>
      <c r="E3" s="313"/>
    </row>
    <row r="4" ht="18" customHeight="1" spans="1:5">
      <c r="A4" s="316" t="s">
        <v>6757</v>
      </c>
      <c r="B4" s="315" t="s">
        <v>6758</v>
      </c>
      <c r="C4" s="316" t="s">
        <v>6759</v>
      </c>
      <c r="D4" s="313"/>
      <c r="E4" s="313"/>
    </row>
    <row r="5" ht="18" customHeight="1" spans="1:5">
      <c r="A5" s="316" t="s">
        <v>6760</v>
      </c>
      <c r="B5" s="315" t="s">
        <v>6761</v>
      </c>
      <c r="C5" s="316" t="s">
        <v>6762</v>
      </c>
      <c r="D5" s="313"/>
      <c r="E5" s="313"/>
    </row>
    <row r="6" ht="18" customHeight="1" spans="1:5">
      <c r="A6" s="316" t="s">
        <v>6763</v>
      </c>
      <c r="B6" s="315" t="s">
        <v>6764</v>
      </c>
      <c r="C6" s="316" t="s">
        <v>6765</v>
      </c>
      <c r="D6" s="313"/>
      <c r="E6" s="313"/>
    </row>
    <row r="7" ht="18" customHeight="1" spans="1:5">
      <c r="A7" s="316" t="s">
        <v>6766</v>
      </c>
      <c r="B7" s="315" t="s">
        <v>6767</v>
      </c>
      <c r="C7" s="316" t="s">
        <v>6768</v>
      </c>
      <c r="D7" s="313"/>
      <c r="E7" s="313"/>
    </row>
    <row r="8" ht="18" customHeight="1" spans="1:5">
      <c r="A8" s="316" t="s">
        <v>6769</v>
      </c>
      <c r="B8" s="315" t="s">
        <v>6770</v>
      </c>
      <c r="C8" s="316" t="s">
        <v>6771</v>
      </c>
      <c r="D8" s="313"/>
      <c r="E8" s="313"/>
    </row>
    <row r="9" ht="18" customHeight="1" spans="1:5">
      <c r="A9" s="316" t="s">
        <v>6772</v>
      </c>
      <c r="B9" s="315" t="s">
        <v>6773</v>
      </c>
      <c r="C9" s="316" t="s">
        <v>6774</v>
      </c>
      <c r="D9" s="313"/>
      <c r="E9" s="313"/>
    </row>
    <row r="10" ht="18" customHeight="1" spans="1:5">
      <c r="A10" s="316" t="s">
        <v>6775</v>
      </c>
      <c r="B10" s="315" t="s">
        <v>6776</v>
      </c>
      <c r="C10" s="316" t="s">
        <v>6777</v>
      </c>
      <c r="D10" s="313"/>
      <c r="E10" s="313"/>
    </row>
    <row r="11" ht="18" customHeight="1" spans="1:5">
      <c r="A11" s="316" t="s">
        <v>6778</v>
      </c>
      <c r="B11" s="315" t="s">
        <v>6779</v>
      </c>
      <c r="C11" s="316" t="s">
        <v>6780</v>
      </c>
      <c r="D11" s="313"/>
      <c r="E11" s="313"/>
    </row>
    <row r="12" ht="18" customHeight="1" spans="1:5">
      <c r="A12" s="317"/>
      <c r="B12" s="318"/>
      <c r="C12" s="318"/>
      <c r="D12" s="318"/>
      <c r="E12" s="319"/>
    </row>
    <row r="13" ht="18" customHeight="1" spans="1:5">
      <c r="A13" s="313" t="s">
        <v>6781</v>
      </c>
      <c r="B13" s="313"/>
      <c r="C13" s="313"/>
      <c r="D13" s="313"/>
      <c r="E13" s="313"/>
    </row>
    <row r="14" ht="18" customHeight="1" spans="1:5">
      <c r="A14" s="316" t="s">
        <v>6782</v>
      </c>
      <c r="B14" s="313"/>
      <c r="C14" s="313"/>
      <c r="D14" s="313"/>
      <c r="E14" s="313"/>
    </row>
    <row r="15" ht="18" customHeight="1" spans="1:5">
      <c r="A15" s="317" t="s">
        <v>6783</v>
      </c>
      <c r="B15" s="318"/>
      <c r="C15" s="319"/>
      <c r="D15" s="313"/>
      <c r="E15" s="313"/>
    </row>
    <row r="16" ht="18" customHeight="1" spans="1:5">
      <c r="A16" s="316" t="s">
        <v>6784</v>
      </c>
      <c r="B16" s="313"/>
      <c r="C16" s="313"/>
      <c r="D16" s="313"/>
      <c r="E16" s="313"/>
    </row>
    <row r="17" ht="18" customHeight="1" spans="1:5">
      <c r="A17" s="316" t="s">
        <v>6785</v>
      </c>
      <c r="B17" s="313"/>
      <c r="C17" s="313"/>
      <c r="D17" s="313"/>
      <c r="E17" s="313"/>
    </row>
    <row r="18" ht="18" customHeight="1" spans="1:5">
      <c r="A18" s="316" t="s">
        <v>6786</v>
      </c>
      <c r="B18" s="313"/>
      <c r="C18" s="313"/>
      <c r="D18" s="313"/>
      <c r="E18" s="313"/>
    </row>
    <row r="19" ht="18" customHeight="1" spans="1:5">
      <c r="A19" s="313" t="s">
        <v>6787</v>
      </c>
      <c r="B19" s="313"/>
      <c r="C19" s="313"/>
      <c r="D19" s="313"/>
      <c r="E19" s="313"/>
    </row>
    <row r="20" ht="18" customHeight="1" spans="1:5">
      <c r="A20" s="313" t="s">
        <v>6788</v>
      </c>
      <c r="B20" s="313"/>
      <c r="C20" s="313"/>
      <c r="D20" s="313"/>
      <c r="E20" s="313"/>
    </row>
    <row r="21" ht="18" customHeight="1" spans="1:5">
      <c r="A21" s="313" t="s">
        <v>6789</v>
      </c>
      <c r="B21" s="313"/>
      <c r="C21" s="313"/>
      <c r="D21" s="313"/>
      <c r="E21" s="313"/>
    </row>
    <row r="22" ht="18" customHeight="1" spans="1:5">
      <c r="A22" s="320" t="s">
        <v>6790</v>
      </c>
      <c r="B22" s="318"/>
      <c r="C22" s="319"/>
      <c r="D22" s="313"/>
      <c r="E22" s="313"/>
    </row>
    <row r="23" ht="18" customHeight="1" spans="1:5">
      <c r="A23" s="313" t="s">
        <v>6791</v>
      </c>
      <c r="B23" s="313"/>
      <c r="C23" s="313"/>
      <c r="D23" s="313"/>
      <c r="E23" s="313"/>
    </row>
    <row r="24" customFormat="1" ht="18" customHeight="1" spans="1:5">
      <c r="A24" s="321" t="s">
        <v>773</v>
      </c>
      <c r="B24" s="66"/>
      <c r="C24" s="66"/>
      <c r="D24" s="66"/>
      <c r="E24" s="67"/>
    </row>
    <row r="25" ht="18" customHeight="1" spans="1:5">
      <c r="A25" s="322" t="s">
        <v>6792</v>
      </c>
      <c r="B25" s="318"/>
      <c r="C25" s="318"/>
      <c r="D25" s="318"/>
      <c r="E25" s="319"/>
    </row>
    <row r="26" ht="18" customHeight="1" spans="1:5">
      <c r="A26" s="313" t="s">
        <v>6793</v>
      </c>
      <c r="B26" s="313"/>
      <c r="C26" s="313"/>
      <c r="D26" s="313"/>
      <c r="E26" s="313"/>
    </row>
    <row r="27" ht="18" customHeight="1" spans="1:5">
      <c r="A27" s="313" t="s">
        <v>6794</v>
      </c>
      <c r="B27" s="313"/>
      <c r="C27" s="313"/>
      <c r="D27" s="313"/>
      <c r="E27" s="313"/>
    </row>
    <row r="28" ht="18" customHeight="1" spans="1:5">
      <c r="A28" s="316" t="s">
        <v>6795</v>
      </c>
      <c r="B28" s="313"/>
      <c r="C28" s="313"/>
      <c r="D28" s="313"/>
      <c r="E28" s="313"/>
    </row>
    <row r="29" ht="18" customHeight="1" spans="1:5">
      <c r="A29" s="313" t="s">
        <v>6796</v>
      </c>
      <c r="B29" s="313"/>
      <c r="C29" s="313"/>
      <c r="D29" s="313"/>
      <c r="E29" s="313"/>
    </row>
    <row r="30" ht="18" customHeight="1" spans="1:5">
      <c r="A30" s="313" t="s">
        <v>6797</v>
      </c>
      <c r="B30" s="313"/>
      <c r="C30" s="313"/>
      <c r="D30" s="313"/>
      <c r="E30" s="313"/>
    </row>
    <row r="31" ht="18" customHeight="1" spans="1:5">
      <c r="A31" s="316" t="s">
        <v>6798</v>
      </c>
      <c r="B31" s="313"/>
      <c r="C31" s="313"/>
      <c r="D31" s="313"/>
      <c r="E31" s="313"/>
    </row>
    <row r="32" ht="18" customHeight="1" spans="1:5">
      <c r="A32" s="313" t="s">
        <v>6799</v>
      </c>
      <c r="B32" s="313"/>
      <c r="C32" s="313"/>
      <c r="D32" s="313"/>
      <c r="E32" s="313"/>
    </row>
    <row r="33" ht="18" customHeight="1" spans="1:5">
      <c r="A33" s="313" t="s">
        <v>6800</v>
      </c>
      <c r="B33" s="313"/>
      <c r="C33" s="313"/>
      <c r="D33" s="313"/>
      <c r="E33" s="313"/>
    </row>
  </sheetData>
  <mergeCells count="5">
    <mergeCell ref="A12:E12"/>
    <mergeCell ref="A15:C15"/>
    <mergeCell ref="A22:C22"/>
    <mergeCell ref="A24:E24"/>
    <mergeCell ref="A25:E25"/>
  </mergeCells>
  <hyperlinks>
    <hyperlink ref="E1" location="目录!A1" display="目录!A1"/>
    <hyperlink ref="A25" r:id="rId1" display="https://item.taobao.com/item.htm?spm=a1z10.1-c.w137644-22246039121.26.7dc12e37ZmLaY2&amp;id=618934354185"/>
  </hyperlinks>
  <pageMargins left="0.7" right="0.7" top="0.75" bottom="0.75" header="0.3" footer="0.3"/>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31" workbookViewId="0">
      <selection activeCell="G28" sqref="G28"/>
    </sheetView>
  </sheetViews>
  <sheetFormatPr defaultColWidth="9" defaultRowHeight="20.1" customHeight="1" outlineLevelCol="2"/>
  <cols>
    <col min="1" max="1" width="35.25" style="298" customWidth="1"/>
    <col min="2" max="2" width="10.75" style="299" customWidth="1"/>
    <col min="3" max="3" width="3" style="300" customWidth="1"/>
    <col min="4" max="256" width="9" style="300"/>
    <col min="257" max="257" width="28.125" style="300" customWidth="1"/>
    <col min="258" max="258" width="9" style="300"/>
    <col min="259" max="259" width="3" style="300" customWidth="1"/>
    <col min="260" max="512" width="9" style="300"/>
    <col min="513" max="513" width="28.125" style="300" customWidth="1"/>
    <col min="514" max="514" width="9" style="300"/>
    <col min="515" max="515" width="3" style="300" customWidth="1"/>
    <col min="516" max="768" width="9" style="300"/>
    <col min="769" max="769" width="28.125" style="300" customWidth="1"/>
    <col min="770" max="770" width="9" style="300"/>
    <col min="771" max="771" width="3" style="300" customWidth="1"/>
    <col min="772" max="1024" width="9" style="300"/>
    <col min="1025" max="1025" width="28.125" style="300" customWidth="1"/>
    <col min="1026" max="1026" width="9" style="300"/>
    <col min="1027" max="1027" width="3" style="300" customWidth="1"/>
    <col min="1028" max="1280" width="9" style="300"/>
    <col min="1281" max="1281" width="28.125" style="300" customWidth="1"/>
    <col min="1282" max="1282" width="9" style="300"/>
    <col min="1283" max="1283" width="3" style="300" customWidth="1"/>
    <col min="1284" max="1536" width="9" style="300"/>
    <col min="1537" max="1537" width="28.125" style="300" customWidth="1"/>
    <col min="1538" max="1538" width="9" style="300"/>
    <col min="1539" max="1539" width="3" style="300" customWidth="1"/>
    <col min="1540" max="1792" width="9" style="300"/>
    <col min="1793" max="1793" width="28.125" style="300" customWidth="1"/>
    <col min="1794" max="1794" width="9" style="300"/>
    <col min="1795" max="1795" width="3" style="300" customWidth="1"/>
    <col min="1796" max="2048" width="9" style="300"/>
    <col min="2049" max="2049" width="28.125" style="300" customWidth="1"/>
    <col min="2050" max="2050" width="9" style="300"/>
    <col min="2051" max="2051" width="3" style="300" customWidth="1"/>
    <col min="2052" max="2304" width="9" style="300"/>
    <col min="2305" max="2305" width="28.125" style="300" customWidth="1"/>
    <col min="2306" max="2306" width="9" style="300"/>
    <col min="2307" max="2307" width="3" style="300" customWidth="1"/>
    <col min="2308" max="2560" width="9" style="300"/>
    <col min="2561" max="2561" width="28.125" style="300" customWidth="1"/>
    <col min="2562" max="2562" width="9" style="300"/>
    <col min="2563" max="2563" width="3" style="300" customWidth="1"/>
    <col min="2564" max="2816" width="9" style="300"/>
    <col min="2817" max="2817" width="28.125" style="300" customWidth="1"/>
    <col min="2818" max="2818" width="9" style="300"/>
    <col min="2819" max="2819" width="3" style="300" customWidth="1"/>
    <col min="2820" max="3072" width="9" style="300"/>
    <col min="3073" max="3073" width="28.125" style="300" customWidth="1"/>
    <col min="3074" max="3074" width="9" style="300"/>
    <col min="3075" max="3075" width="3" style="300" customWidth="1"/>
    <col min="3076" max="3328" width="9" style="300"/>
    <col min="3329" max="3329" width="28.125" style="300" customWidth="1"/>
    <col min="3330" max="3330" width="9" style="300"/>
    <col min="3331" max="3331" width="3" style="300" customWidth="1"/>
    <col min="3332" max="3584" width="9" style="300"/>
    <col min="3585" max="3585" width="28.125" style="300" customWidth="1"/>
    <col min="3586" max="3586" width="9" style="300"/>
    <col min="3587" max="3587" width="3" style="300" customWidth="1"/>
    <col min="3588" max="3840" width="9" style="300"/>
    <col min="3841" max="3841" width="28.125" style="300" customWidth="1"/>
    <col min="3842" max="3842" width="9" style="300"/>
    <col min="3843" max="3843" width="3" style="300" customWidth="1"/>
    <col min="3844" max="4096" width="9" style="300"/>
    <col min="4097" max="4097" width="28.125" style="300" customWidth="1"/>
    <col min="4098" max="4098" width="9" style="300"/>
    <col min="4099" max="4099" width="3" style="300" customWidth="1"/>
    <col min="4100" max="4352" width="9" style="300"/>
    <col min="4353" max="4353" width="28.125" style="300" customWidth="1"/>
    <col min="4354" max="4354" width="9" style="300"/>
    <col min="4355" max="4355" width="3" style="300" customWidth="1"/>
    <col min="4356" max="4608" width="9" style="300"/>
    <col min="4609" max="4609" width="28.125" style="300" customWidth="1"/>
    <col min="4610" max="4610" width="9" style="300"/>
    <col min="4611" max="4611" width="3" style="300" customWidth="1"/>
    <col min="4612" max="4864" width="9" style="300"/>
    <col min="4865" max="4865" width="28.125" style="300" customWidth="1"/>
    <col min="4866" max="4866" width="9" style="300"/>
    <col min="4867" max="4867" width="3" style="300" customWidth="1"/>
    <col min="4868" max="5120" width="9" style="300"/>
    <col min="5121" max="5121" width="28.125" style="300" customWidth="1"/>
    <col min="5122" max="5122" width="9" style="300"/>
    <col min="5123" max="5123" width="3" style="300" customWidth="1"/>
    <col min="5124" max="5376" width="9" style="300"/>
    <col min="5377" max="5377" width="28.125" style="300" customWidth="1"/>
    <col min="5378" max="5378" width="9" style="300"/>
    <col min="5379" max="5379" width="3" style="300" customWidth="1"/>
    <col min="5380" max="5632" width="9" style="300"/>
    <col min="5633" max="5633" width="28.125" style="300" customWidth="1"/>
    <col min="5634" max="5634" width="9" style="300"/>
    <col min="5635" max="5635" width="3" style="300" customWidth="1"/>
    <col min="5636" max="5888" width="9" style="300"/>
    <col min="5889" max="5889" width="28.125" style="300" customWidth="1"/>
    <col min="5890" max="5890" width="9" style="300"/>
    <col min="5891" max="5891" width="3" style="300" customWidth="1"/>
    <col min="5892" max="6144" width="9" style="300"/>
    <col min="6145" max="6145" width="28.125" style="300" customWidth="1"/>
    <col min="6146" max="6146" width="9" style="300"/>
    <col min="6147" max="6147" width="3" style="300" customWidth="1"/>
    <col min="6148" max="6400" width="9" style="300"/>
    <col min="6401" max="6401" width="28.125" style="300" customWidth="1"/>
    <col min="6402" max="6402" width="9" style="300"/>
    <col min="6403" max="6403" width="3" style="300" customWidth="1"/>
    <col min="6404" max="6656" width="9" style="300"/>
    <col min="6657" max="6657" width="28.125" style="300" customWidth="1"/>
    <col min="6658" max="6658" width="9" style="300"/>
    <col min="6659" max="6659" width="3" style="300" customWidth="1"/>
    <col min="6660" max="6912" width="9" style="300"/>
    <col min="6913" max="6913" width="28.125" style="300" customWidth="1"/>
    <col min="6914" max="6914" width="9" style="300"/>
    <col min="6915" max="6915" width="3" style="300" customWidth="1"/>
    <col min="6916" max="7168" width="9" style="300"/>
    <col min="7169" max="7169" width="28.125" style="300" customWidth="1"/>
    <col min="7170" max="7170" width="9" style="300"/>
    <col min="7171" max="7171" width="3" style="300" customWidth="1"/>
    <col min="7172" max="7424" width="9" style="300"/>
    <col min="7425" max="7425" width="28.125" style="300" customWidth="1"/>
    <col min="7426" max="7426" width="9" style="300"/>
    <col min="7427" max="7427" width="3" style="300" customWidth="1"/>
    <col min="7428" max="7680" width="9" style="300"/>
    <col min="7681" max="7681" width="28.125" style="300" customWidth="1"/>
    <col min="7682" max="7682" width="9" style="300"/>
    <col min="7683" max="7683" width="3" style="300" customWidth="1"/>
    <col min="7684" max="7936" width="9" style="300"/>
    <col min="7937" max="7937" width="28.125" style="300" customWidth="1"/>
    <col min="7938" max="7938" width="9" style="300"/>
    <col min="7939" max="7939" width="3" style="300" customWidth="1"/>
    <col min="7940" max="8192" width="9" style="300"/>
    <col min="8193" max="8193" width="28.125" style="300" customWidth="1"/>
    <col min="8194" max="8194" width="9" style="300"/>
    <col min="8195" max="8195" width="3" style="300" customWidth="1"/>
    <col min="8196" max="8448" width="9" style="300"/>
    <col min="8449" max="8449" width="28.125" style="300" customWidth="1"/>
    <col min="8450" max="8450" width="9" style="300"/>
    <col min="8451" max="8451" width="3" style="300" customWidth="1"/>
    <col min="8452" max="8704" width="9" style="300"/>
    <col min="8705" max="8705" width="28.125" style="300" customWidth="1"/>
    <col min="8706" max="8706" width="9" style="300"/>
    <col min="8707" max="8707" width="3" style="300" customWidth="1"/>
    <col min="8708" max="8960" width="9" style="300"/>
    <col min="8961" max="8961" width="28.125" style="300" customWidth="1"/>
    <col min="8962" max="8962" width="9" style="300"/>
    <col min="8963" max="8963" width="3" style="300" customWidth="1"/>
    <col min="8964" max="9216" width="9" style="300"/>
    <col min="9217" max="9217" width="28.125" style="300" customWidth="1"/>
    <col min="9218" max="9218" width="9" style="300"/>
    <col min="9219" max="9219" width="3" style="300" customWidth="1"/>
    <col min="9220" max="9472" width="9" style="300"/>
    <col min="9473" max="9473" width="28.125" style="300" customWidth="1"/>
    <col min="9474" max="9474" width="9" style="300"/>
    <col min="9475" max="9475" width="3" style="300" customWidth="1"/>
    <col min="9476" max="9728" width="9" style="300"/>
    <col min="9729" max="9729" width="28.125" style="300" customWidth="1"/>
    <col min="9730" max="9730" width="9" style="300"/>
    <col min="9731" max="9731" width="3" style="300" customWidth="1"/>
    <col min="9732" max="9984" width="9" style="300"/>
    <col min="9985" max="9985" width="28.125" style="300" customWidth="1"/>
    <col min="9986" max="9986" width="9" style="300"/>
    <col min="9987" max="9987" width="3" style="300" customWidth="1"/>
    <col min="9988" max="10240" width="9" style="300"/>
    <col min="10241" max="10241" width="28.125" style="300" customWidth="1"/>
    <col min="10242" max="10242" width="9" style="300"/>
    <col min="10243" max="10243" width="3" style="300" customWidth="1"/>
    <col min="10244" max="10496" width="9" style="300"/>
    <col min="10497" max="10497" width="28.125" style="300" customWidth="1"/>
    <col min="10498" max="10498" width="9" style="300"/>
    <col min="10499" max="10499" width="3" style="300" customWidth="1"/>
    <col min="10500" max="10752" width="9" style="300"/>
    <col min="10753" max="10753" width="28.125" style="300" customWidth="1"/>
    <col min="10754" max="10754" width="9" style="300"/>
    <col min="10755" max="10755" width="3" style="300" customWidth="1"/>
    <col min="10756" max="11008" width="9" style="300"/>
    <col min="11009" max="11009" width="28.125" style="300" customWidth="1"/>
    <col min="11010" max="11010" width="9" style="300"/>
    <col min="11011" max="11011" width="3" style="300" customWidth="1"/>
    <col min="11012" max="11264" width="9" style="300"/>
    <col min="11265" max="11265" width="28.125" style="300" customWidth="1"/>
    <col min="11266" max="11266" width="9" style="300"/>
    <col min="11267" max="11267" width="3" style="300" customWidth="1"/>
    <col min="11268" max="11520" width="9" style="300"/>
    <col min="11521" max="11521" width="28.125" style="300" customWidth="1"/>
    <col min="11522" max="11522" width="9" style="300"/>
    <col min="11523" max="11523" width="3" style="300" customWidth="1"/>
    <col min="11524" max="11776" width="9" style="300"/>
    <col min="11777" max="11777" width="28.125" style="300" customWidth="1"/>
    <col min="11778" max="11778" width="9" style="300"/>
    <col min="11779" max="11779" width="3" style="300" customWidth="1"/>
    <col min="11780" max="12032" width="9" style="300"/>
    <col min="12033" max="12033" width="28.125" style="300" customWidth="1"/>
    <col min="12034" max="12034" width="9" style="300"/>
    <col min="12035" max="12035" width="3" style="300" customWidth="1"/>
    <col min="12036" max="12288" width="9" style="300"/>
    <col min="12289" max="12289" width="28.125" style="300" customWidth="1"/>
    <col min="12290" max="12290" width="9" style="300"/>
    <col min="12291" max="12291" width="3" style="300" customWidth="1"/>
    <col min="12292" max="12544" width="9" style="300"/>
    <col min="12545" max="12545" width="28.125" style="300" customWidth="1"/>
    <col min="12546" max="12546" width="9" style="300"/>
    <col min="12547" max="12547" width="3" style="300" customWidth="1"/>
    <col min="12548" max="12800" width="9" style="300"/>
    <col min="12801" max="12801" width="28.125" style="300" customWidth="1"/>
    <col min="12802" max="12802" width="9" style="300"/>
    <col min="12803" max="12803" width="3" style="300" customWidth="1"/>
    <col min="12804" max="13056" width="9" style="300"/>
    <col min="13057" max="13057" width="28.125" style="300" customWidth="1"/>
    <col min="13058" max="13058" width="9" style="300"/>
    <col min="13059" max="13059" width="3" style="300" customWidth="1"/>
    <col min="13060" max="13312" width="9" style="300"/>
    <col min="13313" max="13313" width="28.125" style="300" customWidth="1"/>
    <col min="13314" max="13314" width="9" style="300"/>
    <col min="13315" max="13315" width="3" style="300" customWidth="1"/>
    <col min="13316" max="13568" width="9" style="300"/>
    <col min="13569" max="13569" width="28.125" style="300" customWidth="1"/>
    <col min="13570" max="13570" width="9" style="300"/>
    <col min="13571" max="13571" width="3" style="300" customWidth="1"/>
    <col min="13572" max="13824" width="9" style="300"/>
    <col min="13825" max="13825" width="28.125" style="300" customWidth="1"/>
    <col min="13826" max="13826" width="9" style="300"/>
    <col min="13827" max="13827" width="3" style="300" customWidth="1"/>
    <col min="13828" max="14080" width="9" style="300"/>
    <col min="14081" max="14081" width="28.125" style="300" customWidth="1"/>
    <col min="14082" max="14082" width="9" style="300"/>
    <col min="14083" max="14083" width="3" style="300" customWidth="1"/>
    <col min="14084" max="14336" width="9" style="300"/>
    <col min="14337" max="14337" width="28.125" style="300" customWidth="1"/>
    <col min="14338" max="14338" width="9" style="300"/>
    <col min="14339" max="14339" width="3" style="300" customWidth="1"/>
    <col min="14340" max="14592" width="9" style="300"/>
    <col min="14593" max="14593" width="28.125" style="300" customWidth="1"/>
    <col min="14594" max="14594" width="9" style="300"/>
    <col min="14595" max="14595" width="3" style="300" customWidth="1"/>
    <col min="14596" max="14848" width="9" style="300"/>
    <col min="14849" max="14849" width="28.125" style="300" customWidth="1"/>
    <col min="14850" max="14850" width="9" style="300"/>
    <col min="14851" max="14851" width="3" style="300" customWidth="1"/>
    <col min="14852" max="15104" width="9" style="300"/>
    <col min="15105" max="15105" width="28.125" style="300" customWidth="1"/>
    <col min="15106" max="15106" width="9" style="300"/>
    <col min="15107" max="15107" width="3" style="300" customWidth="1"/>
    <col min="15108" max="15360" width="9" style="300"/>
    <col min="15361" max="15361" width="28.125" style="300" customWidth="1"/>
    <col min="15362" max="15362" width="9" style="300"/>
    <col min="15363" max="15363" width="3" style="300" customWidth="1"/>
    <col min="15364" max="15616" width="9" style="300"/>
    <col min="15617" max="15617" width="28.125" style="300" customWidth="1"/>
    <col min="15618" max="15618" width="9" style="300"/>
    <col min="15619" max="15619" width="3" style="300" customWidth="1"/>
    <col min="15620" max="15872" width="9" style="300"/>
    <col min="15873" max="15873" width="28.125" style="300" customWidth="1"/>
    <col min="15874" max="15874" width="9" style="300"/>
    <col min="15875" max="15875" width="3" style="300" customWidth="1"/>
    <col min="15876" max="16128" width="9" style="300"/>
    <col min="16129" max="16129" width="28.125" style="300" customWidth="1"/>
    <col min="16130" max="16130" width="9" style="300"/>
    <col min="16131" max="16131" width="3" style="300" customWidth="1"/>
    <col min="16132" max="16384" width="9" style="300"/>
  </cols>
  <sheetData>
    <row r="1" s="297" customFormat="1" ht="15.75" customHeight="1" spans="1:2">
      <c r="A1" s="301" t="s">
        <v>6801</v>
      </c>
      <c r="B1" s="302" t="s">
        <v>88</v>
      </c>
    </row>
    <row r="2" s="297" customFormat="1" ht="15.75" customHeight="1" spans="1:2">
      <c r="A2" s="301" t="s">
        <v>6802</v>
      </c>
      <c r="B2" s="303"/>
    </row>
    <row r="3" ht="15.75" customHeight="1" spans="1:1">
      <c r="A3" s="298" t="s">
        <v>106</v>
      </c>
    </row>
    <row r="4" ht="15.75" customHeight="1" spans="1:1">
      <c r="A4" s="298" t="s">
        <v>6803</v>
      </c>
    </row>
    <row r="5" ht="15.75" customHeight="1" spans="1:1">
      <c r="A5" s="298" t="s">
        <v>6804</v>
      </c>
    </row>
    <row r="6" ht="15.75" customHeight="1" spans="1:3">
      <c r="A6" s="304" t="s">
        <v>6805</v>
      </c>
      <c r="B6" s="305">
        <v>6351</v>
      </c>
      <c r="C6" s="306" t="s">
        <v>207</v>
      </c>
    </row>
    <row r="7" ht="15.75" customHeight="1" spans="1:3">
      <c r="A7" s="304" t="s">
        <v>6806</v>
      </c>
      <c r="B7" s="305">
        <v>63.51</v>
      </c>
      <c r="C7" s="306"/>
    </row>
    <row r="8" ht="15.75" customHeight="1" spans="1:3">
      <c r="A8" s="304" t="s">
        <v>6807</v>
      </c>
      <c r="B8" s="305">
        <v>2</v>
      </c>
      <c r="C8" s="306"/>
    </row>
    <row r="9" ht="15.75" customHeight="1" spans="1:3">
      <c r="A9" s="304" t="s">
        <v>6808</v>
      </c>
      <c r="B9" s="305">
        <v>1</v>
      </c>
      <c r="C9" s="306"/>
    </row>
    <row r="10" ht="15.75" customHeight="1" spans="1:3">
      <c r="A10" s="304" t="s">
        <v>6809</v>
      </c>
      <c r="B10" s="307">
        <v>1.3</v>
      </c>
      <c r="C10" s="306"/>
    </row>
    <row r="11" ht="15.75" customHeight="1" spans="1:3">
      <c r="A11" s="304" t="s">
        <v>6810</v>
      </c>
      <c r="B11" s="308">
        <v>1.38</v>
      </c>
      <c r="C11" s="306"/>
    </row>
    <row r="12" ht="15.75" customHeight="1" spans="1:3">
      <c r="A12" s="304" t="s">
        <v>6811</v>
      </c>
      <c r="B12" s="305">
        <v>3</v>
      </c>
      <c r="C12" s="306"/>
    </row>
    <row r="13" ht="15.75" customHeight="1" spans="1:3">
      <c r="A13" s="304" t="s">
        <v>6812</v>
      </c>
      <c r="B13" s="307">
        <v>1.25</v>
      </c>
      <c r="C13" s="306"/>
    </row>
    <row r="14" ht="15.75" customHeight="1" spans="1:3">
      <c r="A14" s="304" t="s">
        <v>6813</v>
      </c>
      <c r="B14" s="309">
        <v>19053</v>
      </c>
      <c r="C14" s="306" t="s">
        <v>207</v>
      </c>
    </row>
    <row r="15" ht="15.75" customHeight="1" spans="1:3">
      <c r="A15" s="304" t="s">
        <v>6814</v>
      </c>
      <c r="B15" s="309">
        <v>240</v>
      </c>
      <c r="C15" s="306" t="s">
        <v>207</v>
      </c>
    </row>
    <row r="16" ht="15.75" customHeight="1" spans="1:1">
      <c r="A16" s="298" t="s">
        <v>106</v>
      </c>
    </row>
    <row r="17" ht="15.75" customHeight="1" spans="1:1">
      <c r="A17" s="298" t="s">
        <v>6815</v>
      </c>
    </row>
    <row r="18" ht="15.75" customHeight="1" spans="1:3">
      <c r="A18" s="304" t="s">
        <v>6805</v>
      </c>
      <c r="B18" s="305">
        <v>6351</v>
      </c>
      <c r="C18" s="306" t="s">
        <v>207</v>
      </c>
    </row>
    <row r="19" ht="15.75" customHeight="1" spans="1:3">
      <c r="A19" s="304" t="s">
        <v>6806</v>
      </c>
      <c r="B19" s="305">
        <v>63.51</v>
      </c>
      <c r="C19" s="306"/>
    </row>
    <row r="20" ht="15.75" customHeight="1" spans="1:3">
      <c r="A20" s="304" t="s">
        <v>6807</v>
      </c>
      <c r="B20" s="305">
        <v>1</v>
      </c>
      <c r="C20" s="306"/>
    </row>
    <row r="21" ht="15.75" customHeight="1" spans="1:3">
      <c r="A21" s="304" t="s">
        <v>6808</v>
      </c>
      <c r="B21" s="305">
        <v>1</v>
      </c>
      <c r="C21" s="306"/>
    </row>
    <row r="22" ht="15.75" customHeight="1" spans="1:3">
      <c r="A22" s="304" t="s">
        <v>6816</v>
      </c>
      <c r="B22" s="305">
        <v>4</v>
      </c>
      <c r="C22" s="306"/>
    </row>
    <row r="23" ht="15.75" customHeight="1" spans="1:3">
      <c r="A23" s="304" t="s">
        <v>6817</v>
      </c>
      <c r="B23" s="310">
        <v>0.5</v>
      </c>
      <c r="C23" s="306"/>
    </row>
    <row r="24" ht="15.75" customHeight="1" spans="1:3">
      <c r="A24" s="304" t="s">
        <v>6812</v>
      </c>
      <c r="B24" s="307">
        <v>1.25</v>
      </c>
      <c r="C24" s="306"/>
    </row>
    <row r="25" ht="15.75" customHeight="1" spans="1:3">
      <c r="A25" s="304" t="s">
        <v>6813</v>
      </c>
      <c r="B25" s="309">
        <v>4763.25</v>
      </c>
      <c r="C25" s="306" t="s">
        <v>207</v>
      </c>
    </row>
    <row r="26" ht="15.75" customHeight="1" spans="1:3">
      <c r="A26" s="304" t="s">
        <v>6814</v>
      </c>
      <c r="B26" s="309"/>
      <c r="C26" s="306" t="s">
        <v>207</v>
      </c>
    </row>
    <row r="27" ht="15.75" customHeight="1" spans="1:1">
      <c r="A27" s="298" t="s">
        <v>106</v>
      </c>
    </row>
    <row r="28" ht="15.75" customHeight="1" spans="1:1">
      <c r="A28" s="298" t="s">
        <v>6818</v>
      </c>
    </row>
    <row r="29" ht="15.75" customHeight="1" spans="1:3">
      <c r="A29" s="304" t="s">
        <v>6805</v>
      </c>
      <c r="B29" s="305">
        <v>6351</v>
      </c>
      <c r="C29" s="300" t="s">
        <v>207</v>
      </c>
    </row>
    <row r="30" ht="15.75" customHeight="1" spans="1:2">
      <c r="A30" s="304" t="s">
        <v>6806</v>
      </c>
      <c r="B30" s="305">
        <v>63.51</v>
      </c>
    </row>
    <row r="31" ht="15.75" customHeight="1" spans="1:2">
      <c r="A31" s="304" t="s">
        <v>6807</v>
      </c>
      <c r="B31" s="305">
        <v>3</v>
      </c>
    </row>
    <row r="32" ht="15.75" customHeight="1" spans="1:2">
      <c r="A32" s="304" t="s">
        <v>6808</v>
      </c>
      <c r="B32" s="305">
        <v>1</v>
      </c>
    </row>
    <row r="33" ht="15.75" customHeight="1" spans="1:2">
      <c r="A33" s="304" t="s">
        <v>6809</v>
      </c>
      <c r="B33" s="307">
        <v>1.3</v>
      </c>
    </row>
    <row r="34" ht="15.75" customHeight="1" spans="1:2">
      <c r="A34" s="304" t="s">
        <v>6819</v>
      </c>
      <c r="B34" s="305">
        <v>14</v>
      </c>
    </row>
    <row r="35" ht="15.75" customHeight="1" spans="1:2">
      <c r="A35" s="304" t="s">
        <v>6820</v>
      </c>
      <c r="B35" s="305">
        <v>3</v>
      </c>
    </row>
    <row r="36" ht="15.75" customHeight="1" spans="1:2">
      <c r="A36" s="304" t="s">
        <v>6821</v>
      </c>
      <c r="B36" s="311">
        <v>4.59</v>
      </c>
    </row>
    <row r="37" ht="15.75" customHeight="1" spans="1:2">
      <c r="A37" s="304" t="s">
        <v>6822</v>
      </c>
      <c r="B37" s="312">
        <v>5</v>
      </c>
    </row>
    <row r="38" ht="15.75" customHeight="1" spans="1:2">
      <c r="A38" s="304" t="s">
        <v>6812</v>
      </c>
      <c r="B38" s="307">
        <v>1.25</v>
      </c>
    </row>
    <row r="39" ht="15.75" customHeight="1" spans="1:3">
      <c r="A39" s="304" t="s">
        <v>6813</v>
      </c>
      <c r="B39" s="309"/>
      <c r="C39" s="300" t="s">
        <v>207</v>
      </c>
    </row>
    <row r="40" ht="15.75" customHeight="1" spans="1:3">
      <c r="A40" s="304" t="s">
        <v>6814</v>
      </c>
      <c r="B40" s="309">
        <v>4.24</v>
      </c>
      <c r="C40" s="300" t="s">
        <v>207</v>
      </c>
    </row>
  </sheetData>
  <protectedRanges>
    <protectedRange sqref="A4:D15 A17:D26 A28:D41" name="範圍2"/>
    <protectedRange sqref="$A27:$XFD27 $A3:$XFD3 $A16:$XFD16 A1:L70" name="範圍1"/>
  </protectedRanges>
  <hyperlinks>
    <hyperlink ref="B1" location="目录!A1" display="目录!A1"/>
  </hyperlinks>
  <pageMargins left="0.7" right="0.7" top="0.75" bottom="0.75" header="0.3" footer="0.3"/>
  <pageSetup paperSize="9"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5"/>
  <sheetViews>
    <sheetView topLeftCell="A69" workbookViewId="0">
      <selection activeCell="O34" sqref="O34"/>
    </sheetView>
  </sheetViews>
  <sheetFormatPr defaultColWidth="9" defaultRowHeight="15.6"/>
  <cols>
    <col min="1" max="1" width="30.75" style="168" customWidth="1"/>
    <col min="2" max="2" width="13.125" style="168" customWidth="1"/>
    <col min="3" max="3" width="15" style="168" customWidth="1"/>
    <col min="4" max="4" width="35" style="168" customWidth="1"/>
    <col min="5" max="5" width="16.5" style="168" customWidth="1"/>
    <col min="6" max="256" width="9" style="168"/>
    <col min="257" max="257" width="30.75" style="168" customWidth="1"/>
    <col min="258" max="258" width="13.125" style="168" customWidth="1"/>
    <col min="259" max="259" width="15" style="168" customWidth="1"/>
    <col min="260" max="260" width="35" style="168" customWidth="1"/>
    <col min="261" max="261" width="16.5" style="168" customWidth="1"/>
    <col min="262" max="512" width="9" style="168"/>
    <col min="513" max="513" width="30.75" style="168" customWidth="1"/>
    <col min="514" max="514" width="13.125" style="168" customWidth="1"/>
    <col min="515" max="515" width="15" style="168" customWidth="1"/>
    <col min="516" max="516" width="35" style="168" customWidth="1"/>
    <col min="517" max="517" width="16.5" style="168" customWidth="1"/>
    <col min="518" max="768" width="9" style="168"/>
    <col min="769" max="769" width="30.75" style="168" customWidth="1"/>
    <col min="770" max="770" width="13.125" style="168" customWidth="1"/>
    <col min="771" max="771" width="15" style="168" customWidth="1"/>
    <col min="772" max="772" width="35" style="168" customWidth="1"/>
    <col min="773" max="773" width="16.5" style="168" customWidth="1"/>
    <col min="774" max="1024" width="9" style="168"/>
    <col min="1025" max="1025" width="30.75" style="168" customWidth="1"/>
    <col min="1026" max="1026" width="13.125" style="168" customWidth="1"/>
    <col min="1027" max="1027" width="15" style="168" customWidth="1"/>
    <col min="1028" max="1028" width="35" style="168" customWidth="1"/>
    <col min="1029" max="1029" width="16.5" style="168" customWidth="1"/>
    <col min="1030" max="1280" width="9" style="168"/>
    <col min="1281" max="1281" width="30.75" style="168" customWidth="1"/>
    <col min="1282" max="1282" width="13.125" style="168" customWidth="1"/>
    <col min="1283" max="1283" width="15" style="168" customWidth="1"/>
    <col min="1284" max="1284" width="35" style="168" customWidth="1"/>
    <col min="1285" max="1285" width="16.5" style="168" customWidth="1"/>
    <col min="1286" max="1536" width="9" style="168"/>
    <col min="1537" max="1537" width="30.75" style="168" customWidth="1"/>
    <col min="1538" max="1538" width="13.125" style="168" customWidth="1"/>
    <col min="1539" max="1539" width="15" style="168" customWidth="1"/>
    <col min="1540" max="1540" width="35" style="168" customWidth="1"/>
    <col min="1541" max="1541" width="16.5" style="168" customWidth="1"/>
    <col min="1542" max="1792" width="9" style="168"/>
    <col min="1793" max="1793" width="30.75" style="168" customWidth="1"/>
    <col min="1794" max="1794" width="13.125" style="168" customWidth="1"/>
    <col min="1795" max="1795" width="15" style="168" customWidth="1"/>
    <col min="1796" max="1796" width="35" style="168" customWidth="1"/>
    <col min="1797" max="1797" width="16.5" style="168" customWidth="1"/>
    <col min="1798" max="2048" width="9" style="168"/>
    <col min="2049" max="2049" width="30.75" style="168" customWidth="1"/>
    <col min="2050" max="2050" width="13.125" style="168" customWidth="1"/>
    <col min="2051" max="2051" width="15" style="168" customWidth="1"/>
    <col min="2052" max="2052" width="35" style="168" customWidth="1"/>
    <col min="2053" max="2053" width="16.5" style="168" customWidth="1"/>
    <col min="2054" max="2304" width="9" style="168"/>
    <col min="2305" max="2305" width="30.75" style="168" customWidth="1"/>
    <col min="2306" max="2306" width="13.125" style="168" customWidth="1"/>
    <col min="2307" max="2307" width="15" style="168" customWidth="1"/>
    <col min="2308" max="2308" width="35" style="168" customWidth="1"/>
    <col min="2309" max="2309" width="16.5" style="168" customWidth="1"/>
    <col min="2310" max="2560" width="9" style="168"/>
    <col min="2561" max="2561" width="30.75" style="168" customWidth="1"/>
    <col min="2562" max="2562" width="13.125" style="168" customWidth="1"/>
    <col min="2563" max="2563" width="15" style="168" customWidth="1"/>
    <col min="2564" max="2564" width="35" style="168" customWidth="1"/>
    <col min="2565" max="2565" width="16.5" style="168" customWidth="1"/>
    <col min="2566" max="2816" width="9" style="168"/>
    <col min="2817" max="2817" width="30.75" style="168" customWidth="1"/>
    <col min="2818" max="2818" width="13.125" style="168" customWidth="1"/>
    <col min="2819" max="2819" width="15" style="168" customWidth="1"/>
    <col min="2820" max="2820" width="35" style="168" customWidth="1"/>
    <col min="2821" max="2821" width="16.5" style="168" customWidth="1"/>
    <col min="2822" max="3072" width="9" style="168"/>
    <col min="3073" max="3073" width="30.75" style="168" customWidth="1"/>
    <col min="3074" max="3074" width="13.125" style="168" customWidth="1"/>
    <col min="3075" max="3075" width="15" style="168" customWidth="1"/>
    <col min="3076" max="3076" width="35" style="168" customWidth="1"/>
    <col min="3077" max="3077" width="16.5" style="168" customWidth="1"/>
    <col min="3078" max="3328" width="9" style="168"/>
    <col min="3329" max="3329" width="30.75" style="168" customWidth="1"/>
    <col min="3330" max="3330" width="13.125" style="168" customWidth="1"/>
    <col min="3331" max="3331" width="15" style="168" customWidth="1"/>
    <col min="3332" max="3332" width="35" style="168" customWidth="1"/>
    <col min="3333" max="3333" width="16.5" style="168" customWidth="1"/>
    <col min="3334" max="3584" width="9" style="168"/>
    <col min="3585" max="3585" width="30.75" style="168" customWidth="1"/>
    <col min="3586" max="3586" width="13.125" style="168" customWidth="1"/>
    <col min="3587" max="3587" width="15" style="168" customWidth="1"/>
    <col min="3588" max="3588" width="35" style="168" customWidth="1"/>
    <col min="3589" max="3589" width="16.5" style="168" customWidth="1"/>
    <col min="3590" max="3840" width="9" style="168"/>
    <col min="3841" max="3841" width="30.75" style="168" customWidth="1"/>
    <col min="3842" max="3842" width="13.125" style="168" customWidth="1"/>
    <col min="3843" max="3843" width="15" style="168" customWidth="1"/>
    <col min="3844" max="3844" width="35" style="168" customWidth="1"/>
    <col min="3845" max="3845" width="16.5" style="168" customWidth="1"/>
    <col min="3846" max="4096" width="9" style="168"/>
    <col min="4097" max="4097" width="30.75" style="168" customWidth="1"/>
    <col min="4098" max="4098" width="13.125" style="168" customWidth="1"/>
    <col min="4099" max="4099" width="15" style="168" customWidth="1"/>
    <col min="4100" max="4100" width="35" style="168" customWidth="1"/>
    <col min="4101" max="4101" width="16.5" style="168" customWidth="1"/>
    <col min="4102" max="4352" width="9" style="168"/>
    <col min="4353" max="4353" width="30.75" style="168" customWidth="1"/>
    <col min="4354" max="4354" width="13.125" style="168" customWidth="1"/>
    <col min="4355" max="4355" width="15" style="168" customWidth="1"/>
    <col min="4356" max="4356" width="35" style="168" customWidth="1"/>
    <col min="4357" max="4357" width="16.5" style="168" customWidth="1"/>
    <col min="4358" max="4608" width="9" style="168"/>
    <col min="4609" max="4609" width="30.75" style="168" customWidth="1"/>
    <col min="4610" max="4610" width="13.125" style="168" customWidth="1"/>
    <col min="4611" max="4611" width="15" style="168" customWidth="1"/>
    <col min="4612" max="4612" width="35" style="168" customWidth="1"/>
    <col min="4613" max="4613" width="16.5" style="168" customWidth="1"/>
    <col min="4614" max="4864" width="9" style="168"/>
    <col min="4865" max="4865" width="30.75" style="168" customWidth="1"/>
    <col min="4866" max="4866" width="13.125" style="168" customWidth="1"/>
    <col min="4867" max="4867" width="15" style="168" customWidth="1"/>
    <col min="4868" max="4868" width="35" style="168" customWidth="1"/>
    <col min="4869" max="4869" width="16.5" style="168" customWidth="1"/>
    <col min="4870" max="5120" width="9" style="168"/>
    <col min="5121" max="5121" width="30.75" style="168" customWidth="1"/>
    <col min="5122" max="5122" width="13.125" style="168" customWidth="1"/>
    <col min="5123" max="5123" width="15" style="168" customWidth="1"/>
    <col min="5124" max="5124" width="35" style="168" customWidth="1"/>
    <col min="5125" max="5125" width="16.5" style="168" customWidth="1"/>
    <col min="5126" max="5376" width="9" style="168"/>
    <col min="5377" max="5377" width="30.75" style="168" customWidth="1"/>
    <col min="5378" max="5378" width="13.125" style="168" customWidth="1"/>
    <col min="5379" max="5379" width="15" style="168" customWidth="1"/>
    <col min="5380" max="5380" width="35" style="168" customWidth="1"/>
    <col min="5381" max="5381" width="16.5" style="168" customWidth="1"/>
    <col min="5382" max="5632" width="9" style="168"/>
    <col min="5633" max="5633" width="30.75" style="168" customWidth="1"/>
    <col min="5634" max="5634" width="13.125" style="168" customWidth="1"/>
    <col min="5635" max="5635" width="15" style="168" customWidth="1"/>
    <col min="5636" max="5636" width="35" style="168" customWidth="1"/>
    <col min="5637" max="5637" width="16.5" style="168" customWidth="1"/>
    <col min="5638" max="5888" width="9" style="168"/>
    <col min="5889" max="5889" width="30.75" style="168" customWidth="1"/>
    <col min="5890" max="5890" width="13.125" style="168" customWidth="1"/>
    <col min="5891" max="5891" width="15" style="168" customWidth="1"/>
    <col min="5892" max="5892" width="35" style="168" customWidth="1"/>
    <col min="5893" max="5893" width="16.5" style="168" customWidth="1"/>
    <col min="5894" max="6144" width="9" style="168"/>
    <col min="6145" max="6145" width="30.75" style="168" customWidth="1"/>
    <col min="6146" max="6146" width="13.125" style="168" customWidth="1"/>
    <col min="6147" max="6147" width="15" style="168" customWidth="1"/>
    <col min="6148" max="6148" width="35" style="168" customWidth="1"/>
    <col min="6149" max="6149" width="16.5" style="168" customWidth="1"/>
    <col min="6150" max="6400" width="9" style="168"/>
    <col min="6401" max="6401" width="30.75" style="168" customWidth="1"/>
    <col min="6402" max="6402" width="13.125" style="168" customWidth="1"/>
    <col min="6403" max="6403" width="15" style="168" customWidth="1"/>
    <col min="6404" max="6404" width="35" style="168" customWidth="1"/>
    <col min="6405" max="6405" width="16.5" style="168" customWidth="1"/>
    <col min="6406" max="6656" width="9" style="168"/>
    <col min="6657" max="6657" width="30.75" style="168" customWidth="1"/>
    <col min="6658" max="6658" width="13.125" style="168" customWidth="1"/>
    <col min="6659" max="6659" width="15" style="168" customWidth="1"/>
    <col min="6660" max="6660" width="35" style="168" customWidth="1"/>
    <col min="6661" max="6661" width="16.5" style="168" customWidth="1"/>
    <col min="6662" max="6912" width="9" style="168"/>
    <col min="6913" max="6913" width="30.75" style="168" customWidth="1"/>
    <col min="6914" max="6914" width="13.125" style="168" customWidth="1"/>
    <col min="6915" max="6915" width="15" style="168" customWidth="1"/>
    <col min="6916" max="6916" width="35" style="168" customWidth="1"/>
    <col min="6917" max="6917" width="16.5" style="168" customWidth="1"/>
    <col min="6918" max="7168" width="9" style="168"/>
    <col min="7169" max="7169" width="30.75" style="168" customWidth="1"/>
    <col min="7170" max="7170" width="13.125" style="168" customWidth="1"/>
    <col min="7171" max="7171" width="15" style="168" customWidth="1"/>
    <col min="7172" max="7172" width="35" style="168" customWidth="1"/>
    <col min="7173" max="7173" width="16.5" style="168" customWidth="1"/>
    <col min="7174" max="7424" width="9" style="168"/>
    <col min="7425" max="7425" width="30.75" style="168" customWidth="1"/>
    <col min="7426" max="7426" width="13.125" style="168" customWidth="1"/>
    <col min="7427" max="7427" width="15" style="168" customWidth="1"/>
    <col min="7428" max="7428" width="35" style="168" customWidth="1"/>
    <col min="7429" max="7429" width="16.5" style="168" customWidth="1"/>
    <col min="7430" max="7680" width="9" style="168"/>
    <col min="7681" max="7681" width="30.75" style="168" customWidth="1"/>
    <col min="7682" max="7682" width="13.125" style="168" customWidth="1"/>
    <col min="7683" max="7683" width="15" style="168" customWidth="1"/>
    <col min="7684" max="7684" width="35" style="168" customWidth="1"/>
    <col min="7685" max="7685" width="16.5" style="168" customWidth="1"/>
    <col min="7686" max="7936" width="9" style="168"/>
    <col min="7937" max="7937" width="30.75" style="168" customWidth="1"/>
    <col min="7938" max="7938" width="13.125" style="168" customWidth="1"/>
    <col min="7939" max="7939" width="15" style="168" customWidth="1"/>
    <col min="7940" max="7940" width="35" style="168" customWidth="1"/>
    <col min="7941" max="7941" width="16.5" style="168" customWidth="1"/>
    <col min="7942" max="8192" width="9" style="168"/>
    <col min="8193" max="8193" width="30.75" style="168" customWidth="1"/>
    <col min="8194" max="8194" width="13.125" style="168" customWidth="1"/>
    <col min="8195" max="8195" width="15" style="168" customWidth="1"/>
    <col min="8196" max="8196" width="35" style="168" customWidth="1"/>
    <col min="8197" max="8197" width="16.5" style="168" customWidth="1"/>
    <col min="8198" max="8448" width="9" style="168"/>
    <col min="8449" max="8449" width="30.75" style="168" customWidth="1"/>
    <col min="8450" max="8450" width="13.125" style="168" customWidth="1"/>
    <col min="8451" max="8451" width="15" style="168" customWidth="1"/>
    <col min="8452" max="8452" width="35" style="168" customWidth="1"/>
    <col min="8453" max="8453" width="16.5" style="168" customWidth="1"/>
    <col min="8454" max="8704" width="9" style="168"/>
    <col min="8705" max="8705" width="30.75" style="168" customWidth="1"/>
    <col min="8706" max="8706" width="13.125" style="168" customWidth="1"/>
    <col min="8707" max="8707" width="15" style="168" customWidth="1"/>
    <col min="8708" max="8708" width="35" style="168" customWidth="1"/>
    <col min="8709" max="8709" width="16.5" style="168" customWidth="1"/>
    <col min="8710" max="8960" width="9" style="168"/>
    <col min="8961" max="8961" width="30.75" style="168" customWidth="1"/>
    <col min="8962" max="8962" width="13.125" style="168" customWidth="1"/>
    <col min="8963" max="8963" width="15" style="168" customWidth="1"/>
    <col min="8964" max="8964" width="35" style="168" customWidth="1"/>
    <col min="8965" max="8965" width="16.5" style="168" customWidth="1"/>
    <col min="8966" max="9216" width="9" style="168"/>
    <col min="9217" max="9217" width="30.75" style="168" customWidth="1"/>
    <col min="9218" max="9218" width="13.125" style="168" customWidth="1"/>
    <col min="9219" max="9219" width="15" style="168" customWidth="1"/>
    <col min="9220" max="9220" width="35" style="168" customWidth="1"/>
    <col min="9221" max="9221" width="16.5" style="168" customWidth="1"/>
    <col min="9222" max="9472" width="9" style="168"/>
    <col min="9473" max="9473" width="30.75" style="168" customWidth="1"/>
    <col min="9474" max="9474" width="13.125" style="168" customWidth="1"/>
    <col min="9475" max="9475" width="15" style="168" customWidth="1"/>
    <col min="9476" max="9476" width="35" style="168" customWidth="1"/>
    <col min="9477" max="9477" width="16.5" style="168" customWidth="1"/>
    <col min="9478" max="9728" width="9" style="168"/>
    <col min="9729" max="9729" width="30.75" style="168" customWidth="1"/>
    <col min="9730" max="9730" width="13.125" style="168" customWidth="1"/>
    <col min="9731" max="9731" width="15" style="168" customWidth="1"/>
    <col min="9732" max="9732" width="35" style="168" customWidth="1"/>
    <col min="9733" max="9733" width="16.5" style="168" customWidth="1"/>
    <col min="9734" max="9984" width="9" style="168"/>
    <col min="9985" max="9985" width="30.75" style="168" customWidth="1"/>
    <col min="9986" max="9986" width="13.125" style="168" customWidth="1"/>
    <col min="9987" max="9987" width="15" style="168" customWidth="1"/>
    <col min="9988" max="9988" width="35" style="168" customWidth="1"/>
    <col min="9989" max="9989" width="16.5" style="168" customWidth="1"/>
    <col min="9990" max="10240" width="9" style="168"/>
    <col min="10241" max="10241" width="30.75" style="168" customWidth="1"/>
    <col min="10242" max="10242" width="13.125" style="168" customWidth="1"/>
    <col min="10243" max="10243" width="15" style="168" customWidth="1"/>
    <col min="10244" max="10244" width="35" style="168" customWidth="1"/>
    <col min="10245" max="10245" width="16.5" style="168" customWidth="1"/>
    <col min="10246" max="10496" width="9" style="168"/>
    <col min="10497" max="10497" width="30.75" style="168" customWidth="1"/>
    <col min="10498" max="10498" width="13.125" style="168" customWidth="1"/>
    <col min="10499" max="10499" width="15" style="168" customWidth="1"/>
    <col min="10500" max="10500" width="35" style="168" customWidth="1"/>
    <col min="10501" max="10501" width="16.5" style="168" customWidth="1"/>
    <col min="10502" max="10752" width="9" style="168"/>
    <col min="10753" max="10753" width="30.75" style="168" customWidth="1"/>
    <col min="10754" max="10754" width="13.125" style="168" customWidth="1"/>
    <col min="10755" max="10755" width="15" style="168" customWidth="1"/>
    <col min="10756" max="10756" width="35" style="168" customWidth="1"/>
    <col min="10757" max="10757" width="16.5" style="168" customWidth="1"/>
    <col min="10758" max="11008" width="9" style="168"/>
    <col min="11009" max="11009" width="30.75" style="168" customWidth="1"/>
    <col min="11010" max="11010" width="13.125" style="168" customWidth="1"/>
    <col min="11011" max="11011" width="15" style="168" customWidth="1"/>
    <col min="11012" max="11012" width="35" style="168" customWidth="1"/>
    <col min="11013" max="11013" width="16.5" style="168" customWidth="1"/>
    <col min="11014" max="11264" width="9" style="168"/>
    <col min="11265" max="11265" width="30.75" style="168" customWidth="1"/>
    <col min="11266" max="11266" width="13.125" style="168" customWidth="1"/>
    <col min="11267" max="11267" width="15" style="168" customWidth="1"/>
    <col min="11268" max="11268" width="35" style="168" customWidth="1"/>
    <col min="11269" max="11269" width="16.5" style="168" customWidth="1"/>
    <col min="11270" max="11520" width="9" style="168"/>
    <col min="11521" max="11521" width="30.75" style="168" customWidth="1"/>
    <col min="11522" max="11522" width="13.125" style="168" customWidth="1"/>
    <col min="11523" max="11523" width="15" style="168" customWidth="1"/>
    <col min="11524" max="11524" width="35" style="168" customWidth="1"/>
    <col min="11525" max="11525" width="16.5" style="168" customWidth="1"/>
    <col min="11526" max="11776" width="9" style="168"/>
    <col min="11777" max="11777" width="30.75" style="168" customWidth="1"/>
    <col min="11778" max="11778" width="13.125" style="168" customWidth="1"/>
    <col min="11779" max="11779" width="15" style="168" customWidth="1"/>
    <col min="11780" max="11780" width="35" style="168" customWidth="1"/>
    <col min="11781" max="11781" width="16.5" style="168" customWidth="1"/>
    <col min="11782" max="12032" width="9" style="168"/>
    <col min="12033" max="12033" width="30.75" style="168" customWidth="1"/>
    <col min="12034" max="12034" width="13.125" style="168" customWidth="1"/>
    <col min="12035" max="12035" width="15" style="168" customWidth="1"/>
    <col min="12036" max="12036" width="35" style="168" customWidth="1"/>
    <col min="12037" max="12037" width="16.5" style="168" customWidth="1"/>
    <col min="12038" max="12288" width="9" style="168"/>
    <col min="12289" max="12289" width="30.75" style="168" customWidth="1"/>
    <col min="12290" max="12290" width="13.125" style="168" customWidth="1"/>
    <col min="12291" max="12291" width="15" style="168" customWidth="1"/>
    <col min="12292" max="12292" width="35" style="168" customWidth="1"/>
    <col min="12293" max="12293" width="16.5" style="168" customWidth="1"/>
    <col min="12294" max="12544" width="9" style="168"/>
    <col min="12545" max="12545" width="30.75" style="168" customWidth="1"/>
    <col min="12546" max="12546" width="13.125" style="168" customWidth="1"/>
    <col min="12547" max="12547" width="15" style="168" customWidth="1"/>
    <col min="12548" max="12548" width="35" style="168" customWidth="1"/>
    <col min="12549" max="12549" width="16.5" style="168" customWidth="1"/>
    <col min="12550" max="12800" width="9" style="168"/>
    <col min="12801" max="12801" width="30.75" style="168" customWidth="1"/>
    <col min="12802" max="12802" width="13.125" style="168" customWidth="1"/>
    <col min="12803" max="12803" width="15" style="168" customWidth="1"/>
    <col min="12804" max="12804" width="35" style="168" customWidth="1"/>
    <col min="12805" max="12805" width="16.5" style="168" customWidth="1"/>
    <col min="12806" max="13056" width="9" style="168"/>
    <col min="13057" max="13057" width="30.75" style="168" customWidth="1"/>
    <col min="13058" max="13058" width="13.125" style="168" customWidth="1"/>
    <col min="13059" max="13059" width="15" style="168" customWidth="1"/>
    <col min="13060" max="13060" width="35" style="168" customWidth="1"/>
    <col min="13061" max="13061" width="16.5" style="168" customWidth="1"/>
    <col min="13062" max="13312" width="9" style="168"/>
    <col min="13313" max="13313" width="30.75" style="168" customWidth="1"/>
    <col min="13314" max="13314" width="13.125" style="168" customWidth="1"/>
    <col min="13315" max="13315" width="15" style="168" customWidth="1"/>
    <col min="13316" max="13316" width="35" style="168" customWidth="1"/>
    <col min="13317" max="13317" width="16.5" style="168" customWidth="1"/>
    <col min="13318" max="13568" width="9" style="168"/>
    <col min="13569" max="13569" width="30.75" style="168" customWidth="1"/>
    <col min="13570" max="13570" width="13.125" style="168" customWidth="1"/>
    <col min="13571" max="13571" width="15" style="168" customWidth="1"/>
    <col min="13572" max="13572" width="35" style="168" customWidth="1"/>
    <col min="13573" max="13573" width="16.5" style="168" customWidth="1"/>
    <col min="13574" max="13824" width="9" style="168"/>
    <col min="13825" max="13825" width="30.75" style="168" customWidth="1"/>
    <col min="13826" max="13826" width="13.125" style="168" customWidth="1"/>
    <col min="13827" max="13827" width="15" style="168" customWidth="1"/>
    <col min="13828" max="13828" width="35" style="168" customWidth="1"/>
    <col min="13829" max="13829" width="16.5" style="168" customWidth="1"/>
    <col min="13830" max="14080" width="9" style="168"/>
    <col min="14081" max="14081" width="30.75" style="168" customWidth="1"/>
    <col min="14082" max="14082" width="13.125" style="168" customWidth="1"/>
    <col min="14083" max="14083" width="15" style="168" customWidth="1"/>
    <col min="14084" max="14084" width="35" style="168" customWidth="1"/>
    <col min="14085" max="14085" width="16.5" style="168" customWidth="1"/>
    <col min="14086" max="14336" width="9" style="168"/>
    <col min="14337" max="14337" width="30.75" style="168" customWidth="1"/>
    <col min="14338" max="14338" width="13.125" style="168" customWidth="1"/>
    <col min="14339" max="14339" width="15" style="168" customWidth="1"/>
    <col min="14340" max="14340" width="35" style="168" customWidth="1"/>
    <col min="14341" max="14341" width="16.5" style="168" customWidth="1"/>
    <col min="14342" max="14592" width="9" style="168"/>
    <col min="14593" max="14593" width="30.75" style="168" customWidth="1"/>
    <col min="14594" max="14594" width="13.125" style="168" customWidth="1"/>
    <col min="14595" max="14595" width="15" style="168" customWidth="1"/>
    <col min="14596" max="14596" width="35" style="168" customWidth="1"/>
    <col min="14597" max="14597" width="16.5" style="168" customWidth="1"/>
    <col min="14598" max="14848" width="9" style="168"/>
    <col min="14849" max="14849" width="30.75" style="168" customWidth="1"/>
    <col min="14850" max="14850" width="13.125" style="168" customWidth="1"/>
    <col min="14851" max="14851" width="15" style="168" customWidth="1"/>
    <col min="14852" max="14852" width="35" style="168" customWidth="1"/>
    <col min="14853" max="14853" width="16.5" style="168" customWidth="1"/>
    <col min="14854" max="15104" width="9" style="168"/>
    <col min="15105" max="15105" width="30.75" style="168" customWidth="1"/>
    <col min="15106" max="15106" width="13.125" style="168" customWidth="1"/>
    <col min="15107" max="15107" width="15" style="168" customWidth="1"/>
    <col min="15108" max="15108" width="35" style="168" customWidth="1"/>
    <col min="15109" max="15109" width="16.5" style="168" customWidth="1"/>
    <col min="15110" max="15360" width="9" style="168"/>
    <col min="15361" max="15361" width="30.75" style="168" customWidth="1"/>
    <col min="15362" max="15362" width="13.125" style="168" customWidth="1"/>
    <col min="15363" max="15363" width="15" style="168" customWidth="1"/>
    <col min="15364" max="15364" width="35" style="168" customWidth="1"/>
    <col min="15365" max="15365" width="16.5" style="168" customWidth="1"/>
    <col min="15366" max="15616" width="9" style="168"/>
    <col min="15617" max="15617" width="30.75" style="168" customWidth="1"/>
    <col min="15618" max="15618" width="13.125" style="168" customWidth="1"/>
    <col min="15619" max="15619" width="15" style="168" customWidth="1"/>
    <col min="15620" max="15620" width="35" style="168" customWidth="1"/>
    <col min="15621" max="15621" width="16.5" style="168" customWidth="1"/>
    <col min="15622" max="15872" width="9" style="168"/>
    <col min="15873" max="15873" width="30.75" style="168" customWidth="1"/>
    <col min="15874" max="15874" width="13.125" style="168" customWidth="1"/>
    <col min="15875" max="15875" width="15" style="168" customWidth="1"/>
    <col min="15876" max="15876" width="35" style="168" customWidth="1"/>
    <col min="15877" max="15877" width="16.5" style="168" customWidth="1"/>
    <col min="15878" max="16128" width="9" style="168"/>
    <col min="16129" max="16129" width="30.75" style="168" customWidth="1"/>
    <col min="16130" max="16130" width="13.125" style="168" customWidth="1"/>
    <col min="16131" max="16131" width="15" style="168" customWidth="1"/>
    <col min="16132" max="16132" width="35" style="168" customWidth="1"/>
    <col min="16133" max="16133" width="16.5" style="168" customWidth="1"/>
    <col min="16134" max="16384" width="9" style="168"/>
  </cols>
  <sheetData>
    <row r="1" spans="1:10">
      <c r="A1" s="290" t="s">
        <v>6823</v>
      </c>
      <c r="B1" s="290">
        <v>60</v>
      </c>
      <c r="C1" s="290" t="s">
        <v>357</v>
      </c>
      <c r="D1" s="290"/>
      <c r="E1" s="291"/>
      <c r="F1" s="290" t="s">
        <v>6824</v>
      </c>
      <c r="G1" s="205">
        <v>40</v>
      </c>
      <c r="H1" s="205" t="s">
        <v>6825</v>
      </c>
      <c r="I1" s="205">
        <v>20</v>
      </c>
      <c r="J1" s="205" t="s">
        <v>6826</v>
      </c>
    </row>
    <row r="2" spans="1:10">
      <c r="A2" s="205" t="s">
        <v>6827</v>
      </c>
      <c r="B2" s="205">
        <v>0.3</v>
      </c>
      <c r="C2" s="205"/>
      <c r="D2" s="205"/>
      <c r="E2" s="204"/>
      <c r="F2" s="205"/>
      <c r="G2" s="205"/>
      <c r="H2" s="205"/>
      <c r="I2" s="205"/>
      <c r="J2" s="205"/>
    </row>
    <row r="3" spans="1:10">
      <c r="A3" s="205" t="s">
        <v>6828</v>
      </c>
      <c r="B3" s="205">
        <v>0.1</v>
      </c>
      <c r="C3" s="205" t="s">
        <v>320</v>
      </c>
      <c r="D3" s="205" t="s">
        <v>6829</v>
      </c>
      <c r="E3" s="204">
        <f>B3/2</f>
        <v>0.05</v>
      </c>
      <c r="F3" s="205" t="s">
        <v>320</v>
      </c>
      <c r="G3" s="205"/>
      <c r="H3" s="205"/>
      <c r="I3" s="205"/>
      <c r="J3" s="205"/>
    </row>
    <row r="4" spans="1:10">
      <c r="A4" s="205" t="s">
        <v>6830</v>
      </c>
      <c r="B4" s="205">
        <v>13.7</v>
      </c>
      <c r="C4" s="205" t="s">
        <v>357</v>
      </c>
      <c r="D4" s="205"/>
      <c r="E4" s="204"/>
      <c r="F4" s="205"/>
      <c r="G4" s="205"/>
      <c r="H4" s="205"/>
      <c r="I4" s="205"/>
      <c r="J4" s="205"/>
    </row>
    <row r="5" spans="1:10">
      <c r="A5" s="205" t="s">
        <v>6831</v>
      </c>
      <c r="B5" s="205">
        <v>0.9</v>
      </c>
      <c r="C5" s="205"/>
      <c r="D5" s="205"/>
      <c r="E5" s="204"/>
      <c r="F5" s="205"/>
      <c r="G5" s="205"/>
      <c r="H5" s="205"/>
      <c r="I5" s="205"/>
      <c r="J5" s="205"/>
    </row>
    <row r="6" spans="1:10">
      <c r="A6" s="205" t="s">
        <v>6832</v>
      </c>
      <c r="B6" s="292">
        <v>0.5</v>
      </c>
      <c r="C6" s="205" t="s">
        <v>6833</v>
      </c>
      <c r="D6" s="205"/>
      <c r="E6" s="204">
        <f>B6*60</f>
        <v>30</v>
      </c>
      <c r="F6" s="205" t="s">
        <v>353</v>
      </c>
      <c r="G6" s="205"/>
      <c r="H6" s="205"/>
      <c r="I6" s="205"/>
      <c r="J6" s="205"/>
    </row>
    <row r="7" spans="1:10">
      <c r="A7" s="205" t="s">
        <v>6834</v>
      </c>
      <c r="B7" s="205" t="s">
        <v>6835</v>
      </c>
      <c r="C7" s="205"/>
      <c r="D7" s="205"/>
      <c r="E7" s="204"/>
      <c r="F7" s="205"/>
      <c r="G7" s="205"/>
      <c r="H7" s="205"/>
      <c r="I7" s="205"/>
      <c r="J7" s="205"/>
    </row>
    <row r="8" spans="1:10">
      <c r="A8" s="205" t="s">
        <v>6836</v>
      </c>
      <c r="B8" s="205" t="s">
        <v>6837</v>
      </c>
      <c r="C8" s="205"/>
      <c r="D8" s="205"/>
      <c r="E8" s="204"/>
      <c r="F8" s="205"/>
      <c r="G8" s="205"/>
      <c r="H8" s="205"/>
      <c r="I8" s="205"/>
      <c r="J8" s="205"/>
    </row>
    <row r="9" spans="1:10">
      <c r="A9" s="205" t="s">
        <v>6838</v>
      </c>
      <c r="B9" s="205">
        <f>B6*60/(3.14*B3)</f>
        <v>95.5414012738853</v>
      </c>
      <c r="C9" s="205" t="s">
        <v>1123</v>
      </c>
      <c r="D9" s="205" t="s">
        <v>6839</v>
      </c>
      <c r="E9" s="204"/>
      <c r="F9" s="205"/>
      <c r="G9" s="205"/>
      <c r="H9" s="205"/>
      <c r="I9" s="205"/>
      <c r="J9" s="205"/>
    </row>
    <row r="10" spans="1:10">
      <c r="A10" s="205" t="s">
        <v>6840</v>
      </c>
      <c r="B10" s="205">
        <v>1300</v>
      </c>
      <c r="C10" s="205" t="s">
        <v>1123</v>
      </c>
      <c r="D10" s="205"/>
      <c r="E10" s="204"/>
      <c r="F10" s="205"/>
      <c r="G10" s="205"/>
      <c r="H10" s="205"/>
      <c r="I10" s="205"/>
      <c r="J10" s="205"/>
    </row>
    <row r="11" spans="1:10">
      <c r="A11" s="205" t="s">
        <v>6841</v>
      </c>
      <c r="B11" s="293">
        <f>B10/B9</f>
        <v>13.6066666666667</v>
      </c>
      <c r="C11" s="205"/>
      <c r="D11" s="205" t="s">
        <v>6842</v>
      </c>
      <c r="E11" s="204"/>
      <c r="F11" s="205"/>
      <c r="G11" s="205"/>
      <c r="H11" s="205"/>
      <c r="I11" s="205"/>
      <c r="J11" s="205"/>
    </row>
    <row r="12" spans="1:10">
      <c r="A12" s="205" t="s">
        <v>6843</v>
      </c>
      <c r="B12" s="205">
        <f>B2*B1*9.8*B6</f>
        <v>88.2</v>
      </c>
      <c r="C12" s="205" t="s">
        <v>194</v>
      </c>
      <c r="D12" s="205" t="s">
        <v>6844</v>
      </c>
      <c r="E12" s="204"/>
      <c r="F12" s="205"/>
      <c r="G12" s="205"/>
      <c r="H12" s="205"/>
      <c r="I12" s="205"/>
      <c r="J12" s="205"/>
    </row>
    <row r="13" spans="1:10">
      <c r="A13" s="205" t="s">
        <v>6845</v>
      </c>
      <c r="B13" s="205">
        <f>B2*B1*9.8</f>
        <v>176.4</v>
      </c>
      <c r="C13" s="205" t="s">
        <v>387</v>
      </c>
      <c r="D13" s="205" t="s">
        <v>6846</v>
      </c>
      <c r="E13" s="204"/>
      <c r="F13" s="205"/>
      <c r="G13" s="205"/>
      <c r="H13" s="205"/>
      <c r="I13" s="205"/>
      <c r="J13" s="205"/>
    </row>
    <row r="14" spans="1:10">
      <c r="A14" s="205" t="s">
        <v>6847</v>
      </c>
      <c r="B14" s="205">
        <f>B13*E3/B5</f>
        <v>9.8</v>
      </c>
      <c r="C14" s="205" t="s">
        <v>1729</v>
      </c>
      <c r="D14" s="205"/>
      <c r="E14" s="204"/>
      <c r="F14" s="205"/>
      <c r="G14" s="205"/>
      <c r="H14" s="205"/>
      <c r="I14" s="205"/>
      <c r="J14" s="205"/>
    </row>
    <row r="15" spans="1:10">
      <c r="A15" s="205" t="s">
        <v>6848</v>
      </c>
      <c r="B15" s="205">
        <f>B14/(B11*B16)</f>
        <v>1.09126542247561</v>
      </c>
      <c r="C15" s="205" t="s">
        <v>1729</v>
      </c>
      <c r="D15" s="205" t="s">
        <v>6849</v>
      </c>
      <c r="E15" s="204"/>
      <c r="F15" s="205"/>
      <c r="G15" s="205"/>
      <c r="H15" s="205"/>
      <c r="I15" s="205"/>
      <c r="J15" s="205"/>
    </row>
    <row r="16" spans="1:10">
      <c r="A16" s="205" t="s">
        <v>6850</v>
      </c>
      <c r="B16" s="205">
        <v>0.66</v>
      </c>
      <c r="C16" s="205"/>
      <c r="D16" s="205"/>
      <c r="E16" s="204"/>
      <c r="F16" s="205"/>
      <c r="G16" s="205"/>
      <c r="H16" s="205"/>
      <c r="I16" s="205"/>
      <c r="J16" s="205"/>
    </row>
    <row r="17" spans="1:10">
      <c r="A17" s="205" t="s">
        <v>6851</v>
      </c>
      <c r="B17" s="205">
        <f>B15*2</f>
        <v>2.18253084495123</v>
      </c>
      <c r="C17" s="205" t="s">
        <v>1729</v>
      </c>
      <c r="D17" s="205" t="s">
        <v>6852</v>
      </c>
      <c r="E17" s="204" t="s">
        <v>6853</v>
      </c>
      <c r="F17" s="205"/>
      <c r="G17" s="205"/>
      <c r="H17" s="205"/>
      <c r="I17" s="205"/>
      <c r="J17" s="295" t="s">
        <v>88</v>
      </c>
    </row>
    <row r="18" spans="1:10">
      <c r="A18" s="205" t="s">
        <v>6854</v>
      </c>
      <c r="B18" s="205">
        <f>B15*E18</f>
        <v>1.36408177809452</v>
      </c>
      <c r="C18" s="205" t="s">
        <v>1729</v>
      </c>
      <c r="D18" s="205" t="s">
        <v>6855</v>
      </c>
      <c r="E18" s="204">
        <v>1.25</v>
      </c>
      <c r="F18" s="205"/>
      <c r="G18" s="205"/>
      <c r="H18" s="205"/>
      <c r="I18" s="205"/>
      <c r="J18" s="296"/>
    </row>
    <row r="22" spans="4:4">
      <c r="D22" s="289" t="s">
        <v>106</v>
      </c>
    </row>
    <row r="23" spans="4:4">
      <c r="D23" s="289"/>
    </row>
    <row r="26" spans="1:6">
      <c r="A26" s="205" t="s">
        <v>6856</v>
      </c>
      <c r="B26" s="205">
        <f>G1*E3*E3+B4*E3*E3+I1*E3*E3</f>
        <v>0.18425</v>
      </c>
      <c r="C26" s="205" t="s">
        <v>6857</v>
      </c>
      <c r="D26" s="205"/>
      <c r="E26" s="205"/>
      <c r="F26" s="205"/>
    </row>
    <row r="27" spans="1:7">
      <c r="A27" s="205" t="s">
        <v>6858</v>
      </c>
      <c r="B27" s="205">
        <f>1/B11</f>
        <v>0.0734933855952964</v>
      </c>
      <c r="C27" s="205"/>
      <c r="D27" s="205"/>
      <c r="E27" s="205"/>
      <c r="F27" s="205"/>
      <c r="G27" s="168" t="s">
        <v>106</v>
      </c>
    </row>
    <row r="28" spans="1:6">
      <c r="A28" s="205" t="s">
        <v>6859</v>
      </c>
      <c r="B28" s="205">
        <f>B26*B27*B27</f>
        <v>0.000995185421063206</v>
      </c>
      <c r="C28" s="205" t="s">
        <v>6857</v>
      </c>
      <c r="D28" s="205"/>
      <c r="E28" s="205"/>
      <c r="F28" s="205"/>
    </row>
    <row r="29" spans="1:6">
      <c r="A29" s="205" t="s">
        <v>6860</v>
      </c>
      <c r="B29" s="205">
        <v>50</v>
      </c>
      <c r="C29" s="205" t="s">
        <v>6861</v>
      </c>
      <c r="D29" s="205" t="s">
        <v>106</v>
      </c>
      <c r="E29" s="205" t="s">
        <v>6862</v>
      </c>
      <c r="F29" s="205">
        <v>1</v>
      </c>
    </row>
    <row r="42" spans="1:3">
      <c r="A42" s="168" t="s">
        <v>6863</v>
      </c>
      <c r="B42" s="168">
        <f>B28*F29</f>
        <v>0.000995185421063206</v>
      </c>
      <c r="C42" s="168" t="s">
        <v>6857</v>
      </c>
    </row>
    <row r="43" spans="1:1">
      <c r="A43" s="168" t="s">
        <v>106</v>
      </c>
    </row>
    <row r="45" ht="20.4" spans="1:1">
      <c r="A45" s="294" t="s">
        <v>6864</v>
      </c>
    </row>
    <row r="57" spans="5:5">
      <c r="E57" s="168" t="s">
        <v>106</v>
      </c>
    </row>
    <row r="87" spans="4:4">
      <c r="D87" s="168" t="s">
        <v>106</v>
      </c>
    </row>
    <row r="90" spans="1:6">
      <c r="A90" s="205" t="s">
        <v>6865</v>
      </c>
      <c r="B90" s="205">
        <f>B101*E90*B99/(1000*B100)</f>
        <v>0.716075077543945</v>
      </c>
      <c r="C90" s="205" t="s">
        <v>596</v>
      </c>
      <c r="D90" s="205" t="s">
        <v>6866</v>
      </c>
      <c r="E90" s="168">
        <f>B91*E92</f>
        <v>2673.34695616406</v>
      </c>
      <c r="F90" s="168" t="s">
        <v>387</v>
      </c>
    </row>
    <row r="91" spans="1:4">
      <c r="A91" s="205" t="s">
        <v>6867</v>
      </c>
      <c r="B91" s="205">
        <f>B102*B103*B105*E92</f>
        <v>3223.81303125</v>
      </c>
      <c r="C91" s="205" t="s">
        <v>387</v>
      </c>
      <c r="D91" s="205"/>
    </row>
    <row r="92" spans="1:5">
      <c r="A92" s="205" t="s">
        <v>6868</v>
      </c>
      <c r="B92" s="205">
        <v>0.8</v>
      </c>
      <c r="C92" s="205" t="s">
        <v>320</v>
      </c>
      <c r="D92" s="205" t="s">
        <v>6869</v>
      </c>
      <c r="E92" s="168">
        <f>B93/B92</f>
        <v>0.82925</v>
      </c>
    </row>
    <row r="93" spans="1:4">
      <c r="A93" s="205" t="s">
        <v>6870</v>
      </c>
      <c r="B93" s="205">
        <v>0.6634</v>
      </c>
      <c r="C93" s="205" t="s">
        <v>320</v>
      </c>
      <c r="D93" s="205"/>
    </row>
    <row r="94" spans="1:4">
      <c r="A94" s="205" t="s">
        <v>6871</v>
      </c>
      <c r="B94" s="205">
        <v>800</v>
      </c>
      <c r="C94" s="205" t="s">
        <v>387</v>
      </c>
      <c r="D94" s="205"/>
    </row>
    <row r="95" spans="1:7">
      <c r="A95" s="205" t="s">
        <v>6872</v>
      </c>
      <c r="B95" s="205">
        <v>10</v>
      </c>
      <c r="C95" s="205" t="s">
        <v>387</v>
      </c>
      <c r="D95" s="205" t="s">
        <v>6873</v>
      </c>
      <c r="E95" s="168" t="s">
        <v>6874</v>
      </c>
      <c r="F95" s="168" t="s">
        <v>6875</v>
      </c>
      <c r="G95" s="168">
        <v>15.875</v>
      </c>
    </row>
    <row r="96" spans="1:5">
      <c r="A96" s="205" t="s">
        <v>6876</v>
      </c>
      <c r="B96" s="205">
        <v>7.5</v>
      </c>
      <c r="C96" s="205"/>
      <c r="D96" s="205"/>
      <c r="E96" s="168" t="s">
        <v>6877</v>
      </c>
    </row>
    <row r="97" spans="1:4">
      <c r="A97" s="205" t="s">
        <v>6878</v>
      </c>
      <c r="B97" s="205">
        <v>70</v>
      </c>
      <c r="C97" s="205" t="s">
        <v>387</v>
      </c>
      <c r="D97" s="205"/>
    </row>
    <row r="98" spans="1:4">
      <c r="A98" s="205" t="s">
        <v>6879</v>
      </c>
      <c r="B98" s="205">
        <v>70</v>
      </c>
      <c r="C98" s="205" t="s">
        <v>387</v>
      </c>
      <c r="D98" s="205"/>
    </row>
    <row r="99" spans="1:4">
      <c r="A99" s="205" t="s">
        <v>6880</v>
      </c>
      <c r="B99" s="205">
        <v>0.1</v>
      </c>
      <c r="C99" s="205" t="s">
        <v>359</v>
      </c>
      <c r="D99" s="205"/>
    </row>
    <row r="100" spans="1:4">
      <c r="A100" s="205" t="s">
        <v>6881</v>
      </c>
      <c r="B100" s="205">
        <v>0.448</v>
      </c>
      <c r="C100" s="205"/>
      <c r="D100" s="205"/>
    </row>
    <row r="101" spans="1:5">
      <c r="A101" s="205" t="s">
        <v>6882</v>
      </c>
      <c r="B101" s="205">
        <v>1.2</v>
      </c>
      <c r="C101" s="205"/>
      <c r="D101" s="205"/>
      <c r="E101" s="168" t="s">
        <v>106</v>
      </c>
    </row>
    <row r="102" spans="1:4">
      <c r="A102" s="205" t="s">
        <v>6883</v>
      </c>
      <c r="B102" s="205">
        <v>0.025</v>
      </c>
      <c r="C102" s="205"/>
      <c r="D102" s="205"/>
    </row>
    <row r="103" spans="1:4">
      <c r="A103" s="205" t="s">
        <v>6884</v>
      </c>
      <c r="B103" s="205">
        <f>B97+B96*B98+(B96+1)*B94+B95</f>
        <v>7405</v>
      </c>
      <c r="C103" s="205" t="s">
        <v>387</v>
      </c>
      <c r="D103" s="205"/>
    </row>
    <row r="104" spans="1:4">
      <c r="A104" s="205" t="s">
        <v>6885</v>
      </c>
      <c r="B104" s="205">
        <v>2.6</v>
      </c>
      <c r="C104" s="205" t="s">
        <v>1688</v>
      </c>
      <c r="D104" s="205"/>
    </row>
    <row r="105" spans="1:4">
      <c r="A105" s="205" t="s">
        <v>6886</v>
      </c>
      <c r="B105" s="205">
        <v>21</v>
      </c>
      <c r="C105" s="205"/>
      <c r="D105" s="205"/>
    </row>
  </sheetData>
  <mergeCells count="2">
    <mergeCell ref="D22:D23"/>
    <mergeCell ref="J17:J18"/>
  </mergeCells>
  <hyperlinks>
    <hyperlink ref="J17:J18" location="目录!A1" display="目录!A1"/>
  </hyperlinks>
  <pageMargins left="0.7" right="0.7" top="0.75" bottom="0.75" header="0.3" footer="0.3"/>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57"/>
  <sheetViews>
    <sheetView topLeftCell="A192" workbookViewId="0">
      <selection activeCell="N17" sqref="N17"/>
    </sheetView>
  </sheetViews>
  <sheetFormatPr defaultColWidth="9" defaultRowHeight="18" customHeight="1" outlineLevelCol="7"/>
  <cols>
    <col min="1" max="1" width="13.875" style="168" customWidth="1"/>
    <col min="2" max="2" width="11.625" style="168" customWidth="1"/>
    <col min="3" max="3" width="9.125" style="168" customWidth="1"/>
    <col min="4" max="4" width="9.375" style="168" customWidth="1"/>
    <col min="5" max="5" width="6.75" style="168" customWidth="1"/>
    <col min="6" max="7" width="10.25" style="168" customWidth="1"/>
    <col min="8" max="256" width="9" style="168"/>
    <col min="257" max="257" width="13.875" style="168" customWidth="1"/>
    <col min="258" max="258" width="11.625" style="168" customWidth="1"/>
    <col min="259" max="259" width="9.125" style="168" customWidth="1"/>
    <col min="260" max="260" width="9.375" style="168" customWidth="1"/>
    <col min="261" max="261" width="6.75" style="168" customWidth="1"/>
    <col min="262" max="263" width="10.25" style="168" customWidth="1"/>
    <col min="264" max="512" width="9" style="168"/>
    <col min="513" max="513" width="13.875" style="168" customWidth="1"/>
    <col min="514" max="514" width="11.625" style="168" customWidth="1"/>
    <col min="515" max="515" width="9.125" style="168" customWidth="1"/>
    <col min="516" max="516" width="9.375" style="168" customWidth="1"/>
    <col min="517" max="517" width="6.75" style="168" customWidth="1"/>
    <col min="518" max="519" width="10.25" style="168" customWidth="1"/>
    <col min="520" max="768" width="9" style="168"/>
    <col min="769" max="769" width="13.875" style="168" customWidth="1"/>
    <col min="770" max="770" width="11.625" style="168" customWidth="1"/>
    <col min="771" max="771" width="9.125" style="168" customWidth="1"/>
    <col min="772" max="772" width="9.375" style="168" customWidth="1"/>
    <col min="773" max="773" width="6.75" style="168" customWidth="1"/>
    <col min="774" max="775" width="10.25" style="168" customWidth="1"/>
    <col min="776" max="1024" width="9" style="168"/>
    <col min="1025" max="1025" width="13.875" style="168" customWidth="1"/>
    <col min="1026" max="1026" width="11.625" style="168" customWidth="1"/>
    <col min="1027" max="1027" width="9.125" style="168" customWidth="1"/>
    <col min="1028" max="1028" width="9.375" style="168" customWidth="1"/>
    <col min="1029" max="1029" width="6.75" style="168" customWidth="1"/>
    <col min="1030" max="1031" width="10.25" style="168" customWidth="1"/>
    <col min="1032" max="1280" width="9" style="168"/>
    <col min="1281" max="1281" width="13.875" style="168" customWidth="1"/>
    <col min="1282" max="1282" width="11.625" style="168" customWidth="1"/>
    <col min="1283" max="1283" width="9.125" style="168" customWidth="1"/>
    <col min="1284" max="1284" width="9.375" style="168" customWidth="1"/>
    <col min="1285" max="1285" width="6.75" style="168" customWidth="1"/>
    <col min="1286" max="1287" width="10.25" style="168" customWidth="1"/>
    <col min="1288" max="1536" width="9" style="168"/>
    <col min="1537" max="1537" width="13.875" style="168" customWidth="1"/>
    <col min="1538" max="1538" width="11.625" style="168" customWidth="1"/>
    <col min="1539" max="1539" width="9.125" style="168" customWidth="1"/>
    <col min="1540" max="1540" width="9.375" style="168" customWidth="1"/>
    <col min="1541" max="1541" width="6.75" style="168" customWidth="1"/>
    <col min="1542" max="1543" width="10.25" style="168" customWidth="1"/>
    <col min="1544" max="1792" width="9" style="168"/>
    <col min="1793" max="1793" width="13.875" style="168" customWidth="1"/>
    <col min="1794" max="1794" width="11.625" style="168" customWidth="1"/>
    <col min="1795" max="1795" width="9.125" style="168" customWidth="1"/>
    <col min="1796" max="1796" width="9.375" style="168" customWidth="1"/>
    <col min="1797" max="1797" width="6.75" style="168" customWidth="1"/>
    <col min="1798" max="1799" width="10.25" style="168" customWidth="1"/>
    <col min="1800" max="2048" width="9" style="168"/>
    <col min="2049" max="2049" width="13.875" style="168" customWidth="1"/>
    <col min="2050" max="2050" width="11.625" style="168" customWidth="1"/>
    <col min="2051" max="2051" width="9.125" style="168" customWidth="1"/>
    <col min="2052" max="2052" width="9.375" style="168" customWidth="1"/>
    <col min="2053" max="2053" width="6.75" style="168" customWidth="1"/>
    <col min="2054" max="2055" width="10.25" style="168" customWidth="1"/>
    <col min="2056" max="2304" width="9" style="168"/>
    <col min="2305" max="2305" width="13.875" style="168" customWidth="1"/>
    <col min="2306" max="2306" width="11.625" style="168" customWidth="1"/>
    <col min="2307" max="2307" width="9.125" style="168" customWidth="1"/>
    <col min="2308" max="2308" width="9.375" style="168" customWidth="1"/>
    <col min="2309" max="2309" width="6.75" style="168" customWidth="1"/>
    <col min="2310" max="2311" width="10.25" style="168" customWidth="1"/>
    <col min="2312" max="2560" width="9" style="168"/>
    <col min="2561" max="2561" width="13.875" style="168" customWidth="1"/>
    <col min="2562" max="2562" width="11.625" style="168" customWidth="1"/>
    <col min="2563" max="2563" width="9.125" style="168" customWidth="1"/>
    <col min="2564" max="2564" width="9.375" style="168" customWidth="1"/>
    <col min="2565" max="2565" width="6.75" style="168" customWidth="1"/>
    <col min="2566" max="2567" width="10.25" style="168" customWidth="1"/>
    <col min="2568" max="2816" width="9" style="168"/>
    <col min="2817" max="2817" width="13.875" style="168" customWidth="1"/>
    <col min="2818" max="2818" width="11.625" style="168" customWidth="1"/>
    <col min="2819" max="2819" width="9.125" style="168" customWidth="1"/>
    <col min="2820" max="2820" width="9.375" style="168" customWidth="1"/>
    <col min="2821" max="2821" width="6.75" style="168" customWidth="1"/>
    <col min="2822" max="2823" width="10.25" style="168" customWidth="1"/>
    <col min="2824" max="3072" width="9" style="168"/>
    <col min="3073" max="3073" width="13.875" style="168" customWidth="1"/>
    <col min="3074" max="3074" width="11.625" style="168" customWidth="1"/>
    <col min="3075" max="3075" width="9.125" style="168" customWidth="1"/>
    <col min="3076" max="3076" width="9.375" style="168" customWidth="1"/>
    <col min="3077" max="3077" width="6.75" style="168" customWidth="1"/>
    <col min="3078" max="3079" width="10.25" style="168" customWidth="1"/>
    <col min="3080" max="3328" width="9" style="168"/>
    <col min="3329" max="3329" width="13.875" style="168" customWidth="1"/>
    <col min="3330" max="3330" width="11.625" style="168" customWidth="1"/>
    <col min="3331" max="3331" width="9.125" style="168" customWidth="1"/>
    <col min="3332" max="3332" width="9.375" style="168" customWidth="1"/>
    <col min="3333" max="3333" width="6.75" style="168" customWidth="1"/>
    <col min="3334" max="3335" width="10.25" style="168" customWidth="1"/>
    <col min="3336" max="3584" width="9" style="168"/>
    <col min="3585" max="3585" width="13.875" style="168" customWidth="1"/>
    <col min="3586" max="3586" width="11.625" style="168" customWidth="1"/>
    <col min="3587" max="3587" width="9.125" style="168" customWidth="1"/>
    <col min="3588" max="3588" width="9.375" style="168" customWidth="1"/>
    <col min="3589" max="3589" width="6.75" style="168" customWidth="1"/>
    <col min="3590" max="3591" width="10.25" style="168" customWidth="1"/>
    <col min="3592" max="3840" width="9" style="168"/>
    <col min="3841" max="3841" width="13.875" style="168" customWidth="1"/>
    <col min="3842" max="3842" width="11.625" style="168" customWidth="1"/>
    <col min="3843" max="3843" width="9.125" style="168" customWidth="1"/>
    <col min="3844" max="3844" width="9.375" style="168" customWidth="1"/>
    <col min="3845" max="3845" width="6.75" style="168" customWidth="1"/>
    <col min="3846" max="3847" width="10.25" style="168" customWidth="1"/>
    <col min="3848" max="4096" width="9" style="168"/>
    <col min="4097" max="4097" width="13.875" style="168" customWidth="1"/>
    <col min="4098" max="4098" width="11.625" style="168" customWidth="1"/>
    <col min="4099" max="4099" width="9.125" style="168" customWidth="1"/>
    <col min="4100" max="4100" width="9.375" style="168" customWidth="1"/>
    <col min="4101" max="4101" width="6.75" style="168" customWidth="1"/>
    <col min="4102" max="4103" width="10.25" style="168" customWidth="1"/>
    <col min="4104" max="4352" width="9" style="168"/>
    <col min="4353" max="4353" width="13.875" style="168" customWidth="1"/>
    <col min="4354" max="4354" width="11.625" style="168" customWidth="1"/>
    <col min="4355" max="4355" width="9.125" style="168" customWidth="1"/>
    <col min="4356" max="4356" width="9.375" style="168" customWidth="1"/>
    <col min="4357" max="4357" width="6.75" style="168" customWidth="1"/>
    <col min="4358" max="4359" width="10.25" style="168" customWidth="1"/>
    <col min="4360" max="4608" width="9" style="168"/>
    <col min="4609" max="4609" width="13.875" style="168" customWidth="1"/>
    <col min="4610" max="4610" width="11.625" style="168" customWidth="1"/>
    <col min="4611" max="4611" width="9.125" style="168" customWidth="1"/>
    <col min="4612" max="4612" width="9.375" style="168" customWidth="1"/>
    <col min="4613" max="4613" width="6.75" style="168" customWidth="1"/>
    <col min="4614" max="4615" width="10.25" style="168" customWidth="1"/>
    <col min="4616" max="4864" width="9" style="168"/>
    <col min="4865" max="4865" width="13.875" style="168" customWidth="1"/>
    <col min="4866" max="4866" width="11.625" style="168" customWidth="1"/>
    <col min="4867" max="4867" width="9.125" style="168" customWidth="1"/>
    <col min="4868" max="4868" width="9.375" style="168" customWidth="1"/>
    <col min="4869" max="4869" width="6.75" style="168" customWidth="1"/>
    <col min="4870" max="4871" width="10.25" style="168" customWidth="1"/>
    <col min="4872" max="5120" width="9" style="168"/>
    <col min="5121" max="5121" width="13.875" style="168" customWidth="1"/>
    <col min="5122" max="5122" width="11.625" style="168" customWidth="1"/>
    <col min="5123" max="5123" width="9.125" style="168" customWidth="1"/>
    <col min="5124" max="5124" width="9.375" style="168" customWidth="1"/>
    <col min="5125" max="5125" width="6.75" style="168" customWidth="1"/>
    <col min="5126" max="5127" width="10.25" style="168" customWidth="1"/>
    <col min="5128" max="5376" width="9" style="168"/>
    <col min="5377" max="5377" width="13.875" style="168" customWidth="1"/>
    <col min="5378" max="5378" width="11.625" style="168" customWidth="1"/>
    <col min="5379" max="5379" width="9.125" style="168" customWidth="1"/>
    <col min="5380" max="5380" width="9.375" style="168" customWidth="1"/>
    <col min="5381" max="5381" width="6.75" style="168" customWidth="1"/>
    <col min="5382" max="5383" width="10.25" style="168" customWidth="1"/>
    <col min="5384" max="5632" width="9" style="168"/>
    <col min="5633" max="5633" width="13.875" style="168" customWidth="1"/>
    <col min="5634" max="5634" width="11.625" style="168" customWidth="1"/>
    <col min="5635" max="5635" width="9.125" style="168" customWidth="1"/>
    <col min="5636" max="5636" width="9.375" style="168" customWidth="1"/>
    <col min="5637" max="5637" width="6.75" style="168" customWidth="1"/>
    <col min="5638" max="5639" width="10.25" style="168" customWidth="1"/>
    <col min="5640" max="5888" width="9" style="168"/>
    <col min="5889" max="5889" width="13.875" style="168" customWidth="1"/>
    <col min="5890" max="5890" width="11.625" style="168" customWidth="1"/>
    <col min="5891" max="5891" width="9.125" style="168" customWidth="1"/>
    <col min="5892" max="5892" width="9.375" style="168" customWidth="1"/>
    <col min="5893" max="5893" width="6.75" style="168" customWidth="1"/>
    <col min="5894" max="5895" width="10.25" style="168" customWidth="1"/>
    <col min="5896" max="6144" width="9" style="168"/>
    <col min="6145" max="6145" width="13.875" style="168" customWidth="1"/>
    <col min="6146" max="6146" width="11.625" style="168" customWidth="1"/>
    <col min="6147" max="6147" width="9.125" style="168" customWidth="1"/>
    <col min="6148" max="6148" width="9.375" style="168" customWidth="1"/>
    <col min="6149" max="6149" width="6.75" style="168" customWidth="1"/>
    <col min="6150" max="6151" width="10.25" style="168" customWidth="1"/>
    <col min="6152" max="6400" width="9" style="168"/>
    <col min="6401" max="6401" width="13.875" style="168" customWidth="1"/>
    <col min="6402" max="6402" width="11.625" style="168" customWidth="1"/>
    <col min="6403" max="6403" width="9.125" style="168" customWidth="1"/>
    <col min="6404" max="6404" width="9.375" style="168" customWidth="1"/>
    <col min="6405" max="6405" width="6.75" style="168" customWidth="1"/>
    <col min="6406" max="6407" width="10.25" style="168" customWidth="1"/>
    <col min="6408" max="6656" width="9" style="168"/>
    <col min="6657" max="6657" width="13.875" style="168" customWidth="1"/>
    <col min="6658" max="6658" width="11.625" style="168" customWidth="1"/>
    <col min="6659" max="6659" width="9.125" style="168" customWidth="1"/>
    <col min="6660" max="6660" width="9.375" style="168" customWidth="1"/>
    <col min="6661" max="6661" width="6.75" style="168" customWidth="1"/>
    <col min="6662" max="6663" width="10.25" style="168" customWidth="1"/>
    <col min="6664" max="6912" width="9" style="168"/>
    <col min="6913" max="6913" width="13.875" style="168" customWidth="1"/>
    <col min="6914" max="6914" width="11.625" style="168" customWidth="1"/>
    <col min="6915" max="6915" width="9.125" style="168" customWidth="1"/>
    <col min="6916" max="6916" width="9.375" style="168" customWidth="1"/>
    <col min="6917" max="6917" width="6.75" style="168" customWidth="1"/>
    <col min="6918" max="6919" width="10.25" style="168" customWidth="1"/>
    <col min="6920" max="7168" width="9" style="168"/>
    <col min="7169" max="7169" width="13.875" style="168" customWidth="1"/>
    <col min="7170" max="7170" width="11.625" style="168" customWidth="1"/>
    <col min="7171" max="7171" width="9.125" style="168" customWidth="1"/>
    <col min="7172" max="7172" width="9.375" style="168" customWidth="1"/>
    <col min="7173" max="7173" width="6.75" style="168" customWidth="1"/>
    <col min="7174" max="7175" width="10.25" style="168" customWidth="1"/>
    <col min="7176" max="7424" width="9" style="168"/>
    <col min="7425" max="7425" width="13.875" style="168" customWidth="1"/>
    <col min="7426" max="7426" width="11.625" style="168" customWidth="1"/>
    <col min="7427" max="7427" width="9.125" style="168" customWidth="1"/>
    <col min="7428" max="7428" width="9.375" style="168" customWidth="1"/>
    <col min="7429" max="7429" width="6.75" style="168" customWidth="1"/>
    <col min="7430" max="7431" width="10.25" style="168" customWidth="1"/>
    <col min="7432" max="7680" width="9" style="168"/>
    <col min="7681" max="7681" width="13.875" style="168" customWidth="1"/>
    <col min="7682" max="7682" width="11.625" style="168" customWidth="1"/>
    <col min="7683" max="7683" width="9.125" style="168" customWidth="1"/>
    <col min="7684" max="7684" width="9.375" style="168" customWidth="1"/>
    <col min="7685" max="7685" width="6.75" style="168" customWidth="1"/>
    <col min="7686" max="7687" width="10.25" style="168" customWidth="1"/>
    <col min="7688" max="7936" width="9" style="168"/>
    <col min="7937" max="7937" width="13.875" style="168" customWidth="1"/>
    <col min="7938" max="7938" width="11.625" style="168" customWidth="1"/>
    <col min="7939" max="7939" width="9.125" style="168" customWidth="1"/>
    <col min="7940" max="7940" width="9.375" style="168" customWidth="1"/>
    <col min="7941" max="7941" width="6.75" style="168" customWidth="1"/>
    <col min="7942" max="7943" width="10.25" style="168" customWidth="1"/>
    <col min="7944" max="8192" width="9" style="168"/>
    <col min="8193" max="8193" width="13.875" style="168" customWidth="1"/>
    <col min="8194" max="8194" width="11.625" style="168" customWidth="1"/>
    <col min="8195" max="8195" width="9.125" style="168" customWidth="1"/>
    <col min="8196" max="8196" width="9.375" style="168" customWidth="1"/>
    <col min="8197" max="8197" width="6.75" style="168" customWidth="1"/>
    <col min="8198" max="8199" width="10.25" style="168" customWidth="1"/>
    <col min="8200" max="8448" width="9" style="168"/>
    <col min="8449" max="8449" width="13.875" style="168" customWidth="1"/>
    <col min="8450" max="8450" width="11.625" style="168" customWidth="1"/>
    <col min="8451" max="8451" width="9.125" style="168" customWidth="1"/>
    <col min="8452" max="8452" width="9.375" style="168" customWidth="1"/>
    <col min="8453" max="8453" width="6.75" style="168" customWidth="1"/>
    <col min="8454" max="8455" width="10.25" style="168" customWidth="1"/>
    <col min="8456" max="8704" width="9" style="168"/>
    <col min="8705" max="8705" width="13.875" style="168" customWidth="1"/>
    <col min="8706" max="8706" width="11.625" style="168" customWidth="1"/>
    <col min="8707" max="8707" width="9.125" style="168" customWidth="1"/>
    <col min="8708" max="8708" width="9.375" style="168" customWidth="1"/>
    <col min="8709" max="8709" width="6.75" style="168" customWidth="1"/>
    <col min="8710" max="8711" width="10.25" style="168" customWidth="1"/>
    <col min="8712" max="8960" width="9" style="168"/>
    <col min="8961" max="8961" width="13.875" style="168" customWidth="1"/>
    <col min="8962" max="8962" width="11.625" style="168" customWidth="1"/>
    <col min="8963" max="8963" width="9.125" style="168" customWidth="1"/>
    <col min="8964" max="8964" width="9.375" style="168" customWidth="1"/>
    <col min="8965" max="8965" width="6.75" style="168" customWidth="1"/>
    <col min="8966" max="8967" width="10.25" style="168" customWidth="1"/>
    <col min="8968" max="9216" width="9" style="168"/>
    <col min="9217" max="9217" width="13.875" style="168" customWidth="1"/>
    <col min="9218" max="9218" width="11.625" style="168" customWidth="1"/>
    <col min="9219" max="9219" width="9.125" style="168" customWidth="1"/>
    <col min="9220" max="9220" width="9.375" style="168" customWidth="1"/>
    <col min="9221" max="9221" width="6.75" style="168" customWidth="1"/>
    <col min="9222" max="9223" width="10.25" style="168" customWidth="1"/>
    <col min="9224" max="9472" width="9" style="168"/>
    <col min="9473" max="9473" width="13.875" style="168" customWidth="1"/>
    <col min="9474" max="9474" width="11.625" style="168" customWidth="1"/>
    <col min="9475" max="9475" width="9.125" style="168" customWidth="1"/>
    <col min="9476" max="9476" width="9.375" style="168" customWidth="1"/>
    <col min="9477" max="9477" width="6.75" style="168" customWidth="1"/>
    <col min="9478" max="9479" width="10.25" style="168" customWidth="1"/>
    <col min="9480" max="9728" width="9" style="168"/>
    <col min="9729" max="9729" width="13.875" style="168" customWidth="1"/>
    <col min="9730" max="9730" width="11.625" style="168" customWidth="1"/>
    <col min="9731" max="9731" width="9.125" style="168" customWidth="1"/>
    <col min="9732" max="9732" width="9.375" style="168" customWidth="1"/>
    <col min="9733" max="9733" width="6.75" style="168" customWidth="1"/>
    <col min="9734" max="9735" width="10.25" style="168" customWidth="1"/>
    <col min="9736" max="9984" width="9" style="168"/>
    <col min="9985" max="9985" width="13.875" style="168" customWidth="1"/>
    <col min="9986" max="9986" width="11.625" style="168" customWidth="1"/>
    <col min="9987" max="9987" width="9.125" style="168" customWidth="1"/>
    <col min="9988" max="9988" width="9.375" style="168" customWidth="1"/>
    <col min="9989" max="9989" width="6.75" style="168" customWidth="1"/>
    <col min="9990" max="9991" width="10.25" style="168" customWidth="1"/>
    <col min="9992" max="10240" width="9" style="168"/>
    <col min="10241" max="10241" width="13.875" style="168" customWidth="1"/>
    <col min="10242" max="10242" width="11.625" style="168" customWidth="1"/>
    <col min="10243" max="10243" width="9.125" style="168" customWidth="1"/>
    <col min="10244" max="10244" width="9.375" style="168" customWidth="1"/>
    <col min="10245" max="10245" width="6.75" style="168" customWidth="1"/>
    <col min="10246" max="10247" width="10.25" style="168" customWidth="1"/>
    <col min="10248" max="10496" width="9" style="168"/>
    <col min="10497" max="10497" width="13.875" style="168" customWidth="1"/>
    <col min="10498" max="10498" width="11.625" style="168" customWidth="1"/>
    <col min="10499" max="10499" width="9.125" style="168" customWidth="1"/>
    <col min="10500" max="10500" width="9.375" style="168" customWidth="1"/>
    <col min="10501" max="10501" width="6.75" style="168" customWidth="1"/>
    <col min="10502" max="10503" width="10.25" style="168" customWidth="1"/>
    <col min="10504" max="10752" width="9" style="168"/>
    <col min="10753" max="10753" width="13.875" style="168" customWidth="1"/>
    <col min="10754" max="10754" width="11.625" style="168" customWidth="1"/>
    <col min="10755" max="10755" width="9.125" style="168" customWidth="1"/>
    <col min="10756" max="10756" width="9.375" style="168" customWidth="1"/>
    <col min="10757" max="10757" width="6.75" style="168" customWidth="1"/>
    <col min="10758" max="10759" width="10.25" style="168" customWidth="1"/>
    <col min="10760" max="11008" width="9" style="168"/>
    <col min="11009" max="11009" width="13.875" style="168" customWidth="1"/>
    <col min="11010" max="11010" width="11.625" style="168" customWidth="1"/>
    <col min="11011" max="11011" width="9.125" style="168" customWidth="1"/>
    <col min="11012" max="11012" width="9.375" style="168" customWidth="1"/>
    <col min="11013" max="11013" width="6.75" style="168" customWidth="1"/>
    <col min="11014" max="11015" width="10.25" style="168" customWidth="1"/>
    <col min="11016" max="11264" width="9" style="168"/>
    <col min="11265" max="11265" width="13.875" style="168" customWidth="1"/>
    <col min="11266" max="11266" width="11.625" style="168" customWidth="1"/>
    <col min="11267" max="11267" width="9.125" style="168" customWidth="1"/>
    <col min="11268" max="11268" width="9.375" style="168" customWidth="1"/>
    <col min="11269" max="11269" width="6.75" style="168" customWidth="1"/>
    <col min="11270" max="11271" width="10.25" style="168" customWidth="1"/>
    <col min="11272" max="11520" width="9" style="168"/>
    <col min="11521" max="11521" width="13.875" style="168" customWidth="1"/>
    <col min="11522" max="11522" width="11.625" style="168" customWidth="1"/>
    <col min="11523" max="11523" width="9.125" style="168" customWidth="1"/>
    <col min="11524" max="11524" width="9.375" style="168" customWidth="1"/>
    <col min="11525" max="11525" width="6.75" style="168" customWidth="1"/>
    <col min="11526" max="11527" width="10.25" style="168" customWidth="1"/>
    <col min="11528" max="11776" width="9" style="168"/>
    <col min="11777" max="11777" width="13.875" style="168" customWidth="1"/>
    <col min="11778" max="11778" width="11.625" style="168" customWidth="1"/>
    <col min="11779" max="11779" width="9.125" style="168" customWidth="1"/>
    <col min="11780" max="11780" width="9.375" style="168" customWidth="1"/>
    <col min="11781" max="11781" width="6.75" style="168" customWidth="1"/>
    <col min="11782" max="11783" width="10.25" style="168" customWidth="1"/>
    <col min="11784" max="12032" width="9" style="168"/>
    <col min="12033" max="12033" width="13.875" style="168" customWidth="1"/>
    <col min="12034" max="12034" width="11.625" style="168" customWidth="1"/>
    <col min="12035" max="12035" width="9.125" style="168" customWidth="1"/>
    <col min="12036" max="12036" width="9.375" style="168" customWidth="1"/>
    <col min="12037" max="12037" width="6.75" style="168" customWidth="1"/>
    <col min="12038" max="12039" width="10.25" style="168" customWidth="1"/>
    <col min="12040" max="12288" width="9" style="168"/>
    <col min="12289" max="12289" width="13.875" style="168" customWidth="1"/>
    <col min="12290" max="12290" width="11.625" style="168" customWidth="1"/>
    <col min="12291" max="12291" width="9.125" style="168" customWidth="1"/>
    <col min="12292" max="12292" width="9.375" style="168" customWidth="1"/>
    <col min="12293" max="12293" width="6.75" style="168" customWidth="1"/>
    <col min="12294" max="12295" width="10.25" style="168" customWidth="1"/>
    <col min="12296" max="12544" width="9" style="168"/>
    <col min="12545" max="12545" width="13.875" style="168" customWidth="1"/>
    <col min="12546" max="12546" width="11.625" style="168" customWidth="1"/>
    <col min="12547" max="12547" width="9.125" style="168" customWidth="1"/>
    <col min="12548" max="12548" width="9.375" style="168" customWidth="1"/>
    <col min="12549" max="12549" width="6.75" style="168" customWidth="1"/>
    <col min="12550" max="12551" width="10.25" style="168" customWidth="1"/>
    <col min="12552" max="12800" width="9" style="168"/>
    <col min="12801" max="12801" width="13.875" style="168" customWidth="1"/>
    <col min="12802" max="12802" width="11.625" style="168" customWidth="1"/>
    <col min="12803" max="12803" width="9.125" style="168" customWidth="1"/>
    <col min="12804" max="12804" width="9.375" style="168" customWidth="1"/>
    <col min="12805" max="12805" width="6.75" style="168" customWidth="1"/>
    <col min="12806" max="12807" width="10.25" style="168" customWidth="1"/>
    <col min="12808" max="13056" width="9" style="168"/>
    <col min="13057" max="13057" width="13.875" style="168" customWidth="1"/>
    <col min="13058" max="13058" width="11.625" style="168" customWidth="1"/>
    <col min="13059" max="13059" width="9.125" style="168" customWidth="1"/>
    <col min="13060" max="13060" width="9.375" style="168" customWidth="1"/>
    <col min="13061" max="13061" width="6.75" style="168" customWidth="1"/>
    <col min="13062" max="13063" width="10.25" style="168" customWidth="1"/>
    <col min="13064" max="13312" width="9" style="168"/>
    <col min="13313" max="13313" width="13.875" style="168" customWidth="1"/>
    <col min="13314" max="13314" width="11.625" style="168" customWidth="1"/>
    <col min="13315" max="13315" width="9.125" style="168" customWidth="1"/>
    <col min="13316" max="13316" width="9.375" style="168" customWidth="1"/>
    <col min="13317" max="13317" width="6.75" style="168" customWidth="1"/>
    <col min="13318" max="13319" width="10.25" style="168" customWidth="1"/>
    <col min="13320" max="13568" width="9" style="168"/>
    <col min="13569" max="13569" width="13.875" style="168" customWidth="1"/>
    <col min="13570" max="13570" width="11.625" style="168" customWidth="1"/>
    <col min="13571" max="13571" width="9.125" style="168" customWidth="1"/>
    <col min="13572" max="13572" width="9.375" style="168" customWidth="1"/>
    <col min="13573" max="13573" width="6.75" style="168" customWidth="1"/>
    <col min="13574" max="13575" width="10.25" style="168" customWidth="1"/>
    <col min="13576" max="13824" width="9" style="168"/>
    <col min="13825" max="13825" width="13.875" style="168" customWidth="1"/>
    <col min="13826" max="13826" width="11.625" style="168" customWidth="1"/>
    <col min="13827" max="13827" width="9.125" style="168" customWidth="1"/>
    <col min="13828" max="13828" width="9.375" style="168" customWidth="1"/>
    <col min="13829" max="13829" width="6.75" style="168" customWidth="1"/>
    <col min="13830" max="13831" width="10.25" style="168" customWidth="1"/>
    <col min="13832" max="14080" width="9" style="168"/>
    <col min="14081" max="14081" width="13.875" style="168" customWidth="1"/>
    <col min="14082" max="14082" width="11.625" style="168" customWidth="1"/>
    <col min="14083" max="14083" width="9.125" style="168" customWidth="1"/>
    <col min="14084" max="14084" width="9.375" style="168" customWidth="1"/>
    <col min="14085" max="14085" width="6.75" style="168" customWidth="1"/>
    <col min="14086" max="14087" width="10.25" style="168" customWidth="1"/>
    <col min="14088" max="14336" width="9" style="168"/>
    <col min="14337" max="14337" width="13.875" style="168" customWidth="1"/>
    <col min="14338" max="14338" width="11.625" style="168" customWidth="1"/>
    <col min="14339" max="14339" width="9.125" style="168" customWidth="1"/>
    <col min="14340" max="14340" width="9.375" style="168" customWidth="1"/>
    <col min="14341" max="14341" width="6.75" style="168" customWidth="1"/>
    <col min="14342" max="14343" width="10.25" style="168" customWidth="1"/>
    <col min="14344" max="14592" width="9" style="168"/>
    <col min="14593" max="14593" width="13.875" style="168" customWidth="1"/>
    <col min="14594" max="14594" width="11.625" style="168" customWidth="1"/>
    <col min="14595" max="14595" width="9.125" style="168" customWidth="1"/>
    <col min="14596" max="14596" width="9.375" style="168" customWidth="1"/>
    <col min="14597" max="14597" width="6.75" style="168" customWidth="1"/>
    <col min="14598" max="14599" width="10.25" style="168" customWidth="1"/>
    <col min="14600" max="14848" width="9" style="168"/>
    <col min="14849" max="14849" width="13.875" style="168" customWidth="1"/>
    <col min="14850" max="14850" width="11.625" style="168" customWidth="1"/>
    <col min="14851" max="14851" width="9.125" style="168" customWidth="1"/>
    <col min="14852" max="14852" width="9.375" style="168" customWidth="1"/>
    <col min="14853" max="14853" width="6.75" style="168" customWidth="1"/>
    <col min="14854" max="14855" width="10.25" style="168" customWidth="1"/>
    <col min="14856" max="15104" width="9" style="168"/>
    <col min="15105" max="15105" width="13.875" style="168" customWidth="1"/>
    <col min="15106" max="15106" width="11.625" style="168" customWidth="1"/>
    <col min="15107" max="15107" width="9.125" style="168" customWidth="1"/>
    <col min="15108" max="15108" width="9.375" style="168" customWidth="1"/>
    <col min="15109" max="15109" width="6.75" style="168" customWidth="1"/>
    <col min="15110" max="15111" width="10.25" style="168" customWidth="1"/>
    <col min="15112" max="15360" width="9" style="168"/>
    <col min="15361" max="15361" width="13.875" style="168" customWidth="1"/>
    <col min="15362" max="15362" width="11.625" style="168" customWidth="1"/>
    <col min="15363" max="15363" width="9.125" style="168" customWidth="1"/>
    <col min="15364" max="15364" width="9.375" style="168" customWidth="1"/>
    <col min="15365" max="15365" width="6.75" style="168" customWidth="1"/>
    <col min="15366" max="15367" width="10.25" style="168" customWidth="1"/>
    <col min="15368" max="15616" width="9" style="168"/>
    <col min="15617" max="15617" width="13.875" style="168" customWidth="1"/>
    <col min="15618" max="15618" width="11.625" style="168" customWidth="1"/>
    <col min="15619" max="15619" width="9.125" style="168" customWidth="1"/>
    <col min="15620" max="15620" width="9.375" style="168" customWidth="1"/>
    <col min="15621" max="15621" width="6.75" style="168" customWidth="1"/>
    <col min="15622" max="15623" width="10.25" style="168" customWidth="1"/>
    <col min="15624" max="15872" width="9" style="168"/>
    <col min="15873" max="15873" width="13.875" style="168" customWidth="1"/>
    <col min="15874" max="15874" width="11.625" style="168" customWidth="1"/>
    <col min="15875" max="15875" width="9.125" style="168" customWidth="1"/>
    <col min="15876" max="15876" width="9.375" style="168" customWidth="1"/>
    <col min="15877" max="15877" width="6.75" style="168" customWidth="1"/>
    <col min="15878" max="15879" width="10.25" style="168" customWidth="1"/>
    <col min="15880" max="16128" width="9" style="168"/>
    <col min="16129" max="16129" width="13.875" style="168" customWidth="1"/>
    <col min="16130" max="16130" width="11.625" style="168" customWidth="1"/>
    <col min="16131" max="16131" width="9.125" style="168" customWidth="1"/>
    <col min="16132" max="16132" width="9.375" style="168" customWidth="1"/>
    <col min="16133" max="16133" width="6.75" style="168" customWidth="1"/>
    <col min="16134" max="16135" width="10.25" style="168" customWidth="1"/>
    <col min="16136" max="16384" width="9" style="168"/>
  </cols>
  <sheetData>
    <row r="1" s="207" customFormat="1" customHeight="1" spans="1:8">
      <c r="A1" s="208" t="s">
        <v>6887</v>
      </c>
      <c r="B1" s="208"/>
      <c r="C1" s="208"/>
      <c r="D1" s="208"/>
      <c r="E1" s="208"/>
      <c r="F1" s="208"/>
      <c r="G1" s="208"/>
      <c r="H1" s="208"/>
    </row>
    <row r="2" s="207" customFormat="1" customHeight="1" spans="1:8">
      <c r="A2" s="209" t="s">
        <v>6888</v>
      </c>
      <c r="B2" s="210" t="s">
        <v>6889</v>
      </c>
      <c r="C2" s="210" t="s">
        <v>6890</v>
      </c>
      <c r="D2" s="211" t="s">
        <v>6891</v>
      </c>
      <c r="E2" s="212">
        <v>900</v>
      </c>
      <c r="F2" s="210" t="s">
        <v>6892</v>
      </c>
      <c r="G2" s="210"/>
      <c r="H2" s="213" t="s">
        <v>88</v>
      </c>
    </row>
    <row r="3" s="207" customFormat="1" customHeight="1" spans="1:8">
      <c r="A3" s="209" t="s">
        <v>6893</v>
      </c>
      <c r="B3" s="214" t="s">
        <v>6894</v>
      </c>
      <c r="C3" s="215">
        <v>980</v>
      </c>
      <c r="D3" s="208" t="s">
        <v>1052</v>
      </c>
      <c r="E3" s="208"/>
      <c r="F3" s="210"/>
      <c r="G3" s="210"/>
      <c r="H3" s="213"/>
    </row>
    <row r="4" s="207" customFormat="1" customHeight="1" spans="1:8">
      <c r="A4" s="209" t="s">
        <v>6895</v>
      </c>
      <c r="B4" s="214" t="s">
        <v>377</v>
      </c>
      <c r="C4" s="215">
        <v>540</v>
      </c>
      <c r="D4" s="208" t="s">
        <v>320</v>
      </c>
      <c r="E4" s="208"/>
      <c r="F4" s="208"/>
      <c r="G4" s="208"/>
      <c r="H4" s="208"/>
    </row>
    <row r="5" s="207" customFormat="1" customHeight="1" spans="1:8">
      <c r="A5" s="209" t="s">
        <v>6896</v>
      </c>
      <c r="B5" s="214" t="s">
        <v>6897</v>
      </c>
      <c r="C5" s="216">
        <v>0.94</v>
      </c>
      <c r="D5" s="208" t="s">
        <v>6898</v>
      </c>
      <c r="E5" s="217">
        <f>(C5/180)*3.1415926</f>
        <v>0.0164060946888889</v>
      </c>
      <c r="F5" s="208" t="s">
        <v>621</v>
      </c>
      <c r="G5" s="208"/>
      <c r="H5" s="208"/>
    </row>
    <row r="6" s="207" customFormat="1" customHeight="1" spans="1:8">
      <c r="A6" s="209" t="s">
        <v>6899</v>
      </c>
      <c r="B6" s="214" t="s">
        <v>6900</v>
      </c>
      <c r="C6" s="215">
        <v>2.5</v>
      </c>
      <c r="D6" s="208" t="s">
        <v>359</v>
      </c>
      <c r="E6" s="208"/>
      <c r="F6" s="208"/>
      <c r="G6" s="208"/>
      <c r="H6" s="208"/>
    </row>
    <row r="7" s="207" customFormat="1" customHeight="1" spans="1:8">
      <c r="A7" s="209" t="s">
        <v>6901</v>
      </c>
      <c r="B7" s="214" t="s">
        <v>6902</v>
      </c>
      <c r="C7" s="208" t="s">
        <v>6903</v>
      </c>
      <c r="D7" s="208"/>
      <c r="E7" s="208"/>
      <c r="F7" s="208"/>
      <c r="G7" s="218"/>
      <c r="H7" s="208"/>
    </row>
    <row r="8" s="207" customFormat="1" customHeight="1" spans="1:8">
      <c r="A8" s="208"/>
      <c r="B8" s="214" t="s">
        <v>396</v>
      </c>
      <c r="C8" s="219">
        <f>C4*TAN(E5)</f>
        <v>8.86008607301848</v>
      </c>
      <c r="D8" s="208" t="s">
        <v>320</v>
      </c>
      <c r="E8" s="208"/>
      <c r="F8" s="208"/>
      <c r="G8" s="208"/>
      <c r="H8" s="208"/>
    </row>
    <row r="9" s="207" customFormat="1" customHeight="1" spans="1:8">
      <c r="A9" s="208" t="s">
        <v>6904</v>
      </c>
      <c r="B9" s="208"/>
      <c r="C9" s="208"/>
      <c r="D9" s="208"/>
      <c r="E9" s="208"/>
      <c r="F9" s="208"/>
      <c r="G9" s="208"/>
      <c r="H9" s="208"/>
    </row>
    <row r="10" s="207" customFormat="1" customHeight="1" spans="1:8">
      <c r="A10" s="208" t="s">
        <v>6905</v>
      </c>
      <c r="B10" s="208"/>
      <c r="C10" s="208"/>
      <c r="D10" s="220"/>
      <c r="E10" s="208"/>
      <c r="F10" s="208"/>
      <c r="G10" s="208"/>
      <c r="H10" s="208"/>
    </row>
    <row r="11" s="207" customFormat="1" customHeight="1" spans="1:8">
      <c r="A11" s="208" t="s">
        <v>6906</v>
      </c>
      <c r="B11" s="214" t="s">
        <v>1262</v>
      </c>
      <c r="C11" s="221"/>
      <c r="D11" s="208" t="s">
        <v>6907</v>
      </c>
      <c r="E11" s="222">
        <f>INDEX([4]数据!C2:C12,[4]数据!B3)/1000</f>
        <v>1.8</v>
      </c>
      <c r="F11" s="208" t="s">
        <v>320</v>
      </c>
      <c r="G11" s="208"/>
      <c r="H11" s="208"/>
    </row>
    <row r="12" s="207" customFormat="1" customHeight="1" spans="1:8">
      <c r="A12" s="208" t="s">
        <v>6908</v>
      </c>
      <c r="B12" s="223" t="s">
        <v>6909</v>
      </c>
      <c r="C12" s="212">
        <v>200</v>
      </c>
      <c r="D12" s="208" t="s">
        <v>6910</v>
      </c>
      <c r="E12" s="208" t="s">
        <v>6911</v>
      </c>
      <c r="F12" s="224">
        <v>6</v>
      </c>
      <c r="G12" s="208" t="s">
        <v>6912</v>
      </c>
      <c r="H12" s="208"/>
    </row>
    <row r="13" s="207" customFormat="1" customHeight="1" spans="1:8">
      <c r="A13" s="208"/>
      <c r="B13" s="214" t="s">
        <v>6913</v>
      </c>
      <c r="C13" s="212">
        <v>6</v>
      </c>
      <c r="D13" s="208" t="s">
        <v>6914</v>
      </c>
      <c r="E13" s="208"/>
      <c r="F13" s="208"/>
      <c r="G13" s="208"/>
      <c r="H13" s="208"/>
    </row>
    <row r="14" s="207" customFormat="1" customHeight="1" spans="1:8">
      <c r="A14" s="208"/>
      <c r="B14" s="214" t="s">
        <v>6915</v>
      </c>
      <c r="C14" s="212">
        <v>1.5</v>
      </c>
      <c r="D14" s="208" t="s">
        <v>6914</v>
      </c>
      <c r="E14" s="208"/>
      <c r="F14" s="208"/>
      <c r="G14" s="208"/>
      <c r="H14" s="208"/>
    </row>
    <row r="15" s="207" customFormat="1" customHeight="1" spans="1:8">
      <c r="A15" s="208" t="s">
        <v>6916</v>
      </c>
      <c r="B15" s="208"/>
      <c r="C15" s="208" t="s">
        <v>6917</v>
      </c>
      <c r="D15" s="214" t="s">
        <v>152</v>
      </c>
      <c r="E15" s="208" t="s">
        <v>6918</v>
      </c>
      <c r="F15" s="168"/>
      <c r="G15" s="168"/>
      <c r="H15" s="208"/>
    </row>
    <row r="16" s="207" customFormat="1" customHeight="1" spans="1:8">
      <c r="A16" s="208"/>
      <c r="B16" s="214"/>
      <c r="C16" s="208"/>
      <c r="D16" s="208"/>
      <c r="E16" s="214" t="s">
        <v>420</v>
      </c>
      <c r="F16" s="225">
        <v>0.458</v>
      </c>
      <c r="G16" s="208" t="s">
        <v>6919</v>
      </c>
      <c r="H16" s="208"/>
    </row>
    <row r="17" s="207" customFormat="1" customHeight="1" spans="1:8">
      <c r="A17" s="168"/>
      <c r="B17" s="168"/>
      <c r="C17" s="226"/>
      <c r="D17" s="168"/>
      <c r="E17" s="208" t="s">
        <v>6920</v>
      </c>
      <c r="F17" s="168"/>
      <c r="G17" s="168"/>
      <c r="H17" s="168"/>
    </row>
    <row r="18" s="207" customFormat="1" customHeight="1" spans="1:6">
      <c r="A18" s="207" t="s">
        <v>106</v>
      </c>
      <c r="E18" s="214" t="s">
        <v>6921</v>
      </c>
      <c r="F18" s="227">
        <v>1</v>
      </c>
    </row>
    <row r="19" s="207" customFormat="1" customHeight="1" spans="5:6">
      <c r="E19" s="228" t="s">
        <v>6922</v>
      </c>
      <c r="F19" s="229" t="s">
        <v>6923</v>
      </c>
    </row>
    <row r="20" s="207" customFormat="1" customHeight="1" spans="2:6">
      <c r="B20" s="214" t="s">
        <v>6924</v>
      </c>
      <c r="C20" s="230">
        <f>3.6*F16*E20*F18*F20</f>
        <v>3709.8</v>
      </c>
      <c r="D20" s="208" t="s">
        <v>1052</v>
      </c>
      <c r="E20" s="231">
        <f>C6</f>
        <v>2.5</v>
      </c>
      <c r="F20" s="231">
        <f>E2</f>
        <v>900</v>
      </c>
    </row>
    <row r="21" s="207" customFormat="1" customHeight="1" spans="1:4">
      <c r="A21" s="207" t="s">
        <v>6925</v>
      </c>
      <c r="C21" s="232">
        <v>28.476</v>
      </c>
      <c r="D21" s="207" t="s">
        <v>6926</v>
      </c>
    </row>
    <row r="22" s="207" customFormat="1" customHeight="1" spans="1:6">
      <c r="A22" s="207" t="s">
        <v>6927</v>
      </c>
      <c r="C22" s="207" t="s">
        <v>6928</v>
      </c>
      <c r="E22" s="233" t="s">
        <v>6929</v>
      </c>
      <c r="F22" s="228" t="s">
        <v>6922</v>
      </c>
    </row>
    <row r="23" s="207" customFormat="1" customHeight="1" spans="2:6">
      <c r="B23" s="214" t="s">
        <v>396</v>
      </c>
      <c r="C23" s="230">
        <f>E23/(3.6*F23)</f>
        <v>108.888888888889</v>
      </c>
      <c r="D23" s="207" t="s">
        <v>6926</v>
      </c>
      <c r="E23" s="234">
        <f>C3</f>
        <v>980</v>
      </c>
      <c r="F23" s="231">
        <f>E20</f>
        <v>2.5</v>
      </c>
    </row>
    <row r="24" s="207" customFormat="1" customHeight="1" spans="1:3">
      <c r="A24" s="207" t="s">
        <v>6930</v>
      </c>
      <c r="C24" s="168"/>
    </row>
    <row r="25" s="207" customFormat="1" customHeight="1" spans="1:1">
      <c r="A25" s="207" t="s">
        <v>6931</v>
      </c>
    </row>
    <row r="26" s="207" customFormat="1" customHeight="1" spans="1:7">
      <c r="A26" s="214" t="s">
        <v>6932</v>
      </c>
      <c r="B26" s="207" t="s">
        <v>6933</v>
      </c>
      <c r="D26" s="214" t="s">
        <v>152</v>
      </c>
      <c r="E26" s="223" t="s">
        <v>6934</v>
      </c>
      <c r="F26" s="235">
        <f>7.2/1000</f>
        <v>0.0072</v>
      </c>
      <c r="G26" s="207" t="s">
        <v>320</v>
      </c>
    </row>
    <row r="27" s="207" customFormat="1" customHeight="1" spans="1:6">
      <c r="A27" s="214" t="s">
        <v>396</v>
      </c>
      <c r="B27" s="236">
        <f>F27*F26</f>
        <v>0.648</v>
      </c>
      <c r="C27" s="207" t="s">
        <v>320</v>
      </c>
      <c r="E27" s="214" t="s">
        <v>6935</v>
      </c>
      <c r="F27" s="237">
        <v>90</v>
      </c>
    </row>
    <row r="28" s="207" customFormat="1" customHeight="1" spans="1:3">
      <c r="A28" s="207" t="s">
        <v>6936</v>
      </c>
      <c r="B28" s="237">
        <v>1000</v>
      </c>
      <c r="C28" s="207" t="s">
        <v>598</v>
      </c>
    </row>
    <row r="29" s="207" customFormat="1" customHeight="1" spans="1:5">
      <c r="A29" s="207" t="s">
        <v>6937</v>
      </c>
      <c r="D29" s="237">
        <v>800</v>
      </c>
      <c r="E29" s="207" t="s">
        <v>598</v>
      </c>
    </row>
    <row r="30" s="207" customFormat="1" customHeight="1" spans="1:1">
      <c r="A30" s="207" t="s">
        <v>6938</v>
      </c>
    </row>
    <row r="31" s="207" customFormat="1" customHeight="1" spans="1:7">
      <c r="A31" s="207" t="s">
        <v>6939</v>
      </c>
      <c r="D31" s="214" t="s">
        <v>6940</v>
      </c>
      <c r="E31" s="214"/>
      <c r="F31" s="237">
        <v>133</v>
      </c>
      <c r="G31" s="207" t="s">
        <v>598</v>
      </c>
    </row>
    <row r="32" s="207" customFormat="1" customHeight="1" spans="1:6">
      <c r="A32" s="207" t="s">
        <v>6941</v>
      </c>
      <c r="B32" s="237" t="s">
        <v>6942</v>
      </c>
      <c r="C32" s="207" t="s">
        <v>6943</v>
      </c>
      <c r="D32" s="207" t="s">
        <v>6944</v>
      </c>
      <c r="E32" s="237">
        <v>25</v>
      </c>
      <c r="F32" s="207" t="s">
        <v>6945</v>
      </c>
    </row>
    <row r="33" s="207" customFormat="1" customHeight="1" spans="1:8">
      <c r="A33" s="238" t="s">
        <v>6946</v>
      </c>
      <c r="B33" s="238"/>
      <c r="C33" s="239">
        <v>10.37</v>
      </c>
      <c r="D33" s="207" t="s">
        <v>6947</v>
      </c>
      <c r="E33" s="237">
        <v>3</v>
      </c>
      <c r="F33" s="208" t="s">
        <v>6948</v>
      </c>
      <c r="G33" s="208"/>
      <c r="H33" s="227">
        <v>1.2</v>
      </c>
    </row>
    <row r="34" s="207" customFormat="1" customHeight="1" spans="2:7">
      <c r="B34" s="214" t="s">
        <v>6949</v>
      </c>
      <c r="C34" s="207" t="s">
        <v>6950</v>
      </c>
      <c r="D34" s="230">
        <f>E33*C33/H33</f>
        <v>25.925</v>
      </c>
      <c r="E34" s="207" t="s">
        <v>6926</v>
      </c>
      <c r="F34" s="214"/>
      <c r="G34" s="227"/>
    </row>
    <row r="35" s="207" customFormat="1" customHeight="1" spans="1:5">
      <c r="A35" s="207" t="s">
        <v>6951</v>
      </c>
      <c r="D35" s="240">
        <f>D34</f>
        <v>25.925</v>
      </c>
      <c r="E35" s="207" t="s">
        <v>6926</v>
      </c>
    </row>
    <row r="36" s="207" customFormat="1" customHeight="1" spans="1:7">
      <c r="A36" s="207" t="s">
        <v>6952</v>
      </c>
      <c r="D36" s="214" t="s">
        <v>6940</v>
      </c>
      <c r="E36" s="214"/>
      <c r="F36" s="241">
        <f>F31</f>
        <v>133</v>
      </c>
      <c r="G36" s="207" t="s">
        <v>598</v>
      </c>
    </row>
    <row r="37" s="207" customFormat="1" customHeight="1" spans="1:6">
      <c r="A37" s="207" t="s">
        <v>6941</v>
      </c>
      <c r="B37" s="241" t="str">
        <f>B32</f>
        <v>4G305</v>
      </c>
      <c r="C37" s="207" t="s">
        <v>6943</v>
      </c>
      <c r="D37" s="207" t="s">
        <v>6944</v>
      </c>
      <c r="E37" s="241">
        <f>E32</f>
        <v>25</v>
      </c>
      <c r="F37" s="207" t="s">
        <v>6945</v>
      </c>
    </row>
    <row r="38" s="207" customFormat="1" customHeight="1" spans="1:8">
      <c r="A38" s="238" t="s">
        <v>6953</v>
      </c>
      <c r="B38" s="238"/>
      <c r="C38" s="239">
        <v>16.09</v>
      </c>
      <c r="D38" s="207" t="s">
        <v>6947</v>
      </c>
      <c r="E38" s="237">
        <v>2</v>
      </c>
      <c r="F38" s="208" t="s">
        <v>6954</v>
      </c>
      <c r="G38" s="208"/>
      <c r="H38" s="227">
        <v>3</v>
      </c>
    </row>
    <row r="39" s="207" customFormat="1" customHeight="1" spans="2:7">
      <c r="B39" s="214" t="s">
        <v>6949</v>
      </c>
      <c r="C39" s="207" t="s">
        <v>6955</v>
      </c>
      <c r="D39" s="230">
        <f>E38*C38/H38</f>
        <v>10.7266666666667</v>
      </c>
      <c r="E39" s="207" t="s">
        <v>6926</v>
      </c>
      <c r="F39" s="214"/>
      <c r="G39" s="227"/>
    </row>
    <row r="40" s="207" customFormat="1" customHeight="1" spans="1:5">
      <c r="A40" s="207" t="s">
        <v>6956</v>
      </c>
      <c r="D40" s="240">
        <f>D39</f>
        <v>10.7266666666667</v>
      </c>
      <c r="E40" s="207" t="s">
        <v>6926</v>
      </c>
    </row>
    <row r="41" s="207" customFormat="1" customHeight="1" spans="1:7">
      <c r="A41" s="207" t="s">
        <v>6957</v>
      </c>
      <c r="C41" s="242" t="s">
        <v>6958</v>
      </c>
      <c r="D41" s="168"/>
      <c r="F41" s="228" t="s">
        <v>6922</v>
      </c>
      <c r="G41" s="243" t="s">
        <v>6959</v>
      </c>
    </row>
    <row r="42" s="207" customFormat="1" customHeight="1" spans="2:7">
      <c r="B42" s="214" t="s">
        <v>396</v>
      </c>
      <c r="C42" s="222">
        <f>30*F42/(3.1415926*G42)</f>
        <v>358.996118361171</v>
      </c>
      <c r="D42" s="242" t="s">
        <v>400</v>
      </c>
      <c r="F42" s="231">
        <f>F23</f>
        <v>2.5</v>
      </c>
      <c r="G42" s="244">
        <f>F31/2000</f>
        <v>0.0665</v>
      </c>
    </row>
    <row r="43" s="207" customFormat="1" customHeight="1" spans="1:4">
      <c r="A43" s="207" t="s">
        <v>6960</v>
      </c>
      <c r="D43" s="245">
        <v>0.022</v>
      </c>
    </row>
    <row r="44" s="207" customFormat="1" customHeight="1" spans="1:4">
      <c r="A44" s="207" t="s">
        <v>6961</v>
      </c>
      <c r="D44" s="245">
        <v>0.35</v>
      </c>
    </row>
    <row r="45" s="207" customFormat="1" customHeight="1" spans="1:7">
      <c r="A45" s="207" t="s">
        <v>6962</v>
      </c>
      <c r="F45" s="245">
        <v>190</v>
      </c>
      <c r="G45" s="207" t="s">
        <v>320</v>
      </c>
    </row>
    <row r="46" s="207" customFormat="1" customHeight="1" spans="1:1">
      <c r="A46" s="207" t="s">
        <v>6963</v>
      </c>
    </row>
    <row r="47" s="207" customFormat="1" customHeight="1" spans="1:5">
      <c r="A47" s="208" t="s">
        <v>6964</v>
      </c>
      <c r="B47" s="168"/>
      <c r="C47" s="245">
        <v>3</v>
      </c>
      <c r="D47" s="208" t="s">
        <v>320</v>
      </c>
      <c r="E47" s="246"/>
    </row>
    <row r="48" s="207" customFormat="1" customHeight="1" spans="1:1">
      <c r="A48" s="207" t="s">
        <v>6965</v>
      </c>
    </row>
    <row r="49" s="207" customFormat="1" customHeight="1" spans="1:1">
      <c r="A49" s="207" t="s">
        <v>6966</v>
      </c>
    </row>
    <row r="50" s="207" customFormat="1" customHeight="1" spans="1:1">
      <c r="A50" s="207" t="s">
        <v>6967</v>
      </c>
    </row>
    <row r="51" s="207" customFormat="1" customHeight="1" spans="1:1">
      <c r="A51" s="207" t="s">
        <v>6968</v>
      </c>
    </row>
    <row r="52" s="207" customFormat="1" customHeight="1" spans="1:8">
      <c r="A52" s="214" t="s">
        <v>6969</v>
      </c>
      <c r="B52" s="207" t="s">
        <v>6970</v>
      </c>
      <c r="D52" s="214" t="s">
        <v>152</v>
      </c>
      <c r="E52" s="228" t="s">
        <v>6971</v>
      </c>
      <c r="F52" s="228" t="s">
        <v>206</v>
      </c>
      <c r="G52" s="228" t="s">
        <v>6972</v>
      </c>
      <c r="H52" s="228" t="s">
        <v>6973</v>
      </c>
    </row>
    <row r="53" s="207" customFormat="1" customHeight="1" spans="1:8">
      <c r="A53" s="214" t="s">
        <v>396</v>
      </c>
      <c r="B53" s="222">
        <f>E55*F55*9.81*(2*E53+F53+G53+H53)</f>
        <v>23599.0494036</v>
      </c>
      <c r="C53" s="207" t="s">
        <v>387</v>
      </c>
      <c r="E53" s="247">
        <f>C21</f>
        <v>28.476</v>
      </c>
      <c r="F53" s="247">
        <f>C23</f>
        <v>108.888888888889</v>
      </c>
      <c r="G53" s="247">
        <f>D35</f>
        <v>25.925</v>
      </c>
      <c r="H53" s="247">
        <f>D40</f>
        <v>10.7266666666667</v>
      </c>
    </row>
    <row r="54" s="207" customFormat="1" customHeight="1" spans="1:8">
      <c r="A54" s="214"/>
      <c r="B54" s="222"/>
      <c r="E54" s="231" t="s">
        <v>1707</v>
      </c>
      <c r="F54" s="231" t="s">
        <v>6974</v>
      </c>
      <c r="G54" s="231" t="s">
        <v>6975</v>
      </c>
      <c r="H54" s="231"/>
    </row>
    <row r="55" s="207" customFormat="1" customHeight="1" spans="1:8">
      <c r="A55" s="214"/>
      <c r="B55" s="222"/>
      <c r="E55" s="247">
        <f>C4</f>
        <v>540</v>
      </c>
      <c r="F55" s="247">
        <f>D43</f>
        <v>0.022</v>
      </c>
      <c r="G55" s="247">
        <v>9.81</v>
      </c>
      <c r="H55" s="231"/>
    </row>
    <row r="56" s="207" customFormat="1" customHeight="1" spans="1:1">
      <c r="A56" s="207" t="s">
        <v>6976</v>
      </c>
    </row>
    <row r="57" s="207" customFormat="1" customHeight="1" spans="1:8">
      <c r="A57" s="214" t="s">
        <v>6977</v>
      </c>
      <c r="B57" s="207" t="s">
        <v>6978</v>
      </c>
      <c r="D57" s="214" t="s">
        <v>152</v>
      </c>
      <c r="E57" s="228" t="s">
        <v>6979</v>
      </c>
      <c r="F57" s="228" t="s">
        <v>206</v>
      </c>
      <c r="G57" s="228" t="s">
        <v>6975</v>
      </c>
      <c r="H57" s="248"/>
    </row>
    <row r="58" s="207" customFormat="1" customHeight="1" spans="1:8">
      <c r="A58" s="214" t="s">
        <v>396</v>
      </c>
      <c r="B58" s="222">
        <f>E58*F58*9.81</f>
        <v>9464.34394319834</v>
      </c>
      <c r="C58" s="207" t="s">
        <v>387</v>
      </c>
      <c r="E58" s="247">
        <f>C8</f>
        <v>8.86008607301848</v>
      </c>
      <c r="F58" s="247">
        <f>C23</f>
        <v>108.888888888889</v>
      </c>
      <c r="G58" s="247">
        <v>9.81</v>
      </c>
      <c r="H58" s="249"/>
    </row>
    <row r="59" s="207" customFormat="1" customHeight="1" spans="1:1">
      <c r="A59" s="207" t="s">
        <v>6980</v>
      </c>
    </row>
    <row r="60" s="207" customFormat="1" customHeight="1" spans="1:2">
      <c r="A60" s="214" t="s">
        <v>6981</v>
      </c>
      <c r="B60" s="207" t="s">
        <v>6982</v>
      </c>
    </row>
    <row r="61" s="207" customFormat="1" customHeight="1" spans="1:7">
      <c r="A61" s="214" t="s">
        <v>396</v>
      </c>
      <c r="B61" s="222">
        <f>2*F63*F65*F67</f>
        <v>1296</v>
      </c>
      <c r="C61" s="207" t="s">
        <v>387</v>
      </c>
      <c r="D61" s="214" t="s">
        <v>152</v>
      </c>
      <c r="E61" s="208" t="s">
        <v>6983</v>
      </c>
      <c r="F61" s="168"/>
      <c r="G61" s="168"/>
    </row>
    <row r="62" s="207" customFormat="1" customHeight="1" spans="4:7">
      <c r="D62" s="208"/>
      <c r="E62" s="214" t="s">
        <v>384</v>
      </c>
      <c r="F62" s="250" t="s">
        <v>6984</v>
      </c>
      <c r="G62" s="208"/>
    </row>
    <row r="63" s="207" customFormat="1" customHeight="1" spans="4:7">
      <c r="D63" s="208"/>
      <c r="E63" s="214" t="s">
        <v>396</v>
      </c>
      <c r="F63" s="251">
        <f>0.01*E11</f>
        <v>0.018</v>
      </c>
      <c r="G63" s="208" t="s">
        <v>6919</v>
      </c>
    </row>
    <row r="64" s="207" customFormat="1" customHeight="1" spans="4:7">
      <c r="D64" s="168"/>
      <c r="E64" s="208" t="s">
        <v>6985</v>
      </c>
      <c r="F64" s="168"/>
      <c r="G64" s="168"/>
    </row>
    <row r="65" s="207" customFormat="1" customHeight="1" spans="2:7">
      <c r="B65" s="168"/>
      <c r="E65" s="214" t="s">
        <v>6986</v>
      </c>
      <c r="F65" s="227">
        <v>60000</v>
      </c>
      <c r="G65" s="207" t="s">
        <v>6987</v>
      </c>
    </row>
    <row r="66" s="207" customFormat="1" customHeight="1" spans="5:8">
      <c r="E66" s="208" t="s">
        <v>6988</v>
      </c>
      <c r="F66" s="168"/>
      <c r="G66" s="168"/>
      <c r="H66" s="168"/>
    </row>
    <row r="67" s="207" customFormat="1" customHeight="1" spans="5:6">
      <c r="E67" s="214" t="s">
        <v>6989</v>
      </c>
      <c r="F67" s="227">
        <v>0.6</v>
      </c>
    </row>
    <row r="68" s="207" customFormat="1" customHeight="1" spans="1:1">
      <c r="A68" s="207" t="s">
        <v>6990</v>
      </c>
    </row>
    <row r="69" s="207" customFormat="1" customHeight="1" spans="1:7">
      <c r="A69" s="214" t="s">
        <v>6991</v>
      </c>
      <c r="B69" s="207" t="s">
        <v>6992</v>
      </c>
      <c r="D69" s="214" t="s">
        <v>152</v>
      </c>
      <c r="E69" s="228" t="s">
        <v>1054</v>
      </c>
      <c r="F69" s="228" t="s">
        <v>6975</v>
      </c>
      <c r="G69" s="248"/>
    </row>
    <row r="70" s="207" customFormat="1" customHeight="1" spans="1:7">
      <c r="A70" s="214" t="s">
        <v>396</v>
      </c>
      <c r="B70" s="222">
        <f>20*E70*9.81</f>
        <v>353.16</v>
      </c>
      <c r="C70" s="207" t="s">
        <v>387</v>
      </c>
      <c r="E70" s="231">
        <f>E11</f>
        <v>1.8</v>
      </c>
      <c r="F70" s="231">
        <v>9.81</v>
      </c>
      <c r="G70" s="249"/>
    </row>
    <row r="71" s="207" customFormat="1" customHeight="1" spans="1:1">
      <c r="A71" s="207" t="s">
        <v>6993</v>
      </c>
    </row>
    <row r="72" s="207" customFormat="1" customHeight="1" spans="1:8">
      <c r="A72" s="214" t="s">
        <v>6994</v>
      </c>
      <c r="B72" s="207" t="s">
        <v>6995</v>
      </c>
      <c r="D72" s="214" t="s">
        <v>152</v>
      </c>
      <c r="E72" s="208" t="s">
        <v>6996</v>
      </c>
      <c r="F72" s="252"/>
      <c r="G72" s="228" t="s">
        <v>1707</v>
      </c>
      <c r="H72" s="231">
        <f>C4</f>
        <v>540</v>
      </c>
    </row>
    <row r="73" s="207" customFormat="1" customHeight="1" spans="1:8">
      <c r="A73" s="214" t="s">
        <v>396</v>
      </c>
      <c r="B73" s="222">
        <f>F73*H74*H73*(H75+H76)*9.81*COS(H77)*SIN(F77)</f>
        <v>2637.4817431381</v>
      </c>
      <c r="C73" s="207" t="s">
        <v>387</v>
      </c>
      <c r="D73" s="208"/>
      <c r="E73" s="214" t="s">
        <v>6997</v>
      </c>
      <c r="F73" s="227">
        <v>0.43</v>
      </c>
      <c r="G73" s="228" t="s">
        <v>6998</v>
      </c>
      <c r="H73" s="231">
        <v>0.35</v>
      </c>
    </row>
    <row r="74" s="207" customFormat="1" customHeight="1" spans="1:8">
      <c r="A74" s="214"/>
      <c r="B74" s="222"/>
      <c r="D74" s="208"/>
      <c r="E74" s="208" t="s">
        <v>6999</v>
      </c>
      <c r="F74" s="252"/>
      <c r="G74" s="228" t="s">
        <v>7000</v>
      </c>
      <c r="H74" s="231">
        <f>C4/COS(E5)</f>
        <v>540.072681335782</v>
      </c>
    </row>
    <row r="75" s="207" customFormat="1" customHeight="1" spans="4:8">
      <c r="D75" s="208"/>
      <c r="E75" s="208" t="s">
        <v>7001</v>
      </c>
      <c r="F75" s="252"/>
      <c r="G75" s="228" t="s">
        <v>206</v>
      </c>
      <c r="H75" s="231">
        <f>C23</f>
        <v>108.888888888889</v>
      </c>
    </row>
    <row r="76" s="207" customFormat="1" customHeight="1" spans="5:8">
      <c r="E76" s="214" t="s">
        <v>7002</v>
      </c>
      <c r="F76" s="227">
        <v>1.38</v>
      </c>
      <c r="G76" s="228" t="s">
        <v>6971</v>
      </c>
      <c r="H76" s="231">
        <f>C21</f>
        <v>28.476</v>
      </c>
    </row>
    <row r="77" s="207" customFormat="1" customHeight="1" spans="5:8">
      <c r="E77" s="214" t="s">
        <v>7003</v>
      </c>
      <c r="F77" s="253">
        <f>F76*3.1415926/180</f>
        <v>0.0240855432666667</v>
      </c>
      <c r="G77" s="228" t="s">
        <v>7004</v>
      </c>
      <c r="H77" s="231">
        <f>E5</f>
        <v>0.0164060946888889</v>
      </c>
    </row>
    <row r="78" s="207" customFormat="1" customHeight="1" spans="1:1">
      <c r="A78" s="207" t="s">
        <v>7005</v>
      </c>
    </row>
    <row r="79" s="207" customFormat="1" customHeight="1" spans="1:8">
      <c r="A79" s="214" t="s">
        <v>7006</v>
      </c>
      <c r="B79" s="207" t="s">
        <v>7007</v>
      </c>
      <c r="D79" s="214" t="s">
        <v>152</v>
      </c>
      <c r="E79" s="208" t="s">
        <v>7008</v>
      </c>
      <c r="F79" s="168"/>
      <c r="G79" s="168"/>
      <c r="H79" s="168"/>
    </row>
    <row r="80" s="207" customFormat="1" customHeight="1" spans="1:7">
      <c r="A80" s="214" t="s">
        <v>396</v>
      </c>
      <c r="B80" s="222">
        <f>F80*F83*F83*B82*9.81*C82/(B84*B84*F85*F85)</f>
        <v>1302.1919690625</v>
      </c>
      <c r="C80" s="207" t="s">
        <v>387</v>
      </c>
      <c r="D80" s="208"/>
      <c r="E80" s="214" t="s">
        <v>7009</v>
      </c>
      <c r="F80" s="227">
        <v>0.6</v>
      </c>
      <c r="G80" s="208"/>
    </row>
    <row r="81" s="207" customFormat="1" customHeight="1" spans="1:7">
      <c r="A81" s="214" t="s">
        <v>152</v>
      </c>
      <c r="B81" s="228" t="s">
        <v>7010</v>
      </c>
      <c r="C81" s="228" t="s">
        <v>7011</v>
      </c>
      <c r="D81" s="208"/>
      <c r="E81" s="208" t="s">
        <v>7012</v>
      </c>
      <c r="F81" s="168"/>
      <c r="G81" s="168"/>
    </row>
    <row r="82" s="207" customFormat="1" customHeight="1" spans="2:8">
      <c r="B82" s="231">
        <f>E2</f>
        <v>900</v>
      </c>
      <c r="C82" s="231">
        <f>C47</f>
        <v>3</v>
      </c>
      <c r="E82" s="214" t="s">
        <v>7013</v>
      </c>
      <c r="F82" s="207" t="s">
        <v>7014</v>
      </c>
      <c r="G82" s="254" t="s">
        <v>7015</v>
      </c>
      <c r="H82" s="230">
        <f>F16*C6*F18</f>
        <v>1.145</v>
      </c>
    </row>
    <row r="83" s="207" customFormat="1" customHeight="1" spans="2:7">
      <c r="B83" s="228" t="s">
        <v>7016</v>
      </c>
      <c r="C83" s="228" t="s">
        <v>6975</v>
      </c>
      <c r="E83" s="214" t="s">
        <v>396</v>
      </c>
      <c r="F83" s="230">
        <f>C20/(3.6*E2)</f>
        <v>1.145</v>
      </c>
      <c r="G83" s="207" t="s">
        <v>7017</v>
      </c>
    </row>
    <row r="84" s="207" customFormat="1" customHeight="1" spans="2:7">
      <c r="B84" s="231">
        <f>C6</f>
        <v>2.5</v>
      </c>
      <c r="C84" s="231">
        <v>9.81</v>
      </c>
      <c r="E84" s="208" t="s">
        <v>7018</v>
      </c>
      <c r="F84" s="168"/>
      <c r="G84" s="168"/>
    </row>
    <row r="85" s="207" customFormat="1" customHeight="1" spans="5:7">
      <c r="E85" s="214" t="s">
        <v>7019</v>
      </c>
      <c r="F85" s="227">
        <v>1.6</v>
      </c>
      <c r="G85" s="207" t="s">
        <v>320</v>
      </c>
    </row>
    <row r="86" s="207" customFormat="1" customHeight="1" spans="1:1">
      <c r="A86" s="207" t="s">
        <v>7020</v>
      </c>
    </row>
    <row r="87" s="207" customFormat="1" customHeight="1" spans="1:7">
      <c r="A87" s="214" t="s">
        <v>7021</v>
      </c>
      <c r="B87" s="207" t="s">
        <v>7022</v>
      </c>
      <c r="D87" s="214" t="s">
        <v>152</v>
      </c>
      <c r="E87" s="228" t="s">
        <v>7023</v>
      </c>
      <c r="F87" s="228" t="s">
        <v>7010</v>
      </c>
      <c r="G87" s="228" t="s">
        <v>7016</v>
      </c>
    </row>
    <row r="88" s="207" customFormat="1" customHeight="1" spans="1:7">
      <c r="A88" s="214" t="s">
        <v>396</v>
      </c>
      <c r="B88" s="222">
        <f>E88*F88*G88</f>
        <v>2576.25</v>
      </c>
      <c r="C88" s="207" t="s">
        <v>387</v>
      </c>
      <c r="E88" s="247">
        <f>F83</f>
        <v>1.145</v>
      </c>
      <c r="F88" s="231">
        <f>E2</f>
        <v>900</v>
      </c>
      <c r="G88" s="231">
        <f>C6</f>
        <v>2.5</v>
      </c>
    </row>
    <row r="89" s="207" customFormat="1" customHeight="1" spans="1:1">
      <c r="A89" s="207" t="s">
        <v>7024</v>
      </c>
    </row>
    <row r="90" s="207" customFormat="1" customHeight="1" spans="1:3">
      <c r="A90" s="214" t="s">
        <v>7025</v>
      </c>
      <c r="B90" s="227">
        <v>5400</v>
      </c>
      <c r="C90" s="207" t="s">
        <v>387</v>
      </c>
    </row>
    <row r="91" s="207" customFormat="1" customHeight="1" spans="1:1">
      <c r="A91" s="207" t="s">
        <v>7026</v>
      </c>
    </row>
    <row r="92" s="207" customFormat="1" customHeight="1" spans="1:8">
      <c r="A92" s="214" t="s">
        <v>7027</v>
      </c>
      <c r="B92" s="207" t="s">
        <v>7028</v>
      </c>
      <c r="D92" s="214" t="s">
        <v>152</v>
      </c>
      <c r="E92" s="208" t="s">
        <v>7029</v>
      </c>
      <c r="F92" s="168"/>
      <c r="G92" s="168"/>
      <c r="H92" s="168"/>
    </row>
    <row r="93" s="207" customFormat="1" customHeight="1" spans="1:7">
      <c r="A93" s="214" t="s">
        <v>396</v>
      </c>
      <c r="B93" s="222">
        <f>F94*F93</f>
        <v>0</v>
      </c>
      <c r="C93" s="207" t="s">
        <v>387</v>
      </c>
      <c r="D93" s="208"/>
      <c r="E93" s="214" t="s">
        <v>7030</v>
      </c>
      <c r="F93" s="227">
        <v>0</v>
      </c>
      <c r="G93" s="208" t="s">
        <v>7031</v>
      </c>
    </row>
    <row r="94" s="207" customFormat="1" customHeight="1" spans="1:7">
      <c r="A94" s="214"/>
      <c r="B94" s="227"/>
      <c r="E94" s="255" t="s">
        <v>1262</v>
      </c>
      <c r="F94" s="249">
        <f>E11</f>
        <v>1.8</v>
      </c>
      <c r="G94" s="242" t="s">
        <v>320</v>
      </c>
    </row>
    <row r="95" s="207" customFormat="1" customHeight="1" spans="1:1">
      <c r="A95" s="207" t="s">
        <v>7032</v>
      </c>
    </row>
    <row r="96" s="207" customFormat="1" customHeight="1" spans="1:8">
      <c r="A96" s="214" t="s">
        <v>7033</v>
      </c>
      <c r="B96" s="207" t="s">
        <v>7034</v>
      </c>
      <c r="D96" s="214" t="s">
        <v>152</v>
      </c>
      <c r="E96" s="228" t="s">
        <v>7035</v>
      </c>
      <c r="F96" s="228" t="s">
        <v>7036</v>
      </c>
      <c r="G96" s="228" t="s">
        <v>7037</v>
      </c>
      <c r="H96" s="228" t="s">
        <v>7038</v>
      </c>
    </row>
    <row r="97" s="207" customFormat="1" customHeight="1" spans="1:8">
      <c r="A97" s="214" t="s">
        <v>396</v>
      </c>
      <c r="B97" s="222">
        <f>E97+F97+G97+H97+E99+F99+G99+H99+D99</f>
        <v>46628.4770589989</v>
      </c>
      <c r="C97" s="207" t="s">
        <v>387</v>
      </c>
      <c r="E97" s="234">
        <f>B53</f>
        <v>23599.0494036</v>
      </c>
      <c r="F97" s="231">
        <f>B58</f>
        <v>9464.34394319834</v>
      </c>
      <c r="G97" s="231">
        <f>B61</f>
        <v>1296</v>
      </c>
      <c r="H97" s="231">
        <f>B70</f>
        <v>353.16</v>
      </c>
    </row>
    <row r="98" s="207" customFormat="1" customHeight="1" spans="1:8">
      <c r="A98" s="214"/>
      <c r="B98" s="222"/>
      <c r="D98" s="228" t="s">
        <v>7039</v>
      </c>
      <c r="E98" s="228" t="s">
        <v>7040</v>
      </c>
      <c r="F98" s="228" t="s">
        <v>7041</v>
      </c>
      <c r="G98" s="228" t="s">
        <v>7042</v>
      </c>
      <c r="H98" s="228" t="s">
        <v>7043</v>
      </c>
    </row>
    <row r="99" s="207" customFormat="1" customHeight="1" spans="1:8">
      <c r="A99" s="214"/>
      <c r="B99" s="222"/>
      <c r="D99" s="231">
        <f>B93</f>
        <v>0</v>
      </c>
      <c r="E99" s="234">
        <f>B73</f>
        <v>2637.4817431381</v>
      </c>
      <c r="F99" s="231">
        <f>B80</f>
        <v>1302.1919690625</v>
      </c>
      <c r="G99" s="231">
        <f>B88</f>
        <v>2576.25</v>
      </c>
      <c r="H99" s="231">
        <f>B90</f>
        <v>5400</v>
      </c>
    </row>
    <row r="100" s="207" customFormat="1" customHeight="1" spans="1:1">
      <c r="A100" s="207" t="s">
        <v>7044</v>
      </c>
    </row>
    <row r="101" s="207" customFormat="1" customHeight="1" spans="1:1">
      <c r="A101" s="207" t="s">
        <v>7045</v>
      </c>
    </row>
    <row r="102" s="207" customFormat="1" customHeight="1" spans="1:6">
      <c r="A102" s="214" t="s">
        <v>7046</v>
      </c>
      <c r="B102" s="207" t="s">
        <v>7047</v>
      </c>
      <c r="D102" s="214" t="s">
        <v>152</v>
      </c>
      <c r="E102" s="228" t="s">
        <v>1152</v>
      </c>
      <c r="F102" s="228" t="s">
        <v>207</v>
      </c>
    </row>
    <row r="103" customHeight="1" spans="1:8">
      <c r="A103" s="214" t="s">
        <v>396</v>
      </c>
      <c r="B103" s="222">
        <f>E103*F103</f>
        <v>116571.192647497</v>
      </c>
      <c r="C103" s="207" t="s">
        <v>7048</v>
      </c>
      <c r="D103" s="207"/>
      <c r="E103" s="234">
        <f>B97</f>
        <v>46628.4770589989</v>
      </c>
      <c r="F103" s="231">
        <f>C6</f>
        <v>2.5</v>
      </c>
      <c r="G103" s="207"/>
      <c r="H103" s="207"/>
    </row>
    <row r="104" customHeight="1" spans="1:8">
      <c r="A104" s="214" t="s">
        <v>396</v>
      </c>
      <c r="B104" s="222">
        <f>B103/1000</f>
        <v>116.571192647497</v>
      </c>
      <c r="C104" s="207" t="s">
        <v>7049</v>
      </c>
      <c r="D104" s="207"/>
      <c r="E104" s="207"/>
      <c r="F104" s="207"/>
      <c r="G104" s="207"/>
      <c r="H104" s="207"/>
    </row>
    <row r="105" customHeight="1" spans="1:8">
      <c r="A105" s="207" t="s">
        <v>7050</v>
      </c>
      <c r="B105" s="207"/>
      <c r="C105" s="207"/>
      <c r="D105" s="207"/>
      <c r="E105" s="207"/>
      <c r="F105" s="207"/>
      <c r="G105" s="207"/>
      <c r="H105" s="207"/>
    </row>
    <row r="106" s="207" customFormat="1" customHeight="1" spans="1:8">
      <c r="A106" s="214" t="s">
        <v>7051</v>
      </c>
      <c r="B106" s="207" t="s">
        <v>7052</v>
      </c>
      <c r="D106" s="214" t="s">
        <v>152</v>
      </c>
      <c r="E106" s="208" t="s">
        <v>7053</v>
      </c>
      <c r="F106" s="168"/>
      <c r="G106" s="168"/>
      <c r="H106" s="168"/>
    </row>
    <row r="107" s="207" customFormat="1" customHeight="1" spans="1:6">
      <c r="A107" s="214" t="s">
        <v>396</v>
      </c>
      <c r="B107" s="222">
        <f>B104/(F107*F109*F111*F113*F115)</f>
        <v>150.958156396045</v>
      </c>
      <c r="C107" s="207" t="s">
        <v>7049</v>
      </c>
      <c r="E107" s="214" t="s">
        <v>7054</v>
      </c>
      <c r="F107" s="227">
        <v>0.96</v>
      </c>
    </row>
    <row r="108" s="207" customFormat="1" customHeight="1" spans="5:8">
      <c r="E108" s="208" t="s">
        <v>7055</v>
      </c>
      <c r="F108" s="168"/>
      <c r="G108" s="168"/>
      <c r="H108" s="168"/>
    </row>
    <row r="109" s="207" customFormat="1" customHeight="1" spans="5:6">
      <c r="E109" s="214" t="s">
        <v>7056</v>
      </c>
      <c r="F109" s="227">
        <v>0.96</v>
      </c>
    </row>
    <row r="110" s="207" customFormat="1" customHeight="1" spans="3:8">
      <c r="C110" s="168"/>
      <c r="E110" s="208" t="s">
        <v>7057</v>
      </c>
      <c r="F110" s="168"/>
      <c r="G110" s="168"/>
      <c r="H110" s="168"/>
    </row>
    <row r="111" s="207" customFormat="1" customHeight="1" spans="5:6">
      <c r="E111" s="214" t="s">
        <v>7058</v>
      </c>
      <c r="F111" s="227">
        <v>0.98</v>
      </c>
    </row>
    <row r="112" s="207" customFormat="1" customHeight="1" spans="5:8">
      <c r="E112" s="208" t="s">
        <v>7059</v>
      </c>
      <c r="F112" s="168"/>
      <c r="G112" s="168"/>
      <c r="H112" s="168"/>
    </row>
    <row r="113" s="207" customFormat="1" customHeight="1" spans="5:6">
      <c r="E113" s="214" t="s">
        <v>7060</v>
      </c>
      <c r="F113" s="227">
        <v>0.9</v>
      </c>
    </row>
    <row r="114" s="207" customFormat="1" customHeight="1" spans="5:8">
      <c r="E114" s="208" t="s">
        <v>7061</v>
      </c>
      <c r="F114" s="168"/>
      <c r="G114" s="168"/>
      <c r="H114" s="168"/>
    </row>
    <row r="115" s="207" customFormat="1" customHeight="1" spans="5:6">
      <c r="E115" s="214" t="s">
        <v>7062</v>
      </c>
      <c r="F115" s="227">
        <v>0.95</v>
      </c>
    </row>
    <row r="116" s="207" customFormat="1" customHeight="1" spans="1:1">
      <c r="A116" s="207" t="s">
        <v>7063</v>
      </c>
    </row>
    <row r="117" s="207" customFormat="1" customHeight="1" spans="1:4">
      <c r="A117" s="207" t="s">
        <v>7064</v>
      </c>
      <c r="C117" s="256">
        <f>B53</f>
        <v>23599.0494036</v>
      </c>
      <c r="D117" s="207" t="s">
        <v>387</v>
      </c>
    </row>
    <row r="118" s="207" customFormat="1" customHeight="1" spans="1:4">
      <c r="A118" s="207" t="s">
        <v>7065</v>
      </c>
      <c r="C118" s="256">
        <f>B58</f>
        <v>9464.34394319834</v>
      </c>
      <c r="D118" s="207" t="s">
        <v>387</v>
      </c>
    </row>
    <row r="119" s="207" customFormat="1" customHeight="1" spans="1:1">
      <c r="A119" s="207" t="s">
        <v>7066</v>
      </c>
    </row>
    <row r="120" s="207" customFormat="1" customHeight="1" spans="1:1">
      <c r="A120" s="207" t="s">
        <v>7067</v>
      </c>
    </row>
    <row r="121" s="207" customFormat="1" customHeight="1" spans="2:8">
      <c r="B121" s="207" t="s">
        <v>7068</v>
      </c>
      <c r="C121" s="257">
        <v>160</v>
      </c>
      <c r="D121" s="207" t="s">
        <v>1039</v>
      </c>
      <c r="E121" s="207" t="s">
        <v>7069</v>
      </c>
      <c r="F121" s="168"/>
      <c r="G121" s="227">
        <v>1500</v>
      </c>
      <c r="H121" s="207" t="s">
        <v>400</v>
      </c>
    </row>
    <row r="122" s="207" customFormat="1" customHeight="1" spans="1:8">
      <c r="A122" s="214" t="s">
        <v>7070</v>
      </c>
      <c r="B122" s="249">
        <f>B28/1000</f>
        <v>1</v>
      </c>
      <c r="C122" s="207" t="s">
        <v>320</v>
      </c>
      <c r="D122" s="214" t="s">
        <v>7071</v>
      </c>
      <c r="E122" s="249">
        <f>C6</f>
        <v>2.5</v>
      </c>
      <c r="F122" s="207" t="s">
        <v>359</v>
      </c>
      <c r="G122" s="207" t="s">
        <v>7072</v>
      </c>
      <c r="H122" s="222">
        <f>60*E122/(3.1415926*B122)</f>
        <v>47.7464837420358</v>
      </c>
    </row>
    <row r="123" s="207" customFormat="1" customHeight="1" spans="1:7">
      <c r="A123" s="238" t="s">
        <v>7073</v>
      </c>
      <c r="B123" s="222">
        <f>G121/H122</f>
        <v>31.415926</v>
      </c>
      <c r="C123" s="238" t="s">
        <v>7074</v>
      </c>
      <c r="D123" s="257">
        <v>31.5</v>
      </c>
      <c r="E123" s="238" t="s">
        <v>7075</v>
      </c>
      <c r="F123" s="258">
        <f>G121*3.1415926*B122/(60*D123)</f>
        <v>2.49332746031746</v>
      </c>
      <c r="G123" s="207" t="s">
        <v>359</v>
      </c>
    </row>
    <row r="124" s="207" customFormat="1" customHeight="1" spans="1:8">
      <c r="A124" s="259" t="s">
        <v>7076</v>
      </c>
      <c r="B124" s="259"/>
      <c r="C124" s="259"/>
      <c r="D124" s="259"/>
      <c r="E124" s="259"/>
      <c r="F124" s="259"/>
      <c r="G124" s="259"/>
      <c r="H124" s="259"/>
    </row>
    <row r="125" s="207" customFormat="1" customHeight="1" spans="1:8">
      <c r="A125" s="260" t="s">
        <v>7077</v>
      </c>
      <c r="B125" s="260" t="s">
        <v>7078</v>
      </c>
      <c r="C125" s="260" t="s">
        <v>7079</v>
      </c>
      <c r="D125" s="260" t="s">
        <v>7080</v>
      </c>
      <c r="E125" s="260" t="s">
        <v>7081</v>
      </c>
      <c r="F125" s="260" t="s">
        <v>7082</v>
      </c>
      <c r="G125" s="261" t="s">
        <v>7083</v>
      </c>
      <c r="H125" s="262"/>
    </row>
    <row r="126" s="207" customFormat="1" customHeight="1" spans="1:8">
      <c r="A126" s="263"/>
      <c r="B126" s="263"/>
      <c r="C126" s="263"/>
      <c r="D126" s="263"/>
      <c r="E126" s="263"/>
      <c r="F126" s="263"/>
      <c r="G126" s="264"/>
      <c r="H126" s="265"/>
    </row>
    <row r="127" s="207" customFormat="1" customHeight="1" spans="1:8">
      <c r="A127" s="231">
        <f>B104</f>
        <v>116.571192647497</v>
      </c>
      <c r="B127" s="231">
        <f>G121</f>
        <v>1500</v>
      </c>
      <c r="C127" s="266">
        <f>D123</f>
        <v>31.5</v>
      </c>
      <c r="D127" s="267">
        <v>1.5</v>
      </c>
      <c r="E127" s="268">
        <f>B127/C127</f>
        <v>47.6190476190476</v>
      </c>
      <c r="F127" s="268">
        <f>D127*A127</f>
        <v>174.856788971246</v>
      </c>
      <c r="G127" s="269" t="s">
        <v>7084</v>
      </c>
      <c r="H127" s="270"/>
    </row>
    <row r="128" s="207" customFormat="1" customHeight="1" spans="1:8">
      <c r="A128" s="260" t="s">
        <v>7085</v>
      </c>
      <c r="B128" s="260" t="s">
        <v>7086</v>
      </c>
      <c r="C128" s="260" t="s">
        <v>7087</v>
      </c>
      <c r="D128" s="260" t="s">
        <v>7088</v>
      </c>
      <c r="E128" s="260" t="s">
        <v>7089</v>
      </c>
      <c r="F128" s="260" t="s">
        <v>7090</v>
      </c>
      <c r="G128" s="261" t="s">
        <v>7091</v>
      </c>
      <c r="H128" s="262"/>
    </row>
    <row r="129" customHeight="1" spans="1:8">
      <c r="A129" s="263"/>
      <c r="B129" s="263"/>
      <c r="C129" s="263"/>
      <c r="D129" s="263"/>
      <c r="E129" s="263"/>
      <c r="F129" s="263"/>
      <c r="G129" s="264"/>
      <c r="H129" s="265"/>
    </row>
    <row r="130" customHeight="1" spans="1:8">
      <c r="A130" s="267">
        <v>121</v>
      </c>
      <c r="B130" s="267">
        <v>0.71</v>
      </c>
      <c r="C130" s="267">
        <v>1</v>
      </c>
      <c r="D130" s="267">
        <v>1</v>
      </c>
      <c r="E130" s="267">
        <v>0.82</v>
      </c>
      <c r="F130" s="268">
        <f>A130*B130*C130*D130*E130</f>
        <v>70.4462</v>
      </c>
      <c r="G130" s="269" t="s">
        <v>7092</v>
      </c>
      <c r="H130" s="270"/>
    </row>
    <row r="131" customHeight="1" spans="1:8">
      <c r="A131" s="267">
        <v>159</v>
      </c>
      <c r="B131" s="267">
        <v>0.71</v>
      </c>
      <c r="C131" s="267">
        <v>1</v>
      </c>
      <c r="D131" s="267">
        <v>1</v>
      </c>
      <c r="E131" s="267">
        <v>1.47</v>
      </c>
      <c r="F131" s="268">
        <f>A131*B131*C131*D131*E131</f>
        <v>165.9483</v>
      </c>
      <c r="G131" s="269" t="s">
        <v>7093</v>
      </c>
      <c r="H131" s="270"/>
    </row>
    <row r="132" customHeight="1" spans="1:8">
      <c r="A132" s="271" t="s">
        <v>7094</v>
      </c>
      <c r="B132" s="271"/>
      <c r="C132" s="272" t="s">
        <v>7095</v>
      </c>
      <c r="D132" s="273"/>
      <c r="E132" s="273"/>
      <c r="F132" s="248"/>
      <c r="G132" s="248"/>
      <c r="H132" s="274"/>
    </row>
    <row r="133" s="207" customFormat="1" customHeight="1" spans="1:1">
      <c r="A133" s="207" t="s">
        <v>7096</v>
      </c>
    </row>
    <row r="134" s="207" customFormat="1" customHeight="1" spans="1:1">
      <c r="A134" s="207" t="s">
        <v>7097</v>
      </c>
    </row>
    <row r="135" s="207" customFormat="1" customHeight="1" spans="1:1">
      <c r="A135" s="207" t="s">
        <v>7098</v>
      </c>
    </row>
    <row r="136" s="207" customFormat="1" customHeight="1" spans="1:8">
      <c r="A136" s="214" t="s">
        <v>7099</v>
      </c>
      <c r="B136" s="207" t="s">
        <v>7100</v>
      </c>
      <c r="D136" s="214" t="s">
        <v>152</v>
      </c>
      <c r="E136" s="208" t="s">
        <v>7101</v>
      </c>
      <c r="F136" s="168"/>
      <c r="G136" s="168"/>
      <c r="H136" s="168"/>
    </row>
    <row r="137" s="207" customFormat="1" customHeight="1" spans="1:7">
      <c r="A137" s="214"/>
      <c r="B137" s="222"/>
      <c r="E137" s="214" t="s">
        <v>7102</v>
      </c>
      <c r="F137" s="256">
        <f>H33</f>
        <v>1.2</v>
      </c>
      <c r="G137" s="207" t="s">
        <v>320</v>
      </c>
    </row>
    <row r="138" s="207" customFormat="1" customHeight="1" spans="1:5">
      <c r="A138" s="214" t="s">
        <v>152</v>
      </c>
      <c r="B138" s="228" t="s">
        <v>206</v>
      </c>
      <c r="C138" s="228" t="s">
        <v>6971</v>
      </c>
      <c r="E138" s="207" t="s">
        <v>7103</v>
      </c>
    </row>
    <row r="139" s="207" customFormat="1" customHeight="1" spans="2:6">
      <c r="B139" s="234">
        <f>C23</f>
        <v>108.888888888889</v>
      </c>
      <c r="C139" s="231">
        <f>C21</f>
        <v>28.476</v>
      </c>
      <c r="E139" s="275" t="s">
        <v>7104</v>
      </c>
      <c r="F139" s="227">
        <v>0.01</v>
      </c>
    </row>
    <row r="140" s="207" customFormat="1" customHeight="1" spans="1:6">
      <c r="A140" s="214" t="s">
        <v>7099</v>
      </c>
      <c r="B140" s="222">
        <f>F137*(B139+C139)*9.81/(8*F139)</f>
        <v>20213.2434</v>
      </c>
      <c r="C140" s="207" t="s">
        <v>387</v>
      </c>
      <c r="E140" s="275"/>
      <c r="F140" s="227"/>
    </row>
    <row r="141" s="207" customFormat="1" customHeight="1" spans="1:1">
      <c r="A141" s="207" t="s">
        <v>7105</v>
      </c>
    </row>
    <row r="142" s="207" customFormat="1" customHeight="1" spans="1:8">
      <c r="A142" s="214" t="s">
        <v>7106</v>
      </c>
      <c r="B142" s="207" t="s">
        <v>7107</v>
      </c>
      <c r="D142" s="214" t="s">
        <v>152</v>
      </c>
      <c r="E142" s="208" t="s">
        <v>7108</v>
      </c>
      <c r="F142" s="208"/>
      <c r="G142" s="208"/>
      <c r="H142" s="228" t="s">
        <v>6971</v>
      </c>
    </row>
    <row r="143" s="207" customFormat="1" customHeight="1" spans="1:8">
      <c r="A143" s="214" t="s">
        <v>396</v>
      </c>
      <c r="B143" s="222">
        <f>F143*H143*9.81/(8*F139)</f>
        <v>10475.6085</v>
      </c>
      <c r="C143" s="207" t="s">
        <v>387</v>
      </c>
      <c r="E143" s="214" t="s">
        <v>7109</v>
      </c>
      <c r="F143" s="256">
        <f>H38</f>
        <v>3</v>
      </c>
      <c r="G143" s="207" t="s">
        <v>320</v>
      </c>
      <c r="H143" s="231">
        <f>C21</f>
        <v>28.476</v>
      </c>
    </row>
    <row r="144" s="207" customFormat="1" customHeight="1" spans="1:1">
      <c r="A144" s="207" t="s">
        <v>7110</v>
      </c>
    </row>
    <row r="145" s="207" customFormat="1" customHeight="1" spans="1:8">
      <c r="A145" s="208" t="s">
        <v>7111</v>
      </c>
      <c r="D145" s="214" t="s">
        <v>152</v>
      </c>
      <c r="E145" s="208" t="s">
        <v>7112</v>
      </c>
      <c r="F145" s="168"/>
      <c r="G145" s="168"/>
      <c r="H145" s="168"/>
    </row>
    <row r="146" s="207" customFormat="1" customHeight="1" spans="1:6">
      <c r="A146" s="214"/>
      <c r="B146" s="222"/>
      <c r="E146" s="214" t="s">
        <v>7113</v>
      </c>
      <c r="F146" s="227">
        <v>1.5</v>
      </c>
    </row>
    <row r="147" s="207" customFormat="1" hidden="1" customHeight="1" spans="3:8">
      <c r="C147" s="168"/>
      <c r="E147" s="208" t="s">
        <v>7114</v>
      </c>
      <c r="F147" s="168"/>
      <c r="G147" s="168"/>
      <c r="H147" s="168"/>
    </row>
    <row r="148" s="207" customFormat="1" hidden="1" customHeight="1" spans="1:7">
      <c r="A148" s="208" t="s">
        <v>7111</v>
      </c>
      <c r="B148" s="168"/>
      <c r="C148" s="168"/>
      <c r="E148" s="208"/>
      <c r="F148" s="208"/>
      <c r="G148" s="208"/>
    </row>
    <row r="149" s="207" customFormat="1" hidden="1" customHeight="1" spans="1:8">
      <c r="A149" s="214" t="s">
        <v>7115</v>
      </c>
      <c r="B149" s="238" t="s">
        <v>7116</v>
      </c>
      <c r="E149" s="275" t="s">
        <v>7117</v>
      </c>
      <c r="G149" s="227">
        <v>200</v>
      </c>
      <c r="H149" s="207" t="s">
        <v>7118</v>
      </c>
    </row>
    <row r="150" s="207" customFormat="1" hidden="1" customHeight="1" spans="1:8">
      <c r="A150" s="214" t="s">
        <v>396</v>
      </c>
      <c r="B150" s="222">
        <f>F146*F153/(F150-1)</f>
        <v>29227.3848220183</v>
      </c>
      <c r="C150" s="207" t="s">
        <v>387</v>
      </c>
      <c r="E150" s="214" t="s">
        <v>7119</v>
      </c>
      <c r="F150" s="222">
        <f>EXP(H150*G149*3.1415926/180)</f>
        <v>3.39305418580616</v>
      </c>
      <c r="G150" s="214" t="s">
        <v>375</v>
      </c>
      <c r="H150" s="249">
        <f>D44</f>
        <v>0.35</v>
      </c>
    </row>
    <row r="151" s="207" customFormat="1" customHeight="1" spans="1:8">
      <c r="A151" s="214" t="s">
        <v>7115</v>
      </c>
      <c r="B151" s="238" t="s">
        <v>7120</v>
      </c>
      <c r="E151" s="275" t="s">
        <v>7117</v>
      </c>
      <c r="G151" s="227">
        <v>200</v>
      </c>
      <c r="H151" s="207" t="s">
        <v>7118</v>
      </c>
    </row>
    <row r="152" s="207" customFormat="1" customHeight="1" spans="1:8">
      <c r="A152" s="214" t="s">
        <v>396</v>
      </c>
      <c r="B152" s="222">
        <f>F146*F153/(F152-1)</f>
        <v>29227.3848220183</v>
      </c>
      <c r="C152" s="207" t="s">
        <v>387</v>
      </c>
      <c r="E152" s="214" t="s">
        <v>7119</v>
      </c>
      <c r="F152" s="222">
        <f>EXP(H152*G151*3.1415926/180)</f>
        <v>3.39305418580616</v>
      </c>
      <c r="G152" s="214" t="s">
        <v>375</v>
      </c>
      <c r="H152" s="249">
        <f>D44</f>
        <v>0.35</v>
      </c>
    </row>
    <row r="153" s="207" customFormat="1" customHeight="1" spans="1:7">
      <c r="A153" s="214" t="s">
        <v>7121</v>
      </c>
      <c r="B153" s="215">
        <f>B152</f>
        <v>29227.3848220183</v>
      </c>
      <c r="C153" s="207" t="s">
        <v>387</v>
      </c>
      <c r="E153" s="255" t="s">
        <v>7033</v>
      </c>
      <c r="F153" s="249">
        <f>B97</f>
        <v>46628.4770589989</v>
      </c>
      <c r="G153" s="207" t="s">
        <v>387</v>
      </c>
    </row>
    <row r="154" s="207" customFormat="1" customHeight="1" spans="1:1">
      <c r="A154" s="207" t="s">
        <v>7122</v>
      </c>
    </row>
    <row r="155" s="207" customFormat="1" customHeight="1" spans="1:1">
      <c r="A155" s="207" t="s">
        <v>7123</v>
      </c>
    </row>
    <row r="156" s="207" customFormat="1" customHeight="1" spans="1:5">
      <c r="A156" s="214" t="s">
        <v>7124</v>
      </c>
      <c r="B156" s="207" t="s">
        <v>7125</v>
      </c>
      <c r="D156" s="214" t="s">
        <v>152</v>
      </c>
      <c r="E156" s="214"/>
    </row>
    <row r="157" s="207" customFormat="1" customHeight="1" spans="1:7">
      <c r="A157" s="214" t="s">
        <v>396</v>
      </c>
      <c r="B157" s="222">
        <f>F157+F158</f>
        <v>75855.8618810172</v>
      </c>
      <c r="C157" s="207" t="s">
        <v>387</v>
      </c>
      <c r="E157" s="214" t="s">
        <v>7126</v>
      </c>
      <c r="F157" s="249">
        <f>B153</f>
        <v>29227.3848220183</v>
      </c>
      <c r="G157" s="207" t="s">
        <v>387</v>
      </c>
    </row>
    <row r="158" s="207" customFormat="1" customHeight="1" spans="4:7">
      <c r="D158" s="214"/>
      <c r="E158" s="255" t="s">
        <v>7033</v>
      </c>
      <c r="F158" s="249">
        <f>B97</f>
        <v>46628.4770589989</v>
      </c>
      <c r="G158" s="207" t="s">
        <v>387</v>
      </c>
    </row>
    <row r="159" s="207" customFormat="1" customHeight="1" spans="1:1">
      <c r="A159" s="207" t="s">
        <v>7127</v>
      </c>
    </row>
    <row r="160" s="207" customFormat="1" customHeight="1" spans="1:4">
      <c r="A160" s="214" t="s">
        <v>7128</v>
      </c>
      <c r="B160" s="259" t="s">
        <v>7129</v>
      </c>
      <c r="C160" s="259"/>
      <c r="D160" s="259"/>
    </row>
    <row r="161" s="207" customFormat="1" customHeight="1" spans="1:7">
      <c r="A161" s="214" t="s">
        <v>152</v>
      </c>
      <c r="B161" s="228" t="s">
        <v>7130</v>
      </c>
      <c r="C161" s="228" t="s">
        <v>1707</v>
      </c>
      <c r="D161" s="228" t="s">
        <v>6974</v>
      </c>
      <c r="E161" s="228" t="s">
        <v>206</v>
      </c>
      <c r="F161" s="228" t="s">
        <v>6971</v>
      </c>
      <c r="G161" s="228" t="s">
        <v>6972</v>
      </c>
    </row>
    <row r="162" s="207" customFormat="1" customHeight="1" spans="2:7">
      <c r="B162" s="234">
        <f>B157</f>
        <v>75855.8618810172</v>
      </c>
      <c r="C162" s="234">
        <f>C4</f>
        <v>540</v>
      </c>
      <c r="D162" s="234">
        <f>D43</f>
        <v>0.022</v>
      </c>
      <c r="E162" s="234">
        <f>C23</f>
        <v>108.888888888889</v>
      </c>
      <c r="F162" s="234">
        <f>C21</f>
        <v>28.476</v>
      </c>
      <c r="G162" s="234">
        <f>D35</f>
        <v>25.925</v>
      </c>
    </row>
    <row r="163" s="207" customFormat="1" ht="36.75" customHeight="1" spans="2:7">
      <c r="B163" s="276" t="s">
        <v>7131</v>
      </c>
      <c r="C163" s="276" t="s">
        <v>7132</v>
      </c>
      <c r="D163" s="277" t="s">
        <v>7133</v>
      </c>
      <c r="E163" s="228" t="s">
        <v>6979</v>
      </c>
      <c r="F163" s="228" t="s">
        <v>6975</v>
      </c>
      <c r="G163" s="278"/>
    </row>
    <row r="164" s="207" customFormat="1" customHeight="1" spans="2:7">
      <c r="B164" s="234">
        <f>B73</f>
        <v>2637.4817431381</v>
      </c>
      <c r="C164" s="234">
        <f>B80</f>
        <v>1302.1919690625</v>
      </c>
      <c r="D164" s="234">
        <f>B88</f>
        <v>2576.25</v>
      </c>
      <c r="E164" s="234">
        <f>C8</f>
        <v>8.86008607301848</v>
      </c>
      <c r="F164" s="234">
        <v>9.81</v>
      </c>
      <c r="G164" s="278"/>
    </row>
    <row r="165" s="207" customFormat="1" customHeight="1" spans="1:3">
      <c r="A165" s="214" t="s">
        <v>7128</v>
      </c>
      <c r="B165" s="222">
        <f>B162-C162*D162*9.81*(E162+F162+G162)-B164-C164-D164-E164*9.81*(F162+E162)</f>
        <v>38370.2722167584</v>
      </c>
      <c r="C165" s="207" t="s">
        <v>387</v>
      </c>
    </row>
    <row r="166" s="207" customFormat="1" customHeight="1" spans="1:4">
      <c r="A166" s="214" t="s">
        <v>7134</v>
      </c>
      <c r="B166" s="254" t="s">
        <v>7128</v>
      </c>
      <c r="C166" s="256">
        <f>B165</f>
        <v>38370.2722167584</v>
      </c>
      <c r="D166" s="207" t="s">
        <v>387</v>
      </c>
    </row>
    <row r="167" s="207" customFormat="1" customHeight="1" spans="1:5">
      <c r="A167" s="214" t="s">
        <v>7135</v>
      </c>
      <c r="B167" s="254" t="s">
        <v>7136</v>
      </c>
      <c r="C167" s="256">
        <f>B140</f>
        <v>20213.2434</v>
      </c>
      <c r="D167" s="207" t="s">
        <v>387</v>
      </c>
      <c r="E167" s="207" t="s">
        <v>7137</v>
      </c>
    </row>
    <row r="168" s="207" customFormat="1" customHeight="1" spans="1:1">
      <c r="A168" s="207" t="s">
        <v>7138</v>
      </c>
    </row>
    <row r="169" customHeight="1" spans="1:5">
      <c r="A169" s="214" t="s">
        <v>7139</v>
      </c>
      <c r="B169" s="207" t="s">
        <v>7140</v>
      </c>
      <c r="C169" s="207"/>
      <c r="D169" s="214" t="s">
        <v>152</v>
      </c>
      <c r="E169" s="208" t="s">
        <v>7141</v>
      </c>
    </row>
    <row r="170" customHeight="1" spans="1:8">
      <c r="A170" s="214" t="s">
        <v>396</v>
      </c>
      <c r="B170" s="222">
        <f>F171/F170</f>
        <v>37617.9139379985</v>
      </c>
      <c r="C170" s="207" t="s">
        <v>387</v>
      </c>
      <c r="D170" s="207"/>
      <c r="E170" s="214" t="s">
        <v>7142</v>
      </c>
      <c r="F170" s="227">
        <v>1.02</v>
      </c>
      <c r="G170" s="207"/>
      <c r="H170" s="207"/>
    </row>
    <row r="171" customHeight="1" spans="1:8">
      <c r="A171" s="214"/>
      <c r="B171" s="222"/>
      <c r="C171" s="207"/>
      <c r="D171" s="207"/>
      <c r="E171" s="248" t="s">
        <v>7128</v>
      </c>
      <c r="F171" s="256">
        <f>B165</f>
        <v>38370.2722167584</v>
      </c>
      <c r="G171" s="207" t="s">
        <v>387</v>
      </c>
      <c r="H171" s="207"/>
    </row>
    <row r="172" customHeight="1" spans="1:8">
      <c r="A172" s="207" t="s">
        <v>7143</v>
      </c>
      <c r="B172" s="207"/>
      <c r="C172" s="207"/>
      <c r="D172" s="207"/>
      <c r="E172" s="207"/>
      <c r="F172" s="207"/>
      <c r="G172" s="207"/>
      <c r="H172" s="207"/>
    </row>
    <row r="173" customHeight="1" spans="1:8">
      <c r="A173" s="214" t="s">
        <v>7144</v>
      </c>
      <c r="B173" s="238" t="s">
        <v>7145</v>
      </c>
      <c r="D173" s="265"/>
      <c r="E173" s="228" t="s">
        <v>7146</v>
      </c>
      <c r="F173" s="228" t="s">
        <v>1707</v>
      </c>
      <c r="G173" s="228" t="s">
        <v>7147</v>
      </c>
      <c r="H173" s="228" t="s">
        <v>6974</v>
      </c>
    </row>
    <row r="174" customHeight="1" spans="1:8">
      <c r="A174" s="214" t="s">
        <v>396</v>
      </c>
      <c r="B174" s="222">
        <f>E174-(F174-G174)*H174*9.81*(E176+F176)+(F174-G174)*E176*9.81*TAN(H176)-G176</f>
        <v>35907.7084043706</v>
      </c>
      <c r="C174" s="207" t="s">
        <v>387</v>
      </c>
      <c r="D174" s="214" t="s">
        <v>152</v>
      </c>
      <c r="E174" s="234">
        <f>B170</f>
        <v>37617.9139379985</v>
      </c>
      <c r="F174" s="234">
        <f>C4</f>
        <v>540</v>
      </c>
      <c r="G174" s="234">
        <f>F45</f>
        <v>190</v>
      </c>
      <c r="H174" s="279">
        <f>D43</f>
        <v>0.022</v>
      </c>
    </row>
    <row r="175" customHeight="1" spans="1:8">
      <c r="A175" s="214"/>
      <c r="B175" s="222"/>
      <c r="C175" s="207"/>
      <c r="D175" s="207"/>
      <c r="E175" s="228" t="s">
        <v>6971</v>
      </c>
      <c r="F175" s="228" t="s">
        <v>6973</v>
      </c>
      <c r="G175" s="228" t="s">
        <v>7148</v>
      </c>
      <c r="H175" s="228" t="s">
        <v>7149</v>
      </c>
    </row>
    <row r="176" customHeight="1" spans="1:8">
      <c r="A176" s="214"/>
      <c r="B176" s="222"/>
      <c r="C176" s="207"/>
      <c r="D176" s="207"/>
      <c r="E176" s="234">
        <f>C21</f>
        <v>28.476</v>
      </c>
      <c r="F176" s="234">
        <f>D40</f>
        <v>10.7266666666667</v>
      </c>
      <c r="G176" s="234">
        <f>B70</f>
        <v>353.16</v>
      </c>
      <c r="H176" s="279">
        <f>E5</f>
        <v>0.0164060946888889</v>
      </c>
    </row>
    <row r="177" customHeight="1" spans="1:8">
      <c r="A177" s="214" t="s">
        <v>7134</v>
      </c>
      <c r="B177" s="254" t="s">
        <v>7144</v>
      </c>
      <c r="C177" s="256">
        <f>B174</f>
        <v>35907.7084043706</v>
      </c>
      <c r="D177" s="207" t="s">
        <v>387</v>
      </c>
      <c r="E177" s="207"/>
      <c r="F177" s="207"/>
      <c r="G177" s="207"/>
      <c r="H177" s="242"/>
    </row>
    <row r="178" customHeight="1" spans="1:8">
      <c r="A178" s="214" t="s">
        <v>7135</v>
      </c>
      <c r="B178" s="254" t="s">
        <v>7150</v>
      </c>
      <c r="C178" s="256">
        <f>B143</f>
        <v>10475.6085</v>
      </c>
      <c r="D178" s="207" t="s">
        <v>387</v>
      </c>
      <c r="E178" s="207" t="s">
        <v>7151</v>
      </c>
      <c r="F178" s="207"/>
      <c r="G178" s="207"/>
      <c r="H178" s="242"/>
    </row>
    <row r="179" s="207" customFormat="1" customHeight="1" spans="1:1">
      <c r="A179" s="207" t="s">
        <v>7152</v>
      </c>
    </row>
    <row r="180" s="207" customFormat="1" customHeight="1" spans="1:8">
      <c r="A180" s="223" t="s">
        <v>7153</v>
      </c>
      <c r="B180" s="207" t="s">
        <v>7154</v>
      </c>
      <c r="D180" s="214"/>
      <c r="E180" s="208"/>
      <c r="F180" s="168"/>
      <c r="G180" s="168"/>
      <c r="H180" s="168"/>
    </row>
    <row r="181" s="207" customFormat="1" customHeight="1" spans="1:6">
      <c r="A181" s="214" t="s">
        <v>396</v>
      </c>
      <c r="B181" s="222">
        <f>2*F182/9.81</f>
        <v>7320.63372158422</v>
      </c>
      <c r="C181" s="207" t="s">
        <v>357</v>
      </c>
      <c r="D181" s="214"/>
      <c r="E181" s="214"/>
      <c r="F181" s="227"/>
    </row>
    <row r="182" s="207" customFormat="1" customHeight="1" spans="1:8">
      <c r="A182" s="214" t="s">
        <v>396</v>
      </c>
      <c r="B182" s="256">
        <f>B181*9.81/1000</f>
        <v>71.8154168087412</v>
      </c>
      <c r="C182" s="207" t="s">
        <v>588</v>
      </c>
      <c r="D182" s="214" t="s">
        <v>152</v>
      </c>
      <c r="E182" s="248" t="s">
        <v>7144</v>
      </c>
      <c r="F182" s="256">
        <f>B174</f>
        <v>35907.7084043706</v>
      </c>
      <c r="G182" s="207" t="s">
        <v>387</v>
      </c>
      <c r="H182" s="242"/>
    </row>
    <row r="183" s="207" customFormat="1" customHeight="1" spans="1:8">
      <c r="A183" s="214" t="s">
        <v>7155</v>
      </c>
      <c r="B183" s="214" t="s">
        <v>356</v>
      </c>
      <c r="C183" s="239">
        <v>75</v>
      </c>
      <c r="D183" s="207" t="s">
        <v>588</v>
      </c>
      <c r="E183" s="256"/>
      <c r="F183" s="168"/>
      <c r="H183" s="242"/>
    </row>
    <row r="184" s="207" customFormat="1" customHeight="1" spans="1:8">
      <c r="A184" s="223" t="s">
        <v>7156</v>
      </c>
      <c r="B184" s="280" t="s">
        <v>7157</v>
      </c>
      <c r="C184" s="281"/>
      <c r="D184" s="281"/>
      <c r="E184" s="281"/>
      <c r="F184" s="214" t="s">
        <v>152</v>
      </c>
      <c r="G184" s="214" t="s">
        <v>7158</v>
      </c>
      <c r="H184" s="279">
        <f>D43</f>
        <v>0.022</v>
      </c>
    </row>
    <row r="185" s="207" customFormat="1" customHeight="1" spans="1:8">
      <c r="A185" s="228" t="s">
        <v>7159</v>
      </c>
      <c r="B185" s="228" t="s">
        <v>7160</v>
      </c>
      <c r="C185" s="228" t="s">
        <v>7161</v>
      </c>
      <c r="D185" s="228" t="s">
        <v>6971</v>
      </c>
      <c r="E185" s="228" t="s">
        <v>6973</v>
      </c>
      <c r="F185" s="228" t="s">
        <v>7147</v>
      </c>
      <c r="G185" s="228" t="s">
        <v>7149</v>
      </c>
      <c r="H185" s="228" t="s">
        <v>1453</v>
      </c>
    </row>
    <row r="186" s="207" customFormat="1" customHeight="1" spans="1:8">
      <c r="A186" s="234">
        <f>B97</f>
        <v>46628.4770589989</v>
      </c>
      <c r="B186" s="234">
        <f>G151</f>
        <v>200</v>
      </c>
      <c r="C186" s="268">
        <f>EXP(H186*B186*3.1415926/180)</f>
        <v>3.39305418580616</v>
      </c>
      <c r="D186" s="234">
        <f>C21</f>
        <v>28.476</v>
      </c>
      <c r="E186" s="234">
        <f>D40</f>
        <v>10.7266666666667</v>
      </c>
      <c r="F186" s="234">
        <f>F45</f>
        <v>190</v>
      </c>
      <c r="G186" s="279">
        <f>E5</f>
        <v>0.0164060946888889</v>
      </c>
      <c r="H186" s="231">
        <f>D44</f>
        <v>0.35</v>
      </c>
    </row>
    <row r="187" s="207" customFormat="1" customHeight="1" spans="1:8">
      <c r="A187" s="214" t="s">
        <v>358</v>
      </c>
      <c r="B187" s="222">
        <f>2.1*(1.5*A186/(9.81*(C186-1))+(D186+E186)*H184*F186-D186*F186*TAN(G186))</f>
        <v>6414.32620128177</v>
      </c>
      <c r="C187" s="254" t="s">
        <v>7162</v>
      </c>
      <c r="D187" s="256">
        <f>B187*9.81/1000</f>
        <v>62.9245400345742</v>
      </c>
      <c r="E187" s="207" t="s">
        <v>588</v>
      </c>
      <c r="F187" s="223" t="s">
        <v>7163</v>
      </c>
      <c r="H187" s="242"/>
    </row>
    <row r="188" s="207" customFormat="1" customHeight="1" spans="1:8">
      <c r="A188" s="207" t="s">
        <v>7164</v>
      </c>
      <c r="E188" s="278"/>
      <c r="F188" s="228" t="s">
        <v>7165</v>
      </c>
      <c r="G188" s="228" t="s">
        <v>7166</v>
      </c>
      <c r="H188" s="228" t="s">
        <v>7167</v>
      </c>
    </row>
    <row r="189" s="207" customFormat="1" customHeight="1" spans="1:8">
      <c r="A189" s="214" t="s">
        <v>7168</v>
      </c>
      <c r="B189" s="207" t="s">
        <v>7169</v>
      </c>
      <c r="D189" s="214" t="s">
        <v>152</v>
      </c>
      <c r="E189" s="228" t="s">
        <v>962</v>
      </c>
      <c r="F189" s="267">
        <v>0.01</v>
      </c>
      <c r="G189" s="267">
        <v>0.02</v>
      </c>
      <c r="H189" s="267">
        <v>0.0025</v>
      </c>
    </row>
    <row r="190" s="207" customFormat="1" customHeight="1" spans="1:8">
      <c r="A190" s="214" t="s">
        <v>396</v>
      </c>
      <c r="B190" s="222">
        <f>F192*(G189+G190)+G191</f>
        <v>13.34</v>
      </c>
      <c r="C190" s="207" t="s">
        <v>320</v>
      </c>
      <c r="E190" s="228" t="s">
        <v>7170</v>
      </c>
      <c r="F190" s="267">
        <v>0.001</v>
      </c>
      <c r="G190" s="267">
        <v>0.001</v>
      </c>
      <c r="H190" s="267">
        <v>0.001</v>
      </c>
    </row>
    <row r="191" s="207" customFormat="1" customHeight="1" spans="1:8">
      <c r="A191" s="214"/>
      <c r="E191" s="228" t="s">
        <v>7171</v>
      </c>
      <c r="F191" s="267">
        <v>2</v>
      </c>
      <c r="G191" s="267">
        <v>2</v>
      </c>
      <c r="H191" s="267">
        <v>2</v>
      </c>
    </row>
    <row r="192" customHeight="1" spans="1:8">
      <c r="A192" s="214"/>
      <c r="B192" s="207"/>
      <c r="C192" s="207"/>
      <c r="D192" s="207"/>
      <c r="E192" s="228" t="s">
        <v>1707</v>
      </c>
      <c r="F192" s="234">
        <f>C4</f>
        <v>540</v>
      </c>
      <c r="G192" s="282" t="s">
        <v>7172</v>
      </c>
      <c r="H192" s="273"/>
    </row>
    <row r="193" customHeight="1" spans="1:8">
      <c r="A193" s="207" t="s">
        <v>7173</v>
      </c>
      <c r="B193" s="207"/>
      <c r="C193" s="207"/>
      <c r="D193" s="207"/>
      <c r="E193" s="207"/>
      <c r="F193" s="207"/>
      <c r="G193" s="207"/>
      <c r="H193" s="207"/>
    </row>
    <row r="194" customHeight="1" spans="1:8">
      <c r="A194" s="223" t="s">
        <v>7174</v>
      </c>
      <c r="B194" s="254" t="s">
        <v>7175</v>
      </c>
      <c r="C194" s="283">
        <f>G194+G195</f>
        <v>105083.246703036</v>
      </c>
      <c r="D194" s="207" t="s">
        <v>387</v>
      </c>
      <c r="E194" s="214" t="s">
        <v>152</v>
      </c>
      <c r="F194" s="255" t="s">
        <v>7126</v>
      </c>
      <c r="G194" s="256">
        <f>B153</f>
        <v>29227.3848220183</v>
      </c>
      <c r="H194" s="207" t="s">
        <v>387</v>
      </c>
    </row>
    <row r="195" customHeight="1" spans="1:8">
      <c r="A195" s="214" t="s">
        <v>7176</v>
      </c>
      <c r="B195" s="256">
        <f>C194/1000</f>
        <v>105.083246703036</v>
      </c>
      <c r="C195" s="207" t="s">
        <v>588</v>
      </c>
      <c r="D195" s="207"/>
      <c r="E195" s="256"/>
      <c r="F195" s="255" t="s">
        <v>7124</v>
      </c>
      <c r="G195" s="256">
        <f>B157</f>
        <v>75855.8618810172</v>
      </c>
      <c r="H195" s="207" t="s">
        <v>387</v>
      </c>
    </row>
    <row r="196" customHeight="1" spans="1:8">
      <c r="A196" s="207" t="s">
        <v>7177</v>
      </c>
      <c r="B196" s="207"/>
      <c r="C196" s="207"/>
      <c r="D196" s="207"/>
      <c r="E196" s="207"/>
      <c r="F196" s="207"/>
      <c r="G196" s="207"/>
      <c r="H196" s="207"/>
    </row>
    <row r="197" customHeight="1" spans="1:8">
      <c r="A197" s="214" t="s">
        <v>7178</v>
      </c>
      <c r="B197" s="254" t="s">
        <v>7179</v>
      </c>
      <c r="C197" s="283">
        <f>G197+G198</f>
        <v>75988.1861547569</v>
      </c>
      <c r="D197" s="207" t="s">
        <v>387</v>
      </c>
      <c r="E197" s="214" t="s">
        <v>152</v>
      </c>
      <c r="F197" s="255" t="s">
        <v>7128</v>
      </c>
      <c r="G197" s="256">
        <f>B165</f>
        <v>38370.2722167584</v>
      </c>
      <c r="H197" s="207" t="s">
        <v>387</v>
      </c>
    </row>
    <row r="198" customHeight="1" spans="1:8">
      <c r="A198" s="214" t="s">
        <v>7178</v>
      </c>
      <c r="B198" s="256">
        <f>C197/1000</f>
        <v>75.9881861547569</v>
      </c>
      <c r="C198" s="207" t="s">
        <v>588</v>
      </c>
      <c r="D198" s="207"/>
      <c r="E198" s="256"/>
      <c r="F198" s="255" t="s">
        <v>7139</v>
      </c>
      <c r="G198" s="256">
        <f>B170</f>
        <v>37617.9139379985</v>
      </c>
      <c r="H198" s="207" t="s">
        <v>387</v>
      </c>
    </row>
    <row r="199" customHeight="1" spans="1:8">
      <c r="A199" s="207" t="s">
        <v>7180</v>
      </c>
      <c r="B199" s="207"/>
      <c r="C199" s="207"/>
      <c r="D199" s="207"/>
      <c r="E199" s="207"/>
      <c r="F199" s="214"/>
      <c r="G199" s="235"/>
      <c r="H199" s="207"/>
    </row>
    <row r="200" customHeight="1" spans="1:8">
      <c r="A200" s="214" t="s">
        <v>7181</v>
      </c>
      <c r="B200" s="238" t="s">
        <v>7182</v>
      </c>
      <c r="C200" s="207"/>
      <c r="D200" s="207"/>
      <c r="E200" s="214" t="s">
        <v>152</v>
      </c>
      <c r="F200" s="208" t="s">
        <v>7183</v>
      </c>
      <c r="G200" s="208"/>
      <c r="H200" s="246"/>
    </row>
    <row r="201" customHeight="1" spans="1:8">
      <c r="A201" s="214" t="s">
        <v>7181</v>
      </c>
      <c r="B201" s="284">
        <f>G204*G205*G202</f>
        <v>34971.3577942492</v>
      </c>
      <c r="C201" s="207" t="s">
        <v>1646</v>
      </c>
      <c r="D201" s="207"/>
      <c r="E201" s="207"/>
      <c r="F201" s="214" t="s">
        <v>7070</v>
      </c>
      <c r="G201" s="256">
        <f>B28</f>
        <v>1000</v>
      </c>
      <c r="H201" s="207" t="s">
        <v>598</v>
      </c>
    </row>
    <row r="202" customHeight="1" spans="1:8">
      <c r="A202" s="214" t="s">
        <v>7181</v>
      </c>
      <c r="B202" s="256">
        <f>B201/1000</f>
        <v>34.9713577942492</v>
      </c>
      <c r="C202" s="207" t="s">
        <v>7184</v>
      </c>
      <c r="D202" s="207"/>
      <c r="E202" s="207"/>
      <c r="F202" s="214" t="s">
        <v>7185</v>
      </c>
      <c r="G202" s="285">
        <f>G201/(2*1000)</f>
        <v>0.5</v>
      </c>
      <c r="H202" s="207" t="s">
        <v>320</v>
      </c>
    </row>
    <row r="203" customHeight="1" spans="1:8">
      <c r="A203" s="214"/>
      <c r="B203" s="238"/>
      <c r="C203" s="207"/>
      <c r="D203" s="207"/>
      <c r="E203" s="207"/>
      <c r="F203" s="208" t="s">
        <v>7112</v>
      </c>
      <c r="G203" s="208"/>
      <c r="H203" s="208"/>
    </row>
    <row r="204" customHeight="1" spans="1:8">
      <c r="A204" s="214"/>
      <c r="B204" s="238"/>
      <c r="C204" s="255"/>
      <c r="D204" s="249"/>
      <c r="E204" s="242"/>
      <c r="F204" s="214" t="s">
        <v>7113</v>
      </c>
      <c r="G204" s="256">
        <f>F146</f>
        <v>1.5</v>
      </c>
      <c r="H204" s="207"/>
    </row>
    <row r="205" customHeight="1" spans="1:8">
      <c r="A205" s="214"/>
      <c r="B205" s="238"/>
      <c r="C205" s="255"/>
      <c r="D205" s="249"/>
      <c r="E205" s="242"/>
      <c r="F205" s="255" t="s">
        <v>7033</v>
      </c>
      <c r="G205" s="249">
        <f>B97</f>
        <v>46628.4770589989</v>
      </c>
      <c r="H205" s="242" t="s">
        <v>387</v>
      </c>
    </row>
    <row r="206" customHeight="1" spans="1:8">
      <c r="A206" s="207" t="s">
        <v>7186</v>
      </c>
      <c r="B206" s="207"/>
      <c r="C206" s="207"/>
      <c r="D206" s="207"/>
      <c r="E206" s="207"/>
      <c r="F206" s="207"/>
      <c r="G206" s="207"/>
      <c r="H206" s="207"/>
    </row>
    <row r="207" customHeight="1" spans="1:8">
      <c r="A207" s="207" t="s">
        <v>7187</v>
      </c>
      <c r="B207" s="207"/>
      <c r="C207" s="207"/>
      <c r="D207" s="207"/>
      <c r="E207" s="207"/>
      <c r="F207" s="207"/>
      <c r="G207" s="207"/>
      <c r="H207" s="207"/>
    </row>
    <row r="208" customHeight="1" spans="1:8">
      <c r="A208" s="207" t="s">
        <v>7188</v>
      </c>
      <c r="F208" s="254" t="s">
        <v>522</v>
      </c>
      <c r="G208" s="286">
        <v>12</v>
      </c>
      <c r="H208" s="207"/>
    </row>
    <row r="209" customHeight="1" spans="1:8">
      <c r="A209" s="207" t="s">
        <v>7189</v>
      </c>
      <c r="B209" s="207"/>
      <c r="C209" s="207"/>
      <c r="D209" s="207"/>
      <c r="E209" s="207"/>
      <c r="F209" s="207"/>
      <c r="G209" s="207"/>
      <c r="H209" s="207"/>
    </row>
    <row r="210" customHeight="1" spans="1:8">
      <c r="A210" s="207"/>
      <c r="B210" s="214" t="s">
        <v>7190</v>
      </c>
      <c r="C210" s="207" t="s">
        <v>7191</v>
      </c>
      <c r="D210" s="214" t="s">
        <v>152</v>
      </c>
      <c r="E210" s="228" t="s">
        <v>1035</v>
      </c>
      <c r="F210" s="228" t="s">
        <v>1054</v>
      </c>
      <c r="G210" s="228" t="s">
        <v>7130</v>
      </c>
      <c r="H210" s="228" t="s">
        <v>1029</v>
      </c>
    </row>
    <row r="211" customHeight="1" spans="1:8">
      <c r="A211" s="207"/>
      <c r="B211" s="214" t="s">
        <v>396</v>
      </c>
      <c r="C211" s="222">
        <f>G211*G208/(F211*E211)</f>
        <v>2.52852872936724</v>
      </c>
      <c r="D211" s="207"/>
      <c r="E211" s="234">
        <f>C12</f>
        <v>200</v>
      </c>
      <c r="F211" s="234">
        <f>E11*1000</f>
        <v>1800</v>
      </c>
      <c r="G211" s="234">
        <f>B157</f>
        <v>75855.8618810172</v>
      </c>
      <c r="H211" s="234">
        <f>G208</f>
        <v>12</v>
      </c>
    </row>
    <row r="212" customHeight="1" spans="1:8">
      <c r="A212" s="207"/>
      <c r="B212" s="214" t="s">
        <v>7192</v>
      </c>
      <c r="C212" s="286">
        <v>6</v>
      </c>
      <c r="D212" s="207"/>
      <c r="E212" s="256"/>
      <c r="F212" s="256"/>
      <c r="G212" s="256"/>
      <c r="H212" s="256"/>
    </row>
    <row r="213" customHeight="1" spans="1:8">
      <c r="A213" s="207" t="s">
        <v>7193</v>
      </c>
      <c r="B213" s="207"/>
      <c r="C213" s="207"/>
      <c r="D213" s="207"/>
      <c r="E213" s="207"/>
      <c r="F213" s="207"/>
      <c r="G213" s="207"/>
      <c r="H213" s="207"/>
    </row>
    <row r="214" customHeight="1" spans="1:8">
      <c r="A214" s="207" t="s">
        <v>7194</v>
      </c>
      <c r="B214" s="207"/>
      <c r="C214" s="207"/>
      <c r="D214" s="207"/>
      <c r="E214" s="207"/>
      <c r="F214" s="207"/>
      <c r="G214" s="207"/>
      <c r="H214" s="207"/>
    </row>
    <row r="215" customHeight="1" spans="1:8">
      <c r="A215" s="207" t="s">
        <v>7195</v>
      </c>
      <c r="B215" s="207"/>
      <c r="C215" s="207"/>
      <c r="D215" s="207"/>
      <c r="E215" s="207"/>
      <c r="F215" s="207"/>
      <c r="G215" s="207"/>
      <c r="H215" s="207"/>
    </row>
    <row r="216" customHeight="1" spans="1:8">
      <c r="A216" s="214" t="s">
        <v>7046</v>
      </c>
      <c r="B216" s="207" t="s">
        <v>7196</v>
      </c>
      <c r="C216" s="207"/>
      <c r="D216" s="207"/>
      <c r="E216" s="207"/>
      <c r="F216" s="207"/>
      <c r="G216" s="207"/>
      <c r="H216" s="207"/>
    </row>
    <row r="217" customHeight="1" spans="1:8">
      <c r="A217" s="214" t="s">
        <v>396</v>
      </c>
      <c r="B217" s="222">
        <f>F218*H217*9.81*((F221/H218)+H219)</f>
        <v>1293.6475776</v>
      </c>
      <c r="C217" s="207" t="s">
        <v>387</v>
      </c>
      <c r="D217" s="214" t="s">
        <v>152</v>
      </c>
      <c r="E217" s="208" t="s">
        <v>7197</v>
      </c>
      <c r="F217" s="252"/>
      <c r="G217" s="287" t="s">
        <v>7102</v>
      </c>
      <c r="H217" s="234">
        <f>F137</f>
        <v>1.2</v>
      </c>
    </row>
    <row r="218" customHeight="1" spans="1:8">
      <c r="A218" s="207"/>
      <c r="B218" s="207"/>
      <c r="C218" s="207"/>
      <c r="D218" s="207"/>
      <c r="E218" s="214" t="s">
        <v>7198</v>
      </c>
      <c r="F218" s="227">
        <v>0.8</v>
      </c>
      <c r="G218" s="287" t="s">
        <v>581</v>
      </c>
      <c r="H218" s="234">
        <f>C6</f>
        <v>2.5</v>
      </c>
    </row>
    <row r="219" customHeight="1" spans="1:8">
      <c r="A219" s="207"/>
      <c r="B219" s="207"/>
      <c r="C219" s="207"/>
      <c r="D219" s="207"/>
      <c r="E219" s="208" t="s">
        <v>7199</v>
      </c>
      <c r="F219" s="252"/>
      <c r="G219" s="287" t="s">
        <v>7200</v>
      </c>
      <c r="H219" s="234">
        <f>C21</f>
        <v>28.476</v>
      </c>
    </row>
    <row r="220" customHeight="1" spans="1:8">
      <c r="A220" s="207"/>
      <c r="B220" s="207"/>
      <c r="C220" s="207"/>
      <c r="D220" s="207"/>
      <c r="E220" s="214" t="s">
        <v>7201</v>
      </c>
      <c r="F220" s="208" t="s">
        <v>7202</v>
      </c>
      <c r="G220" s="207"/>
      <c r="H220" s="207"/>
    </row>
    <row r="221" customHeight="1" spans="1:8">
      <c r="A221" s="207"/>
      <c r="B221" s="207"/>
      <c r="C221" s="207"/>
      <c r="D221" s="207"/>
      <c r="E221" s="214" t="s">
        <v>396</v>
      </c>
      <c r="F221" s="222">
        <f>C3/3.6</f>
        <v>272.222222222222</v>
      </c>
      <c r="G221" s="207" t="s">
        <v>7203</v>
      </c>
      <c r="H221" s="207"/>
    </row>
    <row r="222" customHeight="1" spans="1:4">
      <c r="A222" s="238" t="s">
        <v>7204</v>
      </c>
      <c r="B222" s="227">
        <v>2000</v>
      </c>
      <c r="C222" s="207" t="s">
        <v>387</v>
      </c>
      <c r="D222" s="207" t="s">
        <v>7205</v>
      </c>
    </row>
    <row r="223" customHeight="1" spans="1:8">
      <c r="A223" s="207" t="s">
        <v>7206</v>
      </c>
      <c r="B223" s="207"/>
      <c r="C223" s="207"/>
      <c r="D223" s="207"/>
      <c r="E223" s="207"/>
      <c r="F223" s="207"/>
      <c r="G223" s="207"/>
      <c r="H223" s="207"/>
    </row>
    <row r="224" customHeight="1" spans="1:8">
      <c r="A224" s="214" t="s">
        <v>7207</v>
      </c>
      <c r="B224" s="207" t="s">
        <v>7208</v>
      </c>
      <c r="C224" s="207"/>
      <c r="D224" s="214" t="s">
        <v>152</v>
      </c>
      <c r="E224" s="208" t="s">
        <v>7197</v>
      </c>
      <c r="F224" s="252"/>
      <c r="G224" s="287" t="s">
        <v>7109</v>
      </c>
      <c r="H224" s="234">
        <f>F143</f>
        <v>3</v>
      </c>
    </row>
    <row r="225" customHeight="1" spans="1:8">
      <c r="A225" s="214" t="s">
        <v>396</v>
      </c>
      <c r="B225" s="222">
        <f>F225*H224*H225*9.81</f>
        <v>527.9706684</v>
      </c>
      <c r="C225" s="207" t="s">
        <v>387</v>
      </c>
      <c r="D225" s="207"/>
      <c r="E225" s="214" t="s">
        <v>7198</v>
      </c>
      <c r="F225" s="227">
        <v>0.63</v>
      </c>
      <c r="G225" s="287" t="s">
        <v>7200</v>
      </c>
      <c r="H225" s="234">
        <f>C21</f>
        <v>28.476</v>
      </c>
    </row>
    <row r="226" customHeight="1" spans="1:8">
      <c r="A226" s="238" t="s">
        <v>7209</v>
      </c>
      <c r="B226" s="227">
        <v>1120</v>
      </c>
      <c r="C226" s="207" t="s">
        <v>387</v>
      </c>
      <c r="D226" s="207" t="s">
        <v>7205</v>
      </c>
      <c r="E226" s="208"/>
      <c r="F226" s="208"/>
      <c r="G226" s="208"/>
      <c r="H226" s="207"/>
    </row>
    <row r="227" customHeight="1" spans="1:8">
      <c r="A227" s="207" t="s">
        <v>7210</v>
      </c>
      <c r="B227" s="207"/>
      <c r="C227" s="207"/>
      <c r="D227" s="207"/>
      <c r="E227" s="207"/>
      <c r="F227" s="207"/>
      <c r="G227" s="207"/>
      <c r="H227" s="207"/>
    </row>
    <row r="228" customHeight="1" spans="1:8">
      <c r="A228" s="207" t="s">
        <v>7195</v>
      </c>
      <c r="B228" s="207"/>
      <c r="C228" s="207"/>
      <c r="D228" s="207"/>
      <c r="E228" s="207"/>
      <c r="F228" s="207"/>
      <c r="G228" s="207"/>
      <c r="H228" s="207"/>
    </row>
    <row r="229" customHeight="1" spans="1:5">
      <c r="A229" s="214" t="s">
        <v>7211</v>
      </c>
      <c r="B229" s="207" t="s">
        <v>7212</v>
      </c>
      <c r="C229" s="207"/>
      <c r="D229" s="214" t="s">
        <v>152</v>
      </c>
      <c r="E229" s="208" t="s">
        <v>7213</v>
      </c>
    </row>
    <row r="230" customHeight="1" spans="1:8">
      <c r="A230" s="214" t="s">
        <v>396</v>
      </c>
      <c r="B230" s="222">
        <f>F235*F230*F232*F234</f>
        <v>1865.56917165696</v>
      </c>
      <c r="C230" s="207" t="s">
        <v>387</v>
      </c>
      <c r="D230" s="207"/>
      <c r="E230" s="214" t="s">
        <v>7214</v>
      </c>
      <c r="F230" s="227">
        <v>1.1</v>
      </c>
      <c r="G230" s="207"/>
      <c r="H230" s="207"/>
    </row>
    <row r="231" customHeight="1" spans="5:5">
      <c r="E231" s="208" t="s">
        <v>7215</v>
      </c>
    </row>
    <row r="232" customHeight="1" spans="5:8">
      <c r="E232" s="214" t="s">
        <v>7216</v>
      </c>
      <c r="F232" s="227">
        <v>1.14</v>
      </c>
      <c r="G232" s="207"/>
      <c r="H232" s="207"/>
    </row>
    <row r="233" customHeight="1" spans="5:5">
      <c r="E233" s="208" t="s">
        <v>7217</v>
      </c>
    </row>
    <row r="234" customHeight="1" spans="2:8">
      <c r="B234" s="288"/>
      <c r="E234" s="214" t="s">
        <v>7218</v>
      </c>
      <c r="F234" s="227">
        <v>1.15</v>
      </c>
      <c r="G234" s="207"/>
      <c r="H234" s="207"/>
    </row>
    <row r="235" customHeight="1" spans="2:8">
      <c r="B235" s="288"/>
      <c r="E235" s="255" t="s">
        <v>7046</v>
      </c>
      <c r="F235" s="256">
        <f>B217</f>
        <v>1293.6475776</v>
      </c>
      <c r="G235" s="207" t="s">
        <v>387</v>
      </c>
      <c r="H235" s="207"/>
    </row>
    <row r="236" customHeight="1" spans="1:8">
      <c r="A236" s="238" t="s">
        <v>7204</v>
      </c>
      <c r="B236" s="227">
        <f>B222</f>
        <v>2000</v>
      </c>
      <c r="C236" s="207" t="s">
        <v>387</v>
      </c>
      <c r="D236" s="207" t="s">
        <v>7205</v>
      </c>
      <c r="E236" s="214"/>
      <c r="F236" s="227"/>
      <c r="G236" s="207"/>
      <c r="H236" s="207"/>
    </row>
    <row r="237" customHeight="1" spans="1:8">
      <c r="A237" s="207" t="s">
        <v>7206</v>
      </c>
      <c r="B237" s="207"/>
      <c r="C237" s="207"/>
      <c r="D237" s="207"/>
      <c r="E237" s="207"/>
      <c r="F237" s="207"/>
      <c r="G237" s="207"/>
      <c r="H237" s="207"/>
    </row>
    <row r="238" customHeight="1" spans="1:8">
      <c r="A238" s="214" t="s">
        <v>7219</v>
      </c>
      <c r="B238" s="207" t="s">
        <v>7220</v>
      </c>
      <c r="C238" s="207"/>
      <c r="D238" s="214" t="s">
        <v>152</v>
      </c>
      <c r="E238" s="228" t="s">
        <v>7221</v>
      </c>
      <c r="F238" s="228" t="s">
        <v>7222</v>
      </c>
      <c r="G238" s="228" t="s">
        <v>7223</v>
      </c>
      <c r="H238" s="207"/>
    </row>
    <row r="239" customHeight="1" spans="1:8">
      <c r="A239" s="214" t="s">
        <v>396</v>
      </c>
      <c r="B239" s="222">
        <f>E239*F239*G239</f>
        <v>667.882895526</v>
      </c>
      <c r="C239" s="207" t="s">
        <v>387</v>
      </c>
      <c r="D239" s="207"/>
      <c r="E239" s="234">
        <f>B225</f>
        <v>527.9706684</v>
      </c>
      <c r="F239" s="234">
        <f>F230</f>
        <v>1.1</v>
      </c>
      <c r="G239" s="234">
        <f>F234</f>
        <v>1.15</v>
      </c>
      <c r="H239" s="207"/>
    </row>
    <row r="240" customHeight="1" spans="1:4">
      <c r="A240" s="238" t="s">
        <v>7209</v>
      </c>
      <c r="B240" s="227">
        <f>B226</f>
        <v>1120</v>
      </c>
      <c r="C240" s="207" t="s">
        <v>387</v>
      </c>
      <c r="D240" s="207" t="s">
        <v>7205</v>
      </c>
    </row>
    <row r="244" customHeight="1" spans="1:4">
      <c r="A244" s="289" t="s">
        <v>7224</v>
      </c>
      <c r="B244" s="289" t="s">
        <v>7225</v>
      </c>
      <c r="C244" s="289"/>
      <c r="D244" s="289"/>
    </row>
    <row r="245" customHeight="1" spans="1:4">
      <c r="A245" s="289" t="s">
        <v>7226</v>
      </c>
      <c r="B245" s="289" t="s">
        <v>1262</v>
      </c>
      <c r="C245" s="289">
        <v>500</v>
      </c>
      <c r="D245" s="289"/>
    </row>
    <row r="246" customHeight="1" spans="1:4">
      <c r="A246" s="289" t="s">
        <v>7227</v>
      </c>
      <c r="B246" s="289">
        <v>8</v>
      </c>
      <c r="C246" s="289">
        <v>650</v>
      </c>
      <c r="D246" s="289"/>
    </row>
    <row r="247" customHeight="1" spans="1:4">
      <c r="A247" s="289"/>
      <c r="B247" s="289"/>
      <c r="C247" s="289">
        <v>800</v>
      </c>
      <c r="D247" s="289"/>
    </row>
    <row r="248" customHeight="1" spans="1:4">
      <c r="A248" s="289"/>
      <c r="B248" s="289"/>
      <c r="C248" s="289">
        <v>1000</v>
      </c>
      <c r="D248" s="289"/>
    </row>
    <row r="249" customHeight="1" spans="1:4">
      <c r="A249" s="289"/>
      <c r="B249" s="289"/>
      <c r="C249" s="289">
        <v>1200</v>
      </c>
      <c r="D249" s="289"/>
    </row>
    <row r="250" customHeight="1" spans="1:4">
      <c r="A250" s="289"/>
      <c r="B250" s="289"/>
      <c r="C250" s="289">
        <v>1400</v>
      </c>
      <c r="D250" s="289"/>
    </row>
    <row r="251" customHeight="1" spans="1:4">
      <c r="A251" s="289"/>
      <c r="B251" s="289"/>
      <c r="C251" s="289">
        <v>1600</v>
      </c>
      <c r="D251" s="289"/>
    </row>
    <row r="252" customHeight="1" spans="1:4">
      <c r="A252" s="289"/>
      <c r="B252" s="289"/>
      <c r="C252" s="289">
        <v>1800</v>
      </c>
      <c r="D252" s="289"/>
    </row>
    <row r="253" customHeight="1" spans="1:4">
      <c r="A253" s="289"/>
      <c r="B253" s="289"/>
      <c r="C253" s="289">
        <v>2000</v>
      </c>
      <c r="D253" s="289"/>
    </row>
    <row r="254" customHeight="1" spans="1:4">
      <c r="A254" s="289"/>
      <c r="B254" s="289"/>
      <c r="C254" s="289">
        <v>2200</v>
      </c>
      <c r="D254" s="289"/>
    </row>
    <row r="255" customHeight="1" spans="1:4">
      <c r="A255" s="289"/>
      <c r="B255" s="289"/>
      <c r="C255" s="289">
        <v>2400</v>
      </c>
      <c r="D255" s="289"/>
    </row>
    <row r="256" customHeight="1" spans="1:4">
      <c r="A256" s="289"/>
      <c r="B256" s="289"/>
      <c r="C256" s="289"/>
      <c r="D256" s="289"/>
    </row>
    <row r="257" customHeight="1" spans="1:4">
      <c r="A257" s="289"/>
      <c r="B257" s="289"/>
      <c r="C257" s="289"/>
      <c r="D257" s="289"/>
    </row>
  </sheetData>
  <mergeCells count="136">
    <mergeCell ref="A1:H1"/>
    <mergeCell ref="A9:H9"/>
    <mergeCell ref="E15:G15"/>
    <mergeCell ref="E17:G17"/>
    <mergeCell ref="A25:H25"/>
    <mergeCell ref="A29:C29"/>
    <mergeCell ref="A31:C31"/>
    <mergeCell ref="D31:E31"/>
    <mergeCell ref="A33:B33"/>
    <mergeCell ref="F33:G33"/>
    <mergeCell ref="A35:C35"/>
    <mergeCell ref="A36:C36"/>
    <mergeCell ref="D36:E36"/>
    <mergeCell ref="A38:B38"/>
    <mergeCell ref="F38:G38"/>
    <mergeCell ref="A40:C40"/>
    <mergeCell ref="A41:B41"/>
    <mergeCell ref="C41:D41"/>
    <mergeCell ref="A43:C43"/>
    <mergeCell ref="A44:C44"/>
    <mergeCell ref="A45:E45"/>
    <mergeCell ref="A46:H46"/>
    <mergeCell ref="A47:B47"/>
    <mergeCell ref="A48:H48"/>
    <mergeCell ref="A49:H49"/>
    <mergeCell ref="A50:H50"/>
    <mergeCell ref="A51:H51"/>
    <mergeCell ref="B52:C52"/>
    <mergeCell ref="A56:H56"/>
    <mergeCell ref="A59:H59"/>
    <mergeCell ref="B60:E60"/>
    <mergeCell ref="E61:G61"/>
    <mergeCell ref="E64:G64"/>
    <mergeCell ref="E66:H66"/>
    <mergeCell ref="A68:H68"/>
    <mergeCell ref="A71:H71"/>
    <mergeCell ref="B72:C72"/>
    <mergeCell ref="E72:F72"/>
    <mergeCell ref="E74:F74"/>
    <mergeCell ref="E75:F75"/>
    <mergeCell ref="A78:H78"/>
    <mergeCell ref="B79:C79"/>
    <mergeCell ref="E79:H79"/>
    <mergeCell ref="E81:G81"/>
    <mergeCell ref="E84:G84"/>
    <mergeCell ref="A86:H86"/>
    <mergeCell ref="B87:C87"/>
    <mergeCell ref="A89:H89"/>
    <mergeCell ref="A91:H91"/>
    <mergeCell ref="E92:H92"/>
    <mergeCell ref="A95:H95"/>
    <mergeCell ref="B96:C96"/>
    <mergeCell ref="A100:H100"/>
    <mergeCell ref="A101:H101"/>
    <mergeCell ref="B102:C102"/>
    <mergeCell ref="A105:H105"/>
    <mergeCell ref="B106:C106"/>
    <mergeCell ref="E106:H106"/>
    <mergeCell ref="E108:H108"/>
    <mergeCell ref="E110:H110"/>
    <mergeCell ref="E112:H112"/>
    <mergeCell ref="E114:H114"/>
    <mergeCell ref="A116:H116"/>
    <mergeCell ref="A117:B117"/>
    <mergeCell ref="A118:B118"/>
    <mergeCell ref="A119:H119"/>
    <mergeCell ref="A120:E120"/>
    <mergeCell ref="E121:F121"/>
    <mergeCell ref="A124:H124"/>
    <mergeCell ref="G127:H127"/>
    <mergeCell ref="G130:H130"/>
    <mergeCell ref="G131:H131"/>
    <mergeCell ref="A132:B132"/>
    <mergeCell ref="C132:E132"/>
    <mergeCell ref="A133:H133"/>
    <mergeCell ref="A134:H134"/>
    <mergeCell ref="A135:H135"/>
    <mergeCell ref="E136:H136"/>
    <mergeCell ref="E138:H138"/>
    <mergeCell ref="A141:H141"/>
    <mergeCell ref="A144:H144"/>
    <mergeCell ref="E145:H145"/>
    <mergeCell ref="E147:H147"/>
    <mergeCell ref="A148:B148"/>
    <mergeCell ref="A154:H154"/>
    <mergeCell ref="A155:B155"/>
    <mergeCell ref="A159:H159"/>
    <mergeCell ref="B160:D160"/>
    <mergeCell ref="A168:H168"/>
    <mergeCell ref="E169:H169"/>
    <mergeCell ref="A172:H172"/>
    <mergeCell ref="B173:D173"/>
    <mergeCell ref="E178:G178"/>
    <mergeCell ref="A179:H179"/>
    <mergeCell ref="B180:C180"/>
    <mergeCell ref="E180:H180"/>
    <mergeCell ref="B184:E184"/>
    <mergeCell ref="B189:C189"/>
    <mergeCell ref="G192:H192"/>
    <mergeCell ref="A193:H193"/>
    <mergeCell ref="A196:H196"/>
    <mergeCell ref="A199:B199"/>
    <mergeCell ref="F200:G200"/>
    <mergeCell ref="F203:H203"/>
    <mergeCell ref="A206:H206"/>
    <mergeCell ref="A207:H207"/>
    <mergeCell ref="A208:E208"/>
    <mergeCell ref="A209:H209"/>
    <mergeCell ref="A213:H213"/>
    <mergeCell ref="A214:H214"/>
    <mergeCell ref="A215:H215"/>
    <mergeCell ref="E217:F217"/>
    <mergeCell ref="E219:F219"/>
    <mergeCell ref="A223:H223"/>
    <mergeCell ref="E224:F224"/>
    <mergeCell ref="A227:H227"/>
    <mergeCell ref="A228:H228"/>
    <mergeCell ref="E229:H229"/>
    <mergeCell ref="E231:H231"/>
    <mergeCell ref="E233:H233"/>
    <mergeCell ref="A237:H237"/>
    <mergeCell ref="A125:A126"/>
    <mergeCell ref="A128:A129"/>
    <mergeCell ref="B125:B126"/>
    <mergeCell ref="B128:B129"/>
    <mergeCell ref="C125:C126"/>
    <mergeCell ref="C128:C129"/>
    <mergeCell ref="D125:D126"/>
    <mergeCell ref="D128:D129"/>
    <mergeCell ref="E125:E126"/>
    <mergeCell ref="E128:E129"/>
    <mergeCell ref="F125:F126"/>
    <mergeCell ref="F128:F129"/>
    <mergeCell ref="H2:H3"/>
    <mergeCell ref="G128:H129"/>
    <mergeCell ref="G125:H126"/>
  </mergeCells>
  <hyperlinks>
    <hyperlink ref="H2:H3" location="目录!A1" display="目录!A1"/>
  </hyperlinks>
  <pageMargins left="0.7" right="0.7" top="0.75" bottom="0.75" header="0.3" footer="0.3"/>
  <pageSetup paperSize="9" orientation="portrait"/>
  <headerFooter/>
  <drawing r:id="rId1"/>
  <legacyDrawing r:id="rId2"/>
  <mc:AlternateContent xmlns:mc="http://schemas.openxmlformats.org/markup-compatibility/2006">
    <mc:Choice Requires="x14">
      <controls>
        <mc:AlternateContent xmlns:mc="http://schemas.openxmlformats.org/markup-compatibility/2006">
          <mc:Choice Requires="x14">
            <control shapeId="495617" name="Drop Down 1" r:id="rId3">
              <controlPr defaultSize="0">
                <anchor moveWithCells="1">
                  <from>
                    <xdr:col>1</xdr:col>
                    <xdr:colOff>19050</xdr:colOff>
                    <xdr:row>9</xdr:row>
                    <xdr:rowOff>28575</xdr:rowOff>
                  </from>
                  <to>
                    <xdr:col>1</xdr:col>
                    <xdr:colOff>685800</xdr:colOff>
                    <xdr:row>10</xdr:row>
                    <xdr:rowOff>0</xdr:rowOff>
                  </to>
                </anchor>
              </controlPr>
            </control>
          </mc:Choice>
        </mc:AlternateContent>
      </controls>
    </mc:Choice>
  </mc:AlternateContent>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
  <sheetViews>
    <sheetView topLeftCell="A24" workbookViewId="0">
      <selection activeCell="N15" sqref="N15"/>
    </sheetView>
  </sheetViews>
  <sheetFormatPr defaultColWidth="7.75" defaultRowHeight="15.6"/>
  <cols>
    <col min="1" max="1" width="11" style="194" customWidth="1"/>
    <col min="2" max="2" width="2.5" style="194" customWidth="1"/>
    <col min="3" max="3" width="10.5" style="194" customWidth="1"/>
    <col min="4" max="4" width="3" style="194" customWidth="1"/>
    <col min="5" max="5" width="10.25" style="194" customWidth="1"/>
    <col min="6" max="6" width="2.625" style="194" customWidth="1"/>
    <col min="7" max="7" width="11.625" style="194" customWidth="1"/>
    <col min="8" max="8" width="2.75" style="194" customWidth="1"/>
    <col min="9" max="9" width="10.5" style="194" customWidth="1"/>
    <col min="10" max="256" width="7.75" style="168"/>
    <col min="257" max="257" width="11" style="168" customWidth="1"/>
    <col min="258" max="258" width="2.5" style="168" customWidth="1"/>
    <col min="259" max="259" width="10.5" style="168" customWidth="1"/>
    <col min="260" max="260" width="3" style="168" customWidth="1"/>
    <col min="261" max="261" width="10.25" style="168" customWidth="1"/>
    <col min="262" max="262" width="2.625" style="168" customWidth="1"/>
    <col min="263" max="263" width="11.625" style="168" customWidth="1"/>
    <col min="264" max="264" width="2.75" style="168" customWidth="1"/>
    <col min="265" max="265" width="10.5" style="168" customWidth="1"/>
    <col min="266" max="512" width="7.75" style="168"/>
    <col min="513" max="513" width="11" style="168" customWidth="1"/>
    <col min="514" max="514" width="2.5" style="168" customWidth="1"/>
    <col min="515" max="515" width="10.5" style="168" customWidth="1"/>
    <col min="516" max="516" width="3" style="168" customWidth="1"/>
    <col min="517" max="517" width="10.25" style="168" customWidth="1"/>
    <col min="518" max="518" width="2.625" style="168" customWidth="1"/>
    <col min="519" max="519" width="11.625" style="168" customWidth="1"/>
    <col min="520" max="520" width="2.75" style="168" customWidth="1"/>
    <col min="521" max="521" width="10.5" style="168" customWidth="1"/>
    <col min="522" max="768" width="7.75" style="168"/>
    <col min="769" max="769" width="11" style="168" customWidth="1"/>
    <col min="770" max="770" width="2.5" style="168" customWidth="1"/>
    <col min="771" max="771" width="10.5" style="168" customWidth="1"/>
    <col min="772" max="772" width="3" style="168" customWidth="1"/>
    <col min="773" max="773" width="10.25" style="168" customWidth="1"/>
    <col min="774" max="774" width="2.625" style="168" customWidth="1"/>
    <col min="775" max="775" width="11.625" style="168" customWidth="1"/>
    <col min="776" max="776" width="2.75" style="168" customWidth="1"/>
    <col min="777" max="777" width="10.5" style="168" customWidth="1"/>
    <col min="778" max="1024" width="7.75" style="168"/>
    <col min="1025" max="1025" width="11" style="168" customWidth="1"/>
    <col min="1026" max="1026" width="2.5" style="168" customWidth="1"/>
    <col min="1027" max="1027" width="10.5" style="168" customWidth="1"/>
    <col min="1028" max="1028" width="3" style="168" customWidth="1"/>
    <col min="1029" max="1029" width="10.25" style="168" customWidth="1"/>
    <col min="1030" max="1030" width="2.625" style="168" customWidth="1"/>
    <col min="1031" max="1031" width="11.625" style="168" customWidth="1"/>
    <col min="1032" max="1032" width="2.75" style="168" customWidth="1"/>
    <col min="1033" max="1033" width="10.5" style="168" customWidth="1"/>
    <col min="1034" max="1280" width="7.75" style="168"/>
    <col min="1281" max="1281" width="11" style="168" customWidth="1"/>
    <col min="1282" max="1282" width="2.5" style="168" customWidth="1"/>
    <col min="1283" max="1283" width="10.5" style="168" customWidth="1"/>
    <col min="1284" max="1284" width="3" style="168" customWidth="1"/>
    <col min="1285" max="1285" width="10.25" style="168" customWidth="1"/>
    <col min="1286" max="1286" width="2.625" style="168" customWidth="1"/>
    <col min="1287" max="1287" width="11.625" style="168" customWidth="1"/>
    <col min="1288" max="1288" width="2.75" style="168" customWidth="1"/>
    <col min="1289" max="1289" width="10.5" style="168" customWidth="1"/>
    <col min="1290" max="1536" width="7.75" style="168"/>
    <col min="1537" max="1537" width="11" style="168" customWidth="1"/>
    <col min="1538" max="1538" width="2.5" style="168" customWidth="1"/>
    <col min="1539" max="1539" width="10.5" style="168" customWidth="1"/>
    <col min="1540" max="1540" width="3" style="168" customWidth="1"/>
    <col min="1541" max="1541" width="10.25" style="168" customWidth="1"/>
    <col min="1542" max="1542" width="2.625" style="168" customWidth="1"/>
    <col min="1543" max="1543" width="11.625" style="168" customWidth="1"/>
    <col min="1544" max="1544" width="2.75" style="168" customWidth="1"/>
    <col min="1545" max="1545" width="10.5" style="168" customWidth="1"/>
    <col min="1546" max="1792" width="7.75" style="168"/>
    <col min="1793" max="1793" width="11" style="168" customWidth="1"/>
    <col min="1794" max="1794" width="2.5" style="168" customWidth="1"/>
    <col min="1795" max="1795" width="10.5" style="168" customWidth="1"/>
    <col min="1796" max="1796" width="3" style="168" customWidth="1"/>
    <col min="1797" max="1797" width="10.25" style="168" customWidth="1"/>
    <col min="1798" max="1798" width="2.625" style="168" customWidth="1"/>
    <col min="1799" max="1799" width="11.625" style="168" customWidth="1"/>
    <col min="1800" max="1800" width="2.75" style="168" customWidth="1"/>
    <col min="1801" max="1801" width="10.5" style="168" customWidth="1"/>
    <col min="1802" max="2048" width="7.75" style="168"/>
    <col min="2049" max="2049" width="11" style="168" customWidth="1"/>
    <col min="2050" max="2050" width="2.5" style="168" customWidth="1"/>
    <col min="2051" max="2051" width="10.5" style="168" customWidth="1"/>
    <col min="2052" max="2052" width="3" style="168" customWidth="1"/>
    <col min="2053" max="2053" width="10.25" style="168" customWidth="1"/>
    <col min="2054" max="2054" width="2.625" style="168" customWidth="1"/>
    <col min="2055" max="2055" width="11.625" style="168" customWidth="1"/>
    <col min="2056" max="2056" width="2.75" style="168" customWidth="1"/>
    <col min="2057" max="2057" width="10.5" style="168" customWidth="1"/>
    <col min="2058" max="2304" width="7.75" style="168"/>
    <col min="2305" max="2305" width="11" style="168" customWidth="1"/>
    <col min="2306" max="2306" width="2.5" style="168" customWidth="1"/>
    <col min="2307" max="2307" width="10.5" style="168" customWidth="1"/>
    <col min="2308" max="2308" width="3" style="168" customWidth="1"/>
    <col min="2309" max="2309" width="10.25" style="168" customWidth="1"/>
    <col min="2310" max="2310" width="2.625" style="168" customWidth="1"/>
    <col min="2311" max="2311" width="11.625" style="168" customWidth="1"/>
    <col min="2312" max="2312" width="2.75" style="168" customWidth="1"/>
    <col min="2313" max="2313" width="10.5" style="168" customWidth="1"/>
    <col min="2314" max="2560" width="7.75" style="168"/>
    <col min="2561" max="2561" width="11" style="168" customWidth="1"/>
    <col min="2562" max="2562" width="2.5" style="168" customWidth="1"/>
    <col min="2563" max="2563" width="10.5" style="168" customWidth="1"/>
    <col min="2564" max="2564" width="3" style="168" customWidth="1"/>
    <col min="2565" max="2565" width="10.25" style="168" customWidth="1"/>
    <col min="2566" max="2566" width="2.625" style="168" customWidth="1"/>
    <col min="2567" max="2567" width="11.625" style="168" customWidth="1"/>
    <col min="2568" max="2568" width="2.75" style="168" customWidth="1"/>
    <col min="2569" max="2569" width="10.5" style="168" customWidth="1"/>
    <col min="2570" max="2816" width="7.75" style="168"/>
    <col min="2817" max="2817" width="11" style="168" customWidth="1"/>
    <col min="2818" max="2818" width="2.5" style="168" customWidth="1"/>
    <col min="2819" max="2819" width="10.5" style="168" customWidth="1"/>
    <col min="2820" max="2820" width="3" style="168" customWidth="1"/>
    <col min="2821" max="2821" width="10.25" style="168" customWidth="1"/>
    <col min="2822" max="2822" width="2.625" style="168" customWidth="1"/>
    <col min="2823" max="2823" width="11.625" style="168" customWidth="1"/>
    <col min="2824" max="2824" width="2.75" style="168" customWidth="1"/>
    <col min="2825" max="2825" width="10.5" style="168" customWidth="1"/>
    <col min="2826" max="3072" width="7.75" style="168"/>
    <col min="3073" max="3073" width="11" style="168" customWidth="1"/>
    <col min="3074" max="3074" width="2.5" style="168" customWidth="1"/>
    <col min="3075" max="3075" width="10.5" style="168" customWidth="1"/>
    <col min="3076" max="3076" width="3" style="168" customWidth="1"/>
    <col min="3077" max="3077" width="10.25" style="168" customWidth="1"/>
    <col min="3078" max="3078" width="2.625" style="168" customWidth="1"/>
    <col min="3079" max="3079" width="11.625" style="168" customWidth="1"/>
    <col min="3080" max="3080" width="2.75" style="168" customWidth="1"/>
    <col min="3081" max="3081" width="10.5" style="168" customWidth="1"/>
    <col min="3082" max="3328" width="7.75" style="168"/>
    <col min="3329" max="3329" width="11" style="168" customWidth="1"/>
    <col min="3330" max="3330" width="2.5" style="168" customWidth="1"/>
    <col min="3331" max="3331" width="10.5" style="168" customWidth="1"/>
    <col min="3332" max="3332" width="3" style="168" customWidth="1"/>
    <col min="3333" max="3333" width="10.25" style="168" customWidth="1"/>
    <col min="3334" max="3334" width="2.625" style="168" customWidth="1"/>
    <col min="3335" max="3335" width="11.625" style="168" customWidth="1"/>
    <col min="3336" max="3336" width="2.75" style="168" customWidth="1"/>
    <col min="3337" max="3337" width="10.5" style="168" customWidth="1"/>
    <col min="3338" max="3584" width="7.75" style="168"/>
    <col min="3585" max="3585" width="11" style="168" customWidth="1"/>
    <col min="3586" max="3586" width="2.5" style="168" customWidth="1"/>
    <col min="3587" max="3587" width="10.5" style="168" customWidth="1"/>
    <col min="3588" max="3588" width="3" style="168" customWidth="1"/>
    <col min="3589" max="3589" width="10.25" style="168" customWidth="1"/>
    <col min="3590" max="3590" width="2.625" style="168" customWidth="1"/>
    <col min="3591" max="3591" width="11.625" style="168" customWidth="1"/>
    <col min="3592" max="3592" width="2.75" style="168" customWidth="1"/>
    <col min="3593" max="3593" width="10.5" style="168" customWidth="1"/>
    <col min="3594" max="3840" width="7.75" style="168"/>
    <col min="3841" max="3841" width="11" style="168" customWidth="1"/>
    <col min="3842" max="3842" width="2.5" style="168" customWidth="1"/>
    <col min="3843" max="3843" width="10.5" style="168" customWidth="1"/>
    <col min="3844" max="3844" width="3" style="168" customWidth="1"/>
    <col min="3845" max="3845" width="10.25" style="168" customWidth="1"/>
    <col min="3846" max="3846" width="2.625" style="168" customWidth="1"/>
    <col min="3847" max="3847" width="11.625" style="168" customWidth="1"/>
    <col min="3848" max="3848" width="2.75" style="168" customWidth="1"/>
    <col min="3849" max="3849" width="10.5" style="168" customWidth="1"/>
    <col min="3850" max="4096" width="7.75" style="168"/>
    <col min="4097" max="4097" width="11" style="168" customWidth="1"/>
    <col min="4098" max="4098" width="2.5" style="168" customWidth="1"/>
    <col min="4099" max="4099" width="10.5" style="168" customWidth="1"/>
    <col min="4100" max="4100" width="3" style="168" customWidth="1"/>
    <col min="4101" max="4101" width="10.25" style="168" customWidth="1"/>
    <col min="4102" max="4102" width="2.625" style="168" customWidth="1"/>
    <col min="4103" max="4103" width="11.625" style="168" customWidth="1"/>
    <col min="4104" max="4104" width="2.75" style="168" customWidth="1"/>
    <col min="4105" max="4105" width="10.5" style="168" customWidth="1"/>
    <col min="4106" max="4352" width="7.75" style="168"/>
    <col min="4353" max="4353" width="11" style="168" customWidth="1"/>
    <col min="4354" max="4354" width="2.5" style="168" customWidth="1"/>
    <col min="4355" max="4355" width="10.5" style="168" customWidth="1"/>
    <col min="4356" max="4356" width="3" style="168" customWidth="1"/>
    <col min="4357" max="4357" width="10.25" style="168" customWidth="1"/>
    <col min="4358" max="4358" width="2.625" style="168" customWidth="1"/>
    <col min="4359" max="4359" width="11.625" style="168" customWidth="1"/>
    <col min="4360" max="4360" width="2.75" style="168" customWidth="1"/>
    <col min="4361" max="4361" width="10.5" style="168" customWidth="1"/>
    <col min="4362" max="4608" width="7.75" style="168"/>
    <col min="4609" max="4609" width="11" style="168" customWidth="1"/>
    <col min="4610" max="4610" width="2.5" style="168" customWidth="1"/>
    <col min="4611" max="4611" width="10.5" style="168" customWidth="1"/>
    <col min="4612" max="4612" width="3" style="168" customWidth="1"/>
    <col min="4613" max="4613" width="10.25" style="168" customWidth="1"/>
    <col min="4614" max="4614" width="2.625" style="168" customWidth="1"/>
    <col min="4615" max="4615" width="11.625" style="168" customWidth="1"/>
    <col min="4616" max="4616" width="2.75" style="168" customWidth="1"/>
    <col min="4617" max="4617" width="10.5" style="168" customWidth="1"/>
    <col min="4618" max="4864" width="7.75" style="168"/>
    <col min="4865" max="4865" width="11" style="168" customWidth="1"/>
    <col min="4866" max="4866" width="2.5" style="168" customWidth="1"/>
    <col min="4867" max="4867" width="10.5" style="168" customWidth="1"/>
    <col min="4868" max="4868" width="3" style="168" customWidth="1"/>
    <col min="4869" max="4869" width="10.25" style="168" customWidth="1"/>
    <col min="4870" max="4870" width="2.625" style="168" customWidth="1"/>
    <col min="4871" max="4871" width="11.625" style="168" customWidth="1"/>
    <col min="4872" max="4872" width="2.75" style="168" customWidth="1"/>
    <col min="4873" max="4873" width="10.5" style="168" customWidth="1"/>
    <col min="4874" max="5120" width="7.75" style="168"/>
    <col min="5121" max="5121" width="11" style="168" customWidth="1"/>
    <col min="5122" max="5122" width="2.5" style="168" customWidth="1"/>
    <col min="5123" max="5123" width="10.5" style="168" customWidth="1"/>
    <col min="5124" max="5124" width="3" style="168" customWidth="1"/>
    <col min="5125" max="5125" width="10.25" style="168" customWidth="1"/>
    <col min="5126" max="5126" width="2.625" style="168" customWidth="1"/>
    <col min="5127" max="5127" width="11.625" style="168" customWidth="1"/>
    <col min="5128" max="5128" width="2.75" style="168" customWidth="1"/>
    <col min="5129" max="5129" width="10.5" style="168" customWidth="1"/>
    <col min="5130" max="5376" width="7.75" style="168"/>
    <col min="5377" max="5377" width="11" style="168" customWidth="1"/>
    <col min="5378" max="5378" width="2.5" style="168" customWidth="1"/>
    <col min="5379" max="5379" width="10.5" style="168" customWidth="1"/>
    <col min="5380" max="5380" width="3" style="168" customWidth="1"/>
    <col min="5381" max="5381" width="10.25" style="168" customWidth="1"/>
    <col min="5382" max="5382" width="2.625" style="168" customWidth="1"/>
    <col min="5383" max="5383" width="11.625" style="168" customWidth="1"/>
    <col min="5384" max="5384" width="2.75" style="168" customWidth="1"/>
    <col min="5385" max="5385" width="10.5" style="168" customWidth="1"/>
    <col min="5386" max="5632" width="7.75" style="168"/>
    <col min="5633" max="5633" width="11" style="168" customWidth="1"/>
    <col min="5634" max="5634" width="2.5" style="168" customWidth="1"/>
    <col min="5635" max="5635" width="10.5" style="168" customWidth="1"/>
    <col min="5636" max="5636" width="3" style="168" customWidth="1"/>
    <col min="5637" max="5637" width="10.25" style="168" customWidth="1"/>
    <col min="5638" max="5638" width="2.625" style="168" customWidth="1"/>
    <col min="5639" max="5639" width="11.625" style="168" customWidth="1"/>
    <col min="5640" max="5640" width="2.75" style="168" customWidth="1"/>
    <col min="5641" max="5641" width="10.5" style="168" customWidth="1"/>
    <col min="5642" max="5888" width="7.75" style="168"/>
    <col min="5889" max="5889" width="11" style="168" customWidth="1"/>
    <col min="5890" max="5890" width="2.5" style="168" customWidth="1"/>
    <col min="5891" max="5891" width="10.5" style="168" customWidth="1"/>
    <col min="5892" max="5892" width="3" style="168" customWidth="1"/>
    <col min="5893" max="5893" width="10.25" style="168" customWidth="1"/>
    <col min="5894" max="5894" width="2.625" style="168" customWidth="1"/>
    <col min="5895" max="5895" width="11.625" style="168" customWidth="1"/>
    <col min="5896" max="5896" width="2.75" style="168" customWidth="1"/>
    <col min="5897" max="5897" width="10.5" style="168" customWidth="1"/>
    <col min="5898" max="6144" width="7.75" style="168"/>
    <col min="6145" max="6145" width="11" style="168" customWidth="1"/>
    <col min="6146" max="6146" width="2.5" style="168" customWidth="1"/>
    <col min="6147" max="6147" width="10.5" style="168" customWidth="1"/>
    <col min="6148" max="6148" width="3" style="168" customWidth="1"/>
    <col min="6149" max="6149" width="10.25" style="168" customWidth="1"/>
    <col min="6150" max="6150" width="2.625" style="168" customWidth="1"/>
    <col min="6151" max="6151" width="11.625" style="168" customWidth="1"/>
    <col min="6152" max="6152" width="2.75" style="168" customWidth="1"/>
    <col min="6153" max="6153" width="10.5" style="168" customWidth="1"/>
    <col min="6154" max="6400" width="7.75" style="168"/>
    <col min="6401" max="6401" width="11" style="168" customWidth="1"/>
    <col min="6402" max="6402" width="2.5" style="168" customWidth="1"/>
    <col min="6403" max="6403" width="10.5" style="168" customWidth="1"/>
    <col min="6404" max="6404" width="3" style="168" customWidth="1"/>
    <col min="6405" max="6405" width="10.25" style="168" customWidth="1"/>
    <col min="6406" max="6406" width="2.625" style="168" customWidth="1"/>
    <col min="6407" max="6407" width="11.625" style="168" customWidth="1"/>
    <col min="6408" max="6408" width="2.75" style="168" customWidth="1"/>
    <col min="6409" max="6409" width="10.5" style="168" customWidth="1"/>
    <col min="6410" max="6656" width="7.75" style="168"/>
    <col min="6657" max="6657" width="11" style="168" customWidth="1"/>
    <col min="6658" max="6658" width="2.5" style="168" customWidth="1"/>
    <col min="6659" max="6659" width="10.5" style="168" customWidth="1"/>
    <col min="6660" max="6660" width="3" style="168" customWidth="1"/>
    <col min="6661" max="6661" width="10.25" style="168" customWidth="1"/>
    <col min="6662" max="6662" width="2.625" style="168" customWidth="1"/>
    <col min="6663" max="6663" width="11.625" style="168" customWidth="1"/>
    <col min="6664" max="6664" width="2.75" style="168" customWidth="1"/>
    <col min="6665" max="6665" width="10.5" style="168" customWidth="1"/>
    <col min="6666" max="6912" width="7.75" style="168"/>
    <col min="6913" max="6913" width="11" style="168" customWidth="1"/>
    <col min="6914" max="6914" width="2.5" style="168" customWidth="1"/>
    <col min="6915" max="6915" width="10.5" style="168" customWidth="1"/>
    <col min="6916" max="6916" width="3" style="168" customWidth="1"/>
    <col min="6917" max="6917" width="10.25" style="168" customWidth="1"/>
    <col min="6918" max="6918" width="2.625" style="168" customWidth="1"/>
    <col min="6919" max="6919" width="11.625" style="168" customWidth="1"/>
    <col min="6920" max="6920" width="2.75" style="168" customWidth="1"/>
    <col min="6921" max="6921" width="10.5" style="168" customWidth="1"/>
    <col min="6922" max="7168" width="7.75" style="168"/>
    <col min="7169" max="7169" width="11" style="168" customWidth="1"/>
    <col min="7170" max="7170" width="2.5" style="168" customWidth="1"/>
    <col min="7171" max="7171" width="10.5" style="168" customWidth="1"/>
    <col min="7172" max="7172" width="3" style="168" customWidth="1"/>
    <col min="7173" max="7173" width="10.25" style="168" customWidth="1"/>
    <col min="7174" max="7174" width="2.625" style="168" customWidth="1"/>
    <col min="7175" max="7175" width="11.625" style="168" customWidth="1"/>
    <col min="7176" max="7176" width="2.75" style="168" customWidth="1"/>
    <col min="7177" max="7177" width="10.5" style="168" customWidth="1"/>
    <col min="7178" max="7424" width="7.75" style="168"/>
    <col min="7425" max="7425" width="11" style="168" customWidth="1"/>
    <col min="7426" max="7426" width="2.5" style="168" customWidth="1"/>
    <col min="7427" max="7427" width="10.5" style="168" customWidth="1"/>
    <col min="7428" max="7428" width="3" style="168" customWidth="1"/>
    <col min="7429" max="7429" width="10.25" style="168" customWidth="1"/>
    <col min="7430" max="7430" width="2.625" style="168" customWidth="1"/>
    <col min="7431" max="7431" width="11.625" style="168" customWidth="1"/>
    <col min="7432" max="7432" width="2.75" style="168" customWidth="1"/>
    <col min="7433" max="7433" width="10.5" style="168" customWidth="1"/>
    <col min="7434" max="7680" width="7.75" style="168"/>
    <col min="7681" max="7681" width="11" style="168" customWidth="1"/>
    <col min="7682" max="7682" width="2.5" style="168" customWidth="1"/>
    <col min="7683" max="7683" width="10.5" style="168" customWidth="1"/>
    <col min="7684" max="7684" width="3" style="168" customWidth="1"/>
    <col min="7685" max="7685" width="10.25" style="168" customWidth="1"/>
    <col min="7686" max="7686" width="2.625" style="168" customWidth="1"/>
    <col min="7687" max="7687" width="11.625" style="168" customWidth="1"/>
    <col min="7688" max="7688" width="2.75" style="168" customWidth="1"/>
    <col min="7689" max="7689" width="10.5" style="168" customWidth="1"/>
    <col min="7690" max="7936" width="7.75" style="168"/>
    <col min="7937" max="7937" width="11" style="168" customWidth="1"/>
    <col min="7938" max="7938" width="2.5" style="168" customWidth="1"/>
    <col min="7939" max="7939" width="10.5" style="168" customWidth="1"/>
    <col min="7940" max="7940" width="3" style="168" customWidth="1"/>
    <col min="7941" max="7941" width="10.25" style="168" customWidth="1"/>
    <col min="7942" max="7942" width="2.625" style="168" customWidth="1"/>
    <col min="7943" max="7943" width="11.625" style="168" customWidth="1"/>
    <col min="7944" max="7944" width="2.75" style="168" customWidth="1"/>
    <col min="7945" max="7945" width="10.5" style="168" customWidth="1"/>
    <col min="7946" max="8192" width="7.75" style="168"/>
    <col min="8193" max="8193" width="11" style="168" customWidth="1"/>
    <col min="8194" max="8194" width="2.5" style="168" customWidth="1"/>
    <col min="8195" max="8195" width="10.5" style="168" customWidth="1"/>
    <col min="8196" max="8196" width="3" style="168" customWidth="1"/>
    <col min="8197" max="8197" width="10.25" style="168" customWidth="1"/>
    <col min="8198" max="8198" width="2.625" style="168" customWidth="1"/>
    <col min="8199" max="8199" width="11.625" style="168" customWidth="1"/>
    <col min="8200" max="8200" width="2.75" style="168" customWidth="1"/>
    <col min="8201" max="8201" width="10.5" style="168" customWidth="1"/>
    <col min="8202" max="8448" width="7.75" style="168"/>
    <col min="8449" max="8449" width="11" style="168" customWidth="1"/>
    <col min="8450" max="8450" width="2.5" style="168" customWidth="1"/>
    <col min="8451" max="8451" width="10.5" style="168" customWidth="1"/>
    <col min="8452" max="8452" width="3" style="168" customWidth="1"/>
    <col min="8453" max="8453" width="10.25" style="168" customWidth="1"/>
    <col min="8454" max="8454" width="2.625" style="168" customWidth="1"/>
    <col min="8455" max="8455" width="11.625" style="168" customWidth="1"/>
    <col min="8456" max="8456" width="2.75" style="168" customWidth="1"/>
    <col min="8457" max="8457" width="10.5" style="168" customWidth="1"/>
    <col min="8458" max="8704" width="7.75" style="168"/>
    <col min="8705" max="8705" width="11" style="168" customWidth="1"/>
    <col min="8706" max="8706" width="2.5" style="168" customWidth="1"/>
    <col min="8707" max="8707" width="10.5" style="168" customWidth="1"/>
    <col min="8708" max="8708" width="3" style="168" customWidth="1"/>
    <col min="8709" max="8709" width="10.25" style="168" customWidth="1"/>
    <col min="8710" max="8710" width="2.625" style="168" customWidth="1"/>
    <col min="8711" max="8711" width="11.625" style="168" customWidth="1"/>
    <col min="8712" max="8712" width="2.75" style="168" customWidth="1"/>
    <col min="8713" max="8713" width="10.5" style="168" customWidth="1"/>
    <col min="8714" max="8960" width="7.75" style="168"/>
    <col min="8961" max="8961" width="11" style="168" customWidth="1"/>
    <col min="8962" max="8962" width="2.5" style="168" customWidth="1"/>
    <col min="8963" max="8963" width="10.5" style="168" customWidth="1"/>
    <col min="8964" max="8964" width="3" style="168" customWidth="1"/>
    <col min="8965" max="8965" width="10.25" style="168" customWidth="1"/>
    <col min="8966" max="8966" width="2.625" style="168" customWidth="1"/>
    <col min="8967" max="8967" width="11.625" style="168" customWidth="1"/>
    <col min="8968" max="8968" width="2.75" style="168" customWidth="1"/>
    <col min="8969" max="8969" width="10.5" style="168" customWidth="1"/>
    <col min="8970" max="9216" width="7.75" style="168"/>
    <col min="9217" max="9217" width="11" style="168" customWidth="1"/>
    <col min="9218" max="9218" width="2.5" style="168" customWidth="1"/>
    <col min="9219" max="9219" width="10.5" style="168" customWidth="1"/>
    <col min="9220" max="9220" width="3" style="168" customWidth="1"/>
    <col min="9221" max="9221" width="10.25" style="168" customWidth="1"/>
    <col min="9222" max="9222" width="2.625" style="168" customWidth="1"/>
    <col min="9223" max="9223" width="11.625" style="168" customWidth="1"/>
    <col min="9224" max="9224" width="2.75" style="168" customWidth="1"/>
    <col min="9225" max="9225" width="10.5" style="168" customWidth="1"/>
    <col min="9226" max="9472" width="7.75" style="168"/>
    <col min="9473" max="9473" width="11" style="168" customWidth="1"/>
    <col min="9474" max="9474" width="2.5" style="168" customWidth="1"/>
    <col min="9475" max="9475" width="10.5" style="168" customWidth="1"/>
    <col min="9476" max="9476" width="3" style="168" customWidth="1"/>
    <col min="9477" max="9477" width="10.25" style="168" customWidth="1"/>
    <col min="9478" max="9478" width="2.625" style="168" customWidth="1"/>
    <col min="9479" max="9479" width="11.625" style="168" customWidth="1"/>
    <col min="9480" max="9480" width="2.75" style="168" customWidth="1"/>
    <col min="9481" max="9481" width="10.5" style="168" customWidth="1"/>
    <col min="9482" max="9728" width="7.75" style="168"/>
    <col min="9729" max="9729" width="11" style="168" customWidth="1"/>
    <col min="9730" max="9730" width="2.5" style="168" customWidth="1"/>
    <col min="9731" max="9731" width="10.5" style="168" customWidth="1"/>
    <col min="9732" max="9732" width="3" style="168" customWidth="1"/>
    <col min="9733" max="9733" width="10.25" style="168" customWidth="1"/>
    <col min="9734" max="9734" width="2.625" style="168" customWidth="1"/>
    <col min="9735" max="9735" width="11.625" style="168" customWidth="1"/>
    <col min="9736" max="9736" width="2.75" style="168" customWidth="1"/>
    <col min="9737" max="9737" width="10.5" style="168" customWidth="1"/>
    <col min="9738" max="9984" width="7.75" style="168"/>
    <col min="9985" max="9985" width="11" style="168" customWidth="1"/>
    <col min="9986" max="9986" width="2.5" style="168" customWidth="1"/>
    <col min="9987" max="9987" width="10.5" style="168" customWidth="1"/>
    <col min="9988" max="9988" width="3" style="168" customWidth="1"/>
    <col min="9989" max="9989" width="10.25" style="168" customWidth="1"/>
    <col min="9990" max="9990" width="2.625" style="168" customWidth="1"/>
    <col min="9991" max="9991" width="11.625" style="168" customWidth="1"/>
    <col min="9992" max="9992" width="2.75" style="168" customWidth="1"/>
    <col min="9993" max="9993" width="10.5" style="168" customWidth="1"/>
    <col min="9994" max="10240" width="7.75" style="168"/>
    <col min="10241" max="10241" width="11" style="168" customWidth="1"/>
    <col min="10242" max="10242" width="2.5" style="168" customWidth="1"/>
    <col min="10243" max="10243" width="10.5" style="168" customWidth="1"/>
    <col min="10244" max="10244" width="3" style="168" customWidth="1"/>
    <col min="10245" max="10245" width="10.25" style="168" customWidth="1"/>
    <col min="10246" max="10246" width="2.625" style="168" customWidth="1"/>
    <col min="10247" max="10247" width="11.625" style="168" customWidth="1"/>
    <col min="10248" max="10248" width="2.75" style="168" customWidth="1"/>
    <col min="10249" max="10249" width="10.5" style="168" customWidth="1"/>
    <col min="10250" max="10496" width="7.75" style="168"/>
    <col min="10497" max="10497" width="11" style="168" customWidth="1"/>
    <col min="10498" max="10498" width="2.5" style="168" customWidth="1"/>
    <col min="10499" max="10499" width="10.5" style="168" customWidth="1"/>
    <col min="10500" max="10500" width="3" style="168" customWidth="1"/>
    <col min="10501" max="10501" width="10.25" style="168" customWidth="1"/>
    <col min="10502" max="10502" width="2.625" style="168" customWidth="1"/>
    <col min="10503" max="10503" width="11.625" style="168" customWidth="1"/>
    <col min="10504" max="10504" width="2.75" style="168" customWidth="1"/>
    <col min="10505" max="10505" width="10.5" style="168" customWidth="1"/>
    <col min="10506" max="10752" width="7.75" style="168"/>
    <col min="10753" max="10753" width="11" style="168" customWidth="1"/>
    <col min="10754" max="10754" width="2.5" style="168" customWidth="1"/>
    <col min="10755" max="10755" width="10.5" style="168" customWidth="1"/>
    <col min="10756" max="10756" width="3" style="168" customWidth="1"/>
    <col min="10757" max="10757" width="10.25" style="168" customWidth="1"/>
    <col min="10758" max="10758" width="2.625" style="168" customWidth="1"/>
    <col min="10759" max="10759" width="11.625" style="168" customWidth="1"/>
    <col min="10760" max="10760" width="2.75" style="168" customWidth="1"/>
    <col min="10761" max="10761" width="10.5" style="168" customWidth="1"/>
    <col min="10762" max="11008" width="7.75" style="168"/>
    <col min="11009" max="11009" width="11" style="168" customWidth="1"/>
    <col min="11010" max="11010" width="2.5" style="168" customWidth="1"/>
    <col min="11011" max="11011" width="10.5" style="168" customWidth="1"/>
    <col min="11012" max="11012" width="3" style="168" customWidth="1"/>
    <col min="11013" max="11013" width="10.25" style="168" customWidth="1"/>
    <col min="11014" max="11014" width="2.625" style="168" customWidth="1"/>
    <col min="11015" max="11015" width="11.625" style="168" customWidth="1"/>
    <col min="11016" max="11016" width="2.75" style="168" customWidth="1"/>
    <col min="11017" max="11017" width="10.5" style="168" customWidth="1"/>
    <col min="11018" max="11264" width="7.75" style="168"/>
    <col min="11265" max="11265" width="11" style="168" customWidth="1"/>
    <col min="11266" max="11266" width="2.5" style="168" customWidth="1"/>
    <col min="11267" max="11267" width="10.5" style="168" customWidth="1"/>
    <col min="11268" max="11268" width="3" style="168" customWidth="1"/>
    <col min="11269" max="11269" width="10.25" style="168" customWidth="1"/>
    <col min="11270" max="11270" width="2.625" style="168" customWidth="1"/>
    <col min="11271" max="11271" width="11.625" style="168" customWidth="1"/>
    <col min="11272" max="11272" width="2.75" style="168" customWidth="1"/>
    <col min="11273" max="11273" width="10.5" style="168" customWidth="1"/>
    <col min="11274" max="11520" width="7.75" style="168"/>
    <col min="11521" max="11521" width="11" style="168" customWidth="1"/>
    <col min="11522" max="11522" width="2.5" style="168" customWidth="1"/>
    <col min="11523" max="11523" width="10.5" style="168" customWidth="1"/>
    <col min="11524" max="11524" width="3" style="168" customWidth="1"/>
    <col min="11525" max="11525" width="10.25" style="168" customWidth="1"/>
    <col min="11526" max="11526" width="2.625" style="168" customWidth="1"/>
    <col min="11527" max="11527" width="11.625" style="168" customWidth="1"/>
    <col min="11528" max="11528" width="2.75" style="168" customWidth="1"/>
    <col min="11529" max="11529" width="10.5" style="168" customWidth="1"/>
    <col min="11530" max="11776" width="7.75" style="168"/>
    <col min="11777" max="11777" width="11" style="168" customWidth="1"/>
    <col min="11778" max="11778" width="2.5" style="168" customWidth="1"/>
    <col min="11779" max="11779" width="10.5" style="168" customWidth="1"/>
    <col min="11780" max="11780" width="3" style="168" customWidth="1"/>
    <col min="11781" max="11781" width="10.25" style="168" customWidth="1"/>
    <col min="11782" max="11782" width="2.625" style="168" customWidth="1"/>
    <col min="11783" max="11783" width="11.625" style="168" customWidth="1"/>
    <col min="11784" max="11784" width="2.75" style="168" customWidth="1"/>
    <col min="11785" max="11785" width="10.5" style="168" customWidth="1"/>
    <col min="11786" max="12032" width="7.75" style="168"/>
    <col min="12033" max="12033" width="11" style="168" customWidth="1"/>
    <col min="12034" max="12034" width="2.5" style="168" customWidth="1"/>
    <col min="12035" max="12035" width="10.5" style="168" customWidth="1"/>
    <col min="12036" max="12036" width="3" style="168" customWidth="1"/>
    <col min="12037" max="12037" width="10.25" style="168" customWidth="1"/>
    <col min="12038" max="12038" width="2.625" style="168" customWidth="1"/>
    <col min="12039" max="12039" width="11.625" style="168" customWidth="1"/>
    <col min="12040" max="12040" width="2.75" style="168" customWidth="1"/>
    <col min="12041" max="12041" width="10.5" style="168" customWidth="1"/>
    <col min="12042" max="12288" width="7.75" style="168"/>
    <col min="12289" max="12289" width="11" style="168" customWidth="1"/>
    <col min="12290" max="12290" width="2.5" style="168" customWidth="1"/>
    <col min="12291" max="12291" width="10.5" style="168" customWidth="1"/>
    <col min="12292" max="12292" width="3" style="168" customWidth="1"/>
    <col min="12293" max="12293" width="10.25" style="168" customWidth="1"/>
    <col min="12294" max="12294" width="2.625" style="168" customWidth="1"/>
    <col min="12295" max="12295" width="11.625" style="168" customWidth="1"/>
    <col min="12296" max="12296" width="2.75" style="168" customWidth="1"/>
    <col min="12297" max="12297" width="10.5" style="168" customWidth="1"/>
    <col min="12298" max="12544" width="7.75" style="168"/>
    <col min="12545" max="12545" width="11" style="168" customWidth="1"/>
    <col min="12546" max="12546" width="2.5" style="168" customWidth="1"/>
    <col min="12547" max="12547" width="10.5" style="168" customWidth="1"/>
    <col min="12548" max="12548" width="3" style="168" customWidth="1"/>
    <col min="12549" max="12549" width="10.25" style="168" customWidth="1"/>
    <col min="12550" max="12550" width="2.625" style="168" customWidth="1"/>
    <col min="12551" max="12551" width="11.625" style="168" customWidth="1"/>
    <col min="12552" max="12552" width="2.75" style="168" customWidth="1"/>
    <col min="12553" max="12553" width="10.5" style="168" customWidth="1"/>
    <col min="12554" max="12800" width="7.75" style="168"/>
    <col min="12801" max="12801" width="11" style="168" customWidth="1"/>
    <col min="12802" max="12802" width="2.5" style="168" customWidth="1"/>
    <col min="12803" max="12803" width="10.5" style="168" customWidth="1"/>
    <col min="12804" max="12804" width="3" style="168" customWidth="1"/>
    <col min="12805" max="12805" width="10.25" style="168" customWidth="1"/>
    <col min="12806" max="12806" width="2.625" style="168" customWidth="1"/>
    <col min="12807" max="12807" width="11.625" style="168" customWidth="1"/>
    <col min="12808" max="12808" width="2.75" style="168" customWidth="1"/>
    <col min="12809" max="12809" width="10.5" style="168" customWidth="1"/>
    <col min="12810" max="13056" width="7.75" style="168"/>
    <col min="13057" max="13057" width="11" style="168" customWidth="1"/>
    <col min="13058" max="13058" width="2.5" style="168" customWidth="1"/>
    <col min="13059" max="13059" width="10.5" style="168" customWidth="1"/>
    <col min="13060" max="13060" width="3" style="168" customWidth="1"/>
    <col min="13061" max="13061" width="10.25" style="168" customWidth="1"/>
    <col min="13062" max="13062" width="2.625" style="168" customWidth="1"/>
    <col min="13063" max="13063" width="11.625" style="168" customWidth="1"/>
    <col min="13064" max="13064" width="2.75" style="168" customWidth="1"/>
    <col min="13065" max="13065" width="10.5" style="168" customWidth="1"/>
    <col min="13066" max="13312" width="7.75" style="168"/>
    <col min="13313" max="13313" width="11" style="168" customWidth="1"/>
    <col min="13314" max="13314" width="2.5" style="168" customWidth="1"/>
    <col min="13315" max="13315" width="10.5" style="168" customWidth="1"/>
    <col min="13316" max="13316" width="3" style="168" customWidth="1"/>
    <col min="13317" max="13317" width="10.25" style="168" customWidth="1"/>
    <col min="13318" max="13318" width="2.625" style="168" customWidth="1"/>
    <col min="13319" max="13319" width="11.625" style="168" customWidth="1"/>
    <col min="13320" max="13320" width="2.75" style="168" customWidth="1"/>
    <col min="13321" max="13321" width="10.5" style="168" customWidth="1"/>
    <col min="13322" max="13568" width="7.75" style="168"/>
    <col min="13569" max="13569" width="11" style="168" customWidth="1"/>
    <col min="13570" max="13570" width="2.5" style="168" customWidth="1"/>
    <col min="13571" max="13571" width="10.5" style="168" customWidth="1"/>
    <col min="13572" max="13572" width="3" style="168" customWidth="1"/>
    <col min="13573" max="13573" width="10.25" style="168" customWidth="1"/>
    <col min="13574" max="13574" width="2.625" style="168" customWidth="1"/>
    <col min="13575" max="13575" width="11.625" style="168" customWidth="1"/>
    <col min="13576" max="13576" width="2.75" style="168" customWidth="1"/>
    <col min="13577" max="13577" width="10.5" style="168" customWidth="1"/>
    <col min="13578" max="13824" width="7.75" style="168"/>
    <col min="13825" max="13825" width="11" style="168" customWidth="1"/>
    <col min="13826" max="13826" width="2.5" style="168" customWidth="1"/>
    <col min="13827" max="13827" width="10.5" style="168" customWidth="1"/>
    <col min="13828" max="13828" width="3" style="168" customWidth="1"/>
    <col min="13829" max="13829" width="10.25" style="168" customWidth="1"/>
    <col min="13830" max="13830" width="2.625" style="168" customWidth="1"/>
    <col min="13831" max="13831" width="11.625" style="168" customWidth="1"/>
    <col min="13832" max="13832" width="2.75" style="168" customWidth="1"/>
    <col min="13833" max="13833" width="10.5" style="168" customWidth="1"/>
    <col min="13834" max="14080" width="7.75" style="168"/>
    <col min="14081" max="14081" width="11" style="168" customWidth="1"/>
    <col min="14082" max="14082" width="2.5" style="168" customWidth="1"/>
    <col min="14083" max="14083" width="10.5" style="168" customWidth="1"/>
    <col min="14084" max="14084" width="3" style="168" customWidth="1"/>
    <col min="14085" max="14085" width="10.25" style="168" customWidth="1"/>
    <col min="14086" max="14086" width="2.625" style="168" customWidth="1"/>
    <col min="14087" max="14087" width="11.625" style="168" customWidth="1"/>
    <col min="14088" max="14088" width="2.75" style="168" customWidth="1"/>
    <col min="14089" max="14089" width="10.5" style="168" customWidth="1"/>
    <col min="14090" max="14336" width="7.75" style="168"/>
    <col min="14337" max="14337" width="11" style="168" customWidth="1"/>
    <col min="14338" max="14338" width="2.5" style="168" customWidth="1"/>
    <col min="14339" max="14339" width="10.5" style="168" customWidth="1"/>
    <col min="14340" max="14340" width="3" style="168" customWidth="1"/>
    <col min="14341" max="14341" width="10.25" style="168" customWidth="1"/>
    <col min="14342" max="14342" width="2.625" style="168" customWidth="1"/>
    <col min="14343" max="14343" width="11.625" style="168" customWidth="1"/>
    <col min="14344" max="14344" width="2.75" style="168" customWidth="1"/>
    <col min="14345" max="14345" width="10.5" style="168" customWidth="1"/>
    <col min="14346" max="14592" width="7.75" style="168"/>
    <col min="14593" max="14593" width="11" style="168" customWidth="1"/>
    <col min="14594" max="14594" width="2.5" style="168" customWidth="1"/>
    <col min="14595" max="14595" width="10.5" style="168" customWidth="1"/>
    <col min="14596" max="14596" width="3" style="168" customWidth="1"/>
    <col min="14597" max="14597" width="10.25" style="168" customWidth="1"/>
    <col min="14598" max="14598" width="2.625" style="168" customWidth="1"/>
    <col min="14599" max="14599" width="11.625" style="168" customWidth="1"/>
    <col min="14600" max="14600" width="2.75" style="168" customWidth="1"/>
    <col min="14601" max="14601" width="10.5" style="168" customWidth="1"/>
    <col min="14602" max="14848" width="7.75" style="168"/>
    <col min="14849" max="14849" width="11" style="168" customWidth="1"/>
    <col min="14850" max="14850" width="2.5" style="168" customWidth="1"/>
    <col min="14851" max="14851" width="10.5" style="168" customWidth="1"/>
    <col min="14852" max="14852" width="3" style="168" customWidth="1"/>
    <col min="14853" max="14853" width="10.25" style="168" customWidth="1"/>
    <col min="14854" max="14854" width="2.625" style="168" customWidth="1"/>
    <col min="14855" max="14855" width="11.625" style="168" customWidth="1"/>
    <col min="14856" max="14856" width="2.75" style="168" customWidth="1"/>
    <col min="14857" max="14857" width="10.5" style="168" customWidth="1"/>
    <col min="14858" max="15104" width="7.75" style="168"/>
    <col min="15105" max="15105" width="11" style="168" customWidth="1"/>
    <col min="15106" max="15106" width="2.5" style="168" customWidth="1"/>
    <col min="15107" max="15107" width="10.5" style="168" customWidth="1"/>
    <col min="15108" max="15108" width="3" style="168" customWidth="1"/>
    <col min="15109" max="15109" width="10.25" style="168" customWidth="1"/>
    <col min="15110" max="15110" width="2.625" style="168" customWidth="1"/>
    <col min="15111" max="15111" width="11.625" style="168" customWidth="1"/>
    <col min="15112" max="15112" width="2.75" style="168" customWidth="1"/>
    <col min="15113" max="15113" width="10.5" style="168" customWidth="1"/>
    <col min="15114" max="15360" width="7.75" style="168"/>
    <col min="15361" max="15361" width="11" style="168" customWidth="1"/>
    <col min="15362" max="15362" width="2.5" style="168" customWidth="1"/>
    <col min="15363" max="15363" width="10.5" style="168" customWidth="1"/>
    <col min="15364" max="15364" width="3" style="168" customWidth="1"/>
    <col min="15365" max="15365" width="10.25" style="168" customWidth="1"/>
    <col min="15366" max="15366" width="2.625" style="168" customWidth="1"/>
    <col min="15367" max="15367" width="11.625" style="168" customWidth="1"/>
    <col min="15368" max="15368" width="2.75" style="168" customWidth="1"/>
    <col min="15369" max="15369" width="10.5" style="168" customWidth="1"/>
    <col min="15370" max="15616" width="7.75" style="168"/>
    <col min="15617" max="15617" width="11" style="168" customWidth="1"/>
    <col min="15618" max="15618" width="2.5" style="168" customWidth="1"/>
    <col min="15619" max="15619" width="10.5" style="168" customWidth="1"/>
    <col min="15620" max="15620" width="3" style="168" customWidth="1"/>
    <col min="15621" max="15621" width="10.25" style="168" customWidth="1"/>
    <col min="15622" max="15622" width="2.625" style="168" customWidth="1"/>
    <col min="15623" max="15623" width="11.625" style="168" customWidth="1"/>
    <col min="15624" max="15624" width="2.75" style="168" customWidth="1"/>
    <col min="15625" max="15625" width="10.5" style="168" customWidth="1"/>
    <col min="15626" max="15872" width="7.75" style="168"/>
    <col min="15873" max="15873" width="11" style="168" customWidth="1"/>
    <col min="15874" max="15874" width="2.5" style="168" customWidth="1"/>
    <col min="15875" max="15875" width="10.5" style="168" customWidth="1"/>
    <col min="15876" max="15876" width="3" style="168" customWidth="1"/>
    <col min="15877" max="15877" width="10.25" style="168" customWidth="1"/>
    <col min="15878" max="15878" width="2.625" style="168" customWidth="1"/>
    <col min="15879" max="15879" width="11.625" style="168" customWidth="1"/>
    <col min="15880" max="15880" width="2.75" style="168" customWidth="1"/>
    <col min="15881" max="15881" width="10.5" style="168" customWidth="1"/>
    <col min="15882" max="16128" width="7.75" style="168"/>
    <col min="16129" max="16129" width="11" style="168" customWidth="1"/>
    <col min="16130" max="16130" width="2.5" style="168" customWidth="1"/>
    <col min="16131" max="16131" width="10.5" style="168" customWidth="1"/>
    <col min="16132" max="16132" width="3" style="168" customWidth="1"/>
    <col min="16133" max="16133" width="10.25" style="168" customWidth="1"/>
    <col min="16134" max="16134" width="2.625" style="168" customWidth="1"/>
    <col min="16135" max="16135" width="11.625" style="168" customWidth="1"/>
    <col min="16136" max="16136" width="2.75" style="168" customWidth="1"/>
    <col min="16137" max="16137" width="10.5" style="168" customWidth="1"/>
    <col min="16138" max="16384" width="7.75" style="168"/>
  </cols>
  <sheetData>
    <row r="1" ht="27.75" customHeight="1" spans="1:10">
      <c r="A1" s="169" t="s">
        <v>7228</v>
      </c>
      <c r="B1" s="170"/>
      <c r="C1" s="170"/>
      <c r="D1" s="170"/>
      <c r="E1" s="170"/>
      <c r="F1" s="170"/>
      <c r="G1" s="170"/>
      <c r="H1" s="170"/>
      <c r="I1" s="170"/>
      <c r="J1" s="117" t="s">
        <v>88</v>
      </c>
    </row>
    <row r="2" ht="30" customHeight="1" spans="1:16">
      <c r="A2" s="195" t="s">
        <v>7229</v>
      </c>
      <c r="B2" s="195"/>
      <c r="C2" s="195"/>
      <c r="D2" s="195"/>
      <c r="E2" s="195"/>
      <c r="F2" s="195"/>
      <c r="G2" s="195"/>
      <c r="K2" s="203" t="s">
        <v>7230</v>
      </c>
      <c r="L2" s="204" t="s">
        <v>7231</v>
      </c>
      <c r="M2" s="204" t="s">
        <v>7232</v>
      </c>
      <c r="N2" s="205" t="s">
        <v>7233</v>
      </c>
      <c r="O2" s="206" t="s">
        <v>99</v>
      </c>
      <c r="P2" s="206" t="s">
        <v>7234</v>
      </c>
    </row>
    <row r="3" ht="29.25" customHeight="1" spans="1:16">
      <c r="A3" s="172" t="s">
        <v>7235</v>
      </c>
      <c r="B3" s="173"/>
      <c r="C3" s="172" t="s">
        <v>7236</v>
      </c>
      <c r="D3" s="173"/>
      <c r="E3" s="172" t="s">
        <v>7237</v>
      </c>
      <c r="K3" s="204">
        <v>3180</v>
      </c>
      <c r="L3" s="204">
        <v>2290</v>
      </c>
      <c r="M3" s="204">
        <v>1927</v>
      </c>
      <c r="N3" s="205">
        <f>SQRT(L3*L3+M3*M3)</f>
        <v>2992.89642319944</v>
      </c>
      <c r="O3" s="205">
        <f>L3/N3</f>
        <v>0.765145088967685</v>
      </c>
      <c r="P3" s="205">
        <f>N3/K3</f>
        <v>0.941162397232528</v>
      </c>
    </row>
    <row r="4" ht="20.1" customHeight="1" spans="1:5">
      <c r="A4" s="175">
        <v>500</v>
      </c>
      <c r="B4" s="176"/>
      <c r="C4" s="175">
        <v>0.86</v>
      </c>
      <c r="D4" s="176"/>
      <c r="E4" s="175">
        <v>0.95</v>
      </c>
    </row>
    <row r="5" ht="22.5" customHeight="1" spans="1:3">
      <c r="A5" s="181" t="s">
        <v>7238</v>
      </c>
      <c r="B5" s="181"/>
      <c r="C5" s="181"/>
    </row>
    <row r="6" ht="33" customHeight="1" spans="1:3">
      <c r="A6" s="196" t="s">
        <v>7239</v>
      </c>
      <c r="B6" s="197"/>
      <c r="C6" s="198">
        <f>SQRT(1/C4/C4-1)*A4-SQRT(1/E4/E4-1)*A4</f>
        <v>132.340524670407</v>
      </c>
    </row>
    <row r="7" ht="32.25" customHeight="1" spans="1:9">
      <c r="A7" s="170" t="s">
        <v>7240</v>
      </c>
      <c r="B7" s="170"/>
      <c r="C7" s="170"/>
      <c r="D7" s="170"/>
      <c r="E7" s="170"/>
      <c r="F7" s="170"/>
      <c r="G7" s="170"/>
      <c r="H7" s="170"/>
      <c r="I7" s="170"/>
    </row>
    <row r="8" ht="24" customHeight="1" spans="1:9">
      <c r="A8" s="195" t="s">
        <v>7241</v>
      </c>
      <c r="B8" s="195"/>
      <c r="C8" s="195"/>
      <c r="D8" s="195"/>
      <c r="E8" s="195"/>
      <c r="F8" s="195"/>
      <c r="G8" s="195"/>
      <c r="H8" s="195"/>
      <c r="I8" s="195"/>
    </row>
    <row r="9" ht="32.25" customHeight="1" spans="1:9">
      <c r="A9" s="172" t="s">
        <v>7242</v>
      </c>
      <c r="B9" s="173"/>
      <c r="C9" s="172" t="s">
        <v>7243</v>
      </c>
      <c r="D9" s="173"/>
      <c r="E9" s="172" t="s">
        <v>7244</v>
      </c>
      <c r="G9" s="172" t="s">
        <v>7245</v>
      </c>
      <c r="H9" s="173"/>
      <c r="I9" s="172" t="s">
        <v>7246</v>
      </c>
    </row>
    <row r="10" ht="20.1" customHeight="1" spans="1:9">
      <c r="A10" s="175">
        <v>10</v>
      </c>
      <c r="B10" s="199"/>
      <c r="C10" s="175">
        <v>1</v>
      </c>
      <c r="D10" s="199"/>
      <c r="E10" s="175">
        <v>5</v>
      </c>
      <c r="G10" s="175">
        <v>1.05</v>
      </c>
      <c r="H10" s="173"/>
      <c r="I10" s="175">
        <v>4000</v>
      </c>
    </row>
    <row r="11" ht="20.1" customHeight="1" spans="1:9">
      <c r="A11" s="173"/>
      <c r="B11" s="173"/>
      <c r="C11" s="173"/>
      <c r="D11" s="173"/>
      <c r="E11" s="173"/>
      <c r="F11" s="173"/>
      <c r="G11" s="173"/>
      <c r="H11" s="173"/>
      <c r="I11" s="173"/>
    </row>
    <row r="12" ht="24" customHeight="1" spans="1:9">
      <c r="A12" s="181" t="s">
        <v>7247</v>
      </c>
      <c r="B12" s="181"/>
      <c r="C12" s="181"/>
      <c r="D12" s="181"/>
      <c r="E12" s="181"/>
      <c r="F12" s="181"/>
      <c r="G12" s="181"/>
      <c r="H12" s="181"/>
      <c r="I12" s="181"/>
    </row>
    <row r="13" ht="29.25" customHeight="1" spans="1:9">
      <c r="A13" s="196" t="s">
        <v>7248</v>
      </c>
      <c r="B13" s="197"/>
      <c r="C13" s="180">
        <f>G10*A10/C10/(1-E10/100)</f>
        <v>11.0526315789474</v>
      </c>
      <c r="D13" s="180"/>
      <c r="E13" s="200" t="s">
        <v>7249</v>
      </c>
      <c r="F13" s="173"/>
      <c r="G13" s="173"/>
      <c r="H13" s="173"/>
      <c r="I13" s="173"/>
    </row>
    <row r="14" ht="20.1" customHeight="1"/>
    <row r="15" ht="20.1" customHeight="1" spans="1:9">
      <c r="A15" s="201" t="s">
        <v>7250</v>
      </c>
      <c r="B15" s="201"/>
      <c r="C15" s="201"/>
      <c r="D15" s="201"/>
      <c r="E15" s="201"/>
      <c r="F15" s="201"/>
      <c r="G15" s="201"/>
      <c r="H15" s="201"/>
      <c r="I15" s="201"/>
    </row>
    <row r="16" ht="23.25" customHeight="1" spans="1:9">
      <c r="A16" s="201"/>
      <c r="B16" s="201"/>
      <c r="C16" s="201"/>
      <c r="D16" s="201"/>
      <c r="E16" s="201"/>
      <c r="F16" s="201"/>
      <c r="G16" s="201"/>
      <c r="H16" s="201"/>
      <c r="I16" s="201"/>
    </row>
    <row r="17" ht="27.75" customHeight="1" spans="1:9">
      <c r="A17" s="170" t="s">
        <v>7251</v>
      </c>
      <c r="B17" s="170"/>
      <c r="C17" s="170"/>
      <c r="D17" s="170"/>
      <c r="E17" s="170"/>
      <c r="F17" s="170"/>
      <c r="G17" s="170"/>
      <c r="H17" s="170"/>
      <c r="I17" s="170"/>
    </row>
    <row r="18" ht="24.75" customHeight="1" spans="1:9">
      <c r="A18" s="181" t="s">
        <v>7252</v>
      </c>
      <c r="B18" s="181"/>
      <c r="C18" s="181"/>
      <c r="D18" s="181"/>
      <c r="E18" s="181"/>
      <c r="F18" s="181"/>
      <c r="G18" s="181"/>
      <c r="H18" s="181"/>
      <c r="I18" s="181"/>
    </row>
    <row r="19" ht="33" customHeight="1" spans="1:9">
      <c r="A19" s="196" t="s">
        <v>7253</v>
      </c>
      <c r="B19" s="197"/>
      <c r="C19" s="180">
        <f>C13/1.732*E10/100</f>
        <v>0.319071350431506</v>
      </c>
      <c r="D19" s="180"/>
      <c r="E19" s="202"/>
      <c r="F19" s="173"/>
      <c r="G19" s="173"/>
      <c r="H19" s="173"/>
      <c r="I19" s="173"/>
    </row>
    <row r="20" ht="20.1" customHeight="1" spans="1:1">
      <c r="A20" s="194" t="s">
        <v>106</v>
      </c>
    </row>
    <row r="21" ht="20.1" customHeight="1" spans="1:9">
      <c r="A21" s="181" t="s">
        <v>7254</v>
      </c>
      <c r="B21" s="181"/>
      <c r="C21" s="181"/>
      <c r="D21" s="181"/>
      <c r="E21" s="181"/>
      <c r="F21" s="181"/>
      <c r="G21" s="181"/>
      <c r="H21" s="181"/>
      <c r="I21" s="181"/>
    </row>
    <row r="22" ht="38.25" customHeight="1" spans="1:9">
      <c r="A22" s="196" t="s">
        <v>7255</v>
      </c>
      <c r="B22" s="197"/>
      <c r="C22" s="180">
        <f>I10*E10/100</f>
        <v>200</v>
      </c>
      <c r="D22" s="180"/>
      <c r="E22" s="202"/>
      <c r="F22" s="173"/>
      <c r="G22" s="173"/>
      <c r="H22" s="173"/>
      <c r="I22" s="173"/>
    </row>
    <row r="23" ht="32.25" customHeight="1" spans="1:9">
      <c r="A23" s="170" t="s">
        <v>7256</v>
      </c>
      <c r="B23" s="170"/>
      <c r="C23" s="170"/>
      <c r="D23" s="170"/>
      <c r="E23" s="170"/>
      <c r="F23" s="170"/>
      <c r="G23" s="170"/>
      <c r="H23" s="170"/>
      <c r="I23" s="170"/>
    </row>
    <row r="24" ht="38.25" customHeight="1" spans="1:5">
      <c r="A24" s="196" t="s">
        <v>7257</v>
      </c>
      <c r="B24" s="197"/>
      <c r="C24" s="180">
        <f>A10/C10/(1-E10/100)</f>
        <v>10.5263157894737</v>
      </c>
      <c r="D24" s="180"/>
      <c r="E24" s="200" t="s">
        <v>7249</v>
      </c>
    </row>
    <row r="25" ht="23.25" customHeight="1"/>
    <row r="26" ht="20.1" customHeight="1" spans="1:9">
      <c r="A26" s="191" t="s">
        <v>7258</v>
      </c>
      <c r="B26" s="191"/>
      <c r="C26" s="191"/>
      <c r="D26" s="191"/>
      <c r="E26" s="191"/>
      <c r="F26" s="191"/>
      <c r="G26" s="191"/>
      <c r="H26" s="191"/>
      <c r="I26" s="191"/>
    </row>
    <row r="27" ht="33" customHeight="1" spans="1:9">
      <c r="A27" s="191"/>
      <c r="B27" s="191"/>
      <c r="C27" s="191"/>
      <c r="D27" s="191"/>
      <c r="E27" s="191"/>
      <c r="F27" s="191"/>
      <c r="G27" s="191"/>
      <c r="H27" s="191"/>
      <c r="I27" s="191"/>
    </row>
    <row r="28" ht="20.1" customHeight="1"/>
    <row r="29" ht="20.1" customHeight="1"/>
    <row r="30" ht="20.1" customHeight="1"/>
    <row r="31" ht="20.1" customHeight="1"/>
    <row r="32" ht="20.1" customHeight="1"/>
    <row r="33" ht="20.1" customHeight="1"/>
    <row r="34" ht="20.1" customHeight="1"/>
    <row r="35" ht="20.1" customHeight="1"/>
    <row r="36" ht="20.1" customHeight="1"/>
    <row r="37" ht="20.1" customHeight="1"/>
    <row r="38" ht="20.1" customHeight="1"/>
    <row r="39" ht="20.1" customHeight="1"/>
    <row r="40" ht="20.1" customHeight="1"/>
    <row r="41" ht="20.1" customHeight="1"/>
    <row r="42" ht="20.1" customHeight="1"/>
    <row r="43" ht="20.1" customHeight="1"/>
    <row r="44" ht="20.1" customHeight="1"/>
    <row r="45" ht="20.1" customHeight="1"/>
    <row r="46" ht="20.1" customHeight="1"/>
    <row r="47" ht="20.1" customHeight="1"/>
  </sheetData>
  <mergeCells count="24">
    <mergeCell ref="A1:I1"/>
    <mergeCell ref="A2:G2"/>
    <mergeCell ref="A5:C5"/>
    <mergeCell ref="A6:B6"/>
    <mergeCell ref="A7:I7"/>
    <mergeCell ref="A8:I8"/>
    <mergeCell ref="A12:E12"/>
    <mergeCell ref="F12:I12"/>
    <mergeCell ref="A13:B13"/>
    <mergeCell ref="C13:D13"/>
    <mergeCell ref="A17:I17"/>
    <mergeCell ref="A18:E18"/>
    <mergeCell ref="F18:I18"/>
    <mergeCell ref="A19:B19"/>
    <mergeCell ref="C19:D19"/>
    <mergeCell ref="A21:E21"/>
    <mergeCell ref="F21:I21"/>
    <mergeCell ref="A22:B22"/>
    <mergeCell ref="C22:D22"/>
    <mergeCell ref="A23:I23"/>
    <mergeCell ref="A24:B24"/>
    <mergeCell ref="C24:D24"/>
    <mergeCell ref="A26:I27"/>
    <mergeCell ref="A15:I16"/>
  </mergeCells>
  <hyperlinks>
    <hyperlink ref="J1" location="目录!A1" display="目录!A1"/>
  </hyperlinks>
  <pageMargins left="0.7" right="0.7" top="0.75" bottom="0.75" header="0.3" footer="0.3"/>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1"/>
  <sheetViews>
    <sheetView workbookViewId="0">
      <selection activeCell="I3" sqref="I3"/>
    </sheetView>
  </sheetViews>
  <sheetFormatPr defaultColWidth="7.75" defaultRowHeight="15.6"/>
  <cols>
    <col min="1" max="1" width="16.75" style="168" customWidth="1"/>
    <col min="2" max="2" width="3.75" style="168" customWidth="1"/>
    <col min="3" max="3" width="11.625" style="168" customWidth="1"/>
    <col min="4" max="4" width="4.25" style="168" customWidth="1"/>
    <col min="5" max="5" width="12.25" style="168" customWidth="1"/>
    <col min="6" max="6" width="3.5" style="168" customWidth="1"/>
    <col min="7" max="7" width="9.625" style="168" customWidth="1"/>
    <col min="8" max="256" width="7.75" style="168"/>
    <col min="257" max="257" width="11.75" style="168" customWidth="1"/>
    <col min="258" max="258" width="3.75" style="168" customWidth="1"/>
    <col min="259" max="259" width="11.625" style="168" customWidth="1"/>
    <col min="260" max="260" width="4.25" style="168" customWidth="1"/>
    <col min="261" max="261" width="12.25" style="168" customWidth="1"/>
    <col min="262" max="262" width="3.5" style="168" customWidth="1"/>
    <col min="263" max="263" width="9.625" style="168" customWidth="1"/>
    <col min="264" max="512" width="7.75" style="168"/>
    <col min="513" max="513" width="11.75" style="168" customWidth="1"/>
    <col min="514" max="514" width="3.75" style="168" customWidth="1"/>
    <col min="515" max="515" width="11.625" style="168" customWidth="1"/>
    <col min="516" max="516" width="4.25" style="168" customWidth="1"/>
    <col min="517" max="517" width="12.25" style="168" customWidth="1"/>
    <col min="518" max="518" width="3.5" style="168" customWidth="1"/>
    <col min="519" max="519" width="9.625" style="168" customWidth="1"/>
    <col min="520" max="768" width="7.75" style="168"/>
    <col min="769" max="769" width="11.75" style="168" customWidth="1"/>
    <col min="770" max="770" width="3.75" style="168" customWidth="1"/>
    <col min="771" max="771" width="11.625" style="168" customWidth="1"/>
    <col min="772" max="772" width="4.25" style="168" customWidth="1"/>
    <col min="773" max="773" width="12.25" style="168" customWidth="1"/>
    <col min="774" max="774" width="3.5" style="168" customWidth="1"/>
    <col min="775" max="775" width="9.625" style="168" customWidth="1"/>
    <col min="776" max="1024" width="7.75" style="168"/>
    <col min="1025" max="1025" width="11.75" style="168" customWidth="1"/>
    <col min="1026" max="1026" width="3.75" style="168" customWidth="1"/>
    <col min="1027" max="1027" width="11.625" style="168" customWidth="1"/>
    <col min="1028" max="1028" width="4.25" style="168" customWidth="1"/>
    <col min="1029" max="1029" width="12.25" style="168" customWidth="1"/>
    <col min="1030" max="1030" width="3.5" style="168" customWidth="1"/>
    <col min="1031" max="1031" width="9.625" style="168" customWidth="1"/>
    <col min="1032" max="1280" width="7.75" style="168"/>
    <col min="1281" max="1281" width="11.75" style="168" customWidth="1"/>
    <col min="1282" max="1282" width="3.75" style="168" customWidth="1"/>
    <col min="1283" max="1283" width="11.625" style="168" customWidth="1"/>
    <col min="1284" max="1284" width="4.25" style="168" customWidth="1"/>
    <col min="1285" max="1285" width="12.25" style="168" customWidth="1"/>
    <col min="1286" max="1286" width="3.5" style="168" customWidth="1"/>
    <col min="1287" max="1287" width="9.625" style="168" customWidth="1"/>
    <col min="1288" max="1536" width="7.75" style="168"/>
    <col min="1537" max="1537" width="11.75" style="168" customWidth="1"/>
    <col min="1538" max="1538" width="3.75" style="168" customWidth="1"/>
    <col min="1539" max="1539" width="11.625" style="168" customWidth="1"/>
    <col min="1540" max="1540" width="4.25" style="168" customWidth="1"/>
    <col min="1541" max="1541" width="12.25" style="168" customWidth="1"/>
    <col min="1542" max="1542" width="3.5" style="168" customWidth="1"/>
    <col min="1543" max="1543" width="9.625" style="168" customWidth="1"/>
    <col min="1544" max="1792" width="7.75" style="168"/>
    <col min="1793" max="1793" width="11.75" style="168" customWidth="1"/>
    <col min="1794" max="1794" width="3.75" style="168" customWidth="1"/>
    <col min="1795" max="1795" width="11.625" style="168" customWidth="1"/>
    <col min="1796" max="1796" width="4.25" style="168" customWidth="1"/>
    <col min="1797" max="1797" width="12.25" style="168" customWidth="1"/>
    <col min="1798" max="1798" width="3.5" style="168" customWidth="1"/>
    <col min="1799" max="1799" width="9.625" style="168" customWidth="1"/>
    <col min="1800" max="2048" width="7.75" style="168"/>
    <col min="2049" max="2049" width="11.75" style="168" customWidth="1"/>
    <col min="2050" max="2050" width="3.75" style="168" customWidth="1"/>
    <col min="2051" max="2051" width="11.625" style="168" customWidth="1"/>
    <col min="2052" max="2052" width="4.25" style="168" customWidth="1"/>
    <col min="2053" max="2053" width="12.25" style="168" customWidth="1"/>
    <col min="2054" max="2054" width="3.5" style="168" customWidth="1"/>
    <col min="2055" max="2055" width="9.625" style="168" customWidth="1"/>
    <col min="2056" max="2304" width="7.75" style="168"/>
    <col min="2305" max="2305" width="11.75" style="168" customWidth="1"/>
    <col min="2306" max="2306" width="3.75" style="168" customWidth="1"/>
    <col min="2307" max="2307" width="11.625" style="168" customWidth="1"/>
    <col min="2308" max="2308" width="4.25" style="168" customWidth="1"/>
    <col min="2309" max="2309" width="12.25" style="168" customWidth="1"/>
    <col min="2310" max="2310" width="3.5" style="168" customWidth="1"/>
    <col min="2311" max="2311" width="9.625" style="168" customWidth="1"/>
    <col min="2312" max="2560" width="7.75" style="168"/>
    <col min="2561" max="2561" width="11.75" style="168" customWidth="1"/>
    <col min="2562" max="2562" width="3.75" style="168" customWidth="1"/>
    <col min="2563" max="2563" width="11.625" style="168" customWidth="1"/>
    <col min="2564" max="2564" width="4.25" style="168" customWidth="1"/>
    <col min="2565" max="2565" width="12.25" style="168" customWidth="1"/>
    <col min="2566" max="2566" width="3.5" style="168" customWidth="1"/>
    <col min="2567" max="2567" width="9.625" style="168" customWidth="1"/>
    <col min="2568" max="2816" width="7.75" style="168"/>
    <col min="2817" max="2817" width="11.75" style="168" customWidth="1"/>
    <col min="2818" max="2818" width="3.75" style="168" customWidth="1"/>
    <col min="2819" max="2819" width="11.625" style="168" customWidth="1"/>
    <col min="2820" max="2820" width="4.25" style="168" customWidth="1"/>
    <col min="2821" max="2821" width="12.25" style="168" customWidth="1"/>
    <col min="2822" max="2822" width="3.5" style="168" customWidth="1"/>
    <col min="2823" max="2823" width="9.625" style="168" customWidth="1"/>
    <col min="2824" max="3072" width="7.75" style="168"/>
    <col min="3073" max="3073" width="11.75" style="168" customWidth="1"/>
    <col min="3074" max="3074" width="3.75" style="168" customWidth="1"/>
    <col min="3075" max="3075" width="11.625" style="168" customWidth="1"/>
    <col min="3076" max="3076" width="4.25" style="168" customWidth="1"/>
    <col min="3077" max="3077" width="12.25" style="168" customWidth="1"/>
    <col min="3078" max="3078" width="3.5" style="168" customWidth="1"/>
    <col min="3079" max="3079" width="9.625" style="168" customWidth="1"/>
    <col min="3080" max="3328" width="7.75" style="168"/>
    <col min="3329" max="3329" width="11.75" style="168" customWidth="1"/>
    <col min="3330" max="3330" width="3.75" style="168" customWidth="1"/>
    <col min="3331" max="3331" width="11.625" style="168" customWidth="1"/>
    <col min="3332" max="3332" width="4.25" style="168" customWidth="1"/>
    <col min="3333" max="3333" width="12.25" style="168" customWidth="1"/>
    <col min="3334" max="3334" width="3.5" style="168" customWidth="1"/>
    <col min="3335" max="3335" width="9.625" style="168" customWidth="1"/>
    <col min="3336" max="3584" width="7.75" style="168"/>
    <col min="3585" max="3585" width="11.75" style="168" customWidth="1"/>
    <col min="3586" max="3586" width="3.75" style="168" customWidth="1"/>
    <col min="3587" max="3587" width="11.625" style="168" customWidth="1"/>
    <col min="3588" max="3588" width="4.25" style="168" customWidth="1"/>
    <col min="3589" max="3589" width="12.25" style="168" customWidth="1"/>
    <col min="3590" max="3590" width="3.5" style="168" customWidth="1"/>
    <col min="3591" max="3591" width="9.625" style="168" customWidth="1"/>
    <col min="3592" max="3840" width="7.75" style="168"/>
    <col min="3841" max="3841" width="11.75" style="168" customWidth="1"/>
    <col min="3842" max="3842" width="3.75" style="168" customWidth="1"/>
    <col min="3843" max="3843" width="11.625" style="168" customWidth="1"/>
    <col min="3844" max="3844" width="4.25" style="168" customWidth="1"/>
    <col min="3845" max="3845" width="12.25" style="168" customWidth="1"/>
    <col min="3846" max="3846" width="3.5" style="168" customWidth="1"/>
    <col min="3847" max="3847" width="9.625" style="168" customWidth="1"/>
    <col min="3848" max="4096" width="7.75" style="168"/>
    <col min="4097" max="4097" width="11.75" style="168" customWidth="1"/>
    <col min="4098" max="4098" width="3.75" style="168" customWidth="1"/>
    <col min="4099" max="4099" width="11.625" style="168" customWidth="1"/>
    <col min="4100" max="4100" width="4.25" style="168" customWidth="1"/>
    <col min="4101" max="4101" width="12.25" style="168" customWidth="1"/>
    <col min="4102" max="4102" width="3.5" style="168" customWidth="1"/>
    <col min="4103" max="4103" width="9.625" style="168" customWidth="1"/>
    <col min="4104" max="4352" width="7.75" style="168"/>
    <col min="4353" max="4353" width="11.75" style="168" customWidth="1"/>
    <col min="4354" max="4354" width="3.75" style="168" customWidth="1"/>
    <col min="4355" max="4355" width="11.625" style="168" customWidth="1"/>
    <col min="4356" max="4356" width="4.25" style="168" customWidth="1"/>
    <col min="4357" max="4357" width="12.25" style="168" customWidth="1"/>
    <col min="4358" max="4358" width="3.5" style="168" customWidth="1"/>
    <col min="4359" max="4359" width="9.625" style="168" customWidth="1"/>
    <col min="4360" max="4608" width="7.75" style="168"/>
    <col min="4609" max="4609" width="11.75" style="168" customWidth="1"/>
    <col min="4610" max="4610" width="3.75" style="168" customWidth="1"/>
    <col min="4611" max="4611" width="11.625" style="168" customWidth="1"/>
    <col min="4612" max="4612" width="4.25" style="168" customWidth="1"/>
    <col min="4613" max="4613" width="12.25" style="168" customWidth="1"/>
    <col min="4614" max="4614" width="3.5" style="168" customWidth="1"/>
    <col min="4615" max="4615" width="9.625" style="168" customWidth="1"/>
    <col min="4616" max="4864" width="7.75" style="168"/>
    <col min="4865" max="4865" width="11.75" style="168" customWidth="1"/>
    <col min="4866" max="4866" width="3.75" style="168" customWidth="1"/>
    <col min="4867" max="4867" width="11.625" style="168" customWidth="1"/>
    <col min="4868" max="4868" width="4.25" style="168" customWidth="1"/>
    <col min="4869" max="4869" width="12.25" style="168" customWidth="1"/>
    <col min="4870" max="4870" width="3.5" style="168" customWidth="1"/>
    <col min="4871" max="4871" width="9.625" style="168" customWidth="1"/>
    <col min="4872" max="5120" width="7.75" style="168"/>
    <col min="5121" max="5121" width="11.75" style="168" customWidth="1"/>
    <col min="5122" max="5122" width="3.75" style="168" customWidth="1"/>
    <col min="5123" max="5123" width="11.625" style="168" customWidth="1"/>
    <col min="5124" max="5124" width="4.25" style="168" customWidth="1"/>
    <col min="5125" max="5125" width="12.25" style="168" customWidth="1"/>
    <col min="5126" max="5126" width="3.5" style="168" customWidth="1"/>
    <col min="5127" max="5127" width="9.625" style="168" customWidth="1"/>
    <col min="5128" max="5376" width="7.75" style="168"/>
    <col min="5377" max="5377" width="11.75" style="168" customWidth="1"/>
    <col min="5378" max="5378" width="3.75" style="168" customWidth="1"/>
    <col min="5379" max="5379" width="11.625" style="168" customWidth="1"/>
    <col min="5380" max="5380" width="4.25" style="168" customWidth="1"/>
    <col min="5381" max="5381" width="12.25" style="168" customWidth="1"/>
    <col min="5382" max="5382" width="3.5" style="168" customWidth="1"/>
    <col min="5383" max="5383" width="9.625" style="168" customWidth="1"/>
    <col min="5384" max="5632" width="7.75" style="168"/>
    <col min="5633" max="5633" width="11.75" style="168" customWidth="1"/>
    <col min="5634" max="5634" width="3.75" style="168" customWidth="1"/>
    <col min="5635" max="5635" width="11.625" style="168" customWidth="1"/>
    <col min="5636" max="5636" width="4.25" style="168" customWidth="1"/>
    <col min="5637" max="5637" width="12.25" style="168" customWidth="1"/>
    <col min="5638" max="5638" width="3.5" style="168" customWidth="1"/>
    <col min="5639" max="5639" width="9.625" style="168" customWidth="1"/>
    <col min="5640" max="5888" width="7.75" style="168"/>
    <col min="5889" max="5889" width="11.75" style="168" customWidth="1"/>
    <col min="5890" max="5890" width="3.75" style="168" customWidth="1"/>
    <col min="5891" max="5891" width="11.625" style="168" customWidth="1"/>
    <col min="5892" max="5892" width="4.25" style="168" customWidth="1"/>
    <col min="5893" max="5893" width="12.25" style="168" customWidth="1"/>
    <col min="5894" max="5894" width="3.5" style="168" customWidth="1"/>
    <col min="5895" max="5895" width="9.625" style="168" customWidth="1"/>
    <col min="5896" max="6144" width="7.75" style="168"/>
    <col min="6145" max="6145" width="11.75" style="168" customWidth="1"/>
    <col min="6146" max="6146" width="3.75" style="168" customWidth="1"/>
    <col min="6147" max="6147" width="11.625" style="168" customWidth="1"/>
    <col min="6148" max="6148" width="4.25" style="168" customWidth="1"/>
    <col min="6149" max="6149" width="12.25" style="168" customWidth="1"/>
    <col min="6150" max="6150" width="3.5" style="168" customWidth="1"/>
    <col min="6151" max="6151" width="9.625" style="168" customWidth="1"/>
    <col min="6152" max="6400" width="7.75" style="168"/>
    <col min="6401" max="6401" width="11.75" style="168" customWidth="1"/>
    <col min="6402" max="6402" width="3.75" style="168" customWidth="1"/>
    <col min="6403" max="6403" width="11.625" style="168" customWidth="1"/>
    <col min="6404" max="6404" width="4.25" style="168" customWidth="1"/>
    <col min="6405" max="6405" width="12.25" style="168" customWidth="1"/>
    <col min="6406" max="6406" width="3.5" style="168" customWidth="1"/>
    <col min="6407" max="6407" width="9.625" style="168" customWidth="1"/>
    <col min="6408" max="6656" width="7.75" style="168"/>
    <col min="6657" max="6657" width="11.75" style="168" customWidth="1"/>
    <col min="6658" max="6658" width="3.75" style="168" customWidth="1"/>
    <col min="6659" max="6659" width="11.625" style="168" customWidth="1"/>
    <col min="6660" max="6660" width="4.25" style="168" customWidth="1"/>
    <col min="6661" max="6661" width="12.25" style="168" customWidth="1"/>
    <col min="6662" max="6662" width="3.5" style="168" customWidth="1"/>
    <col min="6663" max="6663" width="9.625" style="168" customWidth="1"/>
    <col min="6664" max="6912" width="7.75" style="168"/>
    <col min="6913" max="6913" width="11.75" style="168" customWidth="1"/>
    <col min="6914" max="6914" width="3.75" style="168" customWidth="1"/>
    <col min="6915" max="6915" width="11.625" style="168" customWidth="1"/>
    <col min="6916" max="6916" width="4.25" style="168" customWidth="1"/>
    <col min="6917" max="6917" width="12.25" style="168" customWidth="1"/>
    <col min="6918" max="6918" width="3.5" style="168" customWidth="1"/>
    <col min="6919" max="6919" width="9.625" style="168" customWidth="1"/>
    <col min="6920" max="7168" width="7.75" style="168"/>
    <col min="7169" max="7169" width="11.75" style="168" customWidth="1"/>
    <col min="7170" max="7170" width="3.75" style="168" customWidth="1"/>
    <col min="7171" max="7171" width="11.625" style="168" customWidth="1"/>
    <col min="7172" max="7172" width="4.25" style="168" customWidth="1"/>
    <col min="7173" max="7173" width="12.25" style="168" customWidth="1"/>
    <col min="7174" max="7174" width="3.5" style="168" customWidth="1"/>
    <col min="7175" max="7175" width="9.625" style="168" customWidth="1"/>
    <col min="7176" max="7424" width="7.75" style="168"/>
    <col min="7425" max="7425" width="11.75" style="168" customWidth="1"/>
    <col min="7426" max="7426" width="3.75" style="168" customWidth="1"/>
    <col min="7427" max="7427" width="11.625" style="168" customWidth="1"/>
    <col min="7428" max="7428" width="4.25" style="168" customWidth="1"/>
    <col min="7429" max="7429" width="12.25" style="168" customWidth="1"/>
    <col min="7430" max="7430" width="3.5" style="168" customWidth="1"/>
    <col min="7431" max="7431" width="9.625" style="168" customWidth="1"/>
    <col min="7432" max="7680" width="7.75" style="168"/>
    <col min="7681" max="7681" width="11.75" style="168" customWidth="1"/>
    <col min="7682" max="7682" width="3.75" style="168" customWidth="1"/>
    <col min="7683" max="7683" width="11.625" style="168" customWidth="1"/>
    <col min="7684" max="7684" width="4.25" style="168" customWidth="1"/>
    <col min="7685" max="7685" width="12.25" style="168" customWidth="1"/>
    <col min="7686" max="7686" width="3.5" style="168" customWidth="1"/>
    <col min="7687" max="7687" width="9.625" style="168" customWidth="1"/>
    <col min="7688" max="7936" width="7.75" style="168"/>
    <col min="7937" max="7937" width="11.75" style="168" customWidth="1"/>
    <col min="7938" max="7938" width="3.75" style="168" customWidth="1"/>
    <col min="7939" max="7939" width="11.625" style="168" customWidth="1"/>
    <col min="7940" max="7940" width="4.25" style="168" customWidth="1"/>
    <col min="7941" max="7941" width="12.25" style="168" customWidth="1"/>
    <col min="7942" max="7942" width="3.5" style="168" customWidth="1"/>
    <col min="7943" max="7943" width="9.625" style="168" customWidth="1"/>
    <col min="7944" max="8192" width="7.75" style="168"/>
    <col min="8193" max="8193" width="11.75" style="168" customWidth="1"/>
    <col min="8194" max="8194" width="3.75" style="168" customWidth="1"/>
    <col min="8195" max="8195" width="11.625" style="168" customWidth="1"/>
    <col min="8196" max="8196" width="4.25" style="168" customWidth="1"/>
    <col min="8197" max="8197" width="12.25" style="168" customWidth="1"/>
    <col min="8198" max="8198" width="3.5" style="168" customWidth="1"/>
    <col min="8199" max="8199" width="9.625" style="168" customWidth="1"/>
    <col min="8200" max="8448" width="7.75" style="168"/>
    <col min="8449" max="8449" width="11.75" style="168" customWidth="1"/>
    <col min="8450" max="8450" width="3.75" style="168" customWidth="1"/>
    <col min="8451" max="8451" width="11.625" style="168" customWidth="1"/>
    <col min="8452" max="8452" width="4.25" style="168" customWidth="1"/>
    <col min="8453" max="8453" width="12.25" style="168" customWidth="1"/>
    <col min="8454" max="8454" width="3.5" style="168" customWidth="1"/>
    <col min="8455" max="8455" width="9.625" style="168" customWidth="1"/>
    <col min="8456" max="8704" width="7.75" style="168"/>
    <col min="8705" max="8705" width="11.75" style="168" customWidth="1"/>
    <col min="8706" max="8706" width="3.75" style="168" customWidth="1"/>
    <col min="8707" max="8707" width="11.625" style="168" customWidth="1"/>
    <col min="8708" max="8708" width="4.25" style="168" customWidth="1"/>
    <col min="8709" max="8709" width="12.25" style="168" customWidth="1"/>
    <col min="8710" max="8710" width="3.5" style="168" customWidth="1"/>
    <col min="8711" max="8711" width="9.625" style="168" customWidth="1"/>
    <col min="8712" max="8960" width="7.75" style="168"/>
    <col min="8961" max="8961" width="11.75" style="168" customWidth="1"/>
    <col min="8962" max="8962" width="3.75" style="168" customWidth="1"/>
    <col min="8963" max="8963" width="11.625" style="168" customWidth="1"/>
    <col min="8964" max="8964" width="4.25" style="168" customWidth="1"/>
    <col min="8965" max="8965" width="12.25" style="168" customWidth="1"/>
    <col min="8966" max="8966" width="3.5" style="168" customWidth="1"/>
    <col min="8967" max="8967" width="9.625" style="168" customWidth="1"/>
    <col min="8968" max="9216" width="7.75" style="168"/>
    <col min="9217" max="9217" width="11.75" style="168" customWidth="1"/>
    <col min="9218" max="9218" width="3.75" style="168" customWidth="1"/>
    <col min="9219" max="9219" width="11.625" style="168" customWidth="1"/>
    <col min="9220" max="9220" width="4.25" style="168" customWidth="1"/>
    <col min="9221" max="9221" width="12.25" style="168" customWidth="1"/>
    <col min="9222" max="9222" width="3.5" style="168" customWidth="1"/>
    <col min="9223" max="9223" width="9.625" style="168" customWidth="1"/>
    <col min="9224" max="9472" width="7.75" style="168"/>
    <col min="9473" max="9473" width="11.75" style="168" customWidth="1"/>
    <col min="9474" max="9474" width="3.75" style="168" customWidth="1"/>
    <col min="9475" max="9475" width="11.625" style="168" customWidth="1"/>
    <col min="9476" max="9476" width="4.25" style="168" customWidth="1"/>
    <col min="9477" max="9477" width="12.25" style="168" customWidth="1"/>
    <col min="9478" max="9478" width="3.5" style="168" customWidth="1"/>
    <col min="9479" max="9479" width="9.625" style="168" customWidth="1"/>
    <col min="9480" max="9728" width="7.75" style="168"/>
    <col min="9729" max="9729" width="11.75" style="168" customWidth="1"/>
    <col min="9730" max="9730" width="3.75" style="168" customWidth="1"/>
    <col min="9731" max="9731" width="11.625" style="168" customWidth="1"/>
    <col min="9732" max="9732" width="4.25" style="168" customWidth="1"/>
    <col min="9733" max="9733" width="12.25" style="168" customWidth="1"/>
    <col min="9734" max="9734" width="3.5" style="168" customWidth="1"/>
    <col min="9735" max="9735" width="9.625" style="168" customWidth="1"/>
    <col min="9736" max="9984" width="7.75" style="168"/>
    <col min="9985" max="9985" width="11.75" style="168" customWidth="1"/>
    <col min="9986" max="9986" width="3.75" style="168" customWidth="1"/>
    <col min="9987" max="9987" width="11.625" style="168" customWidth="1"/>
    <col min="9988" max="9988" width="4.25" style="168" customWidth="1"/>
    <col min="9989" max="9989" width="12.25" style="168" customWidth="1"/>
    <col min="9990" max="9990" width="3.5" style="168" customWidth="1"/>
    <col min="9991" max="9991" width="9.625" style="168" customWidth="1"/>
    <col min="9992" max="10240" width="7.75" style="168"/>
    <col min="10241" max="10241" width="11.75" style="168" customWidth="1"/>
    <col min="10242" max="10242" width="3.75" style="168" customWidth="1"/>
    <col min="10243" max="10243" width="11.625" style="168" customWidth="1"/>
    <col min="10244" max="10244" width="4.25" style="168" customWidth="1"/>
    <col min="10245" max="10245" width="12.25" style="168" customWidth="1"/>
    <col min="10246" max="10246" width="3.5" style="168" customWidth="1"/>
    <col min="10247" max="10247" width="9.625" style="168" customWidth="1"/>
    <col min="10248" max="10496" width="7.75" style="168"/>
    <col min="10497" max="10497" width="11.75" style="168" customWidth="1"/>
    <col min="10498" max="10498" width="3.75" style="168" customWidth="1"/>
    <col min="10499" max="10499" width="11.625" style="168" customWidth="1"/>
    <col min="10500" max="10500" width="4.25" style="168" customWidth="1"/>
    <col min="10501" max="10501" width="12.25" style="168" customWidth="1"/>
    <col min="10502" max="10502" width="3.5" style="168" customWidth="1"/>
    <col min="10503" max="10503" width="9.625" style="168" customWidth="1"/>
    <col min="10504" max="10752" width="7.75" style="168"/>
    <col min="10753" max="10753" width="11.75" style="168" customWidth="1"/>
    <col min="10754" max="10754" width="3.75" style="168" customWidth="1"/>
    <col min="10755" max="10755" width="11.625" style="168" customWidth="1"/>
    <col min="10756" max="10756" width="4.25" style="168" customWidth="1"/>
    <col min="10757" max="10757" width="12.25" style="168" customWidth="1"/>
    <col min="10758" max="10758" width="3.5" style="168" customWidth="1"/>
    <col min="10759" max="10759" width="9.625" style="168" customWidth="1"/>
    <col min="10760" max="11008" width="7.75" style="168"/>
    <col min="11009" max="11009" width="11.75" style="168" customWidth="1"/>
    <col min="11010" max="11010" width="3.75" style="168" customWidth="1"/>
    <col min="11011" max="11011" width="11.625" style="168" customWidth="1"/>
    <col min="11012" max="11012" width="4.25" style="168" customWidth="1"/>
    <col min="11013" max="11013" width="12.25" style="168" customWidth="1"/>
    <col min="11014" max="11014" width="3.5" style="168" customWidth="1"/>
    <col min="11015" max="11015" width="9.625" style="168" customWidth="1"/>
    <col min="11016" max="11264" width="7.75" style="168"/>
    <col min="11265" max="11265" width="11.75" style="168" customWidth="1"/>
    <col min="11266" max="11266" width="3.75" style="168" customWidth="1"/>
    <col min="11267" max="11267" width="11.625" style="168" customWidth="1"/>
    <col min="11268" max="11268" width="4.25" style="168" customWidth="1"/>
    <col min="11269" max="11269" width="12.25" style="168" customWidth="1"/>
    <col min="11270" max="11270" width="3.5" style="168" customWidth="1"/>
    <col min="11271" max="11271" width="9.625" style="168" customWidth="1"/>
    <col min="11272" max="11520" width="7.75" style="168"/>
    <col min="11521" max="11521" width="11.75" style="168" customWidth="1"/>
    <col min="11522" max="11522" width="3.75" style="168" customWidth="1"/>
    <col min="11523" max="11523" width="11.625" style="168" customWidth="1"/>
    <col min="11524" max="11524" width="4.25" style="168" customWidth="1"/>
    <col min="11525" max="11525" width="12.25" style="168" customWidth="1"/>
    <col min="11526" max="11526" width="3.5" style="168" customWidth="1"/>
    <col min="11527" max="11527" width="9.625" style="168" customWidth="1"/>
    <col min="11528" max="11776" width="7.75" style="168"/>
    <col min="11777" max="11777" width="11.75" style="168" customWidth="1"/>
    <col min="11778" max="11778" width="3.75" style="168" customWidth="1"/>
    <col min="11779" max="11779" width="11.625" style="168" customWidth="1"/>
    <col min="11780" max="11780" width="4.25" style="168" customWidth="1"/>
    <col min="11781" max="11781" width="12.25" style="168" customWidth="1"/>
    <col min="11782" max="11782" width="3.5" style="168" customWidth="1"/>
    <col min="11783" max="11783" width="9.625" style="168" customWidth="1"/>
    <col min="11784" max="12032" width="7.75" style="168"/>
    <col min="12033" max="12033" width="11.75" style="168" customWidth="1"/>
    <col min="12034" max="12034" width="3.75" style="168" customWidth="1"/>
    <col min="12035" max="12035" width="11.625" style="168" customWidth="1"/>
    <col min="12036" max="12036" width="4.25" style="168" customWidth="1"/>
    <col min="12037" max="12037" width="12.25" style="168" customWidth="1"/>
    <col min="12038" max="12038" width="3.5" style="168" customWidth="1"/>
    <col min="12039" max="12039" width="9.625" style="168" customWidth="1"/>
    <col min="12040" max="12288" width="7.75" style="168"/>
    <col min="12289" max="12289" width="11.75" style="168" customWidth="1"/>
    <col min="12290" max="12290" width="3.75" style="168" customWidth="1"/>
    <col min="12291" max="12291" width="11.625" style="168" customWidth="1"/>
    <col min="12292" max="12292" width="4.25" style="168" customWidth="1"/>
    <col min="12293" max="12293" width="12.25" style="168" customWidth="1"/>
    <col min="12294" max="12294" width="3.5" style="168" customWidth="1"/>
    <col min="12295" max="12295" width="9.625" style="168" customWidth="1"/>
    <col min="12296" max="12544" width="7.75" style="168"/>
    <col min="12545" max="12545" width="11.75" style="168" customWidth="1"/>
    <col min="12546" max="12546" width="3.75" style="168" customWidth="1"/>
    <col min="12547" max="12547" width="11.625" style="168" customWidth="1"/>
    <col min="12548" max="12548" width="4.25" style="168" customWidth="1"/>
    <col min="12549" max="12549" width="12.25" style="168" customWidth="1"/>
    <col min="12550" max="12550" width="3.5" style="168" customWidth="1"/>
    <col min="12551" max="12551" width="9.625" style="168" customWidth="1"/>
    <col min="12552" max="12800" width="7.75" style="168"/>
    <col min="12801" max="12801" width="11.75" style="168" customWidth="1"/>
    <col min="12802" max="12802" width="3.75" style="168" customWidth="1"/>
    <col min="12803" max="12803" width="11.625" style="168" customWidth="1"/>
    <col min="12804" max="12804" width="4.25" style="168" customWidth="1"/>
    <col min="12805" max="12805" width="12.25" style="168" customWidth="1"/>
    <col min="12806" max="12806" width="3.5" style="168" customWidth="1"/>
    <col min="12807" max="12807" width="9.625" style="168" customWidth="1"/>
    <col min="12808" max="13056" width="7.75" style="168"/>
    <col min="13057" max="13057" width="11.75" style="168" customWidth="1"/>
    <col min="13058" max="13058" width="3.75" style="168" customWidth="1"/>
    <col min="13059" max="13059" width="11.625" style="168" customWidth="1"/>
    <col min="13060" max="13060" width="4.25" style="168" customWidth="1"/>
    <col min="13061" max="13061" width="12.25" style="168" customWidth="1"/>
    <col min="13062" max="13062" width="3.5" style="168" customWidth="1"/>
    <col min="13063" max="13063" width="9.625" style="168" customWidth="1"/>
    <col min="13064" max="13312" width="7.75" style="168"/>
    <col min="13313" max="13313" width="11.75" style="168" customWidth="1"/>
    <col min="13314" max="13314" width="3.75" style="168" customWidth="1"/>
    <col min="13315" max="13315" width="11.625" style="168" customWidth="1"/>
    <col min="13316" max="13316" width="4.25" style="168" customWidth="1"/>
    <col min="13317" max="13317" width="12.25" style="168" customWidth="1"/>
    <col min="13318" max="13318" width="3.5" style="168" customWidth="1"/>
    <col min="13319" max="13319" width="9.625" style="168" customWidth="1"/>
    <col min="13320" max="13568" width="7.75" style="168"/>
    <col min="13569" max="13569" width="11.75" style="168" customWidth="1"/>
    <col min="13570" max="13570" width="3.75" style="168" customWidth="1"/>
    <col min="13571" max="13571" width="11.625" style="168" customWidth="1"/>
    <col min="13572" max="13572" width="4.25" style="168" customWidth="1"/>
    <col min="13573" max="13573" width="12.25" style="168" customWidth="1"/>
    <col min="13574" max="13574" width="3.5" style="168" customWidth="1"/>
    <col min="13575" max="13575" width="9.625" style="168" customWidth="1"/>
    <col min="13576" max="13824" width="7.75" style="168"/>
    <col min="13825" max="13825" width="11.75" style="168" customWidth="1"/>
    <col min="13826" max="13826" width="3.75" style="168" customWidth="1"/>
    <col min="13827" max="13827" width="11.625" style="168" customWidth="1"/>
    <col min="13828" max="13828" width="4.25" style="168" customWidth="1"/>
    <col min="13829" max="13829" width="12.25" style="168" customWidth="1"/>
    <col min="13830" max="13830" width="3.5" style="168" customWidth="1"/>
    <col min="13831" max="13831" width="9.625" style="168" customWidth="1"/>
    <col min="13832" max="14080" width="7.75" style="168"/>
    <col min="14081" max="14081" width="11.75" style="168" customWidth="1"/>
    <col min="14082" max="14082" width="3.75" style="168" customWidth="1"/>
    <col min="14083" max="14083" width="11.625" style="168" customWidth="1"/>
    <col min="14084" max="14084" width="4.25" style="168" customWidth="1"/>
    <col min="14085" max="14085" width="12.25" style="168" customWidth="1"/>
    <col min="14086" max="14086" width="3.5" style="168" customWidth="1"/>
    <col min="14087" max="14087" width="9.625" style="168" customWidth="1"/>
    <col min="14088" max="14336" width="7.75" style="168"/>
    <col min="14337" max="14337" width="11.75" style="168" customWidth="1"/>
    <col min="14338" max="14338" width="3.75" style="168" customWidth="1"/>
    <col min="14339" max="14339" width="11.625" style="168" customWidth="1"/>
    <col min="14340" max="14340" width="4.25" style="168" customWidth="1"/>
    <col min="14341" max="14341" width="12.25" style="168" customWidth="1"/>
    <col min="14342" max="14342" width="3.5" style="168" customWidth="1"/>
    <col min="14343" max="14343" width="9.625" style="168" customWidth="1"/>
    <col min="14344" max="14592" width="7.75" style="168"/>
    <col min="14593" max="14593" width="11.75" style="168" customWidth="1"/>
    <col min="14594" max="14594" width="3.75" style="168" customWidth="1"/>
    <col min="14595" max="14595" width="11.625" style="168" customWidth="1"/>
    <col min="14596" max="14596" width="4.25" style="168" customWidth="1"/>
    <col min="14597" max="14597" width="12.25" style="168" customWidth="1"/>
    <col min="14598" max="14598" width="3.5" style="168" customWidth="1"/>
    <col min="14599" max="14599" width="9.625" style="168" customWidth="1"/>
    <col min="14600" max="14848" width="7.75" style="168"/>
    <col min="14849" max="14849" width="11.75" style="168" customWidth="1"/>
    <col min="14850" max="14850" width="3.75" style="168" customWidth="1"/>
    <col min="14851" max="14851" width="11.625" style="168" customWidth="1"/>
    <col min="14852" max="14852" width="4.25" style="168" customWidth="1"/>
    <col min="14853" max="14853" width="12.25" style="168" customWidth="1"/>
    <col min="14854" max="14854" width="3.5" style="168" customWidth="1"/>
    <col min="14855" max="14855" width="9.625" style="168" customWidth="1"/>
    <col min="14856" max="15104" width="7.75" style="168"/>
    <col min="15105" max="15105" width="11.75" style="168" customWidth="1"/>
    <col min="15106" max="15106" width="3.75" style="168" customWidth="1"/>
    <col min="15107" max="15107" width="11.625" style="168" customWidth="1"/>
    <col min="15108" max="15108" width="4.25" style="168" customWidth="1"/>
    <col min="15109" max="15109" width="12.25" style="168" customWidth="1"/>
    <col min="15110" max="15110" width="3.5" style="168" customWidth="1"/>
    <col min="15111" max="15111" width="9.625" style="168" customWidth="1"/>
    <col min="15112" max="15360" width="7.75" style="168"/>
    <col min="15361" max="15361" width="11.75" style="168" customWidth="1"/>
    <col min="15362" max="15362" width="3.75" style="168" customWidth="1"/>
    <col min="15363" max="15363" width="11.625" style="168" customWidth="1"/>
    <col min="15364" max="15364" width="4.25" style="168" customWidth="1"/>
    <col min="15365" max="15365" width="12.25" style="168" customWidth="1"/>
    <col min="15366" max="15366" width="3.5" style="168" customWidth="1"/>
    <col min="15367" max="15367" width="9.625" style="168" customWidth="1"/>
    <col min="15368" max="15616" width="7.75" style="168"/>
    <col min="15617" max="15617" width="11.75" style="168" customWidth="1"/>
    <col min="15618" max="15618" width="3.75" style="168" customWidth="1"/>
    <col min="15619" max="15619" width="11.625" style="168" customWidth="1"/>
    <col min="15620" max="15620" width="4.25" style="168" customWidth="1"/>
    <col min="15621" max="15621" width="12.25" style="168" customWidth="1"/>
    <col min="15622" max="15622" width="3.5" style="168" customWidth="1"/>
    <col min="15623" max="15623" width="9.625" style="168" customWidth="1"/>
    <col min="15624" max="15872" width="7.75" style="168"/>
    <col min="15873" max="15873" width="11.75" style="168" customWidth="1"/>
    <col min="15874" max="15874" width="3.75" style="168" customWidth="1"/>
    <col min="15875" max="15875" width="11.625" style="168" customWidth="1"/>
    <col min="15876" max="15876" width="4.25" style="168" customWidth="1"/>
    <col min="15877" max="15877" width="12.25" style="168" customWidth="1"/>
    <col min="15878" max="15878" width="3.5" style="168" customWidth="1"/>
    <col min="15879" max="15879" width="9.625" style="168" customWidth="1"/>
    <col min="15880" max="16128" width="7.75" style="168"/>
    <col min="16129" max="16129" width="11.75" style="168" customWidth="1"/>
    <col min="16130" max="16130" width="3.75" style="168" customWidth="1"/>
    <col min="16131" max="16131" width="11.625" style="168" customWidth="1"/>
    <col min="16132" max="16132" width="4.25" style="168" customWidth="1"/>
    <col min="16133" max="16133" width="12.25" style="168" customWidth="1"/>
    <col min="16134" max="16134" width="3.5" style="168" customWidth="1"/>
    <col min="16135" max="16135" width="9.625" style="168" customWidth="1"/>
    <col min="16136" max="16384" width="7.75" style="168"/>
  </cols>
  <sheetData>
    <row r="1" ht="17.4" spans="1:9">
      <c r="A1" s="169" t="s">
        <v>7259</v>
      </c>
      <c r="B1" s="170"/>
      <c r="C1" s="170"/>
      <c r="D1" s="170"/>
      <c r="E1" s="170"/>
      <c r="F1" s="170"/>
      <c r="G1" s="170"/>
      <c r="H1" s="170"/>
      <c r="I1" s="170"/>
    </row>
    <row r="2" spans="1:9">
      <c r="A2" s="171" t="s">
        <v>7260</v>
      </c>
      <c r="B2" s="171"/>
      <c r="C2" s="171"/>
      <c r="D2" s="171"/>
      <c r="E2" s="171"/>
      <c r="F2" s="171"/>
      <c r="G2" s="171"/>
      <c r="H2" s="171"/>
      <c r="I2" s="171"/>
    </row>
    <row r="3" ht="46.8" spans="1:9">
      <c r="A3" s="172" t="s">
        <v>7261</v>
      </c>
      <c r="B3" s="173"/>
      <c r="C3" s="172" t="s">
        <v>7262</v>
      </c>
      <c r="D3" s="173"/>
      <c r="E3" s="172" t="s">
        <v>7263</v>
      </c>
      <c r="F3" s="173"/>
      <c r="G3" s="172" t="s">
        <v>7244</v>
      </c>
      <c r="H3" s="174"/>
      <c r="I3" s="193" t="s">
        <v>88</v>
      </c>
    </row>
    <row r="4" spans="1:9">
      <c r="A4" s="175">
        <v>4050</v>
      </c>
      <c r="B4" s="176"/>
      <c r="C4" s="177">
        <f>12/1.732</f>
        <v>6.9284064665127</v>
      </c>
      <c r="D4" s="176"/>
      <c r="E4" s="175">
        <v>0.286</v>
      </c>
      <c r="F4" s="176"/>
      <c r="G4" s="175">
        <v>5</v>
      </c>
      <c r="H4" s="174"/>
      <c r="I4" s="174"/>
    </row>
    <row r="5" ht="32.25" customHeight="1" spans="1:9">
      <c r="A5" s="171" t="s">
        <v>7264</v>
      </c>
      <c r="B5" s="171"/>
      <c r="C5" s="171"/>
      <c r="D5" s="171"/>
      <c r="E5" s="171"/>
      <c r="F5" s="171"/>
      <c r="G5" s="171"/>
      <c r="H5" s="171"/>
      <c r="I5" s="171"/>
    </row>
    <row r="6" ht="32.25" customHeight="1" spans="1:9">
      <c r="A6" s="178" t="s">
        <v>7265</v>
      </c>
      <c r="B6" s="178"/>
      <c r="C6" s="179">
        <f>A4*G4/100/3</f>
        <v>67.5</v>
      </c>
      <c r="D6" s="174"/>
      <c r="E6" s="174"/>
      <c r="F6" s="174"/>
      <c r="G6" s="174"/>
      <c r="H6" s="174"/>
      <c r="I6" s="174"/>
    </row>
    <row r="7" ht="32.25" customHeight="1" spans="1:9">
      <c r="A7" s="178" t="s">
        <v>7266</v>
      </c>
      <c r="B7" s="178"/>
      <c r="C7" s="180">
        <f>1000*E4*E4/C6</f>
        <v>1.21179259259259</v>
      </c>
      <c r="D7" s="174"/>
      <c r="E7" s="174"/>
      <c r="F7" s="174"/>
      <c r="G7" s="174"/>
      <c r="H7" s="174"/>
      <c r="I7" s="174"/>
    </row>
    <row r="8" ht="32.25" customHeight="1" spans="1:9">
      <c r="A8" s="171" t="s">
        <v>7267</v>
      </c>
      <c r="B8" s="171"/>
      <c r="C8" s="171"/>
      <c r="D8" s="171"/>
      <c r="E8" s="171"/>
      <c r="F8" s="171"/>
      <c r="G8" s="171"/>
      <c r="H8" s="171"/>
      <c r="I8" s="171"/>
    </row>
    <row r="9" ht="32.25" customHeight="1" spans="1:9">
      <c r="A9" s="172" t="s">
        <v>7268</v>
      </c>
      <c r="B9" s="173"/>
      <c r="C9" s="172" t="s">
        <v>7269</v>
      </c>
      <c r="D9" s="174"/>
      <c r="E9" s="174"/>
      <c r="F9" s="174"/>
      <c r="G9" s="174"/>
      <c r="H9" s="174"/>
      <c r="I9" s="174"/>
    </row>
    <row r="10" ht="32.25" customHeight="1" spans="1:9">
      <c r="A10" s="177">
        <f>12/1.732</f>
        <v>6.9284064665127</v>
      </c>
      <c r="B10" s="173"/>
      <c r="C10" s="177">
        <v>10.5</v>
      </c>
      <c r="D10" s="174"/>
      <c r="E10" s="174"/>
      <c r="F10" s="174"/>
      <c r="G10" s="174"/>
      <c r="H10" s="174"/>
      <c r="I10" s="174"/>
    </row>
    <row r="11" ht="32.25" customHeight="1" spans="1:9">
      <c r="A11" s="181" t="s">
        <v>7270</v>
      </c>
      <c r="B11" s="181"/>
      <c r="C11" s="181"/>
      <c r="D11" s="181"/>
      <c r="E11" s="181"/>
      <c r="F11" s="181"/>
      <c r="G11" s="181"/>
      <c r="H11" s="181"/>
      <c r="I11" s="181"/>
    </row>
    <row r="12" ht="32.25" customHeight="1" spans="1:9">
      <c r="A12" s="178" t="s">
        <v>7271</v>
      </c>
      <c r="B12" s="178"/>
      <c r="C12" s="182">
        <f>1000*A10*A10/A4*3</f>
        <v>35.557641603863</v>
      </c>
      <c r="D12" s="174"/>
      <c r="E12" s="174"/>
      <c r="F12" s="174"/>
      <c r="G12" s="174"/>
      <c r="H12" s="174"/>
      <c r="I12" s="174"/>
    </row>
    <row r="13" ht="32.25" customHeight="1" spans="1:9">
      <c r="A13" s="178" t="s">
        <v>7272</v>
      </c>
      <c r="B13" s="178"/>
      <c r="C13" s="183">
        <f>C7/C12*100</f>
        <v>3.40796672088889</v>
      </c>
      <c r="D13" s="174"/>
      <c r="E13" s="174"/>
      <c r="F13" s="174"/>
      <c r="G13" s="174"/>
      <c r="H13" s="174"/>
      <c r="I13" s="174"/>
    </row>
    <row r="14" ht="32.25" customHeight="1" spans="1:9">
      <c r="A14" s="178" t="s">
        <v>7273</v>
      </c>
      <c r="B14" s="178"/>
      <c r="C14" s="184">
        <f>G4</f>
        <v>5</v>
      </c>
      <c r="D14" s="174"/>
      <c r="E14" s="174"/>
      <c r="F14" s="174"/>
      <c r="G14" s="174"/>
      <c r="H14" s="174"/>
      <c r="I14" s="174"/>
    </row>
    <row r="15" ht="32.25" customHeight="1" spans="1:9">
      <c r="A15" s="185" t="s">
        <v>7274</v>
      </c>
      <c r="B15" s="186"/>
      <c r="C15" s="186"/>
      <c r="D15" s="186"/>
      <c r="E15" s="186"/>
      <c r="F15" s="186"/>
      <c r="G15" s="186"/>
      <c r="H15" s="186"/>
      <c r="I15" s="186"/>
    </row>
    <row r="16" ht="32.25" customHeight="1" spans="1:9">
      <c r="A16" s="178" t="s">
        <v>7275</v>
      </c>
      <c r="B16" s="178"/>
      <c r="C16" s="187">
        <f>C10/(1-C13/100)</f>
        <v>10.8704617177478</v>
      </c>
      <c r="D16" s="188" t="s">
        <v>7249</v>
      </c>
      <c r="E16" s="174"/>
      <c r="F16" s="174"/>
      <c r="G16" s="174"/>
      <c r="H16" s="174"/>
      <c r="I16" s="174"/>
    </row>
    <row r="17" ht="32.25" customHeight="1" spans="1:9">
      <c r="A17" s="178" t="s">
        <v>7276</v>
      </c>
      <c r="B17" s="178"/>
      <c r="C17" s="180">
        <f>3*1000*C16*C16/3/C12</f>
        <v>3323.25015459358</v>
      </c>
      <c r="D17" s="189"/>
      <c r="E17" s="174"/>
      <c r="F17" s="174"/>
      <c r="G17" s="174"/>
      <c r="H17" s="174"/>
      <c r="I17" s="174"/>
    </row>
    <row r="18" ht="32.25" customHeight="1" spans="1:9">
      <c r="A18" s="178" t="s">
        <v>7277</v>
      </c>
      <c r="B18" s="178"/>
      <c r="C18" s="190">
        <f>C17/A4</f>
        <v>0.82055559372681</v>
      </c>
      <c r="D18" s="174"/>
      <c r="E18" s="174"/>
      <c r="F18" s="174"/>
      <c r="G18" s="174"/>
      <c r="H18" s="174"/>
      <c r="I18" s="174"/>
    </row>
    <row r="20" ht="22.5" customHeight="1" spans="1:9">
      <c r="A20" s="191" t="s">
        <v>7278</v>
      </c>
      <c r="B20" s="191"/>
      <c r="C20" s="191"/>
      <c r="D20" s="191"/>
      <c r="E20" s="191"/>
      <c r="F20" s="191"/>
      <c r="G20" s="191"/>
      <c r="H20" s="192"/>
      <c r="I20" s="192"/>
    </row>
    <row r="21" ht="22.5" customHeight="1" spans="1:9">
      <c r="A21" s="191"/>
      <c r="B21" s="191"/>
      <c r="C21" s="191"/>
      <c r="D21" s="191"/>
      <c r="E21" s="191"/>
      <c r="F21" s="191"/>
      <c r="G21" s="191"/>
      <c r="H21" s="192"/>
      <c r="I21" s="192"/>
    </row>
  </sheetData>
  <mergeCells count="15">
    <mergeCell ref="A1:I1"/>
    <mergeCell ref="A2:I2"/>
    <mergeCell ref="A5:I5"/>
    <mergeCell ref="A6:B6"/>
    <mergeCell ref="A7:B7"/>
    <mergeCell ref="A8:I8"/>
    <mergeCell ref="A11:I11"/>
    <mergeCell ref="A12:B12"/>
    <mergeCell ref="A13:B13"/>
    <mergeCell ref="A14:B14"/>
    <mergeCell ref="A15:I15"/>
    <mergeCell ref="A16:B16"/>
    <mergeCell ref="A17:B17"/>
    <mergeCell ref="A18:B18"/>
    <mergeCell ref="A20:G21"/>
  </mergeCells>
  <hyperlinks>
    <hyperlink ref="I3" location="目录!A1" display="目录!A1"/>
  </hyperlinks>
  <pageMargins left="0.7" right="0.7" top="0.75" bottom="0.75" header="0.3" footer="0.3"/>
  <pageSetup paperSize="9" orientation="portrait"/>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3"/>
  <sheetViews>
    <sheetView topLeftCell="A6" workbookViewId="0">
      <selection activeCell="C1" sqref="C1"/>
    </sheetView>
  </sheetViews>
  <sheetFormatPr defaultColWidth="9" defaultRowHeight="15.6" outlineLevelCol="3"/>
  <cols>
    <col min="1" max="1" width="26.625" customWidth="1"/>
  </cols>
  <sheetData>
    <row r="1" ht="28.2" spans="1:3">
      <c r="A1" s="157" t="s">
        <v>29</v>
      </c>
      <c r="B1" s="157"/>
      <c r="C1" s="158" t="s">
        <v>88</v>
      </c>
    </row>
    <row r="2" ht="22.2" spans="1:4">
      <c r="A2" s="159" t="s">
        <v>7279</v>
      </c>
      <c r="B2" s="160">
        <v>60</v>
      </c>
      <c r="C2" s="161"/>
      <c r="D2" s="161"/>
    </row>
    <row r="3" ht="22.2" spans="1:4">
      <c r="A3" s="162" t="s">
        <v>106</v>
      </c>
      <c r="B3" s="162"/>
      <c r="C3" s="161"/>
      <c r="D3" s="161"/>
    </row>
    <row r="4" ht="22.2" spans="1:4">
      <c r="A4" s="159" t="s">
        <v>7280</v>
      </c>
      <c r="B4" s="160">
        <v>10</v>
      </c>
      <c r="C4" s="161"/>
      <c r="D4" s="161"/>
    </row>
    <row r="5" ht="22.2" spans="1:4">
      <c r="A5" s="162"/>
      <c r="B5" s="162"/>
      <c r="C5" s="161"/>
      <c r="D5" s="161"/>
    </row>
    <row r="6" ht="22.2" spans="1:4">
      <c r="A6" s="159" t="s">
        <v>7281</v>
      </c>
      <c r="B6" s="163">
        <f>SUM(B2,B4)/2</f>
        <v>35</v>
      </c>
      <c r="C6" s="161"/>
      <c r="D6" s="161"/>
    </row>
    <row r="7" ht="22.2" spans="1:4">
      <c r="A7" s="162"/>
      <c r="B7" s="162"/>
      <c r="C7" s="161"/>
      <c r="D7" s="161"/>
    </row>
    <row r="8" ht="22.2" spans="1:4">
      <c r="A8" s="159" t="s">
        <v>7282</v>
      </c>
      <c r="B8" s="163">
        <f>B6+B6*0.1+6</f>
        <v>44.5</v>
      </c>
      <c r="C8" s="161"/>
      <c r="D8" s="161"/>
    </row>
    <row r="9" ht="22.2" spans="1:4">
      <c r="A9" s="162"/>
      <c r="B9" s="162"/>
      <c r="C9" s="161"/>
      <c r="D9" s="161"/>
    </row>
    <row r="10" ht="22.2" spans="1:4">
      <c r="A10" s="159" t="s">
        <v>7283</v>
      </c>
      <c r="B10" s="163">
        <f>305/B8</f>
        <v>6.85393258426966</v>
      </c>
      <c r="C10" s="161"/>
      <c r="D10" s="161"/>
    </row>
    <row r="11" ht="22.2" spans="1:4">
      <c r="A11" s="159" t="s">
        <v>7284</v>
      </c>
      <c r="B11" s="163">
        <f>INT(B10)</f>
        <v>6</v>
      </c>
      <c r="C11" s="161"/>
      <c r="D11" s="161"/>
    </row>
    <row r="12" ht="22.2" spans="1:4">
      <c r="A12" s="162"/>
      <c r="B12" s="162"/>
      <c r="C12" s="161"/>
      <c r="D12" s="161"/>
    </row>
    <row r="13" ht="22.2" spans="1:4">
      <c r="A13" s="159" t="s">
        <v>7285</v>
      </c>
      <c r="B13" s="160">
        <v>300</v>
      </c>
      <c r="C13" s="161"/>
      <c r="D13" s="161"/>
    </row>
    <row r="14" ht="22.2" spans="1:4">
      <c r="A14" s="162" t="s">
        <v>106</v>
      </c>
      <c r="B14" s="162"/>
      <c r="C14" s="161"/>
      <c r="D14" s="161"/>
    </row>
    <row r="15" ht="22.2" spans="1:4">
      <c r="A15" s="159" t="s">
        <v>7286</v>
      </c>
      <c r="B15" s="164">
        <f>B13/B11</f>
        <v>50</v>
      </c>
      <c r="C15" s="161"/>
      <c r="D15" s="161"/>
    </row>
    <row r="16" ht="22.2" spans="1:4">
      <c r="A16" s="159" t="s">
        <v>7287</v>
      </c>
      <c r="B16" s="165">
        <f>CEILING(B15,1)</f>
        <v>50</v>
      </c>
      <c r="C16" s="161"/>
      <c r="D16" s="161"/>
    </row>
    <row r="17" ht="22.2" spans="1:4">
      <c r="A17" s="166"/>
      <c r="B17" s="166"/>
      <c r="C17" s="161"/>
      <c r="D17" s="161"/>
    </row>
    <row r="18" ht="22.2" spans="1:4">
      <c r="A18" s="167" t="s">
        <v>7288</v>
      </c>
      <c r="B18" s="167"/>
      <c r="C18" s="161"/>
      <c r="D18" s="161"/>
    </row>
    <row r="19" spans="1:2">
      <c r="A19" s="19"/>
      <c r="B19" s="19"/>
    </row>
    <row r="20" spans="1:2">
      <c r="A20" s="19"/>
      <c r="B20" s="19"/>
    </row>
    <row r="21" spans="1:2">
      <c r="A21" s="19"/>
      <c r="B21" s="19"/>
    </row>
    <row r="22" spans="1:2">
      <c r="A22" s="19"/>
      <c r="B22" s="19"/>
    </row>
    <row r="23" spans="1:2">
      <c r="A23" s="19"/>
      <c r="B23" s="19"/>
    </row>
  </sheetData>
  <mergeCells count="2">
    <mergeCell ref="A1:B1"/>
    <mergeCell ref="A18:B18"/>
  </mergeCells>
  <hyperlinks>
    <hyperlink ref="C1" location="目录!A1" display="目录!A1"/>
  </hyperlinks>
  <pageMargins left="0.7" right="0.7" top="0.75" bottom="0.75" header="0.3" footer="0.3"/>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4"/>
  <sheetViews>
    <sheetView workbookViewId="0">
      <selection activeCell="R22" sqref="R22"/>
    </sheetView>
  </sheetViews>
  <sheetFormatPr defaultColWidth="9" defaultRowHeight="15.6"/>
  <cols>
    <col min="6" max="6" width="14.625" customWidth="1"/>
    <col min="8" max="9" width="9" hidden="1" customWidth="1"/>
    <col min="11" max="11" width="9" hidden="1" customWidth="1"/>
    <col min="262" max="262" width="14.625" customWidth="1"/>
    <col min="264" max="265" width="9" hidden="1" customWidth="1"/>
    <col min="267" max="267" width="9" hidden="1" customWidth="1"/>
    <col min="518" max="518" width="14.625" customWidth="1"/>
    <col min="520" max="521" width="9" hidden="1" customWidth="1"/>
    <col min="523" max="523" width="9" hidden="1" customWidth="1"/>
    <col min="774" max="774" width="14.625" customWidth="1"/>
    <col min="776" max="777" width="9" hidden="1" customWidth="1"/>
    <col min="779" max="779" width="9" hidden="1" customWidth="1"/>
    <col min="1030" max="1030" width="14.625" customWidth="1"/>
    <col min="1032" max="1033" width="9" hidden="1" customWidth="1"/>
    <col min="1035" max="1035" width="9" hidden="1" customWidth="1"/>
    <col min="1286" max="1286" width="14.625" customWidth="1"/>
    <col min="1288" max="1289" width="9" hidden="1" customWidth="1"/>
    <col min="1291" max="1291" width="9" hidden="1" customWidth="1"/>
    <col min="1542" max="1542" width="14.625" customWidth="1"/>
    <col min="1544" max="1545" width="9" hidden="1" customWidth="1"/>
    <col min="1547" max="1547" width="9" hidden="1" customWidth="1"/>
    <col min="1798" max="1798" width="14.625" customWidth="1"/>
    <col min="1800" max="1801" width="9" hidden="1" customWidth="1"/>
    <col min="1803" max="1803" width="9" hidden="1" customWidth="1"/>
    <col min="2054" max="2054" width="14.625" customWidth="1"/>
    <col min="2056" max="2057" width="9" hidden="1" customWidth="1"/>
    <col min="2059" max="2059" width="9" hidden="1" customWidth="1"/>
    <col min="2310" max="2310" width="14.625" customWidth="1"/>
    <col min="2312" max="2313" width="9" hidden="1" customWidth="1"/>
    <col min="2315" max="2315" width="9" hidden="1" customWidth="1"/>
    <col min="2566" max="2566" width="14.625" customWidth="1"/>
    <col min="2568" max="2569" width="9" hidden="1" customWidth="1"/>
    <col min="2571" max="2571" width="9" hidden="1" customWidth="1"/>
    <col min="2822" max="2822" width="14.625" customWidth="1"/>
    <col min="2824" max="2825" width="9" hidden="1" customWidth="1"/>
    <col min="2827" max="2827" width="9" hidden="1" customWidth="1"/>
    <col min="3078" max="3078" width="14.625" customWidth="1"/>
    <col min="3080" max="3081" width="9" hidden="1" customWidth="1"/>
    <col min="3083" max="3083" width="9" hidden="1" customWidth="1"/>
    <col min="3334" max="3334" width="14.625" customWidth="1"/>
    <col min="3336" max="3337" width="9" hidden="1" customWidth="1"/>
    <col min="3339" max="3339" width="9" hidden="1" customWidth="1"/>
    <col min="3590" max="3590" width="14.625" customWidth="1"/>
    <col min="3592" max="3593" width="9" hidden="1" customWidth="1"/>
    <col min="3595" max="3595" width="9" hidden="1" customWidth="1"/>
    <col min="3846" max="3846" width="14.625" customWidth="1"/>
    <col min="3848" max="3849" width="9" hidden="1" customWidth="1"/>
    <col min="3851" max="3851" width="9" hidden="1" customWidth="1"/>
    <col min="4102" max="4102" width="14.625" customWidth="1"/>
    <col min="4104" max="4105" width="9" hidden="1" customWidth="1"/>
    <col min="4107" max="4107" width="9" hidden="1" customWidth="1"/>
    <col min="4358" max="4358" width="14.625" customWidth="1"/>
    <col min="4360" max="4361" width="9" hidden="1" customWidth="1"/>
    <col min="4363" max="4363" width="9" hidden="1" customWidth="1"/>
    <col min="4614" max="4614" width="14.625" customWidth="1"/>
    <col min="4616" max="4617" width="9" hidden="1" customWidth="1"/>
    <col min="4619" max="4619" width="9" hidden="1" customWidth="1"/>
    <col min="4870" max="4870" width="14.625" customWidth="1"/>
    <col min="4872" max="4873" width="9" hidden="1" customWidth="1"/>
    <col min="4875" max="4875" width="9" hidden="1" customWidth="1"/>
    <col min="5126" max="5126" width="14.625" customWidth="1"/>
    <col min="5128" max="5129" width="9" hidden="1" customWidth="1"/>
    <col min="5131" max="5131" width="9" hidden="1" customWidth="1"/>
    <col min="5382" max="5382" width="14.625" customWidth="1"/>
    <col min="5384" max="5385" width="9" hidden="1" customWidth="1"/>
    <col min="5387" max="5387" width="9" hidden="1" customWidth="1"/>
    <col min="5638" max="5638" width="14.625" customWidth="1"/>
    <col min="5640" max="5641" width="9" hidden="1" customWidth="1"/>
    <col min="5643" max="5643" width="9" hidden="1" customWidth="1"/>
    <col min="5894" max="5894" width="14.625" customWidth="1"/>
    <col min="5896" max="5897" width="9" hidden="1" customWidth="1"/>
    <col min="5899" max="5899" width="9" hidden="1" customWidth="1"/>
    <col min="6150" max="6150" width="14.625" customWidth="1"/>
    <col min="6152" max="6153" width="9" hidden="1" customWidth="1"/>
    <col min="6155" max="6155" width="9" hidden="1" customWidth="1"/>
    <col min="6406" max="6406" width="14.625" customWidth="1"/>
    <col min="6408" max="6409" width="9" hidden="1" customWidth="1"/>
    <col min="6411" max="6411" width="9" hidden="1" customWidth="1"/>
    <col min="6662" max="6662" width="14.625" customWidth="1"/>
    <col min="6664" max="6665" width="9" hidden="1" customWidth="1"/>
    <col min="6667" max="6667" width="9" hidden="1" customWidth="1"/>
    <col min="6918" max="6918" width="14.625" customWidth="1"/>
    <col min="6920" max="6921" width="9" hidden="1" customWidth="1"/>
    <col min="6923" max="6923" width="9" hidden="1" customWidth="1"/>
    <col min="7174" max="7174" width="14.625" customWidth="1"/>
    <col min="7176" max="7177" width="9" hidden="1" customWidth="1"/>
    <col min="7179" max="7179" width="9" hidden="1" customWidth="1"/>
    <col min="7430" max="7430" width="14.625" customWidth="1"/>
    <col min="7432" max="7433" width="9" hidden="1" customWidth="1"/>
    <col min="7435" max="7435" width="9" hidden="1" customWidth="1"/>
    <col min="7686" max="7686" width="14.625" customWidth="1"/>
    <col min="7688" max="7689" width="9" hidden="1" customWidth="1"/>
    <col min="7691" max="7691" width="9" hidden="1" customWidth="1"/>
    <col min="7942" max="7942" width="14.625" customWidth="1"/>
    <col min="7944" max="7945" width="9" hidden="1" customWidth="1"/>
    <col min="7947" max="7947" width="9" hidden="1" customWidth="1"/>
    <col min="8198" max="8198" width="14.625" customWidth="1"/>
    <col min="8200" max="8201" width="9" hidden="1" customWidth="1"/>
    <col min="8203" max="8203" width="9" hidden="1" customWidth="1"/>
    <col min="8454" max="8454" width="14.625" customWidth="1"/>
    <col min="8456" max="8457" width="9" hidden="1" customWidth="1"/>
    <col min="8459" max="8459" width="9" hidden="1" customWidth="1"/>
    <col min="8710" max="8710" width="14.625" customWidth="1"/>
    <col min="8712" max="8713" width="9" hidden="1" customWidth="1"/>
    <col min="8715" max="8715" width="9" hidden="1" customWidth="1"/>
    <col min="8966" max="8966" width="14.625" customWidth="1"/>
    <col min="8968" max="8969" width="9" hidden="1" customWidth="1"/>
    <col min="8971" max="8971" width="9" hidden="1" customWidth="1"/>
    <col min="9222" max="9222" width="14.625" customWidth="1"/>
    <col min="9224" max="9225" width="9" hidden="1" customWidth="1"/>
    <col min="9227" max="9227" width="9" hidden="1" customWidth="1"/>
    <col min="9478" max="9478" width="14.625" customWidth="1"/>
    <col min="9480" max="9481" width="9" hidden="1" customWidth="1"/>
    <col min="9483" max="9483" width="9" hidden="1" customWidth="1"/>
    <col min="9734" max="9734" width="14.625" customWidth="1"/>
    <col min="9736" max="9737" width="9" hidden="1" customWidth="1"/>
    <col min="9739" max="9739" width="9" hidden="1" customWidth="1"/>
    <col min="9990" max="9990" width="14.625" customWidth="1"/>
    <col min="9992" max="9993" width="9" hidden="1" customWidth="1"/>
    <col min="9995" max="9995" width="9" hidden="1" customWidth="1"/>
    <col min="10246" max="10246" width="14.625" customWidth="1"/>
    <col min="10248" max="10249" width="9" hidden="1" customWidth="1"/>
    <col min="10251" max="10251" width="9" hidden="1" customWidth="1"/>
    <col min="10502" max="10502" width="14.625" customWidth="1"/>
    <col min="10504" max="10505" width="9" hidden="1" customWidth="1"/>
    <col min="10507" max="10507" width="9" hidden="1" customWidth="1"/>
    <col min="10758" max="10758" width="14.625" customWidth="1"/>
    <col min="10760" max="10761" width="9" hidden="1" customWidth="1"/>
    <col min="10763" max="10763" width="9" hidden="1" customWidth="1"/>
    <col min="11014" max="11014" width="14.625" customWidth="1"/>
    <col min="11016" max="11017" width="9" hidden="1" customWidth="1"/>
    <col min="11019" max="11019" width="9" hidden="1" customWidth="1"/>
    <col min="11270" max="11270" width="14.625" customWidth="1"/>
    <col min="11272" max="11273" width="9" hidden="1" customWidth="1"/>
    <col min="11275" max="11275" width="9" hidden="1" customWidth="1"/>
    <col min="11526" max="11526" width="14.625" customWidth="1"/>
    <col min="11528" max="11529" width="9" hidden="1" customWidth="1"/>
    <col min="11531" max="11531" width="9" hidden="1" customWidth="1"/>
    <col min="11782" max="11782" width="14.625" customWidth="1"/>
    <col min="11784" max="11785" width="9" hidden="1" customWidth="1"/>
    <col min="11787" max="11787" width="9" hidden="1" customWidth="1"/>
    <col min="12038" max="12038" width="14.625" customWidth="1"/>
    <col min="12040" max="12041" width="9" hidden="1" customWidth="1"/>
    <col min="12043" max="12043" width="9" hidden="1" customWidth="1"/>
    <col min="12294" max="12294" width="14.625" customWidth="1"/>
    <col min="12296" max="12297" width="9" hidden="1" customWidth="1"/>
    <col min="12299" max="12299" width="9" hidden="1" customWidth="1"/>
    <col min="12550" max="12550" width="14.625" customWidth="1"/>
    <col min="12552" max="12553" width="9" hidden="1" customWidth="1"/>
    <col min="12555" max="12555" width="9" hidden="1" customWidth="1"/>
    <col min="12806" max="12806" width="14.625" customWidth="1"/>
    <col min="12808" max="12809" width="9" hidden="1" customWidth="1"/>
    <col min="12811" max="12811" width="9" hidden="1" customWidth="1"/>
    <col min="13062" max="13062" width="14.625" customWidth="1"/>
    <col min="13064" max="13065" width="9" hidden="1" customWidth="1"/>
    <col min="13067" max="13067" width="9" hidden="1" customWidth="1"/>
    <col min="13318" max="13318" width="14.625" customWidth="1"/>
    <col min="13320" max="13321" width="9" hidden="1" customWidth="1"/>
    <col min="13323" max="13323" width="9" hidden="1" customWidth="1"/>
    <col min="13574" max="13574" width="14.625" customWidth="1"/>
    <col min="13576" max="13577" width="9" hidden="1" customWidth="1"/>
    <col min="13579" max="13579" width="9" hidden="1" customWidth="1"/>
    <col min="13830" max="13830" width="14.625" customWidth="1"/>
    <col min="13832" max="13833" width="9" hidden="1" customWidth="1"/>
    <col min="13835" max="13835" width="9" hidden="1" customWidth="1"/>
    <col min="14086" max="14086" width="14.625" customWidth="1"/>
    <col min="14088" max="14089" width="9" hidden="1" customWidth="1"/>
    <col min="14091" max="14091" width="9" hidden="1" customWidth="1"/>
    <col min="14342" max="14342" width="14.625" customWidth="1"/>
    <col min="14344" max="14345" width="9" hidden="1" customWidth="1"/>
    <col min="14347" max="14347" width="9" hidden="1" customWidth="1"/>
    <col min="14598" max="14598" width="14.625" customWidth="1"/>
    <col min="14600" max="14601" width="9" hidden="1" customWidth="1"/>
    <col min="14603" max="14603" width="9" hidden="1" customWidth="1"/>
    <col min="14854" max="14854" width="14.625" customWidth="1"/>
    <col min="14856" max="14857" width="9" hidden="1" customWidth="1"/>
    <col min="14859" max="14859" width="9" hidden="1" customWidth="1"/>
    <col min="15110" max="15110" width="14.625" customWidth="1"/>
    <col min="15112" max="15113" width="9" hidden="1" customWidth="1"/>
    <col min="15115" max="15115" width="9" hidden="1" customWidth="1"/>
    <col min="15366" max="15366" width="14.625" customWidth="1"/>
    <col min="15368" max="15369" width="9" hidden="1" customWidth="1"/>
    <col min="15371" max="15371" width="9" hidden="1" customWidth="1"/>
    <col min="15622" max="15622" width="14.625" customWidth="1"/>
    <col min="15624" max="15625" width="9" hidden="1" customWidth="1"/>
    <col min="15627" max="15627" width="9" hidden="1" customWidth="1"/>
    <col min="15878" max="15878" width="14.625" customWidth="1"/>
    <col min="15880" max="15881" width="9" hidden="1" customWidth="1"/>
    <col min="15883" max="15883" width="9" hidden="1" customWidth="1"/>
    <col min="16134" max="16134" width="14.625" customWidth="1"/>
    <col min="16136" max="16137" width="9" hidden="1" customWidth="1"/>
    <col min="16139" max="16139" width="9" hidden="1" customWidth="1"/>
  </cols>
  <sheetData>
    <row r="1" ht="38.4" spans="1:10">
      <c r="A1" s="147" t="s">
        <v>7289</v>
      </c>
      <c r="B1" s="147"/>
      <c r="C1" s="147"/>
      <c r="D1" s="147"/>
      <c r="E1" s="147"/>
      <c r="F1" s="147"/>
      <c r="G1" s="147"/>
      <c r="H1" s="147"/>
      <c r="J1" s="155" t="s">
        <v>88</v>
      </c>
    </row>
    <row r="2" ht="27" customHeight="1" spans="1:9">
      <c r="A2" s="148" t="s">
        <v>7290</v>
      </c>
      <c r="B2" s="148"/>
      <c r="C2" s="148"/>
      <c r="D2" s="148"/>
      <c r="E2" s="148"/>
      <c r="F2" s="148"/>
      <c r="G2" s="148"/>
      <c r="H2" s="148"/>
      <c r="I2">
        <f>IF(F3&gt;=F4,I4,IF(F3&lt;F4,I3))</f>
        <v>1</v>
      </c>
    </row>
    <row r="3" ht="27" customHeight="1" spans="1:9">
      <c r="A3" s="149"/>
      <c r="B3" s="150" t="s">
        <v>7291</v>
      </c>
      <c r="C3" s="150"/>
      <c r="D3" s="150"/>
      <c r="E3" s="150"/>
      <c r="F3" s="151">
        <v>28</v>
      </c>
      <c r="G3" s="149"/>
      <c r="H3" s="149"/>
      <c r="I3">
        <f>IF(F3&lt;30,1,IF(F3&gt;=30,5.5/SQRT(F3)))</f>
        <v>1</v>
      </c>
    </row>
    <row r="4" ht="27" customHeight="1" spans="1:9">
      <c r="A4" s="149"/>
      <c r="B4" s="150" t="s">
        <v>7292</v>
      </c>
      <c r="C4" s="150"/>
      <c r="D4" s="150"/>
      <c r="E4" s="150"/>
      <c r="F4" s="151">
        <v>31</v>
      </c>
      <c r="G4" s="149"/>
      <c r="H4" s="149"/>
      <c r="I4" s="156">
        <f>IF(F4&lt;30,1,IF(F4&gt;=30,5.5/SQRT(F4)))</f>
        <v>0.987829161147262</v>
      </c>
    </row>
    <row r="5" ht="27" customHeight="1" spans="1:9">
      <c r="A5" s="149"/>
      <c r="B5" s="150" t="s">
        <v>7293</v>
      </c>
      <c r="C5" s="150"/>
      <c r="D5" s="150"/>
      <c r="E5" s="150"/>
      <c r="F5" s="151">
        <v>60</v>
      </c>
      <c r="G5" s="149"/>
      <c r="H5" s="149"/>
      <c r="I5">
        <f>IF(F4=F3,F5,IF(F3&gt;F4,I6,IF(F3&lt;F4,I7)))</f>
        <v>57</v>
      </c>
    </row>
    <row r="6" ht="27" customHeight="1" spans="1:9">
      <c r="A6" s="149"/>
      <c r="B6" s="150" t="s">
        <v>7294</v>
      </c>
      <c r="C6" s="150"/>
      <c r="D6" s="150"/>
      <c r="E6" s="150"/>
      <c r="F6" s="151">
        <v>3</v>
      </c>
      <c r="G6" s="149"/>
      <c r="H6" s="149"/>
      <c r="I6">
        <f>IF(F4&gt;=F3/2,F5-(F3-F4)*I4,IF(F4&lt;F3/2,F5-(1.5*F3-2*F4)*I4))</f>
        <v>62.9634874834418</v>
      </c>
    </row>
    <row r="7" ht="27" customHeight="1" spans="1:9">
      <c r="A7" s="149"/>
      <c r="B7" s="149"/>
      <c r="C7" s="149" t="s">
        <v>106</v>
      </c>
      <c r="D7" s="149"/>
      <c r="E7" s="149"/>
      <c r="F7" s="152"/>
      <c r="G7" s="149"/>
      <c r="H7" s="149"/>
      <c r="I7">
        <f>IF(F3&gt;=F4/2,F5-(F4-F3)*I3,IF(F3&lt;F4/2,F5-(1.5*F4-2*F3)*I3))</f>
        <v>57</v>
      </c>
    </row>
    <row r="8" ht="27" customHeight="1" spans="1:9">
      <c r="A8" s="148" t="s">
        <v>7295</v>
      </c>
      <c r="B8" s="148"/>
      <c r="C8" s="148"/>
      <c r="D8" s="148"/>
      <c r="E8" s="148"/>
      <c r="F8" s="148"/>
      <c r="G8" s="148"/>
      <c r="H8" s="148"/>
      <c r="I8">
        <f>IF(F3&gt;=F4,F4-F6,IF(F3&lt;F4,F3-F6))</f>
        <v>25</v>
      </c>
    </row>
    <row r="9" ht="27" customHeight="1" spans="1:8">
      <c r="A9" s="149"/>
      <c r="B9" s="150" t="s">
        <v>7296</v>
      </c>
      <c r="C9" s="150"/>
      <c r="D9" s="150"/>
      <c r="E9" s="150"/>
      <c r="F9" s="153">
        <f>IF(F6&lt;F3/2,(1.5*F3-2*F6)*I3,IF(F6&gt;=F3/2,(F3-F6)*I3))</f>
        <v>36</v>
      </c>
      <c r="G9" s="149"/>
      <c r="H9" s="149"/>
    </row>
    <row r="10" ht="27" customHeight="1" spans="1:8">
      <c r="A10" s="149"/>
      <c r="B10" s="150" t="s">
        <v>7297</v>
      </c>
      <c r="C10" s="154"/>
      <c r="D10" s="154"/>
      <c r="E10" s="154"/>
      <c r="F10" s="153">
        <f>IF(F6&lt;F4/2,(1.5*F4-2*F6)*I4,IF(F6&gt;=F4/2,(F4-F6)*I4))</f>
        <v>40.0070810264641</v>
      </c>
      <c r="G10" s="149"/>
      <c r="H10" s="149"/>
    </row>
    <row r="11" ht="27" customHeight="1" spans="1:8">
      <c r="A11" s="149"/>
      <c r="B11" s="150" t="s">
        <v>7298</v>
      </c>
      <c r="C11" s="154"/>
      <c r="D11" s="154"/>
      <c r="E11" s="154"/>
      <c r="F11" s="153">
        <f>IF(F3&gt;=F4,F4-I5/7*I4,IF(F3&lt;F4,F3-I5/7*I3))</f>
        <v>19.8571428571429</v>
      </c>
      <c r="G11" s="149"/>
      <c r="H11" s="149"/>
    </row>
    <row r="12" ht="27" customHeight="1" spans="1:8">
      <c r="A12" s="149"/>
      <c r="B12" s="150" t="s">
        <v>7299</v>
      </c>
      <c r="C12" s="154"/>
      <c r="D12" s="154"/>
      <c r="E12" s="154"/>
      <c r="F12" s="153">
        <f>IF(F6&gt;=F11/2,F11-F6,IF(F6&lt;F11/2,1.5*F11-2*F6,IF(I5=7*I8*I2,0)))</f>
        <v>23.7857142857143</v>
      </c>
      <c r="G12" s="149"/>
      <c r="H12" s="149"/>
    </row>
    <row r="13" ht="27" customHeight="1" spans="1:8">
      <c r="A13" s="149"/>
      <c r="B13" s="149" t="s">
        <v>106</v>
      </c>
      <c r="C13" s="149"/>
      <c r="D13" s="149"/>
      <c r="E13" s="149"/>
      <c r="F13" s="149"/>
      <c r="G13" s="149"/>
      <c r="H13" s="149"/>
    </row>
    <row r="14" spans="1:8">
      <c r="A14" s="21"/>
      <c r="B14" s="21"/>
      <c r="C14" s="21"/>
      <c r="D14" s="21"/>
      <c r="E14" s="21"/>
      <c r="F14" s="21"/>
      <c r="G14" s="21"/>
      <c r="H14" s="21"/>
    </row>
    <row r="15" spans="1:8">
      <c r="A15" s="21"/>
      <c r="B15" s="21"/>
      <c r="C15" s="21"/>
      <c r="D15" s="21"/>
      <c r="E15" s="21"/>
      <c r="F15" s="21"/>
      <c r="G15" s="21"/>
      <c r="H15" s="21"/>
    </row>
    <row r="16" spans="1:8">
      <c r="A16" s="21"/>
      <c r="B16" s="21"/>
      <c r="C16" s="21"/>
      <c r="D16" s="21"/>
      <c r="E16" s="21"/>
      <c r="F16" s="21"/>
      <c r="G16" s="21"/>
      <c r="H16" s="21"/>
    </row>
    <row r="17" spans="1:8">
      <c r="A17" s="21"/>
      <c r="B17" s="21"/>
      <c r="C17" s="21"/>
      <c r="D17" s="21"/>
      <c r="E17" s="21"/>
      <c r="F17" s="21"/>
      <c r="G17" s="21"/>
      <c r="H17" s="21"/>
    </row>
    <row r="18" spans="1:8">
      <c r="A18" s="21"/>
      <c r="B18" s="21"/>
      <c r="C18" s="21"/>
      <c r="D18" s="21"/>
      <c r="E18" s="21"/>
      <c r="F18" s="21"/>
      <c r="G18" s="21"/>
      <c r="H18" s="21"/>
    </row>
    <row r="19" spans="1:8">
      <c r="A19" s="21"/>
      <c r="B19" s="21"/>
      <c r="C19" s="21"/>
      <c r="D19" s="21"/>
      <c r="E19" s="21"/>
      <c r="F19" s="21"/>
      <c r="G19" s="21"/>
      <c r="H19" s="21"/>
    </row>
    <row r="20" spans="1:8">
      <c r="A20" s="21"/>
      <c r="B20" s="21"/>
      <c r="C20" s="21"/>
      <c r="D20" s="21"/>
      <c r="E20" s="21"/>
      <c r="F20" s="21"/>
      <c r="G20" s="21"/>
      <c r="H20" s="21"/>
    </row>
    <row r="21" spans="1:8">
      <c r="A21" s="21"/>
      <c r="B21" s="21"/>
      <c r="C21" s="21"/>
      <c r="D21" s="21"/>
      <c r="E21" s="21"/>
      <c r="F21" s="21"/>
      <c r="G21" s="21"/>
      <c r="H21" s="21"/>
    </row>
    <row r="22" spans="1:8">
      <c r="A22" s="21"/>
      <c r="B22" s="21"/>
      <c r="C22" s="21"/>
      <c r="D22" s="21"/>
      <c r="E22" s="21"/>
      <c r="F22" s="21"/>
      <c r="G22" s="21"/>
      <c r="H22" s="21"/>
    </row>
    <row r="23" spans="1:8">
      <c r="A23" s="21"/>
      <c r="B23" s="21"/>
      <c r="C23" s="21"/>
      <c r="D23" s="21"/>
      <c r="E23" s="21"/>
      <c r="F23" s="21"/>
      <c r="G23" s="21"/>
      <c r="H23" s="21"/>
    </row>
    <row r="24" spans="1:8">
      <c r="A24" s="21"/>
      <c r="B24" s="21"/>
      <c r="C24" s="21"/>
      <c r="D24" s="21"/>
      <c r="E24" s="21"/>
      <c r="F24" s="21"/>
      <c r="G24" s="21"/>
      <c r="H24" s="21"/>
    </row>
  </sheetData>
  <mergeCells count="11">
    <mergeCell ref="A1:H1"/>
    <mergeCell ref="A2:H2"/>
    <mergeCell ref="B3:E3"/>
    <mergeCell ref="B4:E4"/>
    <mergeCell ref="B5:E5"/>
    <mergeCell ref="B6:E6"/>
    <mergeCell ref="A8:H8"/>
    <mergeCell ref="B9:E9"/>
    <mergeCell ref="B10:E10"/>
    <mergeCell ref="B11:E11"/>
    <mergeCell ref="B12:E12"/>
  </mergeCells>
  <hyperlinks>
    <hyperlink ref="J1" location="目录!A1" display="目录!A1"/>
  </hyperlinks>
  <pageMargins left="0.7" right="0.7" top="0.75" bottom="0.75" header="0.3" footer="0.3"/>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workbookViewId="0">
      <selection activeCell="G6" sqref="G6"/>
    </sheetView>
  </sheetViews>
  <sheetFormatPr defaultColWidth="8.125" defaultRowHeight="15.95" customHeight="1"/>
  <cols>
    <col min="1" max="1" width="12.25" style="135" customWidth="1"/>
    <col min="2" max="2" width="8.125" style="135"/>
    <col min="3" max="3" width="12.75" style="135" customWidth="1"/>
    <col min="4" max="4" width="7.375" style="135" customWidth="1"/>
    <col min="5" max="5" width="23.125" style="136" customWidth="1"/>
    <col min="6" max="16384" width="8.125" style="135"/>
  </cols>
  <sheetData>
    <row r="1" s="135" customFormat="1" ht="33" customHeight="1" spans="1:7">
      <c r="A1" s="137" t="s">
        <v>7300</v>
      </c>
      <c r="B1" s="137"/>
      <c r="C1" s="137"/>
      <c r="D1" s="137"/>
      <c r="E1" s="137"/>
      <c r="F1" s="138" t="s">
        <v>7301</v>
      </c>
      <c r="G1" s="138"/>
    </row>
    <row r="2" s="135" customFormat="1" customHeight="1" spans="1:5">
      <c r="A2" s="139" t="s">
        <v>7302</v>
      </c>
      <c r="B2" s="139" t="s">
        <v>578</v>
      </c>
      <c r="C2" s="140">
        <v>280</v>
      </c>
      <c r="D2" s="141" t="s">
        <v>357</v>
      </c>
      <c r="E2" s="141" t="s">
        <v>7303</v>
      </c>
    </row>
    <row r="3" s="135" customFormat="1" customHeight="1" spans="1:5">
      <c r="A3" s="139" t="s">
        <v>380</v>
      </c>
      <c r="B3" s="139" t="s">
        <v>440</v>
      </c>
      <c r="C3" s="140">
        <v>4</v>
      </c>
      <c r="D3" s="141" t="s">
        <v>382</v>
      </c>
      <c r="E3" s="141"/>
    </row>
    <row r="4" s="135" customFormat="1" customHeight="1" spans="1:5">
      <c r="A4" s="139" t="s">
        <v>7304</v>
      </c>
      <c r="B4" s="139" t="s">
        <v>7305</v>
      </c>
      <c r="C4" s="140">
        <v>5</v>
      </c>
      <c r="D4" s="141" t="s">
        <v>320</v>
      </c>
      <c r="E4" s="141"/>
    </row>
    <row r="5" s="135" customFormat="1" customHeight="1" spans="1:5">
      <c r="A5" s="139" t="s">
        <v>374</v>
      </c>
      <c r="B5" s="139" t="s">
        <v>584</v>
      </c>
      <c r="C5" s="140">
        <v>0.15</v>
      </c>
      <c r="D5" s="141"/>
      <c r="E5" s="141" t="s">
        <v>2591</v>
      </c>
    </row>
    <row r="6" s="135" customFormat="1" customHeight="1" spans="1:10">
      <c r="A6" s="139" t="s">
        <v>7306</v>
      </c>
      <c r="B6" s="139" t="s">
        <v>578</v>
      </c>
      <c r="C6" s="140">
        <v>3</v>
      </c>
      <c r="D6" s="141"/>
      <c r="E6" s="141"/>
      <c r="J6" s="135" t="s">
        <v>7307</v>
      </c>
    </row>
    <row r="7" s="135" customFormat="1" customHeight="1" spans="1:5">
      <c r="A7" s="139" t="s">
        <v>7308</v>
      </c>
      <c r="B7" s="139" t="s">
        <v>7309</v>
      </c>
      <c r="C7" s="140">
        <v>70</v>
      </c>
      <c r="D7" s="141"/>
      <c r="E7" s="141"/>
    </row>
    <row r="8" s="135" customFormat="1" customHeight="1" spans="1:5">
      <c r="A8" s="139" t="s">
        <v>7310</v>
      </c>
      <c r="B8" s="139" t="s">
        <v>7311</v>
      </c>
      <c r="C8" s="140">
        <f>C6*C7*0.001/2</f>
        <v>0.105</v>
      </c>
      <c r="D8" s="141" t="s">
        <v>320</v>
      </c>
      <c r="E8" s="141" t="s">
        <v>2591</v>
      </c>
    </row>
    <row r="9" s="135" customFormat="1" customHeight="1" spans="1:5">
      <c r="A9" s="139" t="s">
        <v>7312</v>
      </c>
      <c r="B9" s="139" t="s">
        <v>558</v>
      </c>
      <c r="C9" s="140">
        <v>8</v>
      </c>
      <c r="D9" s="141" t="s">
        <v>7313</v>
      </c>
      <c r="E9" s="141" t="s">
        <v>7314</v>
      </c>
    </row>
    <row r="10" s="135" customFormat="1" customHeight="1" spans="1:5">
      <c r="A10" s="139" t="s">
        <v>1473</v>
      </c>
      <c r="B10" s="139" t="s">
        <v>522</v>
      </c>
      <c r="C10" s="140">
        <v>2000</v>
      </c>
      <c r="D10" s="141" t="s">
        <v>400</v>
      </c>
      <c r="E10" s="141" t="s">
        <v>7315</v>
      </c>
    </row>
    <row r="11" s="135" customFormat="1" customHeight="1" spans="1:5">
      <c r="A11" s="139" t="s">
        <v>458</v>
      </c>
      <c r="B11" s="139" t="s">
        <v>459</v>
      </c>
      <c r="C11" s="140">
        <v>16</v>
      </c>
      <c r="D11" s="141"/>
      <c r="E11" s="141"/>
    </row>
    <row r="12" s="135" customFormat="1" customHeight="1" spans="1:5">
      <c r="A12" s="139" t="s">
        <v>7316</v>
      </c>
      <c r="B12" s="139" t="s">
        <v>7317</v>
      </c>
      <c r="C12" s="142">
        <f>4*C4/(C3^2)</f>
        <v>1.25</v>
      </c>
      <c r="D12" s="141" t="s">
        <v>7318</v>
      </c>
      <c r="E12" s="141" t="s">
        <v>7319</v>
      </c>
    </row>
    <row r="13" s="135" customFormat="1" customHeight="1" spans="1:5">
      <c r="A13" s="139" t="s">
        <v>7320</v>
      </c>
      <c r="B13" s="139" t="s">
        <v>7321</v>
      </c>
      <c r="C13" s="141">
        <f>C2*9.8</f>
        <v>2744</v>
      </c>
      <c r="D13" s="141" t="s">
        <v>387</v>
      </c>
      <c r="E13" s="141" t="s">
        <v>7322</v>
      </c>
    </row>
    <row r="14" s="135" customFormat="1" customHeight="1" spans="1:5">
      <c r="A14" s="139" t="s">
        <v>7323</v>
      </c>
      <c r="B14" s="139" t="s">
        <v>7324</v>
      </c>
      <c r="C14" s="141">
        <f>C13*C5</f>
        <v>411.6</v>
      </c>
      <c r="D14" s="141" t="s">
        <v>387</v>
      </c>
      <c r="E14" s="141" t="s">
        <v>7325</v>
      </c>
    </row>
    <row r="15" s="135" customFormat="1" customHeight="1" spans="1:5">
      <c r="A15" s="139" t="s">
        <v>7326</v>
      </c>
      <c r="B15" s="139" t="s">
        <v>481</v>
      </c>
      <c r="C15" s="141">
        <f>C9*C11/C8-C14</f>
        <v>807.447619047619</v>
      </c>
      <c r="D15" s="141" t="s">
        <v>7313</v>
      </c>
      <c r="E15" s="141" t="s">
        <v>7327</v>
      </c>
    </row>
    <row r="16" s="135" customFormat="1" customHeight="1" spans="1:5">
      <c r="A16" s="139" t="s">
        <v>7328</v>
      </c>
      <c r="B16" s="139" t="s">
        <v>7329</v>
      </c>
      <c r="C16" s="142">
        <f>C15/C2</f>
        <v>2.88374149659864</v>
      </c>
      <c r="D16" s="141" t="s">
        <v>7318</v>
      </c>
      <c r="E16" s="141" t="s">
        <v>2591</v>
      </c>
    </row>
    <row r="17" s="135" customFormat="1" ht="14.4" spans="1:5">
      <c r="A17" s="139" t="s">
        <v>7330</v>
      </c>
      <c r="B17" s="139" t="s">
        <v>7329</v>
      </c>
      <c r="C17" s="143">
        <f>C16</f>
        <v>2.88374149659864</v>
      </c>
      <c r="D17" s="141" t="s">
        <v>7318</v>
      </c>
      <c r="E17" s="141"/>
    </row>
    <row r="18" s="135" customFormat="1" ht="14.4" spans="1:5">
      <c r="A18" s="139" t="s">
        <v>392</v>
      </c>
      <c r="B18" s="139" t="s">
        <v>7331</v>
      </c>
      <c r="C18" s="141">
        <f>(C17*C3-(C17^2*C3^2-4*C17*C4)^0.5)/(2*C17)</f>
        <v>0.494629149366097</v>
      </c>
      <c r="D18" s="141" t="s">
        <v>382</v>
      </c>
      <c r="E18" s="141"/>
    </row>
    <row r="19" s="135" customFormat="1" ht="14.4" spans="1:5">
      <c r="A19" s="139"/>
      <c r="B19" s="139" t="s">
        <v>7331</v>
      </c>
      <c r="C19" s="144">
        <f>(C17*C3+(C17^2*C3^2-4*C17*C4)^0.5)/(2*C17)</f>
        <v>3.5053708506339</v>
      </c>
      <c r="D19" s="141" t="s">
        <v>382</v>
      </c>
      <c r="E19" s="141" t="s">
        <v>7332</v>
      </c>
    </row>
    <row r="20" s="135" customFormat="1" ht="14.4" spans="1:5">
      <c r="A20" s="139" t="s">
        <v>7333</v>
      </c>
      <c r="B20" s="139" t="s">
        <v>7334</v>
      </c>
      <c r="C20" s="145">
        <f>C3-C18*2</f>
        <v>3.01074170126781</v>
      </c>
      <c r="D20" s="141" t="s">
        <v>382</v>
      </c>
      <c r="E20" s="141"/>
    </row>
    <row r="21" s="135" customFormat="1" ht="14.4" spans="1:5">
      <c r="A21" s="139" t="s">
        <v>7335</v>
      </c>
      <c r="B21" s="139" t="s">
        <v>7336</v>
      </c>
      <c r="C21" s="141">
        <f>C18*C17</f>
        <v>1.4263826034543</v>
      </c>
      <c r="D21" s="141" t="s">
        <v>359</v>
      </c>
      <c r="E21" s="146" t="s">
        <v>7337</v>
      </c>
    </row>
    <row r="22" s="135" customFormat="1" ht="14.4" spans="1:5">
      <c r="A22" s="139" t="s">
        <v>7338</v>
      </c>
      <c r="B22" s="139" t="s">
        <v>7305</v>
      </c>
      <c r="C22" s="141">
        <f>C17*C18*C18+C21*C20</f>
        <v>5</v>
      </c>
      <c r="D22" s="141" t="s">
        <v>320</v>
      </c>
      <c r="E22" s="141"/>
    </row>
    <row r="23" s="135" customFormat="1" ht="14.4" spans="1:5">
      <c r="A23" s="139" t="s">
        <v>7339</v>
      </c>
      <c r="B23" s="139" t="s">
        <v>503</v>
      </c>
      <c r="C23" s="141">
        <f>(C21*60*C11)/(C8*2*3.14)</f>
        <v>2076.62617427378</v>
      </c>
      <c r="D23" s="141" t="s">
        <v>400</v>
      </c>
      <c r="E23" s="141" t="s">
        <v>7340</v>
      </c>
    </row>
    <row r="24" s="135" customFormat="1" ht="14.4" spans="1:5">
      <c r="A24" s="139" t="s">
        <v>2591</v>
      </c>
      <c r="B24" s="139"/>
      <c r="C24" s="141"/>
      <c r="D24" s="141"/>
      <c r="E24" s="141"/>
    </row>
    <row r="25" s="135" customFormat="1" ht="14.4"/>
    <row r="26" s="135" customFormat="1" ht="14.4"/>
    <row r="27" s="135" customFormat="1" ht="14.4"/>
    <row r="28" s="135" customFormat="1" ht="14.4"/>
    <row r="29" s="135" customFormat="1" ht="14.4"/>
    <row r="30" s="135" customFormat="1" ht="14.4"/>
    <row r="31" s="135" customFormat="1" ht="14.4"/>
    <row r="32" s="135" customFormat="1" ht="14.4"/>
    <row r="33" s="135" customFormat="1" ht="14.4"/>
    <row r="34" s="135" customFormat="1" ht="14.4"/>
    <row r="35" s="135" customFormat="1" ht="14.4"/>
    <row r="36" s="135" customFormat="1" ht="14.4"/>
    <row r="37" s="135" customFormat="1" ht="14.4"/>
    <row r="38" s="135" customFormat="1" ht="14.4"/>
    <row r="39" s="135" customFormat="1" ht="14.4"/>
    <row r="40" s="135" customFormat="1" ht="14.4"/>
    <row r="41" s="135" customFormat="1" ht="14.4"/>
    <row r="42" s="135" customFormat="1" customHeight="1" spans="5:5">
      <c r="E42" s="136"/>
    </row>
    <row r="43" s="135" customFormat="1" customHeight="1" spans="5:5">
      <c r="E43" s="136"/>
    </row>
    <row r="44" s="135" customFormat="1" customHeight="1" spans="5:5">
      <c r="E44" s="136"/>
    </row>
    <row r="45" s="135" customFormat="1" customHeight="1" spans="5:5">
      <c r="E45" s="136"/>
    </row>
    <row r="46" s="135" customFormat="1" customHeight="1" spans="5:5">
      <c r="E46" s="136"/>
    </row>
    <row r="47" s="135" customFormat="1" customHeight="1" spans="5:5">
      <c r="E47" s="136"/>
    </row>
    <row r="48" s="135" customFormat="1" customHeight="1" spans="5:5">
      <c r="E48" s="136"/>
    </row>
    <row r="49" s="135" customFormat="1" ht="14.4" spans="5:5">
      <c r="E49" s="136" t="s">
        <v>7341</v>
      </c>
    </row>
  </sheetData>
  <mergeCells count="2">
    <mergeCell ref="A1:E1"/>
    <mergeCell ref="F1:G1"/>
  </mergeCells>
  <hyperlinks>
    <hyperlink ref="F1:G1" location="目录!A1" display="返回目录"/>
  </hyperlinks>
  <pageMargins left="0.7" right="0.7" top="0.75" bottom="0.75" header="0.3" footer="0.3"/>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H26"/>
  <sheetViews>
    <sheetView topLeftCell="A8" workbookViewId="0">
      <selection activeCell="K33" sqref="K33"/>
    </sheetView>
  </sheetViews>
  <sheetFormatPr defaultColWidth="8.875" defaultRowHeight="15" outlineLevelCol="7"/>
  <cols>
    <col min="1" max="1" width="1.25" style="113" customWidth="1"/>
    <col min="2" max="2" width="8.875" style="113"/>
    <col min="3" max="3" width="21.375" style="113" customWidth="1"/>
    <col min="4" max="4" width="5.625" style="114" customWidth="1"/>
    <col min="5" max="5" width="9.375" style="115" customWidth="1"/>
    <col min="6" max="6" width="8.875" style="113"/>
    <col min="7" max="7" width="0.875" style="113" customWidth="1"/>
    <col min="8" max="16384" width="8.875" style="113"/>
  </cols>
  <sheetData>
    <row r="1" ht="22.2" spans="2:6">
      <c r="B1" s="116" t="s">
        <v>7342</v>
      </c>
      <c r="C1" s="116"/>
      <c r="D1" s="116"/>
      <c r="E1" s="116"/>
      <c r="F1" s="117" t="s">
        <v>88</v>
      </c>
    </row>
    <row r="2" spans="2:6">
      <c r="B2" s="118" t="s">
        <v>106</v>
      </c>
      <c r="C2" s="118"/>
      <c r="D2" s="118"/>
      <c r="E2" s="118"/>
      <c r="F2" s="118"/>
    </row>
    <row r="3" ht="15.6" spans="2:6">
      <c r="B3" s="119" t="s">
        <v>7343</v>
      </c>
      <c r="C3" s="120" t="s">
        <v>7344</v>
      </c>
      <c r="D3" s="121" t="s">
        <v>207</v>
      </c>
      <c r="E3" s="122">
        <v>20</v>
      </c>
      <c r="F3" s="123" t="s">
        <v>353</v>
      </c>
    </row>
    <row r="4" ht="15.6" spans="2:6">
      <c r="B4" s="124"/>
      <c r="C4" s="125" t="s">
        <v>7345</v>
      </c>
      <c r="D4" s="121" t="s">
        <v>632</v>
      </c>
      <c r="E4" s="122">
        <v>2.5</v>
      </c>
      <c r="F4" s="123"/>
    </row>
    <row r="5" ht="15.6" spans="2:6">
      <c r="B5" s="124"/>
      <c r="C5" s="120" t="s">
        <v>7346</v>
      </c>
      <c r="D5" s="121" t="s">
        <v>1056</v>
      </c>
      <c r="E5" s="122">
        <v>0.164</v>
      </c>
      <c r="F5" s="123" t="s">
        <v>320</v>
      </c>
    </row>
    <row r="6" ht="17.4" spans="2:6">
      <c r="B6" s="124"/>
      <c r="C6" s="120" t="s">
        <v>7347</v>
      </c>
      <c r="D6" s="126" t="s">
        <v>7348</v>
      </c>
      <c r="E6" s="122">
        <v>0.85</v>
      </c>
      <c r="F6" s="123"/>
    </row>
    <row r="7" ht="17.4" spans="2:6">
      <c r="B7" s="124"/>
      <c r="C7" s="120" t="s">
        <v>7349</v>
      </c>
      <c r="D7" s="126" t="s">
        <v>7350</v>
      </c>
      <c r="E7" s="122">
        <v>0.9</v>
      </c>
      <c r="F7" s="123"/>
    </row>
    <row r="8" ht="15.6" spans="2:6">
      <c r="B8" s="124"/>
      <c r="C8" s="120" t="s">
        <v>7351</v>
      </c>
      <c r="D8" s="121" t="s">
        <v>7352</v>
      </c>
      <c r="E8" s="122">
        <v>22</v>
      </c>
      <c r="F8" s="123"/>
    </row>
    <row r="9" ht="15.6" spans="2:6">
      <c r="B9" s="124"/>
      <c r="C9" s="120" t="s">
        <v>7353</v>
      </c>
      <c r="D9" s="121" t="s">
        <v>7354</v>
      </c>
      <c r="E9" s="122">
        <v>23</v>
      </c>
      <c r="F9" s="123"/>
    </row>
    <row r="10" ht="15.6" spans="2:6">
      <c r="B10" s="124"/>
      <c r="C10" s="120" t="s">
        <v>7355</v>
      </c>
      <c r="D10" s="121" t="s">
        <v>7356</v>
      </c>
      <c r="E10" s="122">
        <v>1000</v>
      </c>
      <c r="F10" s="123" t="s">
        <v>7357</v>
      </c>
    </row>
    <row r="11" ht="15.6" spans="2:6">
      <c r="B11" s="124"/>
      <c r="C11" s="120" t="s">
        <v>7358</v>
      </c>
      <c r="D11" s="121" t="s">
        <v>7359</v>
      </c>
      <c r="E11" s="122">
        <v>200</v>
      </c>
      <c r="F11" s="123" t="s">
        <v>7357</v>
      </c>
    </row>
    <row r="12" ht="15.6" spans="2:6">
      <c r="B12" s="124"/>
      <c r="C12" s="120" t="s">
        <v>7360</v>
      </c>
      <c r="D12" s="121" t="s">
        <v>7361</v>
      </c>
      <c r="E12" s="127">
        <v>150</v>
      </c>
      <c r="F12" s="123" t="s">
        <v>7357</v>
      </c>
    </row>
    <row r="13" ht="15.6" spans="2:6">
      <c r="B13" s="124"/>
      <c r="C13" s="120" t="s">
        <v>7362</v>
      </c>
      <c r="D13" s="121" t="s">
        <v>579</v>
      </c>
      <c r="E13" s="127">
        <v>0.2</v>
      </c>
      <c r="F13" s="123" t="s">
        <v>124</v>
      </c>
    </row>
    <row r="14" ht="15.6" spans="2:6">
      <c r="B14" s="128"/>
      <c r="C14" s="120" t="s">
        <v>7363</v>
      </c>
      <c r="D14" s="126" t="s">
        <v>7364</v>
      </c>
      <c r="E14" s="127">
        <v>0.25</v>
      </c>
      <c r="F14" s="123"/>
    </row>
    <row r="15" s="112" customFormat="1" spans="2:6">
      <c r="B15" s="129"/>
      <c r="C15" s="129" t="s">
        <v>106</v>
      </c>
      <c r="D15" s="130"/>
      <c r="E15" s="131"/>
      <c r="F15" s="129"/>
    </row>
    <row r="16" ht="15.6" spans="2:6">
      <c r="B16" s="119" t="s">
        <v>7365</v>
      </c>
      <c r="C16" s="120" t="s">
        <v>7366</v>
      </c>
      <c r="D16" s="121" t="s">
        <v>7367</v>
      </c>
      <c r="E16" s="132">
        <f>E3/E4</f>
        <v>8</v>
      </c>
      <c r="F16" s="123" t="s">
        <v>353</v>
      </c>
    </row>
    <row r="17" ht="15.6" spans="2:6">
      <c r="B17" s="124"/>
      <c r="C17" s="120" t="s">
        <v>7368</v>
      </c>
      <c r="D17" s="121" t="s">
        <v>7369</v>
      </c>
      <c r="E17" s="132">
        <f>E16/(E5*3.142)</f>
        <v>15.5252984738632</v>
      </c>
      <c r="F17" s="123" t="s">
        <v>400</v>
      </c>
    </row>
    <row r="18" ht="15.6" spans="2:6">
      <c r="B18" s="124"/>
      <c r="C18" s="120" t="s">
        <v>7370</v>
      </c>
      <c r="D18" s="121" t="s">
        <v>6611</v>
      </c>
      <c r="E18" s="132">
        <f>E16/60/E13</f>
        <v>0.666666666666667</v>
      </c>
      <c r="F18" s="123" t="s">
        <v>7318</v>
      </c>
    </row>
    <row r="19" ht="15.6" spans="2:6">
      <c r="B19" s="124"/>
      <c r="C19" s="120" t="s">
        <v>7371</v>
      </c>
      <c r="D19" s="121" t="s">
        <v>7372</v>
      </c>
      <c r="E19" s="132">
        <f>E17*3.142/60</f>
        <v>0.813008130081301</v>
      </c>
      <c r="F19" s="123" t="s">
        <v>7373</v>
      </c>
    </row>
    <row r="20" ht="15.6" spans="2:6">
      <c r="B20" s="124"/>
      <c r="C20" s="120" t="s">
        <v>7374</v>
      </c>
      <c r="D20" s="121" t="s">
        <v>7375</v>
      </c>
      <c r="E20" s="133">
        <f>E17*E9/E8</f>
        <v>16.2309938590388</v>
      </c>
      <c r="F20" s="123" t="s">
        <v>400</v>
      </c>
    </row>
    <row r="21" ht="15.6" spans="2:8">
      <c r="B21" s="124"/>
      <c r="C21" s="120" t="s">
        <v>7376</v>
      </c>
      <c r="D21" s="121" t="s">
        <v>7377</v>
      </c>
      <c r="E21" s="132">
        <f>(E10*E18/5+E11*E18)*E5/2</f>
        <v>21.8666666666667</v>
      </c>
      <c r="F21" s="123" t="s">
        <v>1646</v>
      </c>
      <c r="H21" s="134"/>
    </row>
    <row r="22" ht="15.6" spans="2:6">
      <c r="B22" s="124"/>
      <c r="C22" s="120" t="s">
        <v>7378</v>
      </c>
      <c r="D22" s="121" t="s">
        <v>7379</v>
      </c>
      <c r="E22" s="132">
        <f>0.5*E12*E19*(E5/2)^2</f>
        <v>0.41</v>
      </c>
      <c r="F22" s="123" t="s">
        <v>1646</v>
      </c>
    </row>
    <row r="23" ht="15.6" spans="2:6">
      <c r="B23" s="124"/>
      <c r="C23" s="125" t="s">
        <v>7380</v>
      </c>
      <c r="D23" s="121" t="s">
        <v>7381</v>
      </c>
      <c r="E23" s="132">
        <f>E14*(E10+E11)*10*E5/2</f>
        <v>246</v>
      </c>
      <c r="F23" s="123" t="s">
        <v>1646</v>
      </c>
    </row>
    <row r="24" ht="15.6" spans="2:6">
      <c r="B24" s="124"/>
      <c r="C24" s="120" t="s">
        <v>7382</v>
      </c>
      <c r="D24" s="121" t="s">
        <v>7383</v>
      </c>
      <c r="E24" s="132">
        <f>SUM(E21:E23)</f>
        <v>268.276666666667</v>
      </c>
      <c r="F24" s="123" t="s">
        <v>1646</v>
      </c>
    </row>
    <row r="25" ht="15.6" spans="2:6">
      <c r="B25" s="124"/>
      <c r="C25" s="120" t="s">
        <v>7384</v>
      </c>
      <c r="D25" s="121" t="s">
        <v>7385</v>
      </c>
      <c r="E25" s="133">
        <f>E24*E8/(E9*E6*E7)</f>
        <v>335.441129108648</v>
      </c>
      <c r="F25" s="123" t="s">
        <v>1646</v>
      </c>
    </row>
    <row r="26" ht="15.6" spans="2:6">
      <c r="B26" s="128"/>
      <c r="C26" s="120" t="s">
        <v>7386</v>
      </c>
      <c r="D26" s="121" t="s">
        <v>286</v>
      </c>
      <c r="E26" s="133">
        <f>E25*E20/9550</f>
        <v>0.570109204882879</v>
      </c>
      <c r="F26" s="123" t="s">
        <v>7387</v>
      </c>
    </row>
  </sheetData>
  <protectedRanges>
    <protectedRange sqref="E3:E26" name="範圍1"/>
  </protectedRanges>
  <mergeCells count="4">
    <mergeCell ref="B1:E1"/>
    <mergeCell ref="B2:F2"/>
    <mergeCell ref="B3:B14"/>
    <mergeCell ref="B16:B26"/>
  </mergeCells>
  <hyperlinks>
    <hyperlink ref="F1" location="目录!A1" display="目录!A1"/>
  </hyperlinks>
  <pageMargins left="0.7" right="0.7" top="0.75" bottom="0.75" header="0.3" footer="0.3"/>
  <pageSetup paperSize="9" orientation="portrait"/>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3"/>
  <sheetViews>
    <sheetView workbookViewId="0">
      <selection activeCell="J1" sqref="J1"/>
    </sheetView>
  </sheetViews>
  <sheetFormatPr defaultColWidth="9" defaultRowHeight="14.4"/>
  <cols>
    <col min="1" max="1" width="10.75" style="74" customWidth="1"/>
    <col min="2" max="7" width="9" style="74" customWidth="1"/>
    <col min="8" max="8" width="17.125" style="74" customWidth="1"/>
    <col min="9" max="9" width="15.75" style="74" hidden="1" customWidth="1"/>
    <col min="10" max="10" width="9" style="74" customWidth="1"/>
    <col min="11" max="16384" width="9" style="74"/>
  </cols>
  <sheetData>
    <row r="1" ht="13.5" customHeight="1" spans="1:18">
      <c r="A1" s="75" t="s">
        <v>72</v>
      </c>
      <c r="B1" s="76"/>
      <c r="C1" s="76"/>
      <c r="D1" s="76"/>
      <c r="E1" s="76"/>
      <c r="F1" s="76"/>
      <c r="G1" s="76"/>
      <c r="H1" s="77" t="s">
        <v>88</v>
      </c>
      <c r="I1" s="105"/>
      <c r="J1" s="106"/>
      <c r="K1" s="107"/>
      <c r="L1" s="107"/>
      <c r="M1" s="107"/>
      <c r="N1" s="107"/>
      <c r="O1" s="107"/>
      <c r="P1" s="107"/>
      <c r="Q1" s="107"/>
      <c r="R1" s="107"/>
    </row>
    <row r="2" ht="13.5" customHeight="1" spans="1:18">
      <c r="A2" s="78"/>
      <c r="B2" s="79"/>
      <c r="C2" s="79"/>
      <c r="D2" s="79"/>
      <c r="E2" s="79"/>
      <c r="F2" s="79"/>
      <c r="G2" s="79"/>
      <c r="H2" s="80"/>
      <c r="I2" s="108"/>
      <c r="J2" s="106"/>
      <c r="K2" s="107"/>
      <c r="L2" s="107"/>
      <c r="M2" s="107"/>
      <c r="N2" s="107"/>
      <c r="O2" s="107"/>
      <c r="P2" s="107"/>
      <c r="Q2" s="107"/>
      <c r="R2" s="107"/>
    </row>
    <row r="3" spans="1:18">
      <c r="A3" s="81" t="s">
        <v>7388</v>
      </c>
      <c r="B3" s="81"/>
      <c r="C3" s="81"/>
      <c r="D3" s="82">
        <v>30</v>
      </c>
      <c r="E3" s="82"/>
      <c r="F3" s="82"/>
      <c r="G3" s="83" t="s">
        <v>7389</v>
      </c>
      <c r="H3" s="83"/>
      <c r="I3" s="83"/>
      <c r="J3" s="106"/>
      <c r="K3" s="107"/>
      <c r="L3" s="107"/>
      <c r="M3" s="107"/>
      <c r="N3" s="107"/>
      <c r="O3" s="107"/>
      <c r="P3" s="107"/>
      <c r="Q3" s="107"/>
      <c r="R3" s="107"/>
    </row>
    <row r="4" spans="1:18">
      <c r="A4" s="81"/>
      <c r="B4" s="81"/>
      <c r="C4" s="81"/>
      <c r="D4" s="82"/>
      <c r="E4" s="82"/>
      <c r="F4" s="82"/>
      <c r="G4" s="83"/>
      <c r="H4" s="83"/>
      <c r="I4" s="83"/>
      <c r="J4" s="106"/>
      <c r="K4" s="107"/>
      <c r="L4" s="107"/>
      <c r="M4" s="107"/>
      <c r="N4" s="107"/>
      <c r="O4" s="107"/>
      <c r="P4" s="107"/>
      <c r="Q4" s="107"/>
      <c r="R4" s="107"/>
    </row>
    <row r="5" ht="13.5" customHeight="1" spans="1:18">
      <c r="A5" s="81" t="s">
        <v>7390</v>
      </c>
      <c r="B5" s="81"/>
      <c r="C5" s="81"/>
      <c r="D5" s="82">
        <v>800</v>
      </c>
      <c r="E5" s="82"/>
      <c r="F5" s="82"/>
      <c r="G5" s="84"/>
      <c r="H5" s="85"/>
      <c r="I5" s="109"/>
      <c r="J5" s="106"/>
      <c r="K5" s="107"/>
      <c r="L5" s="107"/>
      <c r="M5" s="107"/>
      <c r="N5" s="107"/>
      <c r="O5" s="107"/>
      <c r="P5" s="107"/>
      <c r="Q5" s="107"/>
      <c r="R5" s="107"/>
    </row>
    <row r="6" ht="13.5" customHeight="1" spans="1:18">
      <c r="A6" s="81"/>
      <c r="B6" s="81"/>
      <c r="C6" s="81"/>
      <c r="D6" s="82"/>
      <c r="E6" s="82"/>
      <c r="F6" s="82"/>
      <c r="G6" s="86"/>
      <c r="H6" s="87"/>
      <c r="I6" s="109"/>
      <c r="J6" s="106"/>
      <c r="K6" s="107"/>
      <c r="L6" s="107"/>
      <c r="M6" s="107"/>
      <c r="N6" s="107"/>
      <c r="O6" s="107"/>
      <c r="P6" s="107"/>
      <c r="Q6" s="107"/>
      <c r="R6" s="107"/>
    </row>
    <row r="7" spans="1:18">
      <c r="A7" s="81" t="s">
        <v>7391</v>
      </c>
      <c r="B7" s="81"/>
      <c r="C7" s="81"/>
      <c r="D7" s="88">
        <v>9.8</v>
      </c>
      <c r="E7" s="88"/>
      <c r="F7" s="88"/>
      <c r="G7" s="89" t="s">
        <v>7392</v>
      </c>
      <c r="H7" s="89"/>
      <c r="I7" s="89"/>
      <c r="J7" s="106"/>
      <c r="K7" s="107"/>
      <c r="L7" s="107"/>
      <c r="M7" s="107"/>
      <c r="N7" s="107"/>
      <c r="O7" s="107"/>
      <c r="P7" s="107"/>
      <c r="Q7" s="107"/>
      <c r="R7" s="107"/>
    </row>
    <row r="8" spans="1:18">
      <c r="A8" s="81"/>
      <c r="B8" s="81"/>
      <c r="C8" s="81"/>
      <c r="D8" s="88"/>
      <c r="E8" s="88"/>
      <c r="F8" s="88"/>
      <c r="G8" s="89"/>
      <c r="H8" s="89"/>
      <c r="I8" s="89"/>
      <c r="J8" s="106"/>
      <c r="K8" s="107"/>
      <c r="L8" s="107"/>
      <c r="M8" s="107"/>
      <c r="N8" s="107"/>
      <c r="O8" s="107"/>
      <c r="P8" s="107"/>
      <c r="Q8" s="107"/>
      <c r="R8" s="107"/>
    </row>
    <row r="9" spans="1:18">
      <c r="A9" s="81" t="s">
        <v>7393</v>
      </c>
      <c r="B9" s="81"/>
      <c r="C9" s="81"/>
      <c r="D9" s="82">
        <v>0.106</v>
      </c>
      <c r="E9" s="82"/>
      <c r="F9" s="82"/>
      <c r="G9" s="82">
        <v>0.92</v>
      </c>
      <c r="H9" s="82"/>
      <c r="I9" s="82"/>
      <c r="J9" s="106"/>
      <c r="K9" s="107"/>
      <c r="L9" s="107"/>
      <c r="M9" s="107"/>
      <c r="N9" s="107"/>
      <c r="O9" s="107"/>
      <c r="P9" s="107"/>
      <c r="Q9" s="107"/>
      <c r="R9" s="107"/>
    </row>
    <row r="10" spans="1:18">
      <c r="A10" s="81"/>
      <c r="B10" s="81"/>
      <c r="C10" s="81"/>
      <c r="D10" s="82"/>
      <c r="E10" s="82"/>
      <c r="F10" s="82"/>
      <c r="G10" s="82"/>
      <c r="H10" s="82"/>
      <c r="I10" s="82"/>
      <c r="J10" s="106"/>
      <c r="K10" s="107"/>
      <c r="L10" s="107"/>
      <c r="M10" s="107"/>
      <c r="N10" s="107"/>
      <c r="O10" s="107"/>
      <c r="P10" s="107"/>
      <c r="Q10" s="107"/>
      <c r="R10" s="107"/>
    </row>
    <row r="11" spans="1:18">
      <c r="A11" s="81" t="s">
        <v>7394</v>
      </c>
      <c r="B11" s="81"/>
      <c r="C11" s="81"/>
      <c r="D11" s="90">
        <f>SUM(D5*D7*D9)</f>
        <v>831.04</v>
      </c>
      <c r="E11" s="90"/>
      <c r="F11" s="90"/>
      <c r="G11" s="83"/>
      <c r="H11" s="83"/>
      <c r="I11" s="83"/>
      <c r="J11" s="106"/>
      <c r="K11" s="107"/>
      <c r="L11" s="107"/>
      <c r="M11" s="107"/>
      <c r="N11" s="107"/>
      <c r="O11" s="107"/>
      <c r="P11" s="107"/>
      <c r="Q11" s="107"/>
      <c r="R11" s="107"/>
    </row>
    <row r="12" spans="1:18">
      <c r="A12" s="81"/>
      <c r="B12" s="81"/>
      <c r="C12" s="81"/>
      <c r="D12" s="90"/>
      <c r="E12" s="90"/>
      <c r="F12" s="90"/>
      <c r="G12" s="83"/>
      <c r="H12" s="83"/>
      <c r="I12" s="83"/>
      <c r="J12" s="106"/>
      <c r="K12" s="107"/>
      <c r="L12" s="107"/>
      <c r="M12" s="107"/>
      <c r="N12" s="107"/>
      <c r="O12" s="107"/>
      <c r="P12" s="107"/>
      <c r="Q12" s="107"/>
      <c r="R12" s="107"/>
    </row>
    <row r="13" ht="13.5" customHeight="1" spans="1:18">
      <c r="A13" s="81" t="s">
        <v>7395</v>
      </c>
      <c r="B13" s="81"/>
      <c r="C13" s="81"/>
      <c r="D13" s="82">
        <v>4</v>
      </c>
      <c r="E13" s="82"/>
      <c r="F13" s="82"/>
      <c r="G13" s="83"/>
      <c r="H13" s="83"/>
      <c r="I13" s="109"/>
      <c r="J13" s="106"/>
      <c r="K13" s="107"/>
      <c r="L13" s="107"/>
      <c r="M13" s="107"/>
      <c r="N13" s="107"/>
      <c r="O13" s="107"/>
      <c r="P13" s="107"/>
      <c r="Q13" s="107"/>
      <c r="R13" s="107"/>
    </row>
    <row r="14" ht="13.5" customHeight="1" spans="1:18">
      <c r="A14" s="81"/>
      <c r="B14" s="81"/>
      <c r="C14" s="81"/>
      <c r="D14" s="82"/>
      <c r="E14" s="82"/>
      <c r="F14" s="82"/>
      <c r="G14" s="83"/>
      <c r="H14" s="83"/>
      <c r="I14" s="109"/>
      <c r="J14" s="106"/>
      <c r="K14" s="107"/>
      <c r="L14" s="107"/>
      <c r="M14" s="107"/>
      <c r="N14" s="107"/>
      <c r="O14" s="107"/>
      <c r="P14" s="107"/>
      <c r="Q14" s="107"/>
      <c r="R14" s="107"/>
    </row>
    <row r="15" ht="13.5" customHeight="1" spans="1:18">
      <c r="A15" s="81" t="s">
        <v>7396</v>
      </c>
      <c r="B15" s="81"/>
      <c r="C15" s="81"/>
      <c r="D15" s="90">
        <f>SUM(D11/(G9*D13))</f>
        <v>225.826086956522</v>
      </c>
      <c r="E15" s="90"/>
      <c r="F15" s="90"/>
      <c r="G15" s="89"/>
      <c r="H15" s="89"/>
      <c r="I15" s="89"/>
      <c r="J15" s="106"/>
      <c r="K15" s="107"/>
      <c r="L15" s="107"/>
      <c r="M15" s="107"/>
      <c r="N15" s="107"/>
      <c r="O15" s="107"/>
      <c r="P15" s="107"/>
      <c r="Q15" s="107"/>
      <c r="R15" s="107"/>
    </row>
    <row r="16" ht="13.5" customHeight="1" spans="1:18">
      <c r="A16" s="81"/>
      <c r="B16" s="81"/>
      <c r="C16" s="81"/>
      <c r="D16" s="90"/>
      <c r="E16" s="90"/>
      <c r="F16" s="90"/>
      <c r="G16" s="89"/>
      <c r="H16" s="89"/>
      <c r="I16" s="89"/>
      <c r="J16" s="106"/>
      <c r="K16" s="107"/>
      <c r="L16" s="107"/>
      <c r="M16" s="107"/>
      <c r="N16" s="107"/>
      <c r="O16" s="107"/>
      <c r="P16" s="107"/>
      <c r="Q16" s="107"/>
      <c r="R16" s="107"/>
    </row>
    <row r="17" spans="1:18">
      <c r="A17" s="81" t="s">
        <v>7397</v>
      </c>
      <c r="B17" s="81"/>
      <c r="C17" s="81"/>
      <c r="D17" s="82">
        <v>1</v>
      </c>
      <c r="E17" s="82"/>
      <c r="F17" s="82"/>
      <c r="G17" s="83" t="s">
        <v>7398</v>
      </c>
      <c r="H17" s="83"/>
      <c r="I17" s="83"/>
      <c r="J17" s="106"/>
      <c r="K17" s="107"/>
      <c r="L17" s="107"/>
      <c r="M17" s="107"/>
      <c r="N17" s="107"/>
      <c r="O17" s="107"/>
      <c r="P17" s="107"/>
      <c r="Q17" s="107"/>
      <c r="R17" s="107"/>
    </row>
    <row r="18" spans="1:18">
      <c r="A18" s="81"/>
      <c r="B18" s="81"/>
      <c r="C18" s="81"/>
      <c r="D18" s="82"/>
      <c r="E18" s="82"/>
      <c r="F18" s="82"/>
      <c r="G18" s="83"/>
      <c r="H18" s="83"/>
      <c r="I18" s="83"/>
      <c r="J18" s="106"/>
      <c r="K18" s="107"/>
      <c r="L18" s="107"/>
      <c r="M18" s="107"/>
      <c r="N18" s="107"/>
      <c r="O18" s="107"/>
      <c r="P18" s="107"/>
      <c r="Q18" s="107"/>
      <c r="R18" s="107"/>
    </row>
    <row r="19" spans="1:18">
      <c r="A19" s="81" t="s">
        <v>7399</v>
      </c>
      <c r="B19" s="81"/>
      <c r="C19" s="81"/>
      <c r="D19" s="82">
        <v>1.2</v>
      </c>
      <c r="E19" s="82"/>
      <c r="F19" s="82"/>
      <c r="G19" s="83" t="s">
        <v>7400</v>
      </c>
      <c r="H19" s="83"/>
      <c r="I19" s="83"/>
      <c r="J19" s="106"/>
      <c r="K19" s="107"/>
      <c r="L19" s="107"/>
      <c r="M19" s="107"/>
      <c r="N19" s="107"/>
      <c r="O19" s="107"/>
      <c r="P19" s="107"/>
      <c r="Q19" s="107"/>
      <c r="R19" s="107"/>
    </row>
    <row r="20" spans="1:18">
      <c r="A20" s="81"/>
      <c r="B20" s="81"/>
      <c r="C20" s="81"/>
      <c r="D20" s="82"/>
      <c r="E20" s="82"/>
      <c r="F20" s="82"/>
      <c r="G20" s="83"/>
      <c r="H20" s="83"/>
      <c r="I20" s="83"/>
      <c r="J20" s="106"/>
      <c r="K20" s="107"/>
      <c r="L20" s="107"/>
      <c r="M20" s="107"/>
      <c r="N20" s="107"/>
      <c r="O20" s="107"/>
      <c r="P20" s="107"/>
      <c r="Q20" s="107"/>
      <c r="R20" s="107"/>
    </row>
    <row r="21" ht="13.5" customHeight="1" spans="1:18">
      <c r="A21" s="81" t="s">
        <v>7401</v>
      </c>
      <c r="B21" s="81"/>
      <c r="C21" s="81"/>
      <c r="D21" s="91">
        <f>SUM(D15*D17*D19)</f>
        <v>270.991304347826</v>
      </c>
      <c r="E21" s="91"/>
      <c r="F21" s="91"/>
      <c r="G21" s="83"/>
      <c r="H21" s="83"/>
      <c r="I21" s="83"/>
      <c r="J21" s="106"/>
      <c r="K21" s="107"/>
      <c r="L21" s="107"/>
      <c r="M21" s="107"/>
      <c r="N21" s="107"/>
      <c r="O21" s="107"/>
      <c r="P21" s="107"/>
      <c r="Q21" s="107"/>
      <c r="R21" s="107"/>
    </row>
    <row r="22" ht="13.5" customHeight="1" spans="1:18">
      <c r="A22" s="81"/>
      <c r="B22" s="81"/>
      <c r="C22" s="81"/>
      <c r="D22" s="91"/>
      <c r="E22" s="91"/>
      <c r="F22" s="91"/>
      <c r="G22" s="83"/>
      <c r="H22" s="83"/>
      <c r="I22" s="83"/>
      <c r="J22" s="106"/>
      <c r="K22" s="107"/>
      <c r="L22" s="107"/>
      <c r="M22" s="107"/>
      <c r="N22" s="107"/>
      <c r="O22" s="107"/>
      <c r="P22" s="107"/>
      <c r="Q22" s="107"/>
      <c r="R22" s="107"/>
    </row>
    <row r="23" spans="1:18">
      <c r="A23" s="81" t="s">
        <v>7402</v>
      </c>
      <c r="B23" s="81"/>
      <c r="C23" s="81"/>
      <c r="D23" s="82">
        <v>1450</v>
      </c>
      <c r="E23" s="82"/>
      <c r="F23" s="82"/>
      <c r="G23" s="83"/>
      <c r="H23" s="83"/>
      <c r="I23" s="83"/>
      <c r="J23" s="106"/>
      <c r="K23" s="107"/>
      <c r="L23" s="107"/>
      <c r="M23" s="107"/>
      <c r="N23" s="107"/>
      <c r="O23" s="107"/>
      <c r="P23" s="107"/>
      <c r="Q23" s="107"/>
      <c r="R23" s="107"/>
    </row>
    <row r="24" spans="1:18">
      <c r="A24" s="81"/>
      <c r="B24" s="81"/>
      <c r="C24" s="81"/>
      <c r="D24" s="82"/>
      <c r="E24" s="82"/>
      <c r="F24" s="82"/>
      <c r="G24" s="83"/>
      <c r="H24" s="83"/>
      <c r="I24" s="83"/>
      <c r="J24" s="106"/>
      <c r="K24" s="107"/>
      <c r="L24" s="107"/>
      <c r="M24" s="107"/>
      <c r="N24" s="107"/>
      <c r="O24" s="107"/>
      <c r="P24" s="107"/>
      <c r="Q24" s="107"/>
      <c r="R24" s="107"/>
    </row>
    <row r="25" ht="13.5" customHeight="1" spans="1:18">
      <c r="A25" s="81" t="s">
        <v>7403</v>
      </c>
      <c r="B25" s="81"/>
      <c r="C25" s="81"/>
      <c r="D25" s="90">
        <f>SUM(D23/D3)</f>
        <v>48.3333333333333</v>
      </c>
      <c r="E25" s="90"/>
      <c r="F25" s="90"/>
      <c r="G25" s="83"/>
      <c r="H25" s="83"/>
      <c r="I25" s="83"/>
      <c r="J25" s="106"/>
      <c r="K25" s="107"/>
      <c r="L25" s="107"/>
      <c r="M25" s="107"/>
      <c r="N25" s="107"/>
      <c r="O25" s="107"/>
      <c r="P25" s="107"/>
      <c r="Q25" s="107"/>
      <c r="R25" s="107"/>
    </row>
    <row r="26" ht="13.5" customHeight="1" spans="1:18">
      <c r="A26" s="81"/>
      <c r="B26" s="81"/>
      <c r="C26" s="81"/>
      <c r="D26" s="90"/>
      <c r="E26" s="90"/>
      <c r="F26" s="90"/>
      <c r="G26" s="83"/>
      <c r="H26" s="83"/>
      <c r="I26" s="83"/>
      <c r="J26" s="106"/>
      <c r="K26" s="107"/>
      <c r="L26" s="107"/>
      <c r="M26" s="107"/>
      <c r="N26" s="107"/>
      <c r="O26" s="107"/>
      <c r="P26" s="107"/>
      <c r="Q26" s="107"/>
      <c r="R26" s="107"/>
    </row>
    <row r="27" spans="1:18">
      <c r="A27" s="81" t="s">
        <v>7404</v>
      </c>
      <c r="B27" s="81"/>
      <c r="C27" s="81"/>
      <c r="D27" s="82">
        <v>0.72</v>
      </c>
      <c r="E27" s="82"/>
      <c r="F27" s="82"/>
      <c r="G27" s="83" t="s">
        <v>7405</v>
      </c>
      <c r="H27" s="83"/>
      <c r="I27" s="83"/>
      <c r="J27" s="106"/>
      <c r="K27" s="107"/>
      <c r="L27" s="107"/>
      <c r="M27" s="107"/>
      <c r="N27" s="107"/>
      <c r="O27" s="107"/>
      <c r="P27" s="107"/>
      <c r="Q27" s="107"/>
      <c r="R27" s="107"/>
    </row>
    <row r="28" spans="1:18">
      <c r="A28" s="81"/>
      <c r="B28" s="81"/>
      <c r="C28" s="81"/>
      <c r="D28" s="82"/>
      <c r="E28" s="82"/>
      <c r="F28" s="82"/>
      <c r="G28" s="83"/>
      <c r="H28" s="83"/>
      <c r="I28" s="83"/>
      <c r="J28" s="106"/>
      <c r="K28" s="107"/>
      <c r="L28" s="107"/>
      <c r="M28" s="107"/>
      <c r="N28" s="107"/>
      <c r="O28" s="107"/>
      <c r="P28" s="107"/>
      <c r="Q28" s="107"/>
      <c r="R28" s="107"/>
    </row>
    <row r="29" spans="1:18">
      <c r="A29" s="81" t="s">
        <v>7406</v>
      </c>
      <c r="B29" s="81"/>
      <c r="C29" s="81"/>
      <c r="D29" s="91">
        <f>SUM(D21*D25/(9550*D27))</f>
        <v>1.90487391557275</v>
      </c>
      <c r="E29" s="91"/>
      <c r="F29" s="91"/>
      <c r="G29" s="83"/>
      <c r="H29" s="83"/>
      <c r="I29" s="83"/>
      <c r="J29" s="106"/>
      <c r="K29" s="107"/>
      <c r="L29" s="107"/>
      <c r="M29" s="107"/>
      <c r="N29" s="107"/>
      <c r="O29" s="107"/>
      <c r="P29" s="107"/>
      <c r="Q29" s="107"/>
      <c r="R29" s="107"/>
    </row>
    <row r="30" spans="1:18">
      <c r="A30" s="81"/>
      <c r="B30" s="81"/>
      <c r="C30" s="81"/>
      <c r="D30" s="91"/>
      <c r="E30" s="91"/>
      <c r="F30" s="91"/>
      <c r="G30" s="83"/>
      <c r="H30" s="83"/>
      <c r="I30" s="83"/>
      <c r="J30" s="106"/>
      <c r="K30" s="107"/>
      <c r="L30" s="107"/>
      <c r="M30" s="107"/>
      <c r="N30" s="107"/>
      <c r="O30" s="107"/>
      <c r="P30" s="107"/>
      <c r="Q30" s="107"/>
      <c r="R30" s="107"/>
    </row>
    <row r="31" ht="13.5" customHeight="1" spans="1:18">
      <c r="A31" s="92" t="s">
        <v>7407</v>
      </c>
      <c r="B31" s="93"/>
      <c r="C31" s="93"/>
      <c r="D31" s="93"/>
      <c r="E31" s="93"/>
      <c r="F31" s="93"/>
      <c r="G31" s="93"/>
      <c r="H31" s="93"/>
      <c r="I31" s="110"/>
      <c r="J31" s="106"/>
      <c r="K31" s="107"/>
      <c r="L31" s="107"/>
      <c r="M31" s="107"/>
      <c r="N31" s="107"/>
      <c r="O31" s="107"/>
      <c r="P31" s="107"/>
      <c r="Q31" s="107"/>
      <c r="R31" s="107"/>
    </row>
    <row r="32" ht="13.5" customHeight="1" spans="1:18">
      <c r="A32" s="94"/>
      <c r="B32" s="95"/>
      <c r="C32" s="95"/>
      <c r="D32" s="95"/>
      <c r="E32" s="95"/>
      <c r="F32" s="95"/>
      <c r="G32" s="95"/>
      <c r="H32" s="95"/>
      <c r="I32" s="111"/>
      <c r="J32" s="106"/>
      <c r="K32" s="107"/>
      <c r="L32" s="107"/>
      <c r="M32" s="107"/>
      <c r="N32" s="107"/>
      <c r="O32" s="107"/>
      <c r="P32" s="107"/>
      <c r="Q32" s="107"/>
      <c r="R32" s="107"/>
    </row>
    <row r="33" ht="13.5" customHeight="1" spans="1:18">
      <c r="A33" s="96" t="s">
        <v>7408</v>
      </c>
      <c r="B33" s="96"/>
      <c r="C33" s="96"/>
      <c r="D33" s="96"/>
      <c r="E33" s="96"/>
      <c r="F33" s="96"/>
      <c r="G33" s="96"/>
      <c r="H33" s="96"/>
      <c r="I33" s="96"/>
      <c r="J33" s="106"/>
      <c r="K33" s="107"/>
      <c r="L33" s="107"/>
      <c r="M33" s="107"/>
      <c r="N33" s="107"/>
      <c r="O33" s="107"/>
      <c r="P33" s="107"/>
      <c r="Q33" s="107"/>
      <c r="R33" s="107"/>
    </row>
    <row r="34" ht="13.5" customHeight="1" spans="1:18">
      <c r="A34" s="96"/>
      <c r="B34" s="96"/>
      <c r="C34" s="96"/>
      <c r="D34" s="96"/>
      <c r="E34" s="96"/>
      <c r="F34" s="96"/>
      <c r="G34" s="96"/>
      <c r="H34" s="96"/>
      <c r="I34" s="96"/>
      <c r="J34" s="106"/>
      <c r="K34" s="107"/>
      <c r="L34" s="107"/>
      <c r="M34" s="107"/>
      <c r="N34" s="107"/>
      <c r="O34" s="107"/>
      <c r="P34" s="107"/>
      <c r="Q34" s="107"/>
      <c r="R34" s="107"/>
    </row>
    <row r="35" ht="13.5" customHeight="1" spans="1:18">
      <c r="A35" s="97" t="s">
        <v>7409</v>
      </c>
      <c r="B35" s="98" t="s">
        <v>7410</v>
      </c>
      <c r="C35" s="99"/>
      <c r="D35" s="98" t="s">
        <v>7411</v>
      </c>
      <c r="E35" s="99"/>
      <c r="F35" s="98" t="s">
        <v>7412</v>
      </c>
      <c r="G35" s="99"/>
      <c r="H35" s="98" t="s">
        <v>7413</v>
      </c>
      <c r="I35" s="99"/>
      <c r="J35" s="106"/>
      <c r="K35" s="107"/>
      <c r="L35" s="107"/>
      <c r="M35" s="107"/>
      <c r="N35" s="107"/>
      <c r="O35" s="107"/>
      <c r="P35" s="107"/>
      <c r="Q35" s="107"/>
      <c r="R35" s="107"/>
    </row>
    <row r="36" ht="13.5" customHeight="1" spans="1:18">
      <c r="A36" s="97"/>
      <c r="B36" s="99"/>
      <c r="C36" s="99"/>
      <c r="D36" s="99"/>
      <c r="E36" s="99"/>
      <c r="F36" s="99"/>
      <c r="G36" s="99"/>
      <c r="H36" s="99"/>
      <c r="I36" s="99"/>
      <c r="J36" s="106"/>
      <c r="K36" s="107"/>
      <c r="L36" s="107"/>
      <c r="M36" s="107"/>
      <c r="N36" s="107"/>
      <c r="O36" s="107"/>
      <c r="P36" s="107"/>
      <c r="Q36" s="107"/>
      <c r="R36" s="107"/>
    </row>
    <row r="37" ht="13.5" customHeight="1" spans="1:18">
      <c r="A37" s="99" t="s">
        <v>7414</v>
      </c>
      <c r="B37" s="99">
        <v>1</v>
      </c>
      <c r="C37" s="99"/>
      <c r="D37" s="99">
        <v>1.1</v>
      </c>
      <c r="E37" s="99"/>
      <c r="F37" s="99">
        <v>1</v>
      </c>
      <c r="G37" s="99"/>
      <c r="H37" s="99">
        <v>1.6</v>
      </c>
      <c r="I37" s="99"/>
      <c r="J37" s="106"/>
      <c r="K37" s="107"/>
      <c r="L37" s="107"/>
      <c r="M37" s="107"/>
      <c r="N37" s="107"/>
      <c r="O37" s="107"/>
      <c r="P37" s="107"/>
      <c r="Q37" s="107"/>
      <c r="R37" s="107"/>
    </row>
    <row r="38" ht="13.5" customHeight="1" spans="1:18">
      <c r="A38" s="99"/>
      <c r="B38" s="99"/>
      <c r="C38" s="99"/>
      <c r="D38" s="99"/>
      <c r="E38" s="99"/>
      <c r="F38" s="99"/>
      <c r="G38" s="99"/>
      <c r="H38" s="99"/>
      <c r="I38" s="99"/>
      <c r="J38" s="106"/>
      <c r="K38" s="107"/>
      <c r="L38" s="107"/>
      <c r="M38" s="107"/>
      <c r="N38" s="107"/>
      <c r="O38" s="107"/>
      <c r="P38" s="107"/>
      <c r="Q38" s="107"/>
      <c r="R38" s="107"/>
    </row>
    <row r="39" ht="13.5" customHeight="1" spans="1:18">
      <c r="A39" s="96" t="s">
        <v>7415</v>
      </c>
      <c r="B39" s="96"/>
      <c r="C39" s="96"/>
      <c r="D39" s="96"/>
      <c r="E39" s="96"/>
      <c r="F39" s="96"/>
      <c r="G39" s="96"/>
      <c r="H39" s="96"/>
      <c r="I39" s="96"/>
      <c r="J39" s="106"/>
      <c r="K39" s="107"/>
      <c r="L39" s="107"/>
      <c r="M39" s="107"/>
      <c r="N39" s="107"/>
      <c r="O39" s="107"/>
      <c r="P39" s="107"/>
      <c r="Q39" s="107"/>
      <c r="R39" s="107"/>
    </row>
    <row r="40" ht="13.5" customHeight="1" spans="1:18">
      <c r="A40" s="96"/>
      <c r="B40" s="96"/>
      <c r="C40" s="96"/>
      <c r="D40" s="96"/>
      <c r="E40" s="96"/>
      <c r="F40" s="96"/>
      <c r="G40" s="96"/>
      <c r="H40" s="96"/>
      <c r="I40" s="96"/>
      <c r="J40" s="106"/>
      <c r="K40" s="107"/>
      <c r="L40" s="107"/>
      <c r="M40" s="107"/>
      <c r="N40" s="107"/>
      <c r="O40" s="107"/>
      <c r="P40" s="107"/>
      <c r="Q40" s="107"/>
      <c r="R40" s="107"/>
    </row>
    <row r="41" ht="13.5" customHeight="1" spans="1:18">
      <c r="A41" s="100" t="s">
        <v>7416</v>
      </c>
      <c r="B41" s="100" t="s">
        <v>7417</v>
      </c>
      <c r="C41" s="100"/>
      <c r="D41" s="100"/>
      <c r="E41" s="100"/>
      <c r="F41" s="100"/>
      <c r="G41" s="100"/>
      <c r="H41" s="100"/>
      <c r="I41" s="100"/>
      <c r="J41" s="106"/>
      <c r="K41" s="107"/>
      <c r="L41" s="107"/>
      <c r="M41" s="107"/>
      <c r="N41" s="107"/>
      <c r="O41" s="107"/>
      <c r="P41" s="107"/>
      <c r="Q41" s="107"/>
      <c r="R41" s="107"/>
    </row>
    <row r="42" ht="13.5" customHeight="1" spans="1:18">
      <c r="A42" s="100"/>
      <c r="B42" s="100" t="s">
        <v>7418</v>
      </c>
      <c r="C42" s="100"/>
      <c r="D42" s="100" t="s">
        <v>7419</v>
      </c>
      <c r="E42" s="100"/>
      <c r="F42" s="100"/>
      <c r="G42" s="100" t="s">
        <v>7420</v>
      </c>
      <c r="H42" s="100"/>
      <c r="I42" s="100"/>
      <c r="J42" s="106"/>
      <c r="K42" s="107"/>
      <c r="L42" s="107"/>
      <c r="M42" s="107"/>
      <c r="N42" s="107"/>
      <c r="O42" s="107"/>
      <c r="P42" s="107"/>
      <c r="Q42" s="107"/>
      <c r="R42" s="107"/>
    </row>
    <row r="43" ht="13.5" customHeight="1" spans="1:18">
      <c r="A43" s="100"/>
      <c r="B43" s="100"/>
      <c r="C43" s="100"/>
      <c r="D43" s="100"/>
      <c r="E43" s="100"/>
      <c r="F43" s="100"/>
      <c r="G43" s="100"/>
      <c r="H43" s="100"/>
      <c r="I43" s="100"/>
      <c r="J43" s="106"/>
      <c r="K43" s="107"/>
      <c r="L43" s="107"/>
      <c r="M43" s="107"/>
      <c r="N43" s="107"/>
      <c r="O43" s="107"/>
      <c r="P43" s="107"/>
      <c r="Q43" s="107"/>
      <c r="R43" s="107"/>
    </row>
    <row r="44" ht="13.5" customHeight="1" spans="1:18">
      <c r="A44" s="101" t="s">
        <v>7421</v>
      </c>
      <c r="B44" s="100">
        <v>0.8</v>
      </c>
      <c r="C44" s="100"/>
      <c r="D44" s="100">
        <v>1</v>
      </c>
      <c r="E44" s="100"/>
      <c r="F44" s="100"/>
      <c r="G44" s="100">
        <v>1.2</v>
      </c>
      <c r="H44" s="100"/>
      <c r="I44" s="100"/>
      <c r="J44" s="106"/>
      <c r="K44" s="107"/>
      <c r="L44" s="107"/>
      <c r="M44" s="107"/>
      <c r="N44" s="107"/>
      <c r="O44" s="107"/>
      <c r="P44" s="107"/>
      <c r="Q44" s="107"/>
      <c r="R44" s="107"/>
    </row>
    <row r="45" ht="13.5" customHeight="1" spans="1:18">
      <c r="A45" s="101" t="s">
        <v>7422</v>
      </c>
      <c r="B45" s="100">
        <v>1</v>
      </c>
      <c r="C45" s="100"/>
      <c r="D45" s="100">
        <v>1.2</v>
      </c>
      <c r="E45" s="100"/>
      <c r="F45" s="100"/>
      <c r="G45" s="100">
        <v>1.4</v>
      </c>
      <c r="H45" s="100"/>
      <c r="I45" s="100"/>
      <c r="J45" s="106"/>
      <c r="K45" s="107"/>
      <c r="L45" s="107"/>
      <c r="M45" s="107"/>
      <c r="N45" s="107"/>
      <c r="O45" s="107"/>
      <c r="P45" s="107"/>
      <c r="Q45" s="107"/>
      <c r="R45" s="107"/>
    </row>
    <row r="46" ht="13.5" customHeight="1" spans="1:18">
      <c r="A46" s="101" t="s">
        <v>7423</v>
      </c>
      <c r="B46" s="100">
        <v>1.25</v>
      </c>
      <c r="C46" s="100"/>
      <c r="D46" s="100">
        <v>1.5</v>
      </c>
      <c r="E46" s="100"/>
      <c r="F46" s="100"/>
      <c r="G46" s="100">
        <v>1.75</v>
      </c>
      <c r="H46" s="100"/>
      <c r="I46" s="100"/>
      <c r="J46" s="106"/>
      <c r="K46" s="107"/>
      <c r="L46" s="107"/>
      <c r="M46" s="107"/>
      <c r="N46" s="107"/>
      <c r="O46" s="107"/>
      <c r="P46" s="107"/>
      <c r="Q46" s="107"/>
      <c r="R46" s="107"/>
    </row>
    <row r="47" ht="13.5" customHeight="1" spans="1:18">
      <c r="A47" s="96" t="s">
        <v>918</v>
      </c>
      <c r="B47" s="97" t="s">
        <v>7424</v>
      </c>
      <c r="C47" s="97"/>
      <c r="D47" s="97"/>
      <c r="E47" s="97"/>
      <c r="F47" s="97"/>
      <c r="G47" s="97"/>
      <c r="H47" s="97"/>
      <c r="I47" s="97"/>
      <c r="J47" s="106"/>
      <c r="K47" s="107"/>
      <c r="L47" s="107"/>
      <c r="M47" s="107"/>
      <c r="N47" s="107"/>
      <c r="O47" s="107"/>
      <c r="P47" s="107"/>
      <c r="Q47" s="107"/>
      <c r="R47" s="107"/>
    </row>
    <row r="48" ht="13.5" customHeight="1" spans="1:18">
      <c r="A48" s="96"/>
      <c r="B48" s="97"/>
      <c r="C48" s="97"/>
      <c r="D48" s="97"/>
      <c r="E48" s="97"/>
      <c r="F48" s="97"/>
      <c r="G48" s="97"/>
      <c r="H48" s="97"/>
      <c r="I48" s="97"/>
      <c r="J48" s="106"/>
      <c r="K48" s="107"/>
      <c r="L48" s="107"/>
      <c r="M48" s="107"/>
      <c r="N48" s="107"/>
      <c r="O48" s="107"/>
      <c r="P48" s="107"/>
      <c r="Q48" s="107"/>
      <c r="R48" s="107"/>
    </row>
    <row r="49" ht="13.5" customHeight="1" spans="1:18">
      <c r="A49" s="83" t="s">
        <v>7425</v>
      </c>
      <c r="B49" s="83"/>
      <c r="C49" s="83"/>
      <c r="D49" s="83"/>
      <c r="E49" s="83"/>
      <c r="F49" s="83"/>
      <c r="G49" s="83"/>
      <c r="H49" s="83"/>
      <c r="I49" s="109"/>
      <c r="J49" s="106"/>
      <c r="K49" s="107"/>
      <c r="L49" s="107"/>
      <c r="M49" s="107"/>
      <c r="N49" s="107"/>
      <c r="O49" s="107"/>
      <c r="P49" s="107"/>
      <c r="Q49" s="107"/>
      <c r="R49" s="107"/>
    </row>
    <row r="50" ht="13.5" customHeight="1" spans="1:18">
      <c r="A50" s="83"/>
      <c r="B50" s="83"/>
      <c r="C50" s="83"/>
      <c r="D50" s="83"/>
      <c r="E50" s="83"/>
      <c r="F50" s="83"/>
      <c r="G50" s="83"/>
      <c r="H50" s="83"/>
      <c r="I50" s="109"/>
      <c r="J50" s="106"/>
      <c r="K50" s="107"/>
      <c r="L50" s="107"/>
      <c r="M50" s="107"/>
      <c r="N50" s="107"/>
      <c r="O50" s="107"/>
      <c r="P50" s="107"/>
      <c r="Q50" s="107"/>
      <c r="R50" s="107"/>
    </row>
    <row r="51" ht="13.5" customHeight="1" spans="1:18">
      <c r="A51" s="89" t="s">
        <v>7426</v>
      </c>
      <c r="B51" s="102">
        <v>0.0486111111111111</v>
      </c>
      <c r="C51" s="102">
        <v>0.0520833333333333</v>
      </c>
      <c r="D51" s="102">
        <v>0.0555555555555556</v>
      </c>
      <c r="E51" s="102">
        <v>0.0590277777777778</v>
      </c>
      <c r="F51" s="102">
        <v>0.0625</v>
      </c>
      <c r="G51" s="102">
        <v>0.0694444444444444</v>
      </c>
      <c r="H51" s="102" t="s">
        <v>7427</v>
      </c>
      <c r="I51" s="109"/>
      <c r="J51" s="106"/>
      <c r="K51" s="107"/>
      <c r="L51" s="107"/>
      <c r="M51" s="107"/>
      <c r="N51" s="107"/>
      <c r="O51" s="107"/>
      <c r="P51" s="107"/>
      <c r="Q51" s="107"/>
      <c r="R51" s="107"/>
    </row>
    <row r="52" ht="13.5" customHeight="1" spans="1:18">
      <c r="A52" s="89"/>
      <c r="B52" s="89"/>
      <c r="C52" s="89"/>
      <c r="D52" s="89"/>
      <c r="E52" s="89"/>
      <c r="F52" s="89"/>
      <c r="G52" s="89"/>
      <c r="H52" s="89"/>
      <c r="I52" s="109"/>
      <c r="J52" s="106"/>
      <c r="K52" s="107"/>
      <c r="L52" s="107"/>
      <c r="M52" s="107"/>
      <c r="N52" s="107"/>
      <c r="O52" s="107"/>
      <c r="P52" s="107"/>
      <c r="Q52" s="107"/>
      <c r="R52" s="107"/>
    </row>
    <row r="53" ht="13.5" customHeight="1" spans="1:18">
      <c r="A53" s="89" t="s">
        <v>210</v>
      </c>
      <c r="B53" s="103" t="s">
        <v>7428</v>
      </c>
      <c r="C53" s="103" t="s">
        <v>7429</v>
      </c>
      <c r="D53" s="103" t="s">
        <v>7430</v>
      </c>
      <c r="E53" s="103" t="s">
        <v>7431</v>
      </c>
      <c r="F53" s="103" t="s">
        <v>7432</v>
      </c>
      <c r="G53" s="103" t="s">
        <v>7433</v>
      </c>
      <c r="H53" s="104" t="s">
        <v>7434</v>
      </c>
      <c r="I53" s="109"/>
      <c r="J53" s="106"/>
      <c r="K53" s="107"/>
      <c r="L53" s="107"/>
      <c r="M53" s="107"/>
      <c r="N53" s="107"/>
      <c r="O53" s="107"/>
      <c r="P53" s="107"/>
      <c r="Q53" s="107"/>
      <c r="R53" s="107"/>
    </row>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sheetData>
  <mergeCells count="82">
    <mergeCell ref="B41:I41"/>
    <mergeCell ref="B44:C44"/>
    <mergeCell ref="D44:F44"/>
    <mergeCell ref="G44:I44"/>
    <mergeCell ref="B45:C45"/>
    <mergeCell ref="D45:F45"/>
    <mergeCell ref="G45:I45"/>
    <mergeCell ref="B46:C46"/>
    <mergeCell ref="D46:F46"/>
    <mergeCell ref="G46:I46"/>
    <mergeCell ref="A35:A36"/>
    <mergeCell ref="A37:A38"/>
    <mergeCell ref="A41:A43"/>
    <mergeCell ref="A47:A48"/>
    <mergeCell ref="A51:A52"/>
    <mergeCell ref="B51:B52"/>
    <mergeCell ref="C51:C52"/>
    <mergeCell ref="D51:D52"/>
    <mergeCell ref="E51:E52"/>
    <mergeCell ref="F51:F52"/>
    <mergeCell ref="G51:G52"/>
    <mergeCell ref="H1:H2"/>
    <mergeCell ref="H51:H52"/>
    <mergeCell ref="A1:G2"/>
    <mergeCell ref="B47:I48"/>
    <mergeCell ref="A49:H50"/>
    <mergeCell ref="B42:C43"/>
    <mergeCell ref="D42:F43"/>
    <mergeCell ref="G42:I43"/>
    <mergeCell ref="A39:I40"/>
    <mergeCell ref="A29:C30"/>
    <mergeCell ref="D29:F30"/>
    <mergeCell ref="G29:I30"/>
    <mergeCell ref="A31:I32"/>
    <mergeCell ref="A33:I34"/>
    <mergeCell ref="B35:C36"/>
    <mergeCell ref="D35:E36"/>
    <mergeCell ref="F35:G36"/>
    <mergeCell ref="H35:I36"/>
    <mergeCell ref="B37:C38"/>
    <mergeCell ref="D37:E38"/>
    <mergeCell ref="F37:G38"/>
    <mergeCell ref="H37:I38"/>
    <mergeCell ref="A25:C26"/>
    <mergeCell ref="D25:F26"/>
    <mergeCell ref="G25:I26"/>
    <mergeCell ref="A27:C28"/>
    <mergeCell ref="D27:F28"/>
    <mergeCell ref="G27:I28"/>
    <mergeCell ref="A21:C22"/>
    <mergeCell ref="D21:F22"/>
    <mergeCell ref="G21:I22"/>
    <mergeCell ref="A23:C24"/>
    <mergeCell ref="D23:F24"/>
    <mergeCell ref="G23:I24"/>
    <mergeCell ref="A17:C18"/>
    <mergeCell ref="D17:F18"/>
    <mergeCell ref="G17:I18"/>
    <mergeCell ref="A19:C20"/>
    <mergeCell ref="D19:F20"/>
    <mergeCell ref="G19:I20"/>
    <mergeCell ref="A13:C14"/>
    <mergeCell ref="D13:F14"/>
    <mergeCell ref="G13:H14"/>
    <mergeCell ref="A15:C16"/>
    <mergeCell ref="D15:F16"/>
    <mergeCell ref="G15:I16"/>
    <mergeCell ref="A3:C4"/>
    <mergeCell ref="D3:F4"/>
    <mergeCell ref="G3:I4"/>
    <mergeCell ref="A5:C6"/>
    <mergeCell ref="D5:F6"/>
    <mergeCell ref="G5:H6"/>
    <mergeCell ref="A11:C12"/>
    <mergeCell ref="D11:F12"/>
    <mergeCell ref="G11:I12"/>
    <mergeCell ref="A7:C8"/>
    <mergeCell ref="D7:F8"/>
    <mergeCell ref="G7:I8"/>
    <mergeCell ref="A9:C10"/>
    <mergeCell ref="D9:F10"/>
    <mergeCell ref="G9:I10"/>
  </mergeCells>
  <hyperlinks>
    <hyperlink ref="H1:H2" location="目录!A1" display="目录!A1"/>
  </hyperlinks>
  <pageMargins left="0.7" right="0.7" top="0.75" bottom="0.75" header="0.3" footer="0.3"/>
  <pageSetup paperSize="9" orientation="portrait"/>
  <headerFooter/>
  <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20"/>
  <sheetViews>
    <sheetView topLeftCell="A65" workbookViewId="0">
      <selection activeCell="K3" sqref="K3"/>
    </sheetView>
  </sheetViews>
  <sheetFormatPr defaultColWidth="9" defaultRowHeight="15.6"/>
  <cols>
    <col min="5" max="5" width="9.5" customWidth="1"/>
    <col min="7" max="7" width="9.25" customWidth="1"/>
    <col min="10" max="10" width="9.625" customWidth="1"/>
    <col min="261" max="261" width="9.5" customWidth="1"/>
    <col min="263" max="263" width="9.25" customWidth="1"/>
    <col min="266" max="266" width="9.625" customWidth="1"/>
    <col min="517" max="517" width="9.5" customWidth="1"/>
    <col min="519" max="519" width="9.25" customWidth="1"/>
    <col min="522" max="522" width="9.625" customWidth="1"/>
    <col min="773" max="773" width="9.5" customWidth="1"/>
    <col min="775" max="775" width="9.25" customWidth="1"/>
    <col min="778" max="778" width="9.625" customWidth="1"/>
    <col min="1029" max="1029" width="9.5" customWidth="1"/>
    <col min="1031" max="1031" width="9.25" customWidth="1"/>
    <col min="1034" max="1034" width="9.625" customWidth="1"/>
    <col min="1285" max="1285" width="9.5" customWidth="1"/>
    <col min="1287" max="1287" width="9.25" customWidth="1"/>
    <col min="1290" max="1290" width="9.625" customWidth="1"/>
    <col min="1541" max="1541" width="9.5" customWidth="1"/>
    <col min="1543" max="1543" width="9.25" customWidth="1"/>
    <col min="1546" max="1546" width="9.625" customWidth="1"/>
    <col min="1797" max="1797" width="9.5" customWidth="1"/>
    <col min="1799" max="1799" width="9.25" customWidth="1"/>
    <col min="1802" max="1802" width="9.625" customWidth="1"/>
    <col min="2053" max="2053" width="9.5" customWidth="1"/>
    <col min="2055" max="2055" width="9.25" customWidth="1"/>
    <col min="2058" max="2058" width="9.625" customWidth="1"/>
    <col min="2309" max="2309" width="9.5" customWidth="1"/>
    <col min="2311" max="2311" width="9.25" customWidth="1"/>
    <col min="2314" max="2314" width="9.625" customWidth="1"/>
    <col min="2565" max="2565" width="9.5" customWidth="1"/>
    <col min="2567" max="2567" width="9.25" customWidth="1"/>
    <col min="2570" max="2570" width="9.625" customWidth="1"/>
    <col min="2821" max="2821" width="9.5" customWidth="1"/>
    <col min="2823" max="2823" width="9.25" customWidth="1"/>
    <col min="2826" max="2826" width="9.625" customWidth="1"/>
    <col min="3077" max="3077" width="9.5" customWidth="1"/>
    <col min="3079" max="3079" width="9.25" customWidth="1"/>
    <col min="3082" max="3082" width="9.625" customWidth="1"/>
    <col min="3333" max="3333" width="9.5" customWidth="1"/>
    <col min="3335" max="3335" width="9.25" customWidth="1"/>
    <col min="3338" max="3338" width="9.625" customWidth="1"/>
    <col min="3589" max="3589" width="9.5" customWidth="1"/>
    <col min="3591" max="3591" width="9.25" customWidth="1"/>
    <col min="3594" max="3594" width="9.625" customWidth="1"/>
    <col min="3845" max="3845" width="9.5" customWidth="1"/>
    <col min="3847" max="3847" width="9.25" customWidth="1"/>
    <col min="3850" max="3850" width="9.625" customWidth="1"/>
    <col min="4101" max="4101" width="9.5" customWidth="1"/>
    <col min="4103" max="4103" width="9.25" customWidth="1"/>
    <col min="4106" max="4106" width="9.625" customWidth="1"/>
    <col min="4357" max="4357" width="9.5" customWidth="1"/>
    <col min="4359" max="4359" width="9.25" customWidth="1"/>
    <col min="4362" max="4362" width="9.625" customWidth="1"/>
    <col min="4613" max="4613" width="9.5" customWidth="1"/>
    <col min="4615" max="4615" width="9.25" customWidth="1"/>
    <col min="4618" max="4618" width="9.625" customWidth="1"/>
    <col min="4869" max="4869" width="9.5" customWidth="1"/>
    <col min="4871" max="4871" width="9.25" customWidth="1"/>
    <col min="4874" max="4874" width="9.625" customWidth="1"/>
    <col min="5125" max="5125" width="9.5" customWidth="1"/>
    <col min="5127" max="5127" width="9.25" customWidth="1"/>
    <col min="5130" max="5130" width="9.625" customWidth="1"/>
    <col min="5381" max="5381" width="9.5" customWidth="1"/>
    <col min="5383" max="5383" width="9.25" customWidth="1"/>
    <col min="5386" max="5386" width="9.625" customWidth="1"/>
    <col min="5637" max="5637" width="9.5" customWidth="1"/>
    <col min="5639" max="5639" width="9.25" customWidth="1"/>
    <col min="5642" max="5642" width="9.625" customWidth="1"/>
    <col min="5893" max="5893" width="9.5" customWidth="1"/>
    <col min="5895" max="5895" width="9.25" customWidth="1"/>
    <col min="5898" max="5898" width="9.625" customWidth="1"/>
    <col min="6149" max="6149" width="9.5" customWidth="1"/>
    <col min="6151" max="6151" width="9.25" customWidth="1"/>
    <col min="6154" max="6154" width="9.625" customWidth="1"/>
    <col min="6405" max="6405" width="9.5" customWidth="1"/>
    <col min="6407" max="6407" width="9.25" customWidth="1"/>
    <col min="6410" max="6410" width="9.625" customWidth="1"/>
    <col min="6661" max="6661" width="9.5" customWidth="1"/>
    <col min="6663" max="6663" width="9.25" customWidth="1"/>
    <col min="6666" max="6666" width="9.625" customWidth="1"/>
    <col min="6917" max="6917" width="9.5" customWidth="1"/>
    <col min="6919" max="6919" width="9.25" customWidth="1"/>
    <col min="6922" max="6922" width="9.625" customWidth="1"/>
    <col min="7173" max="7173" width="9.5" customWidth="1"/>
    <col min="7175" max="7175" width="9.25" customWidth="1"/>
    <col min="7178" max="7178" width="9.625" customWidth="1"/>
    <col min="7429" max="7429" width="9.5" customWidth="1"/>
    <col min="7431" max="7431" width="9.25" customWidth="1"/>
    <col min="7434" max="7434" width="9.625" customWidth="1"/>
    <col min="7685" max="7685" width="9.5" customWidth="1"/>
    <col min="7687" max="7687" width="9.25" customWidth="1"/>
    <col min="7690" max="7690" width="9.625" customWidth="1"/>
    <col min="7941" max="7941" width="9.5" customWidth="1"/>
    <col min="7943" max="7943" width="9.25" customWidth="1"/>
    <col min="7946" max="7946" width="9.625" customWidth="1"/>
    <col min="8197" max="8197" width="9.5" customWidth="1"/>
    <col min="8199" max="8199" width="9.25" customWidth="1"/>
    <col min="8202" max="8202" width="9.625" customWidth="1"/>
    <col min="8453" max="8453" width="9.5" customWidth="1"/>
    <col min="8455" max="8455" width="9.25" customWidth="1"/>
    <col min="8458" max="8458" width="9.625" customWidth="1"/>
    <col min="8709" max="8709" width="9.5" customWidth="1"/>
    <col min="8711" max="8711" width="9.25" customWidth="1"/>
    <col min="8714" max="8714" width="9.625" customWidth="1"/>
    <col min="8965" max="8965" width="9.5" customWidth="1"/>
    <col min="8967" max="8967" width="9.25" customWidth="1"/>
    <col min="8970" max="8970" width="9.625" customWidth="1"/>
    <col min="9221" max="9221" width="9.5" customWidth="1"/>
    <col min="9223" max="9223" width="9.25" customWidth="1"/>
    <col min="9226" max="9226" width="9.625" customWidth="1"/>
    <col min="9477" max="9477" width="9.5" customWidth="1"/>
    <col min="9479" max="9479" width="9.25" customWidth="1"/>
    <col min="9482" max="9482" width="9.625" customWidth="1"/>
    <col min="9733" max="9733" width="9.5" customWidth="1"/>
    <col min="9735" max="9735" width="9.25" customWidth="1"/>
    <col min="9738" max="9738" width="9.625" customWidth="1"/>
    <col min="9989" max="9989" width="9.5" customWidth="1"/>
    <col min="9991" max="9991" width="9.25" customWidth="1"/>
    <col min="9994" max="9994" width="9.625" customWidth="1"/>
    <col min="10245" max="10245" width="9.5" customWidth="1"/>
    <col min="10247" max="10247" width="9.25" customWidth="1"/>
    <col min="10250" max="10250" width="9.625" customWidth="1"/>
    <col min="10501" max="10501" width="9.5" customWidth="1"/>
    <col min="10503" max="10503" width="9.25" customWidth="1"/>
    <col min="10506" max="10506" width="9.625" customWidth="1"/>
    <col min="10757" max="10757" width="9.5" customWidth="1"/>
    <col min="10759" max="10759" width="9.25" customWidth="1"/>
    <col min="10762" max="10762" width="9.625" customWidth="1"/>
    <col min="11013" max="11013" width="9.5" customWidth="1"/>
    <col min="11015" max="11015" width="9.25" customWidth="1"/>
    <col min="11018" max="11018" width="9.625" customWidth="1"/>
    <col min="11269" max="11269" width="9.5" customWidth="1"/>
    <col min="11271" max="11271" width="9.25" customWidth="1"/>
    <col min="11274" max="11274" width="9.625" customWidth="1"/>
    <col min="11525" max="11525" width="9.5" customWidth="1"/>
    <col min="11527" max="11527" width="9.25" customWidth="1"/>
    <col min="11530" max="11530" width="9.625" customWidth="1"/>
    <col min="11781" max="11781" width="9.5" customWidth="1"/>
    <col min="11783" max="11783" width="9.25" customWidth="1"/>
    <col min="11786" max="11786" width="9.625" customWidth="1"/>
    <col min="12037" max="12037" width="9.5" customWidth="1"/>
    <col min="12039" max="12039" width="9.25" customWidth="1"/>
    <col min="12042" max="12042" width="9.625" customWidth="1"/>
    <col min="12293" max="12293" width="9.5" customWidth="1"/>
    <col min="12295" max="12295" width="9.25" customWidth="1"/>
    <col min="12298" max="12298" width="9.625" customWidth="1"/>
    <col min="12549" max="12549" width="9.5" customWidth="1"/>
    <col min="12551" max="12551" width="9.25" customWidth="1"/>
    <col min="12554" max="12554" width="9.625" customWidth="1"/>
    <col min="12805" max="12805" width="9.5" customWidth="1"/>
    <col min="12807" max="12807" width="9.25" customWidth="1"/>
    <col min="12810" max="12810" width="9.625" customWidth="1"/>
    <col min="13061" max="13061" width="9.5" customWidth="1"/>
    <col min="13063" max="13063" width="9.25" customWidth="1"/>
    <col min="13066" max="13066" width="9.625" customWidth="1"/>
    <col min="13317" max="13317" width="9.5" customWidth="1"/>
    <col min="13319" max="13319" width="9.25" customWidth="1"/>
    <col min="13322" max="13322" width="9.625" customWidth="1"/>
    <col min="13573" max="13573" width="9.5" customWidth="1"/>
    <col min="13575" max="13575" width="9.25" customWidth="1"/>
    <col min="13578" max="13578" width="9.625" customWidth="1"/>
    <col min="13829" max="13829" width="9.5" customWidth="1"/>
    <col min="13831" max="13831" width="9.25" customWidth="1"/>
    <col min="13834" max="13834" width="9.625" customWidth="1"/>
    <col min="14085" max="14085" width="9.5" customWidth="1"/>
    <col min="14087" max="14087" width="9.25" customWidth="1"/>
    <col min="14090" max="14090" width="9.625" customWidth="1"/>
    <col min="14341" max="14341" width="9.5" customWidth="1"/>
    <col min="14343" max="14343" width="9.25" customWidth="1"/>
    <col min="14346" max="14346" width="9.625" customWidth="1"/>
    <col min="14597" max="14597" width="9.5" customWidth="1"/>
    <col min="14599" max="14599" width="9.25" customWidth="1"/>
    <col min="14602" max="14602" width="9.625" customWidth="1"/>
    <col min="14853" max="14853" width="9.5" customWidth="1"/>
    <col min="14855" max="14855" width="9.25" customWidth="1"/>
    <col min="14858" max="14858" width="9.625" customWidth="1"/>
    <col min="15109" max="15109" width="9.5" customWidth="1"/>
    <col min="15111" max="15111" width="9.25" customWidth="1"/>
    <col min="15114" max="15114" width="9.625" customWidth="1"/>
    <col min="15365" max="15365" width="9.5" customWidth="1"/>
    <col min="15367" max="15367" width="9.25" customWidth="1"/>
    <col min="15370" max="15370" width="9.625" customWidth="1"/>
    <col min="15621" max="15621" width="9.5" customWidth="1"/>
    <col min="15623" max="15623" width="9.25" customWidth="1"/>
    <col min="15626" max="15626" width="9.625" customWidth="1"/>
    <col min="15877" max="15877" width="9.5" customWidth="1"/>
    <col min="15879" max="15879" width="9.25" customWidth="1"/>
    <col min="15882" max="15882" width="9.625" customWidth="1"/>
    <col min="16133" max="16133" width="9.5" customWidth="1"/>
    <col min="16135" max="16135" width="9.25" customWidth="1"/>
    <col min="16138" max="16138" width="9.625" customWidth="1"/>
  </cols>
  <sheetData>
    <row r="1" ht="18" customHeight="1" spans="1:11">
      <c r="A1" s="1" t="s">
        <v>7435</v>
      </c>
      <c r="B1" s="1"/>
      <c r="C1" s="1"/>
      <c r="D1" s="1"/>
      <c r="E1" s="1"/>
      <c r="F1" s="1"/>
      <c r="G1" s="1"/>
      <c r="H1" s="1"/>
      <c r="I1" s="1"/>
      <c r="J1" s="1"/>
      <c r="K1" s="45" t="s">
        <v>88</v>
      </c>
    </row>
    <row r="2" ht="18" customHeight="1" spans="1:10">
      <c r="A2" s="2" t="s">
        <v>7436</v>
      </c>
      <c r="B2" s="2"/>
      <c r="C2" s="2"/>
      <c r="D2" s="2"/>
      <c r="E2" s="2"/>
      <c r="F2" s="2"/>
      <c r="G2" s="2"/>
      <c r="H2" s="2"/>
      <c r="I2" s="2"/>
      <c r="J2" s="2"/>
    </row>
    <row r="3" ht="18" customHeight="1" spans="1:10">
      <c r="A3" s="3" t="s">
        <v>7437</v>
      </c>
      <c r="B3" s="3"/>
      <c r="C3" s="3"/>
      <c r="D3" s="3"/>
      <c r="E3" s="3"/>
      <c r="F3" s="3"/>
      <c r="G3" s="3"/>
      <c r="H3" s="3"/>
      <c r="I3" s="3"/>
      <c r="J3" s="3"/>
    </row>
    <row r="4" ht="18" customHeight="1" spans="1:10">
      <c r="A4" s="4" t="s">
        <v>7438</v>
      </c>
      <c r="B4" s="4"/>
      <c r="C4" s="4"/>
      <c r="D4" s="4"/>
      <c r="E4" s="4"/>
      <c r="F4" s="4"/>
      <c r="G4" s="4"/>
      <c r="H4" s="4"/>
      <c r="I4" s="4"/>
      <c r="J4" s="4"/>
    </row>
    <row r="5" ht="18" customHeight="1" spans="1:10">
      <c r="A5" s="4" t="s">
        <v>7439</v>
      </c>
      <c r="B5" s="4"/>
      <c r="C5" s="4"/>
      <c r="D5" s="4"/>
      <c r="E5" s="4"/>
      <c r="F5" s="4"/>
      <c r="G5" s="4"/>
      <c r="H5" s="4"/>
      <c r="I5" s="4"/>
      <c r="J5" s="4"/>
    </row>
    <row r="6" ht="18" customHeight="1" spans="1:11">
      <c r="A6" s="5" t="s">
        <v>7440</v>
      </c>
      <c r="B6" s="6"/>
      <c r="C6" s="6"/>
      <c r="D6" s="6"/>
      <c r="E6" s="6"/>
      <c r="F6" s="6"/>
      <c r="G6" s="6"/>
      <c r="H6" s="6"/>
      <c r="I6" s="6"/>
      <c r="J6" s="6"/>
      <c r="K6" s="21"/>
    </row>
    <row r="7" ht="18" customHeight="1" spans="1:18">
      <c r="A7" s="7"/>
      <c r="B7" s="7"/>
      <c r="C7" s="7"/>
      <c r="D7" s="7"/>
      <c r="E7" s="7"/>
      <c r="F7" s="7"/>
      <c r="G7" s="7"/>
      <c r="H7" s="7"/>
      <c r="I7" s="46"/>
      <c r="J7" s="32" t="s">
        <v>2218</v>
      </c>
      <c r="K7" s="47" t="s">
        <v>7441</v>
      </c>
      <c r="L7" s="47" t="s">
        <v>7442</v>
      </c>
      <c r="M7" s="47" t="s">
        <v>7443</v>
      </c>
      <c r="N7" s="47" t="s">
        <v>7444</v>
      </c>
      <c r="O7" s="47" t="s">
        <v>7445</v>
      </c>
      <c r="P7" s="47" t="s">
        <v>7446</v>
      </c>
      <c r="Q7" s="47" t="s">
        <v>7447</v>
      </c>
      <c r="R7" s="47" t="s">
        <v>7448</v>
      </c>
    </row>
    <row r="8" ht="18" customHeight="1" spans="1:18">
      <c r="A8" s="8"/>
      <c r="B8" s="8"/>
      <c r="C8" s="8"/>
      <c r="D8" s="8"/>
      <c r="E8" s="8"/>
      <c r="F8" s="8"/>
      <c r="G8" s="8"/>
      <c r="H8" s="8"/>
      <c r="I8" s="48"/>
      <c r="J8" s="49">
        <v>1.25</v>
      </c>
      <c r="K8" s="49">
        <v>1.4</v>
      </c>
      <c r="L8" s="49">
        <v>0.7</v>
      </c>
      <c r="M8" s="49">
        <v>1.25</v>
      </c>
      <c r="N8" s="49">
        <v>1</v>
      </c>
      <c r="O8" s="49">
        <v>1</v>
      </c>
      <c r="P8" s="49">
        <v>1</v>
      </c>
      <c r="Q8" s="49">
        <v>1</v>
      </c>
      <c r="R8" s="49">
        <v>1</v>
      </c>
    </row>
    <row r="9" ht="18" customHeight="1" spans="1:18">
      <c r="A9" s="8"/>
      <c r="B9" s="8"/>
      <c r="C9" s="8"/>
      <c r="D9" s="8"/>
      <c r="E9" s="8"/>
      <c r="F9" s="8"/>
      <c r="G9" s="8"/>
      <c r="H9" s="8"/>
      <c r="I9" s="48"/>
      <c r="J9" s="49">
        <v>20</v>
      </c>
      <c r="K9" s="49">
        <v>40</v>
      </c>
      <c r="L9" s="49">
        <v>40</v>
      </c>
      <c r="M9" s="49">
        <v>20</v>
      </c>
      <c r="N9" s="49">
        <v>30</v>
      </c>
      <c r="O9" s="49">
        <v>30</v>
      </c>
      <c r="P9" s="49">
        <v>30</v>
      </c>
      <c r="Q9" s="49">
        <v>30</v>
      </c>
      <c r="R9" s="49">
        <v>30</v>
      </c>
    </row>
    <row r="10" ht="18" customHeight="1" spans="1:18">
      <c r="A10" s="8"/>
      <c r="B10" s="8"/>
      <c r="C10" s="8"/>
      <c r="D10" s="8"/>
      <c r="E10" s="8"/>
      <c r="F10" s="8"/>
      <c r="G10" s="8"/>
      <c r="H10" s="8"/>
      <c r="I10" s="48"/>
      <c r="J10" s="50">
        <v>13.5</v>
      </c>
      <c r="K10" s="50">
        <v>3</v>
      </c>
      <c r="L10" s="50">
        <v>7</v>
      </c>
      <c r="M10" s="50">
        <v>10</v>
      </c>
      <c r="N10" s="50">
        <v>20.63</v>
      </c>
      <c r="O10" s="50">
        <v>11</v>
      </c>
      <c r="P10" s="50">
        <v>16</v>
      </c>
      <c r="Q10" s="50">
        <v>6.2</v>
      </c>
      <c r="R10" s="50">
        <v>19.5</v>
      </c>
    </row>
    <row r="11" ht="18" customHeight="1" spans="1:18">
      <c r="A11" s="8"/>
      <c r="B11" s="8"/>
      <c r="C11" s="8"/>
      <c r="D11" s="8"/>
      <c r="E11" s="8"/>
      <c r="F11" s="8"/>
      <c r="G11" s="8"/>
      <c r="H11" s="8"/>
      <c r="I11" s="48"/>
      <c r="J11" s="51">
        <v>5</v>
      </c>
      <c r="K11" s="51">
        <v>0.2</v>
      </c>
      <c r="L11" s="51">
        <v>2</v>
      </c>
      <c r="M11" s="51">
        <v>5</v>
      </c>
      <c r="N11" s="51">
        <v>8.135</v>
      </c>
      <c r="O11" s="51">
        <v>4.5</v>
      </c>
      <c r="P11" s="51">
        <v>3.7</v>
      </c>
      <c r="Q11" s="51">
        <v>10.9</v>
      </c>
      <c r="R11" s="51">
        <v>0</v>
      </c>
    </row>
    <row r="12" ht="18" customHeight="1" spans="1:18">
      <c r="A12" s="8"/>
      <c r="B12" s="8"/>
      <c r="C12" s="8"/>
      <c r="D12" s="8"/>
      <c r="E12" s="8"/>
      <c r="F12" s="8"/>
      <c r="G12" s="8"/>
      <c r="H12" s="8"/>
      <c r="I12" s="48"/>
      <c r="J12" s="52"/>
      <c r="K12" s="52"/>
      <c r="L12" s="52"/>
      <c r="M12" s="52"/>
      <c r="N12" s="52"/>
      <c r="O12" s="52"/>
      <c r="P12" s="52"/>
      <c r="Q12" s="52"/>
      <c r="R12" s="52"/>
    </row>
    <row r="13" ht="18" customHeight="1" spans="1:18">
      <c r="A13" s="8"/>
      <c r="B13" s="8"/>
      <c r="C13" s="8"/>
      <c r="D13" s="8"/>
      <c r="E13" s="8"/>
      <c r="F13" s="8"/>
      <c r="G13" s="8"/>
      <c r="H13" s="8"/>
      <c r="I13" s="48"/>
      <c r="J13" s="50">
        <v>0.022</v>
      </c>
      <c r="K13" s="50">
        <v>0.0134</v>
      </c>
      <c r="L13" s="50">
        <v>0.0306</v>
      </c>
      <c r="M13" s="50">
        <v>0.03</v>
      </c>
      <c r="N13" s="50">
        <v>0.03</v>
      </c>
      <c r="O13" s="50">
        <v>0.03</v>
      </c>
      <c r="P13" s="50">
        <v>0.03</v>
      </c>
      <c r="Q13" s="50">
        <v>0.03</v>
      </c>
      <c r="R13" s="50">
        <v>0.03</v>
      </c>
    </row>
    <row r="14" ht="18" customHeight="1" spans="1:18">
      <c r="A14" s="8"/>
      <c r="B14" s="8"/>
      <c r="C14" s="8"/>
      <c r="D14" s="8"/>
      <c r="E14" s="8"/>
      <c r="F14" s="8"/>
      <c r="G14" s="8"/>
      <c r="H14" s="8"/>
      <c r="I14" s="48"/>
      <c r="J14" s="53">
        <v>0.000189</v>
      </c>
      <c r="K14" s="53">
        <v>0.000189</v>
      </c>
      <c r="L14" s="53">
        <v>0.000189</v>
      </c>
      <c r="M14" s="53">
        <v>0.000189</v>
      </c>
      <c r="N14" s="53">
        <v>0.000189</v>
      </c>
      <c r="O14" s="53">
        <v>0.000189</v>
      </c>
      <c r="P14" s="53">
        <v>0.000189</v>
      </c>
      <c r="Q14" s="53">
        <v>0.000189</v>
      </c>
      <c r="R14" s="53">
        <v>0.000189</v>
      </c>
    </row>
    <row r="15" ht="18" customHeight="1" spans="1:18">
      <c r="A15" s="8"/>
      <c r="B15" s="8"/>
      <c r="C15" s="8"/>
      <c r="D15" s="8"/>
      <c r="E15" s="8"/>
      <c r="F15" s="8"/>
      <c r="G15" s="8"/>
      <c r="H15" s="8"/>
      <c r="I15" s="48"/>
      <c r="J15" s="50">
        <v>1.3</v>
      </c>
      <c r="K15" s="50">
        <v>1.7</v>
      </c>
      <c r="L15" s="50">
        <v>1.3</v>
      </c>
      <c r="M15" s="50">
        <v>1.2</v>
      </c>
      <c r="N15" s="50">
        <v>1.2</v>
      </c>
      <c r="O15" s="50">
        <v>1.2</v>
      </c>
      <c r="P15" s="50">
        <v>1.2</v>
      </c>
      <c r="Q15" s="50">
        <v>1.2</v>
      </c>
      <c r="R15" s="50">
        <v>1.2</v>
      </c>
    </row>
    <row r="16" ht="18" customHeight="1" spans="1:18">
      <c r="A16" s="8"/>
      <c r="B16" s="8"/>
      <c r="C16" s="8"/>
      <c r="D16" s="8"/>
      <c r="E16" s="8"/>
      <c r="F16" s="8"/>
      <c r="G16" s="8"/>
      <c r="H16" s="8"/>
      <c r="I16" s="48"/>
      <c r="J16" s="51">
        <v>1</v>
      </c>
      <c r="K16" s="51">
        <v>1</v>
      </c>
      <c r="L16" s="51">
        <v>1</v>
      </c>
      <c r="M16" s="51">
        <v>1</v>
      </c>
      <c r="N16" s="51">
        <v>1</v>
      </c>
      <c r="O16" s="51">
        <v>1</v>
      </c>
      <c r="P16" s="51">
        <v>1</v>
      </c>
      <c r="Q16" s="51">
        <v>1</v>
      </c>
      <c r="R16" s="51">
        <v>1</v>
      </c>
    </row>
    <row r="17" ht="18" customHeight="1" spans="1:18">
      <c r="A17" s="8"/>
      <c r="B17" s="8"/>
      <c r="C17" s="8"/>
      <c r="D17" s="8"/>
      <c r="E17" s="8"/>
      <c r="F17" s="8"/>
      <c r="G17" s="8"/>
      <c r="H17" s="8"/>
      <c r="I17" s="48"/>
      <c r="J17" s="52"/>
      <c r="K17" s="52"/>
      <c r="L17" s="52"/>
      <c r="M17" s="52"/>
      <c r="N17" s="52"/>
      <c r="O17" s="52"/>
      <c r="P17" s="52"/>
      <c r="Q17" s="52"/>
      <c r="R17" s="52"/>
    </row>
    <row r="18" ht="18" customHeight="1" spans="1:18">
      <c r="A18" s="8"/>
      <c r="B18" s="8"/>
      <c r="C18" s="8"/>
      <c r="D18" s="8"/>
      <c r="E18" s="8"/>
      <c r="F18" s="8"/>
      <c r="G18" s="8"/>
      <c r="H18" s="8"/>
      <c r="I18" s="48"/>
      <c r="J18" s="50">
        <v>0.27</v>
      </c>
      <c r="K18" s="50">
        <v>0.27</v>
      </c>
      <c r="L18" s="50">
        <v>0.27</v>
      </c>
      <c r="M18" s="50">
        <v>0.27</v>
      </c>
      <c r="N18" s="50">
        <v>0.27</v>
      </c>
      <c r="O18" s="50">
        <v>0.27</v>
      </c>
      <c r="P18" s="50">
        <v>0.27</v>
      </c>
      <c r="Q18" s="50">
        <v>0.27</v>
      </c>
      <c r="R18" s="50">
        <v>0.27</v>
      </c>
    </row>
    <row r="19" ht="18" customHeight="1" spans="1:18">
      <c r="A19" s="8"/>
      <c r="B19" s="8"/>
      <c r="C19" s="8"/>
      <c r="D19" s="8"/>
      <c r="E19" s="8"/>
      <c r="F19" s="8"/>
      <c r="G19" s="8"/>
      <c r="H19" s="8"/>
      <c r="I19" s="48"/>
      <c r="J19" s="54">
        <f>(J13*J8*J10+J14*J10*J9+0.00273*J9*J11)*J15*J16+J18</f>
        <v>1.173864</v>
      </c>
      <c r="K19" s="54">
        <f>(K13*K8*K10+K14*K10*K9+0.00273*K9*K11)*K15*K16+K18</f>
        <v>0.44136</v>
      </c>
      <c r="L19" s="54">
        <f t="shared" ref="L19:R19" si="0">(L13*L8*L10+L14*L10*L9+0.00273*L9*L11)*L15*L16+L18</f>
        <v>0.817638</v>
      </c>
      <c r="M19" s="54">
        <f t="shared" si="0"/>
        <v>1.09296</v>
      </c>
      <c r="N19" s="54">
        <f t="shared" si="0"/>
        <v>1.95255432</v>
      </c>
      <c r="O19" s="54">
        <f t="shared" si="0"/>
        <v>1.183104</v>
      </c>
      <c r="P19" s="54">
        <f t="shared" si="0"/>
        <v>1.3185</v>
      </c>
      <c r="Q19" s="54">
        <f t="shared" si="0"/>
        <v>1.6066368</v>
      </c>
      <c r="R19" s="54">
        <f t="shared" si="0"/>
        <v>1.104678</v>
      </c>
    </row>
    <row r="20" ht="18" customHeight="1" spans="1:18">
      <c r="A20" s="6"/>
      <c r="B20" s="6"/>
      <c r="C20" s="6"/>
      <c r="D20" s="6"/>
      <c r="E20" s="6"/>
      <c r="F20" s="6"/>
      <c r="G20" s="6"/>
      <c r="H20" s="6"/>
      <c r="I20" s="55"/>
      <c r="K20" s="56">
        <f t="shared" ref="K20:R20" si="1">H73</f>
        <v>0.4904</v>
      </c>
      <c r="L20" s="56">
        <f t="shared" si="1"/>
        <v>0.908486666666667</v>
      </c>
      <c r="M20" s="56">
        <f t="shared" si="1"/>
        <v>1.2144</v>
      </c>
      <c r="N20" s="56">
        <f t="shared" si="1"/>
        <v>2.1695048</v>
      </c>
      <c r="O20" s="56">
        <f t="shared" si="1"/>
        <v>1.31456</v>
      </c>
      <c r="P20" s="56">
        <f t="shared" si="1"/>
        <v>1.465</v>
      </c>
      <c r="Q20" s="56">
        <f t="shared" si="1"/>
        <v>1.785152</v>
      </c>
      <c r="R20" s="56">
        <f t="shared" si="1"/>
        <v>1.22742</v>
      </c>
    </row>
    <row r="21" ht="18" customHeight="1" spans="1:10">
      <c r="A21" s="9"/>
      <c r="B21" s="10"/>
      <c r="C21" s="10"/>
      <c r="D21" s="10"/>
      <c r="E21" s="10"/>
      <c r="F21" s="10"/>
      <c r="G21" s="10"/>
      <c r="H21" s="11"/>
      <c r="I21" s="21"/>
      <c r="J21" s="25"/>
    </row>
    <row r="22" ht="18" customHeight="1" spans="1:10">
      <c r="A22" s="12"/>
      <c r="B22" s="13"/>
      <c r="C22" s="13"/>
      <c r="D22" s="13"/>
      <c r="E22" s="13"/>
      <c r="F22" s="13"/>
      <c r="G22" s="13"/>
      <c r="H22" s="14"/>
      <c r="I22" s="21"/>
      <c r="J22" s="25"/>
    </row>
    <row r="23" ht="18" customHeight="1" spans="1:10">
      <c r="A23" s="12"/>
      <c r="B23" s="13"/>
      <c r="C23" s="13"/>
      <c r="D23" s="13"/>
      <c r="E23" s="13"/>
      <c r="F23" s="13"/>
      <c r="G23" s="13"/>
      <c r="H23" s="14"/>
      <c r="I23" s="21"/>
      <c r="J23" s="21"/>
    </row>
    <row r="24" ht="18" customHeight="1" spans="1:10">
      <c r="A24" s="12"/>
      <c r="B24" s="13"/>
      <c r="C24" s="13"/>
      <c r="D24" s="13"/>
      <c r="E24" s="13"/>
      <c r="F24" s="13"/>
      <c r="G24" s="13"/>
      <c r="H24" s="14"/>
      <c r="I24" s="21"/>
      <c r="J24" s="21"/>
    </row>
    <row r="25" ht="18" customHeight="1" spans="1:10">
      <c r="A25" s="15"/>
      <c r="B25" s="16"/>
      <c r="C25" s="16"/>
      <c r="D25" s="16"/>
      <c r="E25" s="16"/>
      <c r="F25" s="16"/>
      <c r="G25" s="16"/>
      <c r="H25" s="17"/>
      <c r="I25" s="21"/>
      <c r="J25" s="21"/>
    </row>
    <row r="26" ht="18" customHeight="1"/>
    <row r="27" ht="18" customHeight="1" spans="1:7">
      <c r="A27" s="9"/>
      <c r="B27" s="10"/>
      <c r="C27" s="10"/>
      <c r="D27" s="10"/>
      <c r="E27" s="10"/>
      <c r="F27" s="10"/>
      <c r="G27" s="11"/>
    </row>
    <row r="28" ht="18" customHeight="1" spans="1:7">
      <c r="A28" s="12"/>
      <c r="B28" s="13"/>
      <c r="C28" s="13"/>
      <c r="D28" s="13"/>
      <c r="E28" s="13"/>
      <c r="F28" s="13"/>
      <c r="G28" s="14"/>
    </row>
    <row r="29" ht="18" customHeight="1" spans="1:8">
      <c r="A29" s="12"/>
      <c r="B29" s="13"/>
      <c r="C29" s="13"/>
      <c r="D29" s="13"/>
      <c r="E29" s="13"/>
      <c r="F29" s="13"/>
      <c r="G29" s="14"/>
      <c r="H29" s="18"/>
    </row>
    <row r="30" ht="18" customHeight="1" spans="1:8">
      <c r="A30" s="12"/>
      <c r="B30" s="13"/>
      <c r="C30" s="13"/>
      <c r="D30" s="13"/>
      <c r="E30" s="13"/>
      <c r="F30" s="13"/>
      <c r="G30" s="14"/>
      <c r="H30" s="18"/>
    </row>
    <row r="31" ht="18" customHeight="1" spans="1:8">
      <c r="A31" s="12"/>
      <c r="B31" s="13"/>
      <c r="C31" s="13"/>
      <c r="D31" s="13"/>
      <c r="E31" s="13"/>
      <c r="F31" s="13"/>
      <c r="G31" s="14"/>
      <c r="H31" s="18"/>
    </row>
    <row r="32" ht="18" customHeight="1" spans="1:8">
      <c r="A32" s="12"/>
      <c r="B32" s="13"/>
      <c r="C32" s="13"/>
      <c r="D32" s="13"/>
      <c r="E32" s="13"/>
      <c r="F32" s="13"/>
      <c r="G32" s="14"/>
      <c r="H32" s="18"/>
    </row>
    <row r="33" ht="18" customHeight="1" spans="1:8">
      <c r="A33" s="12"/>
      <c r="B33" s="13"/>
      <c r="C33" s="13"/>
      <c r="D33" s="13"/>
      <c r="E33" s="13"/>
      <c r="F33" s="13"/>
      <c r="G33" s="14"/>
      <c r="H33" s="18"/>
    </row>
    <row r="34" ht="18" customHeight="1" spans="1:8">
      <c r="A34" s="12"/>
      <c r="B34" s="13"/>
      <c r="C34" s="13"/>
      <c r="D34" s="13"/>
      <c r="E34" s="13"/>
      <c r="F34" s="13"/>
      <c r="G34" s="14"/>
      <c r="H34" s="18"/>
    </row>
    <row r="35" ht="18" customHeight="1" spans="1:8">
      <c r="A35" s="12"/>
      <c r="B35" s="13"/>
      <c r="C35" s="13"/>
      <c r="D35" s="13"/>
      <c r="E35" s="13"/>
      <c r="F35" s="13"/>
      <c r="G35" s="14"/>
      <c r="H35" s="18"/>
    </row>
    <row r="36" ht="18" customHeight="1" spans="1:8">
      <c r="A36" s="15"/>
      <c r="B36" s="16"/>
      <c r="C36" s="16"/>
      <c r="D36" s="16"/>
      <c r="E36" s="16"/>
      <c r="F36" s="16"/>
      <c r="G36" s="17"/>
      <c r="H36" s="18"/>
    </row>
    <row r="37" ht="18" customHeight="1" spans="2:8">
      <c r="B37" s="19"/>
      <c r="C37" s="19"/>
      <c r="D37" s="19"/>
      <c r="E37" s="19"/>
      <c r="F37" s="19"/>
      <c r="G37" s="19"/>
      <c r="H37" s="18"/>
    </row>
    <row r="38" ht="18" customHeight="1" spans="2:8">
      <c r="B38" s="19"/>
      <c r="C38" s="19"/>
      <c r="D38" s="19"/>
      <c r="E38" s="19"/>
      <c r="F38" s="19"/>
      <c r="G38" s="19"/>
      <c r="H38" s="18"/>
    </row>
    <row r="39" ht="18" customHeight="1" spans="1:8">
      <c r="A39" s="9"/>
      <c r="B39" s="10"/>
      <c r="C39" s="10"/>
      <c r="D39" s="10"/>
      <c r="E39" s="10"/>
      <c r="F39" s="10"/>
      <c r="G39" s="11"/>
      <c r="H39" s="18"/>
    </row>
    <row r="40" ht="18" customHeight="1" spans="1:7">
      <c r="A40" s="12"/>
      <c r="B40" s="13"/>
      <c r="C40" s="13"/>
      <c r="D40" s="13"/>
      <c r="E40" s="13"/>
      <c r="F40" s="13"/>
      <c r="G40" s="14"/>
    </row>
    <row r="41" ht="18" customHeight="1" spans="1:7">
      <c r="A41" s="15"/>
      <c r="B41" s="16"/>
      <c r="C41" s="16"/>
      <c r="D41" s="16"/>
      <c r="E41" s="16"/>
      <c r="F41" s="16"/>
      <c r="G41" s="17"/>
    </row>
    <row r="42" ht="18" customHeight="1"/>
    <row r="43" ht="18" customHeight="1" spans="1:10">
      <c r="A43" s="20"/>
      <c r="B43" s="20"/>
      <c r="C43" s="20"/>
      <c r="D43" s="20"/>
      <c r="E43" s="20"/>
      <c r="F43" s="20"/>
      <c r="G43" s="20"/>
      <c r="H43" s="20"/>
      <c r="I43" s="20"/>
      <c r="J43" s="20"/>
    </row>
    <row r="44" ht="18" customHeight="1" spans="1:10">
      <c r="A44" s="21"/>
      <c r="B44" s="22"/>
      <c r="C44" s="22"/>
      <c r="D44" s="22"/>
      <c r="E44" s="22"/>
      <c r="F44" s="22"/>
      <c r="G44" s="22"/>
      <c r="H44" s="22"/>
      <c r="I44" s="22"/>
      <c r="J44" s="22"/>
    </row>
    <row r="45" ht="18" customHeight="1" spans="1:10">
      <c r="A45" s="23"/>
      <c r="B45" s="24"/>
      <c r="C45" s="24"/>
      <c r="D45" s="24"/>
      <c r="E45" s="24"/>
      <c r="F45" s="24"/>
      <c r="G45" s="24"/>
      <c r="H45" s="24"/>
      <c r="I45" s="24"/>
      <c r="J45" s="24"/>
    </row>
    <row r="46" ht="18" customHeight="1" spans="1:10">
      <c r="A46" s="21"/>
      <c r="B46" s="22"/>
      <c r="C46" s="8"/>
      <c r="D46" s="8"/>
      <c r="E46" s="8"/>
      <c r="F46" s="8"/>
      <c r="G46" s="8"/>
      <c r="H46" s="8"/>
      <c r="I46" s="8"/>
      <c r="J46" s="8"/>
    </row>
    <row r="47" ht="18" customHeight="1" spans="1:10">
      <c r="A47" s="24"/>
      <c r="B47" s="25"/>
      <c r="C47" s="25"/>
      <c r="D47" s="25"/>
      <c r="E47" s="25"/>
      <c r="F47" s="25"/>
      <c r="G47" s="25"/>
      <c r="H47" s="25"/>
      <c r="I47" s="25"/>
      <c r="J47" s="25"/>
    </row>
    <row r="48" ht="18" customHeight="1" spans="1:10">
      <c r="A48" s="24"/>
      <c r="B48" s="25"/>
      <c r="C48" s="25"/>
      <c r="D48" s="25"/>
      <c r="E48" s="25"/>
      <c r="F48" s="25"/>
      <c r="G48" s="25"/>
      <c r="H48" s="25"/>
      <c r="I48" s="25"/>
      <c r="J48" s="25"/>
    </row>
    <row r="49" ht="18" customHeight="1" spans="1:10">
      <c r="A49" s="24"/>
      <c r="B49" s="25"/>
      <c r="C49" s="25"/>
      <c r="D49" s="25"/>
      <c r="E49" s="25"/>
      <c r="F49" s="25"/>
      <c r="G49" s="25"/>
      <c r="H49" s="25"/>
      <c r="I49" s="25"/>
      <c r="J49" s="25"/>
    </row>
    <row r="50" ht="18" customHeight="1" spans="1:10">
      <c r="A50" s="24"/>
      <c r="B50" s="25"/>
      <c r="C50" s="25"/>
      <c r="D50" s="25"/>
      <c r="E50" s="25"/>
      <c r="F50" s="25"/>
      <c r="G50" s="25"/>
      <c r="H50" s="25"/>
      <c r="I50" s="25"/>
      <c r="J50" s="25"/>
    </row>
    <row r="51" ht="18" customHeight="1" spans="1:10">
      <c r="A51" s="26"/>
      <c r="B51" s="26"/>
      <c r="C51" s="26"/>
      <c r="D51" s="26"/>
      <c r="E51" s="26"/>
      <c r="F51" s="26"/>
      <c r="G51" s="26"/>
      <c r="H51" s="26"/>
      <c r="I51" s="26"/>
      <c r="J51" s="26"/>
    </row>
    <row r="52" ht="18" customHeight="1" spans="1:10">
      <c r="A52" s="21"/>
      <c r="B52" s="21"/>
      <c r="C52" s="21"/>
      <c r="D52" s="21"/>
      <c r="E52" s="21"/>
      <c r="F52" s="21"/>
      <c r="G52" s="21"/>
      <c r="H52" s="21"/>
      <c r="I52" s="21"/>
      <c r="J52" s="21"/>
    </row>
    <row r="53" ht="18" customHeight="1"/>
    <row r="54" ht="18" customHeight="1" spans="1:9">
      <c r="A54" s="20" t="s">
        <v>7449</v>
      </c>
      <c r="B54" s="20"/>
      <c r="C54" s="20"/>
      <c r="D54" s="20"/>
      <c r="E54" s="20"/>
      <c r="F54" s="20"/>
      <c r="G54" s="20"/>
      <c r="H54" s="20"/>
      <c r="I54" s="20"/>
    </row>
    <row r="55" ht="18" customHeight="1" spans="1:9">
      <c r="A55" s="27" t="s">
        <v>7450</v>
      </c>
      <c r="B55" s="28"/>
      <c r="C55" s="29"/>
      <c r="D55" s="30">
        <v>5</v>
      </c>
      <c r="E55" s="31"/>
      <c r="F55" s="31"/>
      <c r="G55" s="31"/>
      <c r="H55" s="31"/>
      <c r="I55" s="57"/>
    </row>
    <row r="56" ht="18" customHeight="1" spans="1:9">
      <c r="A56" s="27" t="s">
        <v>7451</v>
      </c>
      <c r="B56" s="28"/>
      <c r="C56" s="29"/>
      <c r="D56" s="30">
        <v>3</v>
      </c>
      <c r="E56" s="31"/>
      <c r="F56" s="31"/>
      <c r="G56" s="31"/>
      <c r="H56" s="31"/>
      <c r="I56" s="57"/>
    </row>
    <row r="57" ht="18" customHeight="1" spans="1:10">
      <c r="A57" s="32" t="s">
        <v>7452</v>
      </c>
      <c r="B57" s="32"/>
      <c r="C57" s="32"/>
      <c r="D57" s="33">
        <v>500</v>
      </c>
      <c r="E57" s="32">
        <v>650</v>
      </c>
      <c r="F57" s="32">
        <v>800</v>
      </c>
      <c r="G57" s="32">
        <v>1000</v>
      </c>
      <c r="H57" s="33">
        <v>1200</v>
      </c>
      <c r="I57" s="33">
        <v>1400</v>
      </c>
      <c r="J57" s="24"/>
    </row>
    <row r="58" ht="18" customHeight="1" spans="1:10">
      <c r="A58" s="34" t="s">
        <v>7453</v>
      </c>
      <c r="B58" s="35" t="s">
        <v>7454</v>
      </c>
      <c r="C58" s="36"/>
      <c r="D58" s="37" t="s">
        <v>7455</v>
      </c>
      <c r="E58" s="37" t="s">
        <v>7456</v>
      </c>
      <c r="F58" s="37" t="s">
        <v>7457</v>
      </c>
      <c r="G58" s="37" t="s">
        <v>7458</v>
      </c>
      <c r="H58" s="37"/>
      <c r="I58" s="58"/>
      <c r="J58" s="21"/>
    </row>
    <row r="59" ht="18" customHeight="1" spans="1:10">
      <c r="A59" s="38"/>
      <c r="B59" s="39"/>
      <c r="C59" s="40"/>
      <c r="D59" s="41">
        <f>PRODUCT(D55,0.3)</f>
        <v>1.5</v>
      </c>
      <c r="E59" s="41">
        <f>PRODUCT(D55,0.4)</f>
        <v>2</v>
      </c>
      <c r="F59" s="41">
        <f>PRODUCT(D55,0.5)</f>
        <v>2.5</v>
      </c>
      <c r="G59" s="41">
        <f>PRODUCT(D55,1)</f>
        <v>5</v>
      </c>
      <c r="H59" s="37"/>
      <c r="I59" s="58"/>
      <c r="J59" s="21"/>
    </row>
    <row r="60" ht="18" customHeight="1" spans="1:10">
      <c r="A60" s="42"/>
      <c r="B60" s="35" t="s">
        <v>7459</v>
      </c>
      <c r="C60" s="36"/>
      <c r="D60" s="37" t="s">
        <v>7460</v>
      </c>
      <c r="E60" s="37" t="s">
        <v>7460</v>
      </c>
      <c r="F60" s="37" t="s">
        <v>7461</v>
      </c>
      <c r="G60" s="37" t="s">
        <v>7462</v>
      </c>
      <c r="H60" s="37" t="s">
        <v>7463</v>
      </c>
      <c r="I60" s="37" t="s">
        <v>7464</v>
      </c>
      <c r="J60" s="26"/>
    </row>
    <row r="61" ht="18" customHeight="1" spans="1:10">
      <c r="A61" s="43"/>
      <c r="B61" s="39"/>
      <c r="C61" s="40"/>
      <c r="D61" s="41">
        <f>PRODUCT(D56,0.08)</f>
        <v>0.24</v>
      </c>
      <c r="E61" s="41">
        <f>PRODUCT(D56,0.08)</f>
        <v>0.24</v>
      </c>
      <c r="F61" s="41">
        <f>PRODUCT(D56,0.09)</f>
        <v>0.27</v>
      </c>
      <c r="G61" s="41">
        <f>PRODUCT(D56,0.1)</f>
        <v>0.3</v>
      </c>
      <c r="H61" s="41">
        <f>PRODUCT(D56,0.115)</f>
        <v>0.345</v>
      </c>
      <c r="I61" s="41">
        <f>PRODUCT(D56,0.18)</f>
        <v>0.54</v>
      </c>
      <c r="J61" s="26"/>
    </row>
    <row r="62" ht="18" customHeight="1" spans="1:9">
      <c r="A62" s="44" t="s">
        <v>7465</v>
      </c>
      <c r="B62" s="24"/>
      <c r="C62" s="24"/>
      <c r="D62" s="24"/>
      <c r="E62" s="24"/>
      <c r="F62" s="24"/>
      <c r="G62" s="24"/>
      <c r="H62" s="24"/>
      <c r="I62" s="24"/>
    </row>
    <row r="63" ht="18" customHeight="1"/>
    <row r="64" ht="18" customHeight="1"/>
    <row r="65" ht="18" customHeight="1" spans="1:9">
      <c r="A65" s="13"/>
      <c r="B65" s="13"/>
      <c r="C65" s="13"/>
      <c r="D65" s="13"/>
      <c r="E65" s="13"/>
      <c r="F65" s="13"/>
      <c r="G65" s="13"/>
      <c r="H65" s="13"/>
      <c r="I65" s="13"/>
    </row>
    <row r="66" ht="18" customHeight="1" spans="1:9">
      <c r="A66" s="8"/>
      <c r="B66" s="8"/>
      <c r="C66" s="8"/>
      <c r="D66" s="24"/>
      <c r="E66" s="24"/>
      <c r="F66" s="24"/>
      <c r="G66" s="24"/>
      <c r="H66" s="24"/>
      <c r="I66" s="24"/>
    </row>
    <row r="67" ht="18" customHeight="1" spans="1:9">
      <c r="A67" s="44"/>
      <c r="B67" s="24"/>
      <c r="C67" s="24"/>
      <c r="D67" s="25"/>
      <c r="E67" s="25"/>
      <c r="F67" s="25"/>
      <c r="G67" s="25"/>
      <c r="H67" s="25"/>
      <c r="I67" s="25"/>
    </row>
    <row r="68" ht="18" customHeight="1" spans="1:9">
      <c r="A68" s="23"/>
      <c r="B68" s="24"/>
      <c r="C68" s="24"/>
      <c r="D68" s="25"/>
      <c r="E68" s="25"/>
      <c r="F68" s="25"/>
      <c r="G68" s="25"/>
      <c r="H68" s="25"/>
      <c r="I68" s="25"/>
    </row>
    <row r="69" ht="18" customHeight="1"/>
    <row r="70" ht="20.1" customHeight="1" spans="1:7">
      <c r="A70" s="59" t="s">
        <v>7466</v>
      </c>
      <c r="B70" s="59"/>
      <c r="C70" s="59"/>
      <c r="D70" s="59"/>
      <c r="E70" s="59"/>
      <c r="F70" s="59"/>
      <c r="G70" s="59"/>
    </row>
    <row r="71" ht="18" customHeight="1" spans="1:3">
      <c r="A71" s="60" t="s">
        <v>7467</v>
      </c>
      <c r="B71" s="60"/>
      <c r="C71" s="60"/>
    </row>
    <row r="72" ht="18" customHeight="1" spans="1:15">
      <c r="A72" s="32" t="s">
        <v>915</v>
      </c>
      <c r="B72" s="32" t="s">
        <v>7468</v>
      </c>
      <c r="C72" s="32"/>
      <c r="D72" s="32" t="s">
        <v>914</v>
      </c>
      <c r="E72" s="61" t="s">
        <v>2218</v>
      </c>
      <c r="F72" s="62"/>
      <c r="G72" s="63"/>
      <c r="H72" s="47" t="s">
        <v>7441</v>
      </c>
      <c r="I72" s="47" t="s">
        <v>7442</v>
      </c>
      <c r="J72" s="47" t="s">
        <v>7443</v>
      </c>
      <c r="K72" s="47" t="s">
        <v>7444</v>
      </c>
      <c r="L72" s="47" t="s">
        <v>7445</v>
      </c>
      <c r="M72" s="47" t="s">
        <v>7446</v>
      </c>
      <c r="N72" s="47" t="s">
        <v>7447</v>
      </c>
      <c r="O72" s="47" t="s">
        <v>7448</v>
      </c>
    </row>
    <row r="73" ht="18" customHeight="1" spans="1:15">
      <c r="A73" s="34" t="s">
        <v>286</v>
      </c>
      <c r="B73" s="64" t="s">
        <v>7469</v>
      </c>
      <c r="C73" s="65"/>
      <c r="D73" s="37" t="s">
        <v>596</v>
      </c>
      <c r="E73" s="56">
        <f>E75*E74/E76</f>
        <v>1.30429333333333</v>
      </c>
      <c r="F73" s="66" t="s">
        <v>7470</v>
      </c>
      <c r="G73" s="67"/>
      <c r="H73" s="56">
        <f t="shared" ref="H73:O73" si="2">H75*H74/H76</f>
        <v>0.4904</v>
      </c>
      <c r="I73" s="56">
        <f t="shared" si="2"/>
        <v>0.908486666666667</v>
      </c>
      <c r="J73" s="56">
        <f t="shared" si="2"/>
        <v>1.2144</v>
      </c>
      <c r="K73" s="56">
        <f t="shared" si="2"/>
        <v>2.1695048</v>
      </c>
      <c r="L73" s="56">
        <f t="shared" si="2"/>
        <v>1.31456</v>
      </c>
      <c r="M73" s="56">
        <f t="shared" si="2"/>
        <v>1.465</v>
      </c>
      <c r="N73" s="56">
        <f t="shared" si="2"/>
        <v>1.785152</v>
      </c>
      <c r="O73" s="56">
        <f t="shared" si="2"/>
        <v>1.22742</v>
      </c>
    </row>
    <row r="74" ht="18" customHeight="1" spans="1:15">
      <c r="A74" s="33" t="s">
        <v>204</v>
      </c>
      <c r="B74" s="58" t="s">
        <v>7471</v>
      </c>
      <c r="C74" s="58"/>
      <c r="D74" s="58"/>
      <c r="E74" s="68">
        <v>1</v>
      </c>
      <c r="F74" s="66"/>
      <c r="G74" s="69"/>
      <c r="H74" s="68">
        <v>1</v>
      </c>
      <c r="I74" s="68">
        <v>1</v>
      </c>
      <c r="J74" s="68">
        <v>1</v>
      </c>
      <c r="K74" s="68">
        <v>1</v>
      </c>
      <c r="L74" s="68">
        <v>1</v>
      </c>
      <c r="M74" s="68">
        <v>1</v>
      </c>
      <c r="N74" s="68">
        <v>1</v>
      </c>
      <c r="O74" s="68">
        <v>1</v>
      </c>
    </row>
    <row r="75" ht="18" customHeight="1" spans="1:15">
      <c r="A75" s="33" t="s">
        <v>7472</v>
      </c>
      <c r="B75" s="64" t="s">
        <v>7473</v>
      </c>
      <c r="C75" s="65"/>
      <c r="D75" s="37" t="s">
        <v>596</v>
      </c>
      <c r="E75" s="70">
        <f>J19</f>
        <v>1.173864</v>
      </c>
      <c r="F75" s="66" t="s">
        <v>7470</v>
      </c>
      <c r="G75" s="67"/>
      <c r="H75" s="70">
        <f t="shared" ref="H75:O75" si="3">K19</f>
        <v>0.44136</v>
      </c>
      <c r="I75" s="70">
        <f t="shared" si="3"/>
        <v>0.817638</v>
      </c>
      <c r="J75" s="70">
        <f t="shared" si="3"/>
        <v>1.09296</v>
      </c>
      <c r="K75" s="70">
        <f t="shared" si="3"/>
        <v>1.95255432</v>
      </c>
      <c r="L75" s="70">
        <f t="shared" si="3"/>
        <v>1.183104</v>
      </c>
      <c r="M75" s="70">
        <f t="shared" si="3"/>
        <v>1.3185</v>
      </c>
      <c r="N75" s="70">
        <f t="shared" si="3"/>
        <v>1.6066368</v>
      </c>
      <c r="O75" s="70">
        <f t="shared" si="3"/>
        <v>1.104678</v>
      </c>
    </row>
    <row r="76" ht="18" customHeight="1" spans="1:15">
      <c r="A76" s="32" t="s">
        <v>101</v>
      </c>
      <c r="B76" s="58" t="s">
        <v>7474</v>
      </c>
      <c r="C76" s="58"/>
      <c r="D76" s="58"/>
      <c r="E76" s="68">
        <v>0.9</v>
      </c>
      <c r="F76" s="71"/>
      <c r="G76" s="69"/>
      <c r="H76" s="68">
        <v>0.9</v>
      </c>
      <c r="I76" s="68">
        <v>0.9</v>
      </c>
      <c r="J76" s="68">
        <v>0.9</v>
      </c>
      <c r="K76" s="68">
        <v>0.9</v>
      </c>
      <c r="L76" s="68">
        <v>0.9</v>
      </c>
      <c r="M76" s="68">
        <v>0.9</v>
      </c>
      <c r="N76" s="68">
        <v>0.9</v>
      </c>
      <c r="O76" s="68">
        <v>0.9</v>
      </c>
    </row>
    <row r="77" ht="18" customHeight="1" spans="1:7">
      <c r="A77" s="72" t="s">
        <v>7475</v>
      </c>
      <c r="B77" s="72"/>
      <c r="C77" s="72"/>
      <c r="D77" s="72"/>
      <c r="E77" s="72"/>
      <c r="F77" s="72"/>
      <c r="G77" s="72"/>
    </row>
    <row r="78" ht="18" customHeight="1" spans="1:7">
      <c r="A78" s="73" t="s">
        <v>7476</v>
      </c>
      <c r="B78" s="73"/>
      <c r="C78" s="73"/>
      <c r="D78" s="73"/>
      <c r="E78" s="73"/>
      <c r="F78" s="73"/>
      <c r="G78" s="73"/>
    </row>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row r="340" ht="18" customHeight="1"/>
    <row r="341" ht="18" customHeight="1"/>
    <row r="342" ht="18" customHeight="1"/>
    <row r="343" ht="18" customHeight="1"/>
    <row r="344" ht="18" customHeight="1"/>
    <row r="345" ht="18" customHeight="1"/>
    <row r="346" ht="18" customHeight="1"/>
    <row r="347" ht="18" customHeight="1"/>
    <row r="348" ht="18" customHeight="1"/>
    <row r="349" ht="18" customHeight="1"/>
    <row r="350" ht="18" customHeight="1"/>
    <row r="351" ht="18" customHeight="1"/>
    <row r="352" ht="18" customHeight="1"/>
    <row r="353" ht="18" customHeight="1"/>
    <row r="354" ht="18" customHeight="1"/>
    <row r="355" ht="18" customHeight="1"/>
    <row r="356" ht="18" customHeight="1"/>
    <row r="357" ht="18" customHeight="1"/>
    <row r="358" ht="18" customHeight="1"/>
    <row r="359" ht="18" customHeight="1"/>
    <row r="360" ht="18" customHeight="1"/>
    <row r="361" ht="18" customHeight="1"/>
    <row r="362" ht="18" customHeight="1"/>
    <row r="363" ht="18" customHeight="1"/>
    <row r="364" ht="18" customHeight="1"/>
    <row r="365" ht="18" customHeight="1"/>
    <row r="366" ht="18" customHeight="1"/>
    <row r="367" ht="18" customHeight="1"/>
    <row r="368" ht="18" customHeight="1"/>
    <row r="369" ht="18" customHeight="1"/>
    <row r="370" ht="18" customHeight="1"/>
    <row r="371" ht="18" customHeight="1"/>
    <row r="372" ht="18" customHeight="1"/>
    <row r="373" ht="18" customHeight="1"/>
    <row r="374" ht="18" customHeight="1"/>
    <row r="375" ht="18" customHeight="1"/>
    <row r="376" ht="18" customHeight="1"/>
    <row r="377" ht="18" customHeight="1"/>
    <row r="378" ht="18" customHeight="1"/>
    <row r="379" ht="18" customHeight="1"/>
    <row r="380" ht="18" customHeight="1"/>
    <row r="381" ht="18" customHeight="1"/>
    <row r="382" ht="18" customHeight="1"/>
    <row r="383" ht="18" customHeight="1"/>
    <row r="384" ht="18" customHeight="1"/>
    <row r="385" ht="18" customHeight="1"/>
    <row r="386" ht="18" customHeight="1"/>
    <row r="387" ht="18" customHeight="1"/>
    <row r="388" ht="18" customHeight="1"/>
    <row r="389" ht="18" customHeight="1"/>
    <row r="390" ht="18" customHeight="1"/>
    <row r="391" ht="18" customHeight="1"/>
    <row r="392" ht="18" customHeight="1"/>
    <row r="393" ht="18" customHeight="1"/>
    <row r="394" ht="18" customHeight="1"/>
    <row r="395" ht="18" customHeight="1"/>
    <row r="396" ht="18" customHeight="1"/>
    <row r="397" ht="18" customHeight="1"/>
    <row r="398" ht="18" customHeight="1"/>
    <row r="399" ht="18" customHeight="1"/>
    <row r="400" ht="18" customHeight="1"/>
    <row r="401" ht="18" customHeight="1"/>
    <row r="402" ht="18" customHeight="1"/>
    <row r="403" ht="18" customHeight="1"/>
    <row r="404" ht="18" customHeight="1"/>
    <row r="405" ht="18" customHeight="1"/>
    <row r="406" ht="18" customHeight="1"/>
    <row r="407" ht="18" customHeight="1"/>
    <row r="408" ht="18" customHeight="1"/>
    <row r="409" ht="18" customHeight="1"/>
    <row r="410" ht="18" customHeight="1"/>
    <row r="411" ht="18" customHeight="1"/>
    <row r="412" ht="18" customHeight="1"/>
    <row r="413" ht="18" customHeight="1"/>
    <row r="414" ht="18" customHeight="1"/>
    <row r="415" ht="18" customHeight="1"/>
    <row r="416" ht="18" customHeight="1"/>
    <row r="417" ht="18" customHeight="1"/>
    <row r="418" ht="18" customHeight="1"/>
    <row r="419" ht="18" customHeight="1"/>
    <row r="420" ht="18" customHeight="1"/>
    <row r="421" ht="18" customHeight="1"/>
    <row r="422" ht="18" customHeight="1"/>
    <row r="423" ht="18" customHeight="1"/>
    <row r="424" ht="18" customHeight="1"/>
    <row r="425" ht="18" customHeight="1"/>
    <row r="426" ht="18" customHeight="1"/>
    <row r="427" ht="18" customHeight="1"/>
    <row r="428" ht="18" customHeight="1"/>
    <row r="429" ht="18" customHeight="1"/>
    <row r="430" ht="18" customHeight="1"/>
    <row r="431" ht="18" customHeight="1"/>
    <row r="432" ht="18" customHeight="1"/>
    <row r="433" ht="18" customHeight="1"/>
    <row r="434" ht="18" customHeight="1"/>
    <row r="435" ht="18" customHeight="1"/>
    <row r="436" ht="18" customHeight="1"/>
    <row r="437" ht="18" customHeight="1"/>
    <row r="438" ht="18" customHeight="1"/>
    <row r="439" ht="18" customHeight="1"/>
    <row r="440" ht="18" customHeight="1"/>
    <row r="441" ht="18" customHeight="1"/>
    <row r="442" ht="18" customHeight="1"/>
    <row r="443" ht="18" customHeight="1"/>
    <row r="444" ht="18" customHeight="1"/>
    <row r="445" ht="18" customHeight="1"/>
    <row r="446" ht="18" customHeight="1"/>
    <row r="447" ht="18" customHeight="1"/>
    <row r="448" ht="18" customHeight="1"/>
    <row r="449" ht="18" customHeight="1"/>
    <row r="450" ht="18" customHeight="1"/>
    <row r="451" ht="18" customHeight="1"/>
    <row r="452" ht="18" customHeight="1"/>
    <row r="453" ht="18" customHeight="1"/>
    <row r="454" ht="18" customHeight="1"/>
    <row r="455" ht="18" customHeight="1"/>
    <row r="456" ht="18" customHeight="1"/>
    <row r="457" ht="18" customHeight="1"/>
    <row r="458" ht="18" customHeight="1"/>
    <row r="459" ht="18" customHeight="1"/>
    <row r="460" ht="18" customHeight="1"/>
    <row r="461" ht="18" customHeight="1"/>
    <row r="462" ht="18" customHeight="1"/>
    <row r="463" ht="18" customHeight="1"/>
    <row r="464" ht="18" customHeight="1"/>
    <row r="465" ht="18" customHeight="1"/>
    <row r="466" ht="18" customHeight="1"/>
    <row r="467" ht="18" customHeight="1"/>
    <row r="468" ht="18" customHeight="1"/>
    <row r="469" ht="18" customHeight="1"/>
    <row r="470" ht="18" customHeight="1"/>
    <row r="471" ht="18" customHeight="1"/>
    <row r="472" ht="18" customHeight="1"/>
    <row r="473" ht="18" customHeight="1"/>
    <row r="474" ht="18" customHeight="1"/>
    <row r="475" ht="18" customHeight="1"/>
    <row r="476" ht="18" customHeight="1"/>
    <row r="477" ht="18" customHeight="1"/>
    <row r="478" ht="18" customHeight="1"/>
    <row r="479" ht="18" customHeight="1"/>
    <row r="480" ht="18" customHeight="1"/>
    <row r="481" ht="18" customHeight="1"/>
    <row r="482" ht="18" customHeight="1"/>
    <row r="483" ht="18" customHeight="1"/>
    <row r="484" ht="18" customHeight="1"/>
    <row r="485" ht="18" customHeight="1"/>
    <row r="486" ht="18" customHeight="1"/>
    <row r="487" ht="18" customHeight="1"/>
    <row r="488" ht="18" customHeight="1"/>
    <row r="489" ht="18" customHeight="1"/>
    <row r="490" ht="18" customHeight="1"/>
    <row r="491" ht="18" customHeight="1"/>
    <row r="492" ht="18" customHeight="1"/>
    <row r="493" ht="18" customHeight="1"/>
    <row r="494" ht="18" customHeight="1"/>
    <row r="495" ht="18" customHeight="1"/>
    <row r="496" ht="18" customHeight="1"/>
    <row r="497" ht="18" customHeight="1"/>
    <row r="498" ht="18" customHeight="1"/>
    <row r="499" ht="18" customHeight="1"/>
    <row r="500" ht="18" customHeight="1"/>
    <row r="501" ht="18" customHeight="1"/>
    <row r="502" ht="18" customHeight="1"/>
    <row r="503" ht="18" customHeight="1"/>
    <row r="504" ht="18" customHeight="1"/>
    <row r="505" ht="18" customHeight="1"/>
    <row r="506" ht="18" customHeight="1"/>
    <row r="507" ht="18" customHeight="1"/>
    <row r="508" ht="18" customHeight="1"/>
    <row r="509" ht="18" customHeight="1"/>
    <row r="510" ht="18" customHeight="1"/>
    <row r="511" ht="18" customHeight="1"/>
    <row r="512" ht="18" customHeight="1"/>
    <row r="513" ht="18" customHeight="1"/>
    <row r="514" ht="18" customHeight="1"/>
    <row r="515" ht="18" customHeight="1"/>
    <row r="516" ht="18" customHeight="1"/>
    <row r="517" ht="18" customHeight="1"/>
    <row r="518" ht="18" customHeight="1"/>
    <row r="519" ht="18" customHeight="1"/>
    <row r="520" ht="18" customHeight="1"/>
    <row r="521" ht="18" customHeight="1"/>
    <row r="522" ht="18" customHeight="1"/>
    <row r="523" ht="18" customHeight="1"/>
    <row r="524" ht="18" customHeight="1"/>
    <row r="525" ht="18" customHeight="1"/>
    <row r="526" ht="18" customHeight="1"/>
    <row r="527" ht="18" customHeight="1"/>
    <row r="528" ht="18" customHeight="1"/>
    <row r="529" ht="18" customHeight="1"/>
    <row r="530" ht="18" customHeight="1"/>
    <row r="531" ht="18" customHeight="1"/>
    <row r="532" ht="18" customHeight="1"/>
    <row r="533" ht="18" customHeight="1"/>
    <row r="534" ht="18" customHeight="1"/>
    <row r="535" ht="18" customHeight="1"/>
    <row r="536" ht="18" customHeight="1"/>
    <row r="537" ht="18" customHeight="1"/>
    <row r="538" ht="18" customHeight="1"/>
    <row r="539" ht="18" customHeight="1"/>
    <row r="540" ht="18" customHeight="1"/>
    <row r="541" ht="18" customHeight="1"/>
    <row r="542" ht="18" customHeight="1"/>
    <row r="543" ht="18" customHeight="1"/>
    <row r="544" ht="18" customHeight="1"/>
    <row r="545" ht="18" customHeight="1"/>
    <row r="546" ht="18" customHeight="1"/>
    <row r="547" ht="18" customHeight="1"/>
    <row r="548" ht="18" customHeight="1"/>
    <row r="549" ht="18" customHeight="1"/>
    <row r="550" ht="18" customHeight="1"/>
    <row r="551" ht="18" customHeight="1"/>
    <row r="552" ht="18" customHeight="1"/>
    <row r="553" ht="18" customHeight="1"/>
    <row r="554" ht="18" customHeight="1"/>
    <row r="555" ht="18" customHeight="1"/>
    <row r="556" ht="18" customHeight="1"/>
    <row r="557" ht="18" customHeight="1"/>
    <row r="558" ht="18" customHeight="1"/>
    <row r="559" ht="18" customHeight="1"/>
    <row r="560" ht="18" customHeight="1"/>
    <row r="561" ht="18" customHeight="1"/>
    <row r="562" ht="18" customHeight="1"/>
    <row r="563" ht="18" customHeight="1"/>
    <row r="564" ht="18" customHeight="1"/>
    <row r="565" ht="18" customHeight="1"/>
    <row r="566" ht="18" customHeight="1"/>
    <row r="567" ht="18" customHeight="1"/>
    <row r="568" ht="18" customHeight="1"/>
    <row r="569" ht="18" customHeight="1"/>
    <row r="570" ht="18" customHeight="1"/>
    <row r="571" ht="18" customHeight="1"/>
    <row r="572" ht="18" customHeight="1"/>
    <row r="573" ht="18" customHeight="1"/>
    <row r="574" ht="18" customHeight="1"/>
    <row r="575" ht="18" customHeight="1"/>
    <row r="576" ht="18" customHeight="1"/>
    <row r="577" ht="18" customHeight="1"/>
    <row r="578" ht="18" customHeight="1"/>
    <row r="579" ht="18" customHeight="1"/>
    <row r="580" ht="18" customHeight="1"/>
    <row r="581" ht="18" customHeight="1"/>
    <row r="582" ht="18" customHeight="1"/>
    <row r="583" ht="18" customHeight="1"/>
    <row r="584" ht="18" customHeight="1"/>
    <row r="585" ht="18" customHeight="1"/>
    <row r="586" ht="18" customHeight="1"/>
    <row r="587" ht="18" customHeight="1"/>
    <row r="588" ht="18" customHeight="1"/>
    <row r="589" ht="18" customHeight="1"/>
    <row r="590" ht="18" customHeight="1"/>
    <row r="591" ht="18" customHeight="1"/>
    <row r="592" ht="18" customHeight="1"/>
    <row r="593" ht="18" customHeight="1"/>
    <row r="594" ht="18" customHeight="1"/>
    <row r="595" ht="18" customHeight="1"/>
    <row r="596" ht="18" customHeight="1"/>
    <row r="597" ht="18" customHeight="1"/>
    <row r="598" ht="18" customHeight="1"/>
    <row r="599" ht="18" customHeight="1"/>
    <row r="600" ht="18" customHeight="1"/>
    <row r="601" ht="18" customHeight="1"/>
    <row r="602" ht="18" customHeight="1"/>
    <row r="603" ht="18" customHeight="1"/>
    <row r="604" ht="18" customHeight="1"/>
    <row r="605" ht="18" customHeight="1"/>
    <row r="606" ht="18" customHeight="1"/>
    <row r="607" ht="18" customHeight="1"/>
    <row r="608" ht="18" customHeight="1"/>
    <row r="609" ht="18" customHeight="1"/>
    <row r="610" ht="18" customHeight="1"/>
    <row r="611" ht="18" customHeight="1"/>
    <row r="612" ht="18" customHeight="1"/>
    <row r="613" ht="18" customHeight="1"/>
    <row r="614" ht="18" customHeight="1"/>
    <row r="615" ht="18" customHeight="1"/>
    <row r="616" ht="18" customHeight="1"/>
    <row r="617" ht="18" customHeight="1"/>
    <row r="618" ht="18" customHeight="1"/>
    <row r="619" ht="18" customHeight="1"/>
    <row r="620" ht="18" customHeight="1"/>
    <row r="621" ht="18" customHeight="1"/>
    <row r="622" ht="18" customHeight="1"/>
    <row r="623" ht="18" customHeight="1"/>
    <row r="624" ht="18" customHeight="1"/>
    <row r="625" ht="18" customHeight="1"/>
    <row r="626" ht="18" customHeight="1"/>
    <row r="627" ht="18" customHeight="1"/>
    <row r="628" ht="18" customHeight="1"/>
    <row r="629" ht="18" customHeight="1"/>
    <row r="630" ht="18" customHeight="1"/>
    <row r="631" ht="18" customHeight="1"/>
    <row r="632" ht="18" customHeight="1"/>
    <row r="633" ht="18" customHeight="1"/>
    <row r="634" ht="18" customHeight="1"/>
    <row r="635" ht="18" customHeight="1"/>
    <row r="636" ht="18" customHeight="1"/>
    <row r="637" ht="18" customHeight="1"/>
    <row r="638" ht="18" customHeight="1"/>
    <row r="639" ht="18" customHeight="1"/>
    <row r="640" ht="18" customHeight="1"/>
    <row r="641" ht="18" customHeight="1"/>
    <row r="642" ht="18" customHeight="1"/>
    <row r="643" ht="18" customHeight="1"/>
    <row r="644" ht="18"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sheetData>
  <mergeCells count="29">
    <mergeCell ref="A1:J1"/>
    <mergeCell ref="A2:J2"/>
    <mergeCell ref="A3:J3"/>
    <mergeCell ref="A4:J4"/>
    <mergeCell ref="A5:J5"/>
    <mergeCell ref="A6:J6"/>
    <mergeCell ref="A43:J43"/>
    <mergeCell ref="A51:J51"/>
    <mergeCell ref="A54:I54"/>
    <mergeCell ref="A55:C55"/>
    <mergeCell ref="A56:C56"/>
    <mergeCell ref="A57:C57"/>
    <mergeCell ref="B58:C58"/>
    <mergeCell ref="B60:C60"/>
    <mergeCell ref="A62:I62"/>
    <mergeCell ref="B67:C67"/>
    <mergeCell ref="B68:C68"/>
    <mergeCell ref="A70:G70"/>
    <mergeCell ref="A71:C71"/>
    <mergeCell ref="B72:C72"/>
    <mergeCell ref="E72:G72"/>
    <mergeCell ref="B73:C73"/>
    <mergeCell ref="F73:G73"/>
    <mergeCell ref="B74:C74"/>
    <mergeCell ref="B75:C75"/>
    <mergeCell ref="F75:G75"/>
    <mergeCell ref="B76:C76"/>
    <mergeCell ref="A77:G77"/>
    <mergeCell ref="A78:G78"/>
  </mergeCells>
  <hyperlinks>
    <hyperlink ref="K1" location="目录!A1" display="目录!A1"/>
  </hyperlinks>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79</vt:i4>
      </vt:variant>
    </vt:vector>
  </HeadingPairs>
  <TitlesOfParts>
    <vt:vector size="79" baseType="lpstr">
      <vt:lpstr>目录</vt:lpstr>
      <vt:lpstr>电机常识与公式推导</vt:lpstr>
      <vt:lpstr>常用电流计算公式</vt:lpstr>
      <vt:lpstr>不同形状物体惯量计算</vt:lpstr>
      <vt:lpstr>丝杠水平运动 </vt:lpstr>
      <vt:lpstr>丝杠垂直运动</vt:lpstr>
      <vt:lpstr>皮带轮间歇运动</vt:lpstr>
      <vt:lpstr>皮带轮连续运动</vt:lpstr>
      <vt:lpstr>分度盘</vt:lpstr>
      <vt:lpstr>电动机启动端压计算 </vt:lpstr>
      <vt:lpstr>小车驱动功率</vt:lpstr>
      <vt:lpstr>机器人驱动力计算</vt:lpstr>
      <vt:lpstr>角加速度</vt:lpstr>
      <vt:lpstr>步进电机惯量计算</vt:lpstr>
      <vt:lpstr>负载转矩计算 </vt:lpstr>
      <vt:lpstr>风机性能表</vt:lpstr>
      <vt:lpstr>风机相关标准</vt:lpstr>
      <vt:lpstr>鼓风机选型计算</vt:lpstr>
      <vt:lpstr>风机选型计算 </vt:lpstr>
      <vt:lpstr>风机选型计算举例</vt:lpstr>
      <vt:lpstr>伺服电机惯量计算</vt:lpstr>
      <vt:lpstr>伺服电机选型计算</vt:lpstr>
      <vt:lpstr>伺服电机参数计算</vt:lpstr>
      <vt:lpstr>伺服电机电子齿轮比计算</vt:lpstr>
      <vt:lpstr>伺服电机选型举例</vt:lpstr>
      <vt:lpstr>伺服电机容量选择</vt:lpstr>
      <vt:lpstr>电动机保护装置整定计算</vt:lpstr>
      <vt:lpstr>电力电容器保护装置整定计算</vt:lpstr>
      <vt:lpstr>电机规格</vt:lpstr>
      <vt:lpstr>Y系列电机型号参数</vt:lpstr>
      <vt:lpstr>电机功率确定程序</vt:lpstr>
      <vt:lpstr>减速机公称功率</vt:lpstr>
      <vt:lpstr>输送线电机功率计算</vt:lpstr>
      <vt:lpstr>倍速链张力、电机功率计算</vt:lpstr>
      <vt:lpstr>输送出力</vt:lpstr>
      <vt:lpstr>异步电机转矩换算</vt:lpstr>
      <vt:lpstr>变压器差动保护试验公式详解</vt:lpstr>
      <vt:lpstr>电力负荷计算表</vt:lpstr>
      <vt:lpstr>电力负荷级别分类</vt:lpstr>
      <vt:lpstr>变压器电流值计算表格</vt:lpstr>
      <vt:lpstr>变压器容量计算表</vt:lpstr>
      <vt:lpstr>用电设备的Kx、cosφ</vt:lpstr>
      <vt:lpstr>照明用电设备Kx表</vt:lpstr>
      <vt:lpstr>变压器损耗计算</vt:lpstr>
      <vt:lpstr>短路电流估算</vt:lpstr>
      <vt:lpstr>电动机起动压降</vt:lpstr>
      <vt:lpstr>无功功率补偿率qc表</vt:lpstr>
      <vt:lpstr>照度计算表</vt:lpstr>
      <vt:lpstr>电工计算器</vt:lpstr>
      <vt:lpstr>电力系统负荷计算</vt:lpstr>
      <vt:lpstr>变压器型号、参数、电压降、启动电压降综合计算表</vt:lpstr>
      <vt:lpstr>电缆载流量、电压降、启动电压降</vt:lpstr>
      <vt:lpstr>线路电压降计算表</vt:lpstr>
      <vt:lpstr>短路电流计算表</vt:lpstr>
      <vt:lpstr>开关整定值计算表</vt:lpstr>
      <vt:lpstr>短路保护分级表</vt:lpstr>
      <vt:lpstr>开关选择继保整定一览表</vt:lpstr>
      <vt:lpstr>电缆选型计算</vt:lpstr>
      <vt:lpstr>电缆与桥架负荷计算</vt:lpstr>
      <vt:lpstr>电力变压器过流、速断保护整定值计算</vt:lpstr>
      <vt:lpstr>电力负荷计算</vt:lpstr>
      <vt:lpstr>电流计算器</vt:lpstr>
      <vt:lpstr>电气安装定额</vt:lpstr>
      <vt:lpstr>电流 功率耗电量数据表</vt:lpstr>
      <vt:lpstr>电线电缆载流表</vt:lpstr>
      <vt:lpstr>桥架 计算</vt:lpstr>
      <vt:lpstr>无功功率补偿率</vt:lpstr>
      <vt:lpstr>弱电线槽计算</vt:lpstr>
      <vt:lpstr>电容器装置继电保护整定计算</vt:lpstr>
      <vt:lpstr>皮带线-动力辊筒线-中小型电机选型计算</vt:lpstr>
      <vt:lpstr>皮带机输送机计算</vt:lpstr>
      <vt:lpstr>无功补偿容量选择  </vt:lpstr>
      <vt:lpstr>电容器选型运行数据分析公式</vt:lpstr>
      <vt:lpstr>综合布线计算书</vt:lpstr>
      <vt:lpstr>避雷针</vt:lpstr>
      <vt:lpstr>齿轮齿条电机选型</vt:lpstr>
      <vt:lpstr>倍速链线马达功率计算</vt:lpstr>
      <vt:lpstr>减速机选型计算</vt:lpstr>
      <vt:lpstr>传动滚筒轴功率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netpe09</dc:creator>
  <cp:lastModifiedBy>.</cp:lastModifiedBy>
  <dcterms:created xsi:type="dcterms:W3CDTF">1996-12-17T01:32:00Z</dcterms:created>
  <cp:lastPrinted>2006-12-20T10:31:00Z</cp:lastPrinted>
  <dcterms:modified xsi:type="dcterms:W3CDTF">2021-11-13T03:18:38Z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2052-11.1.0.11045</vt:lpwstr>
  </property>
  <property fmtid="{D5CDD505-2E9C-101B-9397-08002B2CF9AE}" pid="3" name="ICV">
    <vt:lpwstr>8AE8B24B998546CD9CF896B3619B8DED</vt:lpwstr>
  </property>
</Properties>
</file>