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sadmin 3\Downloads\"/>
    </mc:Choice>
  </mc:AlternateContent>
  <xr:revisionPtr revIDLastSave="0" documentId="13_ncr:1_{5D5B8FD6-D6EC-4C03-BF3B-A0DB24D5184A}" xr6:coauthVersionLast="45" xr6:coauthVersionMax="45" xr10:uidLastSave="{00000000-0000-0000-0000-000000000000}"/>
  <bookViews>
    <workbookView xWindow="-120" yWindow="-120" windowWidth="29040" windowHeight="15720" tabRatio="875" firstSheet="7" activeTab="8" xr2:uid="{00000000-000D-0000-FFFF-FFFF00000000}"/>
  </bookViews>
  <sheets>
    <sheet name="8.1" sheetId="1" r:id="rId1"/>
    <sheet name="8.2" sheetId="2" r:id="rId2"/>
    <sheet name="8.3" sheetId="3" r:id="rId3"/>
    <sheet name="8.4" sheetId="4" r:id="rId4"/>
    <sheet name="9.1-9.2" sheetId="5" r:id="rId5"/>
    <sheet name="9.3" sheetId="24" r:id="rId6"/>
    <sheet name="10.1" sheetId="6" r:id="rId7"/>
    <sheet name="10.2" sheetId="7" r:id="rId8"/>
    <sheet name="11.1" sheetId="9" r:id="rId9"/>
    <sheet name="Квартал (11.2)" sheetId="10" r:id="rId10"/>
    <sheet name="Зависимости (11.3)" sheetId="13" r:id="rId11"/>
    <sheet name="Подбор параметра (12.1)" sheetId="14" r:id="rId12"/>
    <sheet name="Штатное расписание 1 (12.2)" sheetId="15" r:id="rId13"/>
    <sheet name="13.1" sheetId="20" r:id="rId14"/>
    <sheet name="13.2" sheetId="21" r:id="rId15"/>
    <sheet name="Проект 1 (14.1)" sheetId="16" r:id="rId16"/>
    <sheet name="Проект 2 (14.2)" sheetId="18" r:id="rId17"/>
    <sheet name="Срок окупаемости (14.3)" sheetId="19" r:id="rId18"/>
    <sheet name="16.1" sheetId="22" r:id="rId19"/>
    <sheet name="16.2" sheetId="23" r:id="rId20"/>
    <sheet name="16.3" sheetId="26" r:id="rId21"/>
  </sheets>
  <definedNames>
    <definedName name="_xlnm._FilterDatabase" localSheetId="0" hidden="1">'8.1'!$A$3:$D$11</definedName>
    <definedName name="_xlnm._FilterDatabase" localSheetId="3" hidden="1">'8.4'!$B$4:$B$12</definedName>
    <definedName name="Ставка">'13.1'!$C$3</definedName>
  </definedNames>
  <calcPr calcId="18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6" l="1"/>
  <c r="F8" i="26"/>
  <c r="F7" i="26"/>
  <c r="F6" i="26"/>
  <c r="F5" i="26"/>
  <c r="F4" i="26"/>
  <c r="F5" i="23"/>
  <c r="F6" i="23"/>
  <c r="F7" i="23"/>
  <c r="F8" i="23"/>
  <c r="F4" i="23"/>
  <c r="D4" i="13"/>
  <c r="D7" i="13"/>
  <c r="D9" i="13"/>
  <c r="D11" i="13"/>
  <c r="D13" i="13"/>
  <c r="D15" i="13"/>
  <c r="D17" i="13"/>
  <c r="D20" i="13"/>
  <c r="D22" i="13"/>
  <c r="D23" i="13"/>
  <c r="E6" i="22"/>
  <c r="E5" i="22"/>
  <c r="E4" i="22"/>
  <c r="B11" i="21"/>
  <c r="C11" i="21"/>
  <c r="B12" i="21"/>
  <c r="C12" i="21"/>
  <c r="B13" i="21"/>
  <c r="C13" i="21"/>
  <c r="B14" i="21"/>
  <c r="C14" i="21"/>
  <c r="B15" i="21"/>
  <c r="C15" i="21"/>
  <c r="C10" i="21"/>
  <c r="B10" i="21"/>
  <c r="E20" i="20"/>
  <c r="E19" i="20"/>
  <c r="C7" i="20"/>
  <c r="D7" i="20"/>
  <c r="H7" i="20"/>
  <c r="C8" i="20"/>
  <c r="D8" i="20"/>
  <c r="H8" i="20"/>
  <c r="C9" i="20"/>
  <c r="D9" i="20"/>
  <c r="H9" i="20"/>
  <c r="C10" i="20"/>
  <c r="D10" i="20"/>
  <c r="H10" i="20"/>
  <c r="D11" i="20"/>
  <c r="H11" i="20"/>
  <c r="D12" i="20"/>
  <c r="H12" i="20"/>
  <c r="D13" i="20"/>
  <c r="H13" i="20"/>
  <c r="D14" i="20"/>
  <c r="H14" i="20"/>
  <c r="D15" i="20"/>
  <c r="H15" i="20"/>
  <c r="D16" i="20"/>
  <c r="H16" i="20"/>
  <c r="D17" i="20"/>
  <c r="H17" i="20"/>
  <c r="C6" i="20"/>
  <c r="H6" i="20"/>
  <c r="F6" i="20"/>
  <c r="G6" i="20"/>
  <c r="F7" i="20"/>
  <c r="G7" i="20"/>
  <c r="F8" i="20"/>
  <c r="G8" i="20"/>
  <c r="F9" i="20"/>
  <c r="G9" i="20"/>
  <c r="F10" i="20"/>
  <c r="G10" i="20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E5" i="19"/>
  <c r="E6" i="19"/>
  <c r="E7" i="19"/>
  <c r="E10" i="19"/>
  <c r="C5" i="19"/>
  <c r="C6" i="19"/>
  <c r="C10" i="19"/>
  <c r="C7" i="19"/>
  <c r="C8" i="19"/>
  <c r="E8" i="19"/>
  <c r="H6" i="18"/>
  <c r="G6" i="18"/>
  <c r="F6" i="18"/>
  <c r="E6" i="18"/>
  <c r="D6" i="18"/>
  <c r="C6" i="18"/>
  <c r="C6" i="16"/>
  <c r="H6" i="16"/>
  <c r="D6" i="16"/>
  <c r="E6" i="16"/>
  <c r="F6" i="16"/>
  <c r="G6" i="16"/>
  <c r="D7" i="15"/>
  <c r="F7" i="15"/>
  <c r="D8" i="15"/>
  <c r="F8" i="15"/>
  <c r="D9" i="15"/>
  <c r="F9" i="15"/>
  <c r="D10" i="15"/>
  <c r="F10" i="15"/>
  <c r="D11" i="15"/>
  <c r="F11" i="15"/>
  <c r="D12" i="15"/>
  <c r="F12" i="15"/>
  <c r="D13" i="15"/>
  <c r="F13" i="15"/>
  <c r="D6" i="15"/>
  <c r="F6" i="15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C20" i="14"/>
  <c r="C19" i="14"/>
  <c r="C18" i="14"/>
  <c r="D16" i="14"/>
  <c r="E16" i="14"/>
  <c r="F16" i="14"/>
  <c r="G16" i="14"/>
  <c r="E5" i="10"/>
  <c r="F5" i="10"/>
  <c r="F6" i="10"/>
  <c r="E7" i="10"/>
  <c r="F7" i="10"/>
  <c r="E8" i="10"/>
  <c r="F8" i="10"/>
  <c r="F9" i="10"/>
  <c r="E10" i="10"/>
  <c r="F10" i="10"/>
  <c r="F11" i="10"/>
  <c r="E12" i="10"/>
  <c r="F12" i="10"/>
  <c r="F13" i="10"/>
  <c r="E14" i="10"/>
  <c r="F14" i="10"/>
  <c r="F15" i="10"/>
  <c r="E16" i="10"/>
  <c r="F16" i="10"/>
  <c r="F17" i="10"/>
  <c r="E18" i="10"/>
  <c r="F18" i="10"/>
  <c r="F19" i="10"/>
  <c r="E20" i="10"/>
  <c r="F20" i="10"/>
  <c r="E21" i="10"/>
  <c r="F21" i="10"/>
  <c r="F22" i="10"/>
  <c r="E23" i="10"/>
  <c r="F23" i="10"/>
  <c r="F25" i="10"/>
  <c r="E6" i="10"/>
  <c r="E9" i="10"/>
  <c r="E11" i="10"/>
  <c r="E13" i="10"/>
  <c r="E15" i="10"/>
  <c r="E17" i="10"/>
  <c r="E19" i="10"/>
  <c r="E22" i="10"/>
  <c r="E25" i="10"/>
  <c r="D6" i="10"/>
  <c r="D9" i="10"/>
  <c r="D11" i="10"/>
  <c r="D13" i="10"/>
  <c r="D15" i="10"/>
  <c r="D17" i="10"/>
  <c r="D19" i="10"/>
  <c r="D22" i="10"/>
  <c r="D25" i="10"/>
  <c r="F24" i="10"/>
  <c r="E24" i="10"/>
  <c r="D24" i="10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5" i="9"/>
  <c r="F5" i="9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G14" i="7"/>
  <c r="C6" i="6"/>
  <c r="C8" i="6"/>
  <c r="C10" i="6"/>
  <c r="C7" i="6"/>
  <c r="C9" i="6"/>
  <c r="C11" i="6"/>
  <c r="D16" i="4"/>
  <c r="C16" i="4"/>
  <c r="D15" i="4"/>
  <c r="C15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F21" i="3"/>
  <c r="F15" i="3"/>
  <c r="F14" i="3"/>
  <c r="F13" i="3"/>
  <c r="F12" i="3"/>
  <c r="F11" i="3"/>
  <c r="F10" i="3"/>
  <c r="F9" i="3"/>
  <c r="F8" i="3"/>
  <c r="F7" i="3"/>
  <c r="F6" i="3"/>
  <c r="F5" i="3"/>
  <c r="F4" i="3"/>
  <c r="C11" i="1"/>
  <c r="B11" i="1"/>
  <c r="D10" i="1"/>
  <c r="D9" i="1"/>
  <c r="D8" i="1"/>
  <c r="D7" i="1"/>
  <c r="D6" i="1"/>
  <c r="D5" i="1"/>
  <c r="D4" i="1"/>
  <c r="D13" i="1"/>
  <c r="D11" i="6"/>
  <c r="E11" i="6"/>
  <c r="H11" i="6"/>
  <c r="D9" i="6"/>
  <c r="E9" i="6"/>
  <c r="H9" i="6"/>
  <c r="D7" i="6"/>
  <c r="E7" i="6"/>
  <c r="H7" i="6"/>
  <c r="D10" i="6"/>
  <c r="E10" i="6"/>
  <c r="H10" i="6"/>
  <c r="D8" i="6"/>
  <c r="E8" i="6"/>
  <c r="H8" i="6"/>
  <c r="D6" i="6"/>
  <c r="E6" i="6"/>
  <c r="H6" i="6"/>
  <c r="F20" i="3"/>
  <c r="F19" i="3"/>
  <c r="F18" i="3"/>
  <c r="F16" i="4"/>
  <c r="F15" i="4"/>
  <c r="F12" i="4"/>
  <c r="F23" i="13"/>
  <c r="E23" i="13"/>
  <c r="F22" i="13"/>
  <c r="F21" i="13"/>
  <c r="E21" i="13"/>
  <c r="E22" i="13"/>
  <c r="F20" i="13"/>
  <c r="F18" i="13"/>
  <c r="E18" i="13"/>
  <c r="E20" i="13"/>
  <c r="F19" i="13"/>
  <c r="E19" i="13"/>
  <c r="F17" i="13"/>
  <c r="F16" i="13"/>
  <c r="E16" i="13"/>
  <c r="E17" i="13"/>
  <c r="F15" i="13"/>
  <c r="F14" i="13"/>
  <c r="E14" i="13"/>
  <c r="E15" i="13"/>
  <c r="F13" i="13"/>
  <c r="F12" i="13"/>
  <c r="E12" i="13"/>
  <c r="E13" i="13"/>
  <c r="F11" i="13"/>
  <c r="F10" i="13"/>
  <c r="E10" i="13"/>
  <c r="E11" i="13"/>
  <c r="F9" i="13"/>
  <c r="F8" i="13"/>
  <c r="E8" i="13"/>
  <c r="E9" i="13"/>
  <c r="F7" i="13"/>
  <c r="F5" i="13"/>
  <c r="E5" i="13"/>
  <c r="E7" i="13"/>
  <c r="F6" i="13"/>
  <c r="E6" i="13"/>
  <c r="E4" i="13"/>
  <c r="E3" i="13"/>
  <c r="F3" i="13"/>
  <c r="F4" i="13"/>
</calcChain>
</file>

<file path=xl/sharedStrings.xml><?xml version="1.0" encoding="utf-8"?>
<sst xmlns="http://schemas.openxmlformats.org/spreadsheetml/2006/main" count="432" uniqueCount="231">
  <si>
    <t>Финансовая сводка за неделю (тыс. р.)</t>
  </si>
  <si>
    <t>День недели</t>
  </si>
  <si>
    <t>Доход</t>
  </si>
  <si>
    <t>Расход</t>
  </si>
  <si>
    <t>Финансовый результат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</si>
  <si>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</si>
  <si>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</si>
  <si>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</si>
  <si>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</si>
  <si>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</si>
  <si>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</si>
  <si>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</si>
  <si>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 знач</t>
  </si>
  <si>
    <t>Общий финансовый результат за неделю</t>
  </si>
  <si>
    <t>Анализ продаж</t>
  </si>
  <si>
    <t>№п/п</t>
  </si>
  <si>
    <t>Наименование</t>
  </si>
  <si>
    <t>Цена, р.</t>
  </si>
  <si>
    <t>Кол-во</t>
  </si>
  <si>
    <t>Сумма, р.</t>
  </si>
  <si>
    <t>Прибор контроля и управления С2000M</t>
  </si>
  <si>
    <t>Релейный блок, вер. 1.30 С2000-СП1</t>
  </si>
  <si>
    <t>Прибор приемно-контрольный «Сигнал-20М»</t>
  </si>
  <si>
    <t>РИП-12</t>
  </si>
  <si>
    <t>Контроллер двухпроводной</t>
  </si>
  <si>
    <t>Извещатель пожарный дымовой</t>
  </si>
  <si>
    <t>Оповещатель звуковой (сирена) «Маяк 24-3М»</t>
  </si>
  <si>
    <t>Оповещатель световой «ВЫХОД»</t>
  </si>
  <si>
    <t>Всего:</t>
  </si>
  <si>
    <t xml:space="preserve">Минимальная сумма покупки
</t>
  </si>
  <si>
    <t>Максимальная сумма покупки</t>
  </si>
  <si>
    <t>ВЕДОМОСТЬ УЧЕТА БРАКА</t>
  </si>
  <si>
    <t>Месяц</t>
  </si>
  <si>
    <t>ФИО</t>
  </si>
  <si>
    <t>Табельный номер</t>
  </si>
  <si>
    <t>Процент брака</t>
  </si>
  <si>
    <t>Сумма зарплаты</t>
  </si>
  <si>
    <t>Сумма брака</t>
  </si>
  <si>
    <t>Январь</t>
  </si>
  <si>
    <t>Иванов</t>
  </si>
  <si>
    <t>Февраль</t>
  </si>
  <si>
    <t>Петус</t>
  </si>
  <si>
    <t>Март</t>
  </si>
  <si>
    <t>Сидоров</t>
  </si>
  <si>
    <t>Апрель</t>
  </si>
  <si>
    <t>Паньчук</t>
  </si>
  <si>
    <t>Май</t>
  </si>
  <si>
    <t>Вася</t>
  </si>
  <si>
    <t>Июнь</t>
  </si>
  <si>
    <t>Борис</t>
  </si>
  <si>
    <t>Июль</t>
  </si>
  <si>
    <t>Вадим</t>
  </si>
  <si>
    <t>Август</t>
  </si>
  <si>
    <t>Федор</t>
  </si>
  <si>
    <t>Сентябрь</t>
  </si>
  <si>
    <t>Тимур</t>
  </si>
  <si>
    <t>Октябрь</t>
  </si>
  <si>
    <t>Пирог</t>
  </si>
  <si>
    <t>Ноябрь</t>
  </si>
  <si>
    <t>Светов</t>
  </si>
  <si>
    <t>Декабрь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</si>
  <si>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</si>
  <si>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</si>
  <si>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</si>
  <si>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</si>
  <si>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</si>
  <si>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</si>
  <si>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</si>
  <si>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</si>
  <si>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Продажи</t>
  </si>
  <si>
    <t>Вырочка от продажи (р.)</t>
  </si>
  <si>
    <t>Безналичные платежи (шт.)</t>
  </si>
  <si>
    <t>Наличные платежи (шт.)</t>
  </si>
  <si>
    <t>Всего (шт.)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</si>
  <si>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</si>
  <si>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</si>
  <si>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</si>
  <si>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</si>
  <si>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</si>
  <si>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</si>
  <si>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</si>
  <si>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</si>
  <si>
    <t>Итого</t>
  </si>
  <si>
    <t>Максимальные продажи</t>
  </si>
  <si>
    <t>Минимальные продажи</t>
  </si>
  <si>
    <t>Численность населения</t>
  </si>
  <si>
    <t>Год</t>
  </si>
  <si>
    <t>Численность (млн чел.)</t>
  </si>
  <si>
    <t>―</t>
  </si>
  <si>
    <t/>
  </si>
  <si>
    <t>Рекламное агентство</t>
  </si>
  <si>
    <t>Стоимость расходов</t>
  </si>
  <si>
    <t>Стоимость полиграфии</t>
  </si>
  <si>
    <t>Площадь рекламы</t>
  </si>
  <si>
    <t>Общая концепция</t>
  </si>
  <si>
    <t>Соц компонент</t>
  </si>
  <si>
    <t>Мотивация</t>
  </si>
  <si>
    <t>Тех расходы</t>
  </si>
  <si>
    <t>А</t>
  </si>
  <si>
    <t>Б</t>
  </si>
  <si>
    <t>Д</t>
  </si>
  <si>
    <t>Ра</t>
  </si>
  <si>
    <t>Ре</t>
  </si>
  <si>
    <t>С</t>
  </si>
  <si>
    <t>% скидки</t>
  </si>
  <si>
    <t>Курс доллара</t>
  </si>
  <si>
    <t>Товар</t>
  </si>
  <si>
    <t>Цена, долл.</t>
  </si>
  <si>
    <t>Кол-во, шт.</t>
  </si>
  <si>
    <t>Стоимость, долл.</t>
  </si>
  <si>
    <t>Скидка, долл.</t>
  </si>
  <si>
    <t>Общ. стоимость, долл.</t>
  </si>
  <si>
    <t>Общ. стоимость, р.</t>
  </si>
  <si>
    <t>Батарейка</t>
  </si>
  <si>
    <t>карандаши</t>
  </si>
  <si>
    <t>Ручка</t>
  </si>
  <si>
    <t>Линейка</t>
  </si>
  <si>
    <t>Точилка</t>
  </si>
  <si>
    <t>Ластик</t>
  </si>
  <si>
    <t>Бумага А4</t>
  </si>
  <si>
    <t>Итог</t>
  </si>
  <si>
    <t>ЗА ЯНВАРЬ</t>
  </si>
  <si>
    <t>Оклад, р.</t>
  </si>
  <si>
    <t>Премия, р.</t>
  </si>
  <si>
    <t>Всего нач. р.</t>
  </si>
  <si>
    <t>Удержания, р.</t>
  </si>
  <si>
    <t>К выдаче, р.</t>
  </si>
  <si>
    <t>Петров И.Л.</t>
  </si>
  <si>
    <t>Степанов А.Ш.</t>
  </si>
  <si>
    <t>Галкив В.Ж.</t>
  </si>
  <si>
    <t>Портнов М Т.</t>
  </si>
  <si>
    <t>Степкина А В.</t>
  </si>
  <si>
    <t>Жарова Г.А.</t>
  </si>
  <si>
    <t>Дрынкина Г.А.</t>
  </si>
  <si>
    <t>Шашкия Р Н.</t>
  </si>
  <si>
    <t>Стелков Р.Х.</t>
  </si>
  <si>
    <t>Иванов И Г.</t>
  </si>
  <si>
    <t>Шорохов С.М</t>
  </si>
  <si>
    <t>Макс доход</t>
  </si>
  <si>
    <t>Мин доход</t>
  </si>
  <si>
    <t>Ср доход</t>
  </si>
  <si>
    <t>Подразделение</t>
  </si>
  <si>
    <t>Бухгалтерия</t>
  </si>
  <si>
    <t>Отдел менеджмента</t>
  </si>
  <si>
    <t>Отдел реализации</t>
  </si>
  <si>
    <t>Бухгалтерия Итог</t>
  </si>
  <si>
    <t>Отдел менеджмента Итог</t>
  </si>
  <si>
    <t>Отдел реализации Итог</t>
  </si>
  <si>
    <t>Общий итог</t>
  </si>
  <si>
    <t>Штатное расписание фирмы</t>
  </si>
  <si>
    <t>Зп. Курьера</t>
  </si>
  <si>
    <t>Должность</t>
  </si>
  <si>
    <t>Коэф А</t>
  </si>
  <si>
    <t>Коэф В</t>
  </si>
  <si>
    <t>Зп. Сотрудника</t>
  </si>
  <si>
    <t>Кол-во сотрудников</t>
  </si>
  <si>
    <t>Суммарная зп. р.</t>
  </si>
  <si>
    <t>Курьер</t>
  </si>
  <si>
    <t>Младший менеджер</t>
  </si>
  <si>
    <t>Менеджер</t>
  </si>
  <si>
    <t>Зав. Отделом</t>
  </si>
  <si>
    <t>Глав. Бух.</t>
  </si>
  <si>
    <t>Программист</t>
  </si>
  <si>
    <t>Сис. Аналитик</t>
  </si>
  <si>
    <t>Ген. Директор</t>
  </si>
  <si>
    <t>Денежный поток "Проект 1" (краткосрочный проект), тыс. р.</t>
  </si>
  <si>
    <t>№</t>
  </si>
  <si>
    <t>Период</t>
  </si>
  <si>
    <t>Показатель</t>
  </si>
  <si>
    <t>Денежный поток</t>
  </si>
  <si>
    <t>Процентная ставка</t>
  </si>
  <si>
    <t>Доход проекта</t>
  </si>
  <si>
    <t>Всего</t>
  </si>
  <si>
    <t>Денежный поток "Проект 2" (долгострочный проект), тыс. р.</t>
  </si>
  <si>
    <t>Дисконтированные денежные потоки проектов, тыс р.</t>
  </si>
  <si>
    <t>Проект 1</t>
  </si>
  <si>
    <t>Проект 2</t>
  </si>
  <si>
    <t>Доход проектра</t>
  </si>
  <si>
    <t>Накоплений</t>
  </si>
  <si>
    <t>Срок окупаемости</t>
  </si>
  <si>
    <t>Оценка рекламной кампании</t>
  </si>
  <si>
    <t>Рыночная процентная ставка (J)</t>
  </si>
  <si>
    <t>Месяц (n)</t>
  </si>
  <si>
    <t>Расходы по рекламному А(0) (р.)</t>
  </si>
  <si>
    <t>Текущая стоимость расходов на рекламу A(n) (р.)</t>
  </si>
  <si>
    <t>Расходы на рекламу нарастающим итогом(р.)</t>
  </si>
  <si>
    <t>Сумма покрытия B(0) (р.)</t>
  </si>
  <si>
    <t>Текущая стоимость покрытия B(п) (поступающих доходов) (р.)</t>
  </si>
  <si>
    <t>Сумма покрытия нарастающим итогом (р.)</t>
  </si>
  <si>
    <t>Сальдо дисконтированных денежных потоков нарастающим итогом (р.)</t>
  </si>
  <si>
    <t>Количество месяцев, в которых имеется сумма покрытия</t>
  </si>
  <si>
    <t>Количество месяцев, в которых сумма покрытия больше 100 000 р.</t>
  </si>
  <si>
    <t>Накопление финансовых средств фирмы, р.</t>
  </si>
  <si>
    <t>Расчет наращенной суммы вклада, р.</t>
  </si>
  <si>
    <t>A(0)</t>
  </si>
  <si>
    <t>Период, n</t>
  </si>
  <si>
    <t>A(n), расчет по формуле, р.</t>
  </si>
  <si>
    <t>A(n), расчет функций БС, р.</t>
  </si>
  <si>
    <t>Сотрудники отдела</t>
  </si>
  <si>
    <t>Отдел</t>
  </si>
  <si>
    <t>ФИО сотрудника</t>
  </si>
  <si>
    <t>Отдел раелизации</t>
  </si>
  <si>
    <t>Число заключенных браков в России</t>
  </si>
  <si>
    <t>Число браков (млн чел.)</t>
  </si>
  <si>
    <t>Валовой внутренний продукт стран</t>
  </si>
  <si>
    <t>Страна</t>
  </si>
  <si>
    <t>ВВП (млрд долл.)</t>
  </si>
  <si>
    <t>Континент</t>
  </si>
  <si>
    <t>Общий ВВП (млрд долл.)</t>
  </si>
  <si>
    <t>США</t>
  </si>
  <si>
    <t>Северная Америка</t>
  </si>
  <si>
    <t>Европа</t>
  </si>
  <si>
    <t>Япония</t>
  </si>
  <si>
    <t>Азия</t>
  </si>
  <si>
    <t>Германия</t>
  </si>
  <si>
    <t>Китай</t>
  </si>
  <si>
    <t>Южная Америка</t>
  </si>
  <si>
    <t>Великобритания</t>
  </si>
  <si>
    <t>Океания</t>
  </si>
  <si>
    <t>Франция</t>
  </si>
  <si>
    <t>Италия</t>
  </si>
  <si>
    <t>Канада</t>
  </si>
  <si>
    <t>Испания</t>
  </si>
  <si>
    <t>Бразилия</t>
  </si>
  <si>
    <t>Россия</t>
  </si>
  <si>
    <t>Индия</t>
  </si>
  <si>
    <t>Южная Корея</t>
  </si>
  <si>
    <t>Мексика</t>
  </si>
  <si>
    <t>Австралия</t>
  </si>
  <si>
    <t>Нидерланды</t>
  </si>
  <si>
    <t>Тайвань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</si>
</sst>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.00\ &quot;₽&quot;"/>
    <numFmt numFmtId="166" formatCode="_-[$$-409]* #,##0.00_ ;_-[$$-409]* \-#,##0.00\ ;_-[$$-409]* &quot;-&quot;??_ ;_-@_ "/>
  </numFmts>
  <fonts count="2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theme="1"/>
      <name val="Times New Roman"/>
    </font>
    <font>
      <sz val="11"/>
      <color rgb="FF006100"/>
      <name val="Calibri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sz val="10"/>
      <color theme="1"/>
      <name val="Calibri"/>
    </font>
    <font>
      <sz val="11"/>
      <color rgb="FF006100"/>
      <name val="Calibri"/>
      <charset val="204"/>
      <scheme val="minor"/>
    </font>
    <font>
      <sz val="10"/>
      <color theme="1"/>
      <name val="Calibri"/>
      <scheme val="minor"/>
    </font>
    <font>
      <sz val="10"/>
      <color rgb="FF006100"/>
      <name val="Calibri"/>
      <charset val="204"/>
      <scheme val="minor"/>
    </font>
    <font>
      <b/>
      <sz val="10"/>
      <color theme="1"/>
      <name val="Calibri"/>
      <scheme val="minor"/>
    </font>
    <font>
      <sz val="11"/>
      <color rgb="FF000000"/>
      <name val="Aptos Narrow"/>
      <charset val="1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15">
    <xf numFmtId="0" fontId="3" fillId="0" borderId="0" xfId="0" applyFont="1"/>
    <xf numFmtId="0" fontId="5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164" fontId="6" fillId="2" borderId="1" xfId="0" applyNumberFormat="1" applyFont="1" applyFill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wrapText="1"/>
    </xf>
    <xf numFmtId="4" fontId="9" fillId="0" borderId="1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4" fontId="9" fillId="0" borderId="0" xfId="0" applyNumberFormat="1" applyFont="1" applyBorder="1" applyAlignment="1">
      <alignment horizontal="center" wrapText="1"/>
    </xf>
    <xf numFmtId="0" fontId="11" fillId="0" borderId="0" xfId="0" applyFont="1"/>
    <xf numFmtId="0" fontId="11" fillId="0" borderId="1" xfId="0" applyFont="1" applyBorder="1"/>
    <xf numFmtId="9" fontId="12" fillId="2" borderId="1" xfId="1" applyNumberFormat="1" applyFont="1" applyBorder="1"/>
    <xf numFmtId="0" fontId="11" fillId="0" borderId="1" xfId="0" applyFont="1" applyBorder="1" applyAlignment="1">
      <alignment wrapText="1"/>
    </xf>
    <xf numFmtId="165" fontId="12" fillId="2" borderId="1" xfId="1" applyNumberFormat="1" applyFont="1" applyBorder="1"/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2" fontId="11" fillId="0" borderId="1" xfId="0" applyNumberFormat="1" applyFont="1" applyBorder="1"/>
    <xf numFmtId="166" fontId="11" fillId="0" borderId="1" xfId="0" applyNumberFormat="1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/>
    <xf numFmtId="165" fontId="11" fillId="0" borderId="1" xfId="0" applyNumberFormat="1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/>
    <xf numFmtId="0" fontId="14" fillId="0" borderId="1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/>
    <xf numFmtId="4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9" fontId="3" fillId="0" borderId="4" xfId="0" applyNumberFormat="1" applyFont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 applyBorder="1"/>
    <xf numFmtId="0" fontId="3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18" fillId="0" borderId="0" xfId="0" applyFont="1"/>
    <xf numFmtId="0" fontId="18" fillId="0" borderId="8" xfId="0" applyFont="1" applyBorder="1"/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0" fillId="0" borderId="0" xfId="0" applyFont="1"/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/>
    <xf numFmtId="10" fontId="20" fillId="0" borderId="0" xfId="0" applyNumberFormat="1" applyFont="1"/>
    <xf numFmtId="4" fontId="20" fillId="0" borderId="0" xfId="0" applyNumberFormat="1" applyFont="1"/>
    <xf numFmtId="10" fontId="20" fillId="0" borderId="8" xfId="0" applyNumberFormat="1" applyFont="1" applyBorder="1" applyAlignment="1">
      <alignment horizontal="center" vertical="center"/>
    </xf>
    <xf numFmtId="4" fontId="20" fillId="0" borderId="8" xfId="0" applyNumberFormat="1" applyFont="1" applyBorder="1"/>
    <xf numFmtId="0" fontId="20" fillId="0" borderId="8" xfId="0" applyFont="1" applyBorder="1" applyAlignment="1">
      <alignment horizontal="center"/>
    </xf>
    <xf numFmtId="2" fontId="20" fillId="0" borderId="8" xfId="0" applyNumberFormat="1" applyFont="1" applyBorder="1"/>
    <xf numFmtId="3" fontId="20" fillId="0" borderId="8" xfId="0" applyNumberFormat="1" applyFont="1" applyBorder="1"/>
    <xf numFmtId="0" fontId="3" fillId="0" borderId="8" xfId="0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Border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2"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'8.1'!$A$5:$A$10</c:f>
              <c:strCache>
                <c:ptCount val="6"/>
                <c:pt idx="0">
                  <c:v>Вторник</c:v>
                </c:pt>
                <c:pt idx="1">
                  <c:v>Среда</c:v>
                </c:pt>
                <c:pt idx="2">
                  <c:v>Четверг</c:v>
                </c:pt>
                <c:pt idx="3">
                  <c:v>Пятница</c:v>
                </c:pt>
                <c:pt idx="4">
                  <c:v>Суббота</c:v>
                </c:pt>
                <c:pt idx="5">
                  <c:v>Воскресенье</c:v>
                </c:pt>
              </c:strCache>
            </c:strRef>
          </c:cat>
          <c:val>
            <c:numRef>
              <c:f>'8.1'!$D$4:$D$10</c:f>
              <c:numCache>
                <c:formatCode>#\ ##0.00_ ;[Red]\-#\ ##0.00\ </c:formatCode>
                <c:ptCount val="7"/>
                <c:pt idx="0">
                  <c:v>-383.30000000000018</c:v>
                </c:pt>
                <c:pt idx="1">
                  <c:v>-748</c:v>
                </c:pt>
                <c:pt idx="2">
                  <c:v>959.55999999999949</c:v>
                </c:pt>
                <c:pt idx="3">
                  <c:v>-1699.1000000000004</c:v>
                </c:pt>
                <c:pt idx="4">
                  <c:v>876.5</c:v>
                </c:pt>
                <c:pt idx="5">
                  <c:v>1158.1999999999998</c:v>
                </c:pt>
                <c:pt idx="6">
                  <c:v>1681.1000000000004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76C-AB27-5F408E0B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02048"/>
        <c:axId val="187133312"/>
      </c:barChart>
      <c:valAx>
        <c:axId val="18713331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#\ ##0.00_ ;[Red]\-#\ ##0.00\ 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2048"/>
        <c:crosses val="autoZero"/>
        <c:crossBetween val="between"/>
      </c:valAx>
      <c:catAx>
        <c:axId val="1872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33312"/>
        <c:crosses val="autoZero"/>
        <c:auto val="0"/>
        <c:lblAlgn val="ctr"/>
        <c:lblOffset val="100"/>
        <c:noMultiLvlLbl val="0"/>
      </c:catAx>
      <c:spPr>
        <a:noFill/>
        <a:ln>
          <a:noFill/>
        </a:ln>
      </c:spPr>
    </c:plotArea>
    <c:plotVisOnly val="0"/>
    <c:dispBlanksAs val="zero"/>
    <c:showDLblsOverMax val="0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'8.3'!$A$4:$A$15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'8.3'!$F$4:$F$15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B-482A-A9DB-43B5A2E0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1216"/>
        <c:axId val="187135040"/>
      </c:lineChart>
      <c:valAx>
        <c:axId val="1871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1216"/>
        <c:crosses val="autoZero"/>
        <c:crossBetween val="between"/>
      </c:valAx>
      <c:catAx>
        <c:axId val="1675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35040"/>
        <c:crosses val="autoZero"/>
        <c:auto val="0"/>
        <c:lblAlgn val="ctr"/>
        <c:lblOffset val="100"/>
        <c:noMultiLvlLbl val="0"/>
      </c:catAx>
      <c:spPr>
        <a:noFill/>
      </c:spPr>
    </c:plotArea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'8.4'!$A$4:$A$11</c:f>
              <c:strCache>
                <c:ptCount val="8"/>
                <c:pt idx="0">
                  <c:v>Радиотелефон</c:v>
                </c:pt>
                <c:pt idx="1">
                  <c:v>Телевизор</c:v>
                </c:pt>
                <c:pt idx="2">
                  <c:v>Видеомагнитафон</c:v>
                </c:pt>
                <c:pt idx="3">
                  <c:v>Муз. Центр</c:v>
                </c:pt>
                <c:pt idx="4">
                  <c:v>Видеокамера</c:v>
                </c:pt>
                <c:pt idx="5">
                  <c:v>Видеоплеер</c:v>
                </c:pt>
                <c:pt idx="6">
                  <c:v>Аудиоплеер</c:v>
                </c:pt>
                <c:pt idx="7">
                  <c:v>Видеокассеты</c:v>
                </c:pt>
              </c:strCache>
            </c:strRef>
          </c:cat>
          <c:val>
            <c:numRef>
              <c:f>'8.4'!$F$4:$F$11</c:f>
              <c:numCache>
                <c:formatCode>General</c:formatCode>
                <c:ptCount val="8"/>
                <c:pt idx="0">
                  <c:v>1129800</c:v>
                </c:pt>
                <c:pt idx="1">
                  <c:v>1966500</c:v>
                </c:pt>
                <c:pt idx="2">
                  <c:v>756250</c:v>
                </c:pt>
                <c:pt idx="3">
                  <c:v>344250</c:v>
                </c:pt>
                <c:pt idx="4">
                  <c:v>1406580</c:v>
                </c:pt>
                <c:pt idx="5">
                  <c:v>1034880</c:v>
                </c:pt>
                <c:pt idx="6">
                  <c:v>57150</c:v>
                </c:pt>
                <c:pt idx="7">
                  <c:v>91560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1-439E-824E-8DCC7C5B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87978240"/>
        <c:axId val="187136768"/>
        <c:axId val="0"/>
      </c:bar3DChart>
      <c:valAx>
        <c:axId val="187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78240"/>
        <c:crosses val="autoZero"/>
        <c:crossBetween val="between"/>
      </c:valAx>
      <c:catAx>
        <c:axId val="187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36768"/>
        <c:crosses val="autoZero"/>
        <c:auto val="0"/>
        <c:lblAlgn val="ctr"/>
        <c:lblOffset val="100"/>
        <c:noMultiLvlLbl val="0"/>
      </c:catAx>
      <c:spPr>
        <a:noFill/>
      </c:spPr>
    </c:plotArea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'9.1-9.2'!$A$4</c:f>
              <c:strCache>
                <c:ptCount val="1"/>
                <c:pt idx="0">
                  <c:v>Численность (млн чел.)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trendline>
            <c:trendlineType val="poly"/>
            <c:order val="4"/>
            <c:forward val="1"/>
            <c:dispRSqr val="0"/>
            <c:dispEq val="0"/>
          </c:trendline>
          <c:cat>
            <c:numRef>
              <c:f>'9.1-9.2'!$B$3:$H$3</c:f>
              <c:numCache>
                <c:formatCode>General</c:formatCode>
                <c:ptCount val="7"/>
                <c:pt idx="0">
                  <c:v>1970</c:v>
                </c:pt>
                <c:pt idx="1">
                  <c:v>1979</c:v>
                </c:pt>
                <c:pt idx="2">
                  <c:v>1988</c:v>
                </c:pt>
                <c:pt idx="3">
                  <c:v>1997</c:v>
                </c:pt>
                <c:pt idx="4">
                  <c:v>2006</c:v>
                </c:pt>
                <c:pt idx="5">
                  <c:v>2015</c:v>
                </c:pt>
                <c:pt idx="6">
                  <c:v>2024</c:v>
                </c:pt>
              </c:numCache>
            </c:numRef>
          </c:cat>
          <c:val>
            <c:numRef>
              <c:f>'9.1-9.2'!$B$4:$G$4</c:f>
              <c:numCache>
                <c:formatCode>General</c:formatCode>
                <c:ptCount val="6"/>
                <c:pt idx="0">
                  <c:v>130.1</c:v>
                </c:pt>
                <c:pt idx="1">
                  <c:v>137.6</c:v>
                </c:pt>
                <c:pt idx="2">
                  <c:v>147.4</c:v>
                </c:pt>
                <c:pt idx="3">
                  <c:v>148.30000000000001</c:v>
                </c:pt>
                <c:pt idx="4">
                  <c:v>148.1</c:v>
                </c:pt>
                <c:pt idx="5">
                  <c:v>140.1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9-4A64-BCF8-0D5778C1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80800"/>
        <c:axId val="188359232"/>
      </c:barChart>
      <c:valAx>
        <c:axId val="188359232"/>
        <c:scaling>
          <c:orientation val="minMax"/>
          <c:max val="151"/>
          <c:min val="12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0800"/>
        <c:crosses val="autoZero"/>
        <c:crossBetween val="between"/>
        <c:majorUnit val="1"/>
        <c:minorUnit val="1"/>
      </c:valAx>
      <c:catAx>
        <c:axId val="1879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59232"/>
        <c:crosses val="autoZero"/>
        <c:auto val="0"/>
        <c:lblAlgn val="ctr"/>
        <c:lblOffset val="100"/>
        <c:noMultiLvlLbl val="0"/>
      </c:catAx>
      <c:spPr>
        <a:noFill/>
      </c:spPr>
    </c:plotArea>
    <c:legend>
      <c:legendPos val="r"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'9.3'!$A$4</c:f>
              <c:strCache>
                <c:ptCount val="1"/>
                <c:pt idx="0">
                  <c:v>Число браков (млн чел.)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'9.3'!$B$3:$K$3</c:f>
              <c:numCache>
                <c:formatCode>General</c:formatCode>
                <c:ptCount val="10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2022</c:v>
                </c:pt>
              </c:numCache>
            </c:numRef>
          </c:cat>
          <c:val>
            <c:numRef>
              <c:f>'9.3'!$B$4:$K$4</c:f>
              <c:numCache>
                <c:formatCode>General</c:formatCode>
                <c:ptCount val="10"/>
                <c:pt idx="0">
                  <c:v>1320.2</c:v>
                </c:pt>
                <c:pt idx="1">
                  <c:v>1005.2</c:v>
                </c:pt>
                <c:pt idx="2">
                  <c:v>1103.3</c:v>
                </c:pt>
                <c:pt idx="3">
                  <c:v>867.7</c:v>
                </c:pt>
                <c:pt idx="4">
                  <c:v>812.4</c:v>
                </c:pt>
                <c:pt idx="5">
                  <c:v>780.2</c:v>
                </c:pt>
                <c:pt idx="6">
                  <c:v>741.6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9-42F5-8900-C946C9F5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59264"/>
        <c:axId val="188360960"/>
      </c:lineChart>
      <c:catAx>
        <c:axId val="163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60960"/>
        <c:crosses val="autoZero"/>
        <c:auto val="1"/>
        <c:lblAlgn val="ctr"/>
        <c:lblOffset val="100"/>
        <c:noMultiLvlLbl val="0"/>
      </c:catAx>
      <c:valAx>
        <c:axId val="188360960"/>
        <c:scaling>
          <c:orientation val="minMax"/>
          <c:max val="1400"/>
          <c:min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59264"/>
        <c:crosses val="autoZero"/>
        <c:crossBetween val="between"/>
        <c:majorUnit val="50"/>
        <c:minorUnit val="4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7729658792652"/>
          <c:y val="7.4548702245552642E-2"/>
          <c:w val="0.484872703412073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'13.1'!$D$5</c:f>
              <c:strCache>
                <c:ptCount val="1"/>
                <c:pt idx="0">
                  <c:v>Расходы на рекламу нарастающим итогом(р.)</c:v>
                </c:pt>
              </c:strCache>
            </c:strRef>
          </c:tx>
          <c:marker>
            <c:symbol val="none"/>
          </c:marker>
          <c:val>
            <c:numRef>
              <c:f>'13.1'!$D$6:$D$17</c:f>
              <c:numCache>
                <c:formatCode>0.00</c:formatCode>
                <c:ptCount val="12"/>
                <c:pt idx="1">
                  <c:v>124281.12383620335</c:v>
                </c:pt>
                <c:pt idx="2">
                  <c:v>257756.04921454767</c:v>
                </c:pt>
                <c:pt idx="3">
                  <c:v>426915.92665727978</c:v>
                </c:pt>
                <c:pt idx="4">
                  <c:v>589942.57622323302</c:v>
                </c:pt>
                <c:pt idx="5">
                  <c:v>589942.57622323302</c:v>
                </c:pt>
                <c:pt idx="6">
                  <c:v>589942.57622323302</c:v>
                </c:pt>
                <c:pt idx="7">
                  <c:v>589942.57622323302</c:v>
                </c:pt>
                <c:pt idx="8">
                  <c:v>589942.57622323302</c:v>
                </c:pt>
                <c:pt idx="9">
                  <c:v>589942.57622323302</c:v>
                </c:pt>
                <c:pt idx="10">
                  <c:v>589942.57622323302</c:v>
                </c:pt>
                <c:pt idx="11">
                  <c:v>589942.57622323302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A-4CDA-902E-F5DA635B11CC}"/>
            </c:ext>
          </c:extLst>
        </c:ser>
        <c:ser>
          <c:idx val="1"/>
          <c:order val="1"/>
          <c:tx>
            <c:strRef>
              <c:f>'13.1'!$G$5</c:f>
              <c:strCache>
                <c:ptCount val="1"/>
                <c:pt idx="0">
                  <c:v>Сумма покрытия нарастающим итогом (р.)</c:v>
                </c:pt>
              </c:strCache>
            </c:strRef>
          </c:tx>
          <c:marker>
            <c:symbol val="none"/>
          </c:marker>
          <c:val>
            <c:numRef>
              <c:f>'13.1'!$G$6:$G$17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24964.983109499877</c:v>
                </c:pt>
                <c:pt idx="2">
                  <c:v>99210.043769271753</c:v>
                </c:pt>
                <c:pt idx="3">
                  <c:v>201370.93421434535</c:v>
                </c:pt>
                <c:pt idx="4">
                  <c:v>362199.68639459112</c:v>
                </c:pt>
                <c:pt idx="5">
                  <c:v>501560.76239654713</c:v>
                </c:pt>
                <c:pt idx="6">
                  <c:v>629960.49190143764</c:v>
                </c:pt>
                <c:pt idx="7">
                  <c:v>747647.04945399053</c:v>
                </c:pt>
                <c:pt idx="8">
                  <c:v>787005.35772811086</c:v>
                </c:pt>
                <c:pt idx="9">
                  <c:v>787005.35772811086</c:v>
                </c:pt>
                <c:pt idx="10">
                  <c:v>787005.35772811086</c:v>
                </c:pt>
                <c:pt idx="11">
                  <c:v>787005.35772811086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A-4CDA-902E-F5DA635B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7024"/>
        <c:axId val="188362688"/>
      </c:lineChart>
      <c:catAx>
        <c:axId val="188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62688"/>
        <c:crosses val="autoZero"/>
        <c:auto val="1"/>
        <c:lblAlgn val="ctr"/>
        <c:lblOffset val="100"/>
        <c:noMultiLvlLbl val="0"/>
      </c:catAx>
      <c:valAx>
        <c:axId val="188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'13.1'!$H$5</c:f>
              <c:strCache>
                <c:ptCount val="1"/>
                <c:pt idx="0">
                  <c:v>Сальдо дисконтированных денежных потоков нарастающим итогом (р.)</c:v>
                </c:pt>
              </c:strCache>
            </c:strRef>
          </c:tx>
          <c:marker>
            <c:symbol val="none"/>
          </c:marker>
          <c:val>
            <c:numRef>
              <c:f>'13.1'!$H$6:$H$17</c:f>
              <c:numCache>
                <c:formatCode>General</c:formatCode>
                <c:ptCount val="12"/>
                <c:pt idx="0">
                  <c:v>75250</c:v>
                </c:pt>
                <c:pt idx="1">
                  <c:v>0</c:v>
                </c:pt>
                <c:pt idx="2">
                  <c:v>-124281.12383620336</c:v>
                </c:pt>
                <c:pt idx="3">
                  <c:v>-257756.04921454767</c:v>
                </c:pt>
                <c:pt idx="4">
                  <c:v>-426915.92665727978</c:v>
                </c:pt>
                <c:pt idx="5">
                  <c:v>-589942.57622323302</c:v>
                </c:pt>
                <c:pt idx="6">
                  <c:v>-589942.57622323302</c:v>
                </c:pt>
                <c:pt idx="7">
                  <c:v>-589942.57622323302</c:v>
                </c:pt>
                <c:pt idx="8">
                  <c:v>-589942.57622323302</c:v>
                </c:pt>
                <c:pt idx="9">
                  <c:v>-589942.57622323302</c:v>
                </c:pt>
                <c:pt idx="10">
                  <c:v>-589942.57622323302</c:v>
                </c:pt>
                <c:pt idx="11">
                  <c:v>-589942.57622323302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0-4C00-B9A7-31AF45F4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9072"/>
        <c:axId val="188364416"/>
      </c:lineChart>
      <c:catAx>
        <c:axId val="1887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64416"/>
        <c:crosses val="autoZero"/>
        <c:auto val="1"/>
        <c:lblAlgn val="ctr"/>
        <c:lblOffset val="100"/>
        <c:noMultiLvlLbl val="0"/>
      </c:catAx>
      <c:valAx>
        <c:axId val="188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4325" y="2100262"/>
    <xdr:ext cx="4932058" cy="217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229558" y="381000"/>
    <xdr:ext cx="4571516" cy="26574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261697" y="160337"/>
    <xdr:ext cx="4573105" cy="1277938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7214" y="966107"/>
    <xdr:ext cx="6719128" cy="3262993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5</xdr:row>
      <xdr:rowOff>4761</xdr:rowOff>
    </xdr:from>
    <xdr:to>
      <xdr:col>11</xdr:col>
      <xdr:colOff>0</xdr:colOff>
      <xdr:row>25</xdr:row>
      <xdr:rowOff>104774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0.56544</cdr:x>
      <cdr:y>0.76614</cdr:y>
    </cdr:from>
    <cdr:to>
      <cdr:x>0.56544</cdr:x>
      <cdr:y>0.98051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8B18164D-60EC-4EAC-81B9-08EBC7404FF4}"/>
            </a:ext>
          </a:extLst>
        </cdr:cNvPr>
        <cdr:cNvCxnSpPr/>
      </cdr:nvCxnSpPr>
      <cdr:spPr>
        <a:xfrm xmlns:a="http://schemas.openxmlformats.org/drawingml/2006/main">
          <a:off x="4176713" y="2995614"/>
          <a:ext cx="1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0.00946</cdr:x>
      <cdr:y>0.17864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8A10257E-21C0-4925-9A34-97E5D5B3AACF}"/>
            </a:ext>
          </a:extLst>
        </cdr:cNvPr>
        <cdr:cNvCxnSpPr/>
      </cdr:nvCxnSpPr>
      <cdr:spPr>
        <a:xfrm xmlns:a="http://schemas.openxmlformats.org/drawingml/2006/main">
          <a:off x="50800" y="50800"/>
          <a:ext cx="19050" cy="647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0.00946</cdr:x>
      <cdr:y>0.17864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CC61ACA2-5DC7-4D9B-8D55-4B0B3B89D014}"/>
            </a:ext>
          </a:extLst>
        </cdr:cNvPr>
        <cdr:cNvCxnSpPr/>
      </cdr:nvCxnSpPr>
      <cdr:spPr>
        <a:xfrm xmlns:a="http://schemas.openxmlformats.org/drawingml/2006/main">
          <a:off x="50800" y="50800"/>
          <a:ext cx="19050" cy="647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0.00688</cdr:x>
      <cdr:y>0.22736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FB5CEBA5-5515-4734-9D88-615403223CAD}"/>
            </a:ext>
          </a:extLst>
        </cdr:cNvPr>
        <cdr:cNvCxnSpPr/>
      </cdr:nvCxnSpPr>
      <cdr:spPr>
        <a:xfrm xmlns:a="http://schemas.openxmlformats.org/drawingml/2006/main">
          <a:off x="50800" y="50800"/>
          <a:ext cx="1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0.62347</cdr:x>
      <cdr:y>0.80512</cdr:y>
    </cdr:from>
    <cdr:to>
      <cdr:x>0.62347</cdr:x>
      <cdr:y>0.99026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7C615C20-06C4-4ABC-A6DC-DFA2268C5F4F}"/>
            </a:ext>
          </a:extLst>
        </cdr:cNvPr>
        <cdr:cNvCxnSpPr/>
      </cdr:nvCxnSpPr>
      <cdr:spPr>
        <a:xfrm xmlns:a="http://schemas.openxmlformats.org/drawingml/2006/main">
          <a:off x="4605338" y="3148014"/>
          <a:ext cx="0" cy="723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0.51128</cdr:x>
      <cdr:y>0.71255</cdr:y>
    </cdr:from>
    <cdr:to>
      <cdr:x>0.51128</cdr:x>
      <cdr:y>0.99026</cdr:y>
    </cdr:to>
    <cdr:cxnSp macro="">
      <cdr:nvCxnSpPr>
        <cdr:cNvPr id="12" name="Прямая соединительная линия 11">
          <a:extLst xmlns:a="http://schemas.openxmlformats.org/drawingml/2006/main">
            <a:ext uri="{FF2B5EF4-FFF2-40B4-BE49-F238E27FC236}">
              <a16:creationId xmlns:a16="http://schemas.microsoft.com/office/drawing/2014/main" id="{FAAB0B1F-FF00-43CF-B0D9-059F5814A64C}"/>
            </a:ext>
          </a:extLst>
        </cdr:cNvPr>
        <cdr:cNvCxnSpPr/>
      </cdr:nvCxnSpPr>
      <cdr:spPr>
        <a:xfrm xmlns:a="http://schemas.openxmlformats.org/drawingml/2006/main">
          <a:off x="3776663" y="2786064"/>
          <a:ext cx="0" cy="1085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0.0058</cdr:x>
      <cdr:y>0.85384</cdr:y>
    </cdr:from>
    <cdr:to>
      <cdr:x>0.65571</cdr:x>
      <cdr:y>0.85871</cdr:y>
    </cdr:to>
    <cdr:cxnSp macro="">
      <cdr:nvCxnSpPr>
        <cdr:cNvPr id="14" name="Прямая соединительная линия 13">
          <a:extLst xmlns:a="http://schemas.openxmlformats.org/drawingml/2006/main">
            <a:ext uri="{FF2B5EF4-FFF2-40B4-BE49-F238E27FC236}">
              <a16:creationId xmlns:a16="http://schemas.microsoft.com/office/drawing/2014/main" id="{82C027D2-4AA6-44C6-9D49-D33EFD956DA8}"/>
            </a:ext>
          </a:extLst>
        </cdr:cNvPr>
        <cdr:cNvCxnSpPr/>
      </cdr:nvCxnSpPr>
      <cdr:spPr>
        <a:xfrm xmlns:a="http://schemas.openxmlformats.org/drawingml/2006/main">
          <a:off x="42863" y="3338514"/>
          <a:ext cx="48006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0.00838</cdr:x>
      <cdr:y>0.81242</cdr:y>
    </cdr:from>
    <cdr:to>
      <cdr:x>0.66344</cdr:x>
      <cdr:y>0.8173</cdr:y>
    </cdr:to>
    <cdr:cxnSp macro="">
      <cdr:nvCxnSpPr>
        <cdr:cNvPr id="16" name="Прямая соединительная линия 15">
          <a:extLst xmlns:a="http://schemas.openxmlformats.org/drawingml/2006/main">
            <a:ext uri="{FF2B5EF4-FFF2-40B4-BE49-F238E27FC236}">
              <a16:creationId xmlns:a16="http://schemas.microsoft.com/office/drawing/2014/main" id="{965F3790-AF7F-4B17-BD8D-701E617F10C2}"/>
            </a:ext>
          </a:extLst>
        </cdr:cNvPr>
        <cdr:cNvCxnSpPr/>
      </cdr:nvCxnSpPr>
      <cdr:spPr>
        <a:xfrm xmlns:a="http://schemas.openxmlformats.org/drawingml/2006/main">
          <a:off x="61913" y="3176589"/>
          <a:ext cx="48387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0.01225</cdr:x>
      <cdr:y>0.73447</cdr:y>
    </cdr:from>
    <cdr:to>
      <cdr:x>0.67634</cdr:x>
      <cdr:y>0.74909</cdr:y>
    </cdr:to>
    <cdr:cxnSp macro="">
      <cdr:nvCxnSpPr>
        <cdr:cNvPr id="18" name="Прямая соединительная линия 17">
          <a:extLst xmlns:a="http://schemas.openxmlformats.org/drawingml/2006/main">
            <a:ext uri="{FF2B5EF4-FFF2-40B4-BE49-F238E27FC236}">
              <a16:creationId xmlns:a16="http://schemas.microsoft.com/office/drawing/2014/main" id="{0B528AEF-C72E-4894-BDA0-19C76DBA421C}"/>
            </a:ext>
          </a:extLst>
        </cdr:cNvPr>
        <cdr:cNvCxnSpPr/>
      </cdr:nvCxnSpPr>
      <cdr:spPr>
        <a:xfrm xmlns:a="http://schemas.openxmlformats.org/drawingml/2006/main">
          <a:off x="90488" y="2871790"/>
          <a:ext cx="4905375" cy="57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26458</xdr:colOff>
      <xdr:row>14</xdr:row>
      <xdr:rowOff>20105</xdr:rowOff>
    </xdr:from>
    <xdr:to>
      <xdr:col>18</xdr:col>
      <xdr:colOff>10584</xdr:colOff>
      <xdr:row>30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1</xdr:row>
      <xdr:rowOff>9523</xdr:rowOff>
    </xdr:from>
    <xdr:to>
      <xdr:col>17</xdr:col>
      <xdr:colOff>603249</xdr:colOff>
      <xdr:row>13</xdr:row>
      <xdr:rowOff>42334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"/>
  <sheetViews>
    <sheetView workbookViewId="0">
      <selection sqref="A1:D1"/>
    </sheetView>
  </sheetViews>
  <sheetFormatPr defaultColWidth="9.140625" defaultRowHeight="15"/>
  <cols>
    <col min="1" max="1" width="27.7109375" customWidth="1"/>
    <col min="4" max="4" width="27.28515625" customWidth="1"/>
  </cols>
  <sheetData>
    <row r="1" spans="1:4">
      <c r="A1" s="84" t="s">
        <v>0</v>
      </c>
      <c r="B1" s="84"/>
      <c r="C1" s="84"/>
      <c r="D1" s="84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idden="1">
      <c r="A4" s="2" t="s">
        <v>5</v>
      </c>
      <c r="B4" s="3">
        <v>3245.2</v>
      </c>
      <c r="C4" s="3">
        <v>3628.5</v>
      </c>
      <c r="D4" s="4">
        <f t="shared" ref="D4:D10" si="0">B4-C4</f>
        <v>-383.30000000000018</v>
      </c>
    </row>
    <row r="5" spans="1:4">
      <c r="A5" s="2" t="s">
        <v>6</v>
      </c>
      <c r="B5" s="3">
        <v>4572.5</v>
      </c>
      <c r="C5" s="3">
        <v>5320.5</v>
      </c>
      <c r="D5" s="4">
        <f t="shared" si="0"/>
        <v>-748</v>
      </c>
    </row>
    <row r="6" spans="1:4">
      <c r="A6" s="2" t="s">
        <v>7</v>
      </c>
      <c r="B6" s="3">
        <v>6251.66</v>
      </c>
      <c r="C6" s="3">
        <v>5292.1</v>
      </c>
      <c r="D6" s="4">
        <f t="shared" si="0"/>
        <v>959.55999999999949</v>
      </c>
    </row>
    <row r="7" spans="1:4" hidden="1">
      <c r="A7" s="2" t="s">
        <v>8</v>
      </c>
      <c r="B7" s="3">
        <v>2125.1999999999998</v>
      </c>
      <c r="C7" s="3">
        <v>3824.3</v>
      </c>
      <c r="D7" s="4">
        <f t="shared" si="0"/>
        <v>-1699.1000000000004</v>
      </c>
    </row>
    <row r="8" spans="1:4" hidden="1">
      <c r="A8" s="2" t="s">
        <v>9</v>
      </c>
      <c r="B8" s="3">
        <v>3896.6</v>
      </c>
      <c r="C8" s="3">
        <v>3020.1</v>
      </c>
      <c r="D8" s="4">
        <f t="shared" si="0"/>
        <v>876.5</v>
      </c>
    </row>
    <row r="9" spans="1:4">
      <c r="A9" s="2" t="s">
        <v>10</v>
      </c>
      <c r="B9" s="3">
        <v>5420.3</v>
      </c>
      <c r="C9" s="3">
        <v>4262.1000000000004</v>
      </c>
      <c r="D9" s="4">
        <f t="shared" si="0"/>
        <v>1158.1999999999998</v>
      </c>
    </row>
    <row r="10" spans="1:4">
      <c r="A10" s="2" t="s">
        <v>11</v>
      </c>
      <c r="B10" s="3">
        <v>6050.6</v>
      </c>
      <c r="C10" s="3">
        <v>4369.5</v>
      </c>
      <c r="D10" s="4">
        <f t="shared" si="0"/>
        <v>1681.1000000000004</v>
      </c>
    </row>
    <row r="11" spans="1:4">
      <c r="A11" s="2" t="s">
        <v>12</v>
      </c>
      <c r="B11" s="3">
        <f>AVERAGE(B4:B10)</f>
        <v>4508.8657142857137</v>
      </c>
      <c r="C11" s="3">
        <f>AVERAGE(C4:C10)</f>
        <v>4245.3</v>
      </c>
      <c r="D11" s="2"/>
    </row>
    <row r="13" spans="1:4">
      <c r="A13" s="85" t="s">
        <v>13</v>
      </c>
      <c r="B13" s="86"/>
      <c r="C13" s="85"/>
      <c r="D13" s="5">
        <f>SUM(D4:D10)</f>
        <v>1844.9599999999991</v>
      </c>
    </row>
  </sheetData>
  <autoFilter ref="A3:D11" xr:uid="{00000000-0009-0000-0000-000000000000}">
    <filterColumn colId="1">
      <customFilters>
        <customFilter operator="greaterThan" val="4200"/>
      </customFilters>
    </filterColumn>
  </autoFilter>
  <mergeCells count="2">
    <mergeCell ref="A1:D1"/>
    <mergeCell ref="A13:C13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25"/>
  <sheetViews>
    <sheetView workbookViewId="0">
      <selection activeCell="H10" sqref="H10"/>
    </sheetView>
  </sheetViews>
  <sheetFormatPr defaultRowHeight="15" outlineLevelRow="2"/>
  <cols>
    <col min="1" max="1" width="18.42578125" customWidth="1"/>
    <col min="2" max="2" width="18.140625" customWidth="1"/>
    <col min="3" max="3" width="20.140625" customWidth="1"/>
    <col min="4" max="4" width="18.28515625" customWidth="1"/>
    <col min="5" max="5" width="18.140625" customWidth="1"/>
    <col min="6" max="6" width="18.28515625" customWidth="1"/>
  </cols>
  <sheetData>
    <row r="3" spans="1:6">
      <c r="A3" s="39" t="s">
        <v>34</v>
      </c>
      <c r="B3" s="39" t="s">
        <v>33</v>
      </c>
      <c r="C3" s="39" t="s">
        <v>141</v>
      </c>
      <c r="D3" s="39" t="s">
        <v>124</v>
      </c>
      <c r="E3" s="39" t="s">
        <v>125</v>
      </c>
      <c r="F3" s="39" t="s">
        <v>126</v>
      </c>
    </row>
    <row r="4" spans="1:6" hidden="1" outlineLevel="1">
      <c r="A4" s="2"/>
      <c r="B4" s="2"/>
      <c r="C4" s="2"/>
      <c r="D4" s="2"/>
      <c r="E4" s="10">
        <v>0.13</v>
      </c>
      <c r="F4" s="2"/>
    </row>
    <row r="5" spans="1:6" ht="15" customHeight="1" outlineLevel="2">
      <c r="A5" s="2">
        <v>202</v>
      </c>
      <c r="B5" s="2" t="s">
        <v>129</v>
      </c>
      <c r="C5" s="2" t="s">
        <v>142</v>
      </c>
      <c r="D5" s="8">
        <v>46466</v>
      </c>
      <c r="E5" s="2">
        <f>D5*$E$4</f>
        <v>6040.58</v>
      </c>
      <c r="F5" s="8">
        <f>D5-E5</f>
        <v>40425.42</v>
      </c>
    </row>
    <row r="6" spans="1:6" ht="15" customHeight="1" outlineLevel="1">
      <c r="A6" s="2"/>
      <c r="B6" s="2"/>
      <c r="C6" s="6" t="s">
        <v>145</v>
      </c>
      <c r="D6" s="8">
        <f>SUBTOTAL(9,D5:D5)</f>
        <v>46466</v>
      </c>
      <c r="E6" s="2">
        <f>SUBTOTAL(9,E5:E5)</f>
        <v>6040.58</v>
      </c>
      <c r="F6" s="8">
        <f>SUBTOTAL(9,F5:F5)</f>
        <v>40425.42</v>
      </c>
    </row>
    <row r="7" spans="1:6" outlineLevel="2">
      <c r="A7" s="2">
        <v>206</v>
      </c>
      <c r="B7" s="2" t="s">
        <v>133</v>
      </c>
      <c r="C7" s="2" t="s">
        <v>143</v>
      </c>
      <c r="D7" s="8">
        <v>47849</v>
      </c>
      <c r="E7" s="2">
        <f t="shared" ref="E7:E23" si="0">D7*$E$4</f>
        <v>6220.37</v>
      </c>
      <c r="F7" s="8">
        <f t="shared" ref="F7:F23" si="1">D7-E7</f>
        <v>41628.629999999997</v>
      </c>
    </row>
    <row r="8" spans="1:6" outlineLevel="2">
      <c r="A8" s="2">
        <v>205</v>
      </c>
      <c r="B8" s="2" t="s">
        <v>132</v>
      </c>
      <c r="C8" s="2" t="s">
        <v>143</v>
      </c>
      <c r="D8" s="8">
        <v>56155</v>
      </c>
      <c r="E8" s="2">
        <f t="shared" si="0"/>
        <v>7300.1500000000005</v>
      </c>
      <c r="F8" s="8">
        <f t="shared" si="1"/>
        <v>48854.85</v>
      </c>
    </row>
    <row r="9" spans="1:6" outlineLevel="1">
      <c r="A9" s="2"/>
      <c r="B9" s="2"/>
      <c r="C9" s="6" t="s">
        <v>146</v>
      </c>
      <c r="D9" s="8">
        <f>SUBTOTAL(9,D7:D8)</f>
        <v>104004</v>
      </c>
      <c r="E9" s="2">
        <f>SUBTOTAL(9,E7:E8)</f>
        <v>13520.52</v>
      </c>
      <c r="F9" s="8">
        <f>SUBTOTAL(9,F7:F8)</f>
        <v>90483.48</v>
      </c>
    </row>
    <row r="10" spans="1:6" outlineLevel="2">
      <c r="A10" s="2">
        <v>209</v>
      </c>
      <c r="B10" s="2" t="s">
        <v>136</v>
      </c>
      <c r="C10" s="2" t="s">
        <v>144</v>
      </c>
      <c r="D10" s="8">
        <v>57588</v>
      </c>
      <c r="E10" s="2">
        <f t="shared" si="0"/>
        <v>7486.4400000000005</v>
      </c>
      <c r="F10" s="8">
        <f t="shared" si="1"/>
        <v>50101.56</v>
      </c>
    </row>
    <row r="11" spans="1:6" outlineLevel="1">
      <c r="A11" s="2"/>
      <c r="B11" s="51"/>
      <c r="C11" s="6" t="s">
        <v>147</v>
      </c>
      <c r="D11" s="8">
        <f>SUBTOTAL(9,D10:D10)</f>
        <v>57588</v>
      </c>
      <c r="E11" s="2">
        <f>SUBTOTAL(9,E10:E10)</f>
        <v>7486.4400000000005</v>
      </c>
      <c r="F11" s="8">
        <f>SUBTOTAL(9,F10:F10)</f>
        <v>50101.56</v>
      </c>
    </row>
    <row r="12" spans="1:6" outlineLevel="2">
      <c r="A12" s="2">
        <v>200</v>
      </c>
      <c r="B12" t="s">
        <v>127</v>
      </c>
      <c r="C12" s="2" t="s">
        <v>142</v>
      </c>
      <c r="D12" s="8">
        <v>40273</v>
      </c>
      <c r="E12" s="2">
        <f t="shared" si="0"/>
        <v>5235.49</v>
      </c>
      <c r="F12" s="8">
        <f t="shared" si="1"/>
        <v>35037.51</v>
      </c>
    </row>
    <row r="13" spans="1:6" outlineLevel="1">
      <c r="A13" s="2"/>
      <c r="C13" s="6" t="s">
        <v>145</v>
      </c>
      <c r="D13" s="8">
        <f>SUBTOTAL(9,D12:D12)</f>
        <v>40273</v>
      </c>
      <c r="E13" s="2">
        <f>SUBTOTAL(9,E12:E12)</f>
        <v>5235.49</v>
      </c>
      <c r="F13" s="8">
        <f>SUBTOTAL(9,F12:F12)</f>
        <v>35037.51</v>
      </c>
    </row>
    <row r="14" spans="1:6" outlineLevel="2">
      <c r="A14" s="2">
        <v>203</v>
      </c>
      <c r="B14" s="2" t="s">
        <v>130</v>
      </c>
      <c r="C14" s="2" t="s">
        <v>143</v>
      </c>
      <c r="D14" s="8">
        <v>34663</v>
      </c>
      <c r="E14" s="2">
        <f t="shared" si="0"/>
        <v>4506.1900000000005</v>
      </c>
      <c r="F14" s="8">
        <f t="shared" si="1"/>
        <v>30156.809999999998</v>
      </c>
    </row>
    <row r="15" spans="1:6" outlineLevel="1">
      <c r="A15" s="2"/>
      <c r="B15" s="2"/>
      <c r="C15" s="6" t="s">
        <v>146</v>
      </c>
      <c r="D15" s="8">
        <f>SUBTOTAL(9,D14:D14)</f>
        <v>34663</v>
      </c>
      <c r="E15" s="2">
        <f>SUBTOTAL(9,E14:E14)</f>
        <v>4506.1900000000005</v>
      </c>
      <c r="F15" s="8">
        <f>SUBTOTAL(9,F14:F14)</f>
        <v>30156.809999999998</v>
      </c>
    </row>
    <row r="16" spans="1:6" outlineLevel="2">
      <c r="A16" s="2">
        <v>208</v>
      </c>
      <c r="B16" s="2" t="s">
        <v>135</v>
      </c>
      <c r="C16" s="2" t="s">
        <v>144</v>
      </c>
      <c r="D16" s="8">
        <v>40514</v>
      </c>
      <c r="E16" s="2">
        <f t="shared" si="0"/>
        <v>5266.8200000000006</v>
      </c>
      <c r="F16" s="8">
        <f t="shared" si="1"/>
        <v>35247.18</v>
      </c>
    </row>
    <row r="17" spans="1:6" outlineLevel="1">
      <c r="A17" s="2"/>
      <c r="B17" s="2"/>
      <c r="C17" s="6" t="s">
        <v>147</v>
      </c>
      <c r="D17" s="8">
        <f>SUBTOTAL(9,D16:D16)</f>
        <v>40514</v>
      </c>
      <c r="E17" s="2">
        <f>SUBTOTAL(9,E16:E16)</f>
        <v>5266.8200000000006</v>
      </c>
      <c r="F17" s="8">
        <f>SUBTOTAL(9,F16:F16)</f>
        <v>35247.18</v>
      </c>
    </row>
    <row r="18" spans="1:6" outlineLevel="2">
      <c r="A18" s="2">
        <v>201</v>
      </c>
      <c r="B18" s="2" t="s">
        <v>128</v>
      </c>
      <c r="C18" s="2" t="s">
        <v>142</v>
      </c>
      <c r="D18" s="8">
        <v>21736</v>
      </c>
      <c r="E18" s="2">
        <f t="shared" si="0"/>
        <v>2825.6800000000003</v>
      </c>
      <c r="F18" s="8">
        <f t="shared" si="1"/>
        <v>18910.32</v>
      </c>
    </row>
    <row r="19" spans="1:6" outlineLevel="1">
      <c r="A19" s="2"/>
      <c r="B19" s="2"/>
      <c r="C19" s="6" t="s">
        <v>145</v>
      </c>
      <c r="D19" s="8">
        <f>SUBTOTAL(9,D18:D18)</f>
        <v>21736</v>
      </c>
      <c r="E19" s="2">
        <f>SUBTOTAL(9,E18:E18)</f>
        <v>2825.6800000000003</v>
      </c>
      <c r="F19" s="8">
        <f>SUBTOTAL(9,F18:F18)</f>
        <v>18910.32</v>
      </c>
    </row>
    <row r="20" spans="1:6" outlineLevel="2">
      <c r="A20" s="2">
        <v>204</v>
      </c>
      <c r="B20" s="2" t="s">
        <v>131</v>
      </c>
      <c r="C20" s="2" t="s">
        <v>143</v>
      </c>
      <c r="D20" s="8">
        <v>44440</v>
      </c>
      <c r="E20" s="2">
        <f t="shared" si="0"/>
        <v>5777.2</v>
      </c>
      <c r="F20" s="8">
        <f t="shared" si="1"/>
        <v>38662.800000000003</v>
      </c>
    </row>
    <row r="21" spans="1:6" outlineLevel="2">
      <c r="A21" s="2">
        <v>207</v>
      </c>
      <c r="B21" s="2" t="s">
        <v>134</v>
      </c>
      <c r="C21" s="2" t="s">
        <v>143</v>
      </c>
      <c r="D21" s="8">
        <v>31977</v>
      </c>
      <c r="E21" s="2">
        <f t="shared" si="0"/>
        <v>4157.01</v>
      </c>
      <c r="F21" s="8">
        <f t="shared" si="1"/>
        <v>27819.989999999998</v>
      </c>
    </row>
    <row r="22" spans="1:6" outlineLevel="1">
      <c r="A22" s="2"/>
      <c r="B22" s="2"/>
      <c r="C22" s="6" t="s">
        <v>146</v>
      </c>
      <c r="D22" s="8">
        <f>SUBTOTAL(9,D20:D21)</f>
        <v>76417</v>
      </c>
      <c r="E22" s="2">
        <f>SUBTOTAL(9,E20:E21)</f>
        <v>9934.2099999999991</v>
      </c>
      <c r="F22" s="8">
        <f>SUBTOTAL(9,F20:F21)</f>
        <v>66482.790000000008</v>
      </c>
    </row>
    <row r="23" spans="1:6" outlineLevel="2">
      <c r="A23" s="2">
        <v>210</v>
      </c>
      <c r="B23" s="2" t="s">
        <v>137</v>
      </c>
      <c r="C23" s="2" t="s">
        <v>144</v>
      </c>
      <c r="D23" s="8">
        <v>18810</v>
      </c>
      <c r="E23" s="2">
        <f t="shared" si="0"/>
        <v>2445.3000000000002</v>
      </c>
      <c r="F23" s="8">
        <f t="shared" si="1"/>
        <v>16364.7</v>
      </c>
    </row>
    <row r="24" spans="1:6" outlineLevel="1">
      <c r="A24" s="51"/>
      <c r="B24" s="51"/>
      <c r="C24" s="53" t="s">
        <v>147</v>
      </c>
      <c r="D24" s="52">
        <f>SUBTOTAL(9,D23:D23)</f>
        <v>18810</v>
      </c>
      <c r="E24" s="51">
        <f>SUBTOTAL(9,E23:E23)</f>
        <v>2445.3000000000002</v>
      </c>
      <c r="F24" s="52">
        <f>SUBTOTAL(9,F23:F23)</f>
        <v>16364.7</v>
      </c>
    </row>
    <row r="25" spans="1:6">
      <c r="A25" s="51"/>
      <c r="B25" s="51"/>
      <c r="C25" s="53" t="s">
        <v>148</v>
      </c>
      <c r="D25" s="52">
        <f>SUBTOTAL(9,D4:D23)</f>
        <v>440471</v>
      </c>
      <c r="E25" s="51">
        <f>SUBTOTAL(9,E4:E23)</f>
        <v>57261.36</v>
      </c>
      <c r="F25" s="52">
        <f>SUBTOTAL(9,F4:F23)</f>
        <v>383209.77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"/>
  <sheetViews>
    <sheetView workbookViewId="0">
      <selection activeCell="D18" sqref="D18"/>
    </sheetView>
  </sheetViews>
  <sheetFormatPr defaultRowHeight="15"/>
  <cols>
    <col min="1" max="2" width="18.28515625" customWidth="1"/>
    <col min="3" max="3" width="27.140625" customWidth="1"/>
    <col min="4" max="4" width="17.140625" customWidth="1"/>
    <col min="5" max="5" width="18.28515625" customWidth="1"/>
    <col min="6" max="6" width="18.140625" customWidth="1"/>
  </cols>
  <sheetData>
    <row r="1" spans="1:6">
      <c r="A1" s="39" t="s">
        <v>34</v>
      </c>
      <c r="B1" s="39" t="s">
        <v>33</v>
      </c>
      <c r="C1" s="39" t="s">
        <v>141</v>
      </c>
      <c r="D1" s="39" t="s">
        <v>124</v>
      </c>
      <c r="E1" s="39" t="s">
        <v>125</v>
      </c>
      <c r="F1" s="39" t="s">
        <v>126</v>
      </c>
    </row>
    <row r="2" spans="1:6">
      <c r="A2" s="2"/>
      <c r="B2" s="2"/>
      <c r="C2" s="2"/>
      <c r="D2" s="2"/>
      <c r="E2" s="10">
        <v>0.13</v>
      </c>
      <c r="F2" s="2"/>
    </row>
    <row r="3" spans="1:6">
      <c r="A3" s="2">
        <v>202</v>
      </c>
      <c r="B3" s="2" t="s">
        <v>129</v>
      </c>
      <c r="C3" s="2" t="s">
        <v>142</v>
      </c>
      <c r="D3" s="8">
        <v>46466</v>
      </c>
      <c r="E3" s="2">
        <f ca="1">D3*$E$4</f>
        <v>6040.58</v>
      </c>
      <c r="F3" s="8">
        <f ca="1">D3-E3</f>
        <v>40425.42</v>
      </c>
    </row>
    <row r="4" spans="1:6">
      <c r="A4" s="2"/>
      <c r="B4" s="2"/>
      <c r="C4" s="6" t="s">
        <v>145</v>
      </c>
      <c r="D4" s="8">
        <f>SUBTOTAL(9,D3:D3)</f>
        <v>46466</v>
      </c>
      <c r="E4" s="2">
        <f ca="1">SUBTOTAL(9,E3:E3)</f>
        <v>6040.58</v>
      </c>
      <c r="F4" s="8">
        <f ca="1">SUBTOTAL(9,F3:F3)</f>
        <v>40425.42</v>
      </c>
    </row>
    <row r="5" spans="1:6">
      <c r="A5" s="2">
        <v>206</v>
      </c>
      <c r="B5" s="2" t="s">
        <v>133</v>
      </c>
      <c r="C5" s="2" t="s">
        <v>143</v>
      </c>
      <c r="D5" s="8">
        <v>47849</v>
      </c>
      <c r="E5" s="2">
        <f t="shared" ref="E5:E21" ca="1" si="0">D5*$E$4</f>
        <v>6220.37</v>
      </c>
      <c r="F5" s="8">
        <f t="shared" ref="F5:F21" ca="1" si="1">D5-E5</f>
        <v>41628.629999999997</v>
      </c>
    </row>
    <row r="6" spans="1:6">
      <c r="A6" s="2">
        <v>205</v>
      </c>
      <c r="B6" s="2" t="s">
        <v>132</v>
      </c>
      <c r="C6" s="2" t="s">
        <v>143</v>
      </c>
      <c r="D6" s="8">
        <v>56155</v>
      </c>
      <c r="E6" s="2">
        <f t="shared" ca="1" si="0"/>
        <v>7300.1500000000005</v>
      </c>
      <c r="F6" s="8">
        <f t="shared" ca="1" si="1"/>
        <v>48854.85</v>
      </c>
    </row>
    <row r="7" spans="1:6">
      <c r="A7" s="2"/>
      <c r="B7" s="2"/>
      <c r="C7" s="6" t="s">
        <v>146</v>
      </c>
      <c r="D7" s="8">
        <f>SUBTOTAL(9,D5:D6)</f>
        <v>104004</v>
      </c>
      <c r="E7" s="2">
        <f ca="1">SUBTOTAL(9,E5:E6)</f>
        <v>13520.52</v>
      </c>
      <c r="F7" s="8">
        <f ca="1">SUBTOTAL(9,F5:F6)</f>
        <v>90483.48</v>
      </c>
    </row>
    <row r="8" spans="1:6">
      <c r="A8" s="2">
        <v>209</v>
      </c>
      <c r="B8" s="2" t="s">
        <v>136</v>
      </c>
      <c r="C8" s="2" t="s">
        <v>144</v>
      </c>
      <c r="D8" s="8">
        <v>57588</v>
      </c>
      <c r="E8" s="2">
        <f t="shared" ca="1" si="0"/>
        <v>7486.4400000000005</v>
      </c>
      <c r="F8" s="8">
        <f t="shared" ca="1" si="1"/>
        <v>50101.56</v>
      </c>
    </row>
    <row r="9" spans="1:6">
      <c r="A9" s="2"/>
      <c r="B9" s="51"/>
      <c r="C9" s="6" t="s">
        <v>147</v>
      </c>
      <c r="D9" s="8">
        <f>SUBTOTAL(9,D8:D8)</f>
        <v>57588</v>
      </c>
      <c r="E9" s="2">
        <f ca="1">SUBTOTAL(9,E8:E8)</f>
        <v>7486.4400000000005</v>
      </c>
      <c r="F9" s="8">
        <f ca="1">SUBTOTAL(9,F8:F8)</f>
        <v>50101.56</v>
      </c>
    </row>
    <row r="10" spans="1:6">
      <c r="A10" s="2">
        <v>200</v>
      </c>
      <c r="B10" t="s">
        <v>127</v>
      </c>
      <c r="C10" s="2" t="s">
        <v>142</v>
      </c>
      <c r="D10" s="8">
        <v>40273</v>
      </c>
      <c r="E10" s="2">
        <f t="shared" ca="1" si="0"/>
        <v>5235.49</v>
      </c>
      <c r="F10" s="8">
        <f t="shared" ca="1" si="1"/>
        <v>35037.51</v>
      </c>
    </row>
    <row r="11" spans="1:6">
      <c r="A11" s="2"/>
      <c r="C11" s="6" t="s">
        <v>145</v>
      </c>
      <c r="D11" s="8">
        <f>SUBTOTAL(9,D10:D10)</f>
        <v>40273</v>
      </c>
      <c r="E11" s="2">
        <f ca="1">SUBTOTAL(9,E10:E10)</f>
        <v>5235.49</v>
      </c>
      <c r="F11" s="8">
        <f ca="1">SUBTOTAL(9,F10:F10)</f>
        <v>35037.51</v>
      </c>
    </row>
    <row r="12" spans="1:6">
      <c r="A12" s="2">
        <v>203</v>
      </c>
      <c r="B12" s="2" t="s">
        <v>130</v>
      </c>
      <c r="C12" s="2" t="s">
        <v>143</v>
      </c>
      <c r="D12" s="8">
        <v>34663</v>
      </c>
      <c r="E12" s="2">
        <f t="shared" ca="1" si="0"/>
        <v>4506.1900000000005</v>
      </c>
      <c r="F12" s="8">
        <f t="shared" ca="1" si="1"/>
        <v>30156.809999999998</v>
      </c>
    </row>
    <row r="13" spans="1:6">
      <c r="A13" s="2"/>
      <c r="B13" s="2"/>
      <c r="C13" s="6" t="s">
        <v>146</v>
      </c>
      <c r="D13" s="8">
        <f>SUBTOTAL(9,D12:D12)</f>
        <v>34663</v>
      </c>
      <c r="E13" s="2">
        <f ca="1">SUBTOTAL(9,E12:E12)</f>
        <v>4506.1900000000005</v>
      </c>
      <c r="F13" s="8">
        <f ca="1">SUBTOTAL(9,F12:F12)</f>
        <v>30156.809999999998</v>
      </c>
    </row>
    <row r="14" spans="1:6">
      <c r="A14" s="2">
        <v>208</v>
      </c>
      <c r="B14" s="2" t="s">
        <v>135</v>
      </c>
      <c r="C14" s="2" t="s">
        <v>144</v>
      </c>
      <c r="D14" s="8">
        <v>40514</v>
      </c>
      <c r="E14" s="2">
        <f t="shared" ca="1" si="0"/>
        <v>5266.8200000000006</v>
      </c>
      <c r="F14" s="8">
        <f t="shared" ca="1" si="1"/>
        <v>35247.18</v>
      </c>
    </row>
    <row r="15" spans="1:6">
      <c r="A15" s="2"/>
      <c r="B15" s="2"/>
      <c r="C15" s="6" t="s">
        <v>147</v>
      </c>
      <c r="D15" s="8">
        <f>SUBTOTAL(9,D14:D14)</f>
        <v>40514</v>
      </c>
      <c r="E15" s="2">
        <f ca="1">SUBTOTAL(9,E14:E14)</f>
        <v>5266.8200000000006</v>
      </c>
      <c r="F15" s="8">
        <f ca="1">SUBTOTAL(9,F14:F14)</f>
        <v>35247.18</v>
      </c>
    </row>
    <row r="16" spans="1:6">
      <c r="A16" s="2">
        <v>201</v>
      </c>
      <c r="B16" s="2" t="s">
        <v>128</v>
      </c>
      <c r="C16" s="2" t="s">
        <v>142</v>
      </c>
      <c r="D16" s="8">
        <v>21736</v>
      </c>
      <c r="E16" s="2">
        <f t="shared" ca="1" si="0"/>
        <v>2825.6800000000003</v>
      </c>
      <c r="F16" s="8">
        <f t="shared" ca="1" si="1"/>
        <v>18910.32</v>
      </c>
    </row>
    <row r="17" spans="1:6">
      <c r="A17" s="2"/>
      <c r="B17" s="2"/>
      <c r="C17" s="6" t="s">
        <v>145</v>
      </c>
      <c r="D17" s="8">
        <f>SUBTOTAL(9,D16:D16)</f>
        <v>21736</v>
      </c>
      <c r="E17" s="2">
        <f ca="1">SUBTOTAL(9,E16:E16)</f>
        <v>2825.6800000000003</v>
      </c>
      <c r="F17" s="8">
        <f ca="1">SUBTOTAL(9,F16:F16)</f>
        <v>18910.32</v>
      </c>
    </row>
    <row r="18" spans="1:6">
      <c r="A18" s="2">
        <v>204</v>
      </c>
      <c r="B18" s="2" t="s">
        <v>131</v>
      </c>
      <c r="C18" s="2" t="s">
        <v>143</v>
      </c>
      <c r="D18" s="8">
        <v>44440</v>
      </c>
      <c r="E18" s="2">
        <f t="shared" ca="1" si="0"/>
        <v>5777.2</v>
      </c>
      <c r="F18" s="8">
        <f t="shared" ca="1" si="1"/>
        <v>38662.800000000003</v>
      </c>
    </row>
    <row r="19" spans="1:6">
      <c r="A19" s="2">
        <v>207</v>
      </c>
      <c r="B19" s="2" t="s">
        <v>134</v>
      </c>
      <c r="C19" s="2" t="s">
        <v>143</v>
      </c>
      <c r="D19" s="8">
        <v>31977</v>
      </c>
      <c r="E19" s="2">
        <f t="shared" ca="1" si="0"/>
        <v>4157.01</v>
      </c>
      <c r="F19" s="8">
        <f t="shared" ca="1" si="1"/>
        <v>27819.989999999998</v>
      </c>
    </row>
    <row r="20" spans="1:6">
      <c r="A20" s="2"/>
      <c r="B20" s="2"/>
      <c r="C20" s="6" t="s">
        <v>146</v>
      </c>
      <c r="D20" s="8">
        <f>SUBTOTAL(9,D18:D19)</f>
        <v>76417</v>
      </c>
      <c r="E20" s="2">
        <f ca="1">SUBTOTAL(9,E18:E19)</f>
        <v>9934.2099999999991</v>
      </c>
      <c r="F20" s="8">
        <f ca="1">SUBTOTAL(9,F18:F19)</f>
        <v>66482.790000000008</v>
      </c>
    </row>
    <row r="21" spans="1:6">
      <c r="A21" s="2">
        <v>210</v>
      </c>
      <c r="B21" s="2" t="s">
        <v>137</v>
      </c>
      <c r="C21" s="2" t="s">
        <v>144</v>
      </c>
      <c r="D21" s="8">
        <v>18810</v>
      </c>
      <c r="E21" s="2">
        <f t="shared" ca="1" si="0"/>
        <v>2445.3000000000002</v>
      </c>
      <c r="F21" s="8">
        <f t="shared" ca="1" si="1"/>
        <v>16364.7</v>
      </c>
    </row>
    <row r="22" spans="1:6">
      <c r="A22" s="51"/>
      <c r="B22" s="51"/>
      <c r="C22" s="53" t="s">
        <v>147</v>
      </c>
      <c r="D22" s="52">
        <f>SUBTOTAL(9,D21:D21)</f>
        <v>18810</v>
      </c>
      <c r="E22" s="51">
        <f ca="1">SUBTOTAL(9,E21:E21)</f>
        <v>2445.3000000000002</v>
      </c>
      <c r="F22" s="52">
        <f ca="1">SUBTOTAL(9,F21:F21)</f>
        <v>16364.7</v>
      </c>
    </row>
    <row r="23" spans="1:6">
      <c r="A23" s="51"/>
      <c r="B23" s="51"/>
      <c r="C23" s="53" t="s">
        <v>148</v>
      </c>
      <c r="D23" s="52">
        <f>SUBTOTAL(9,D2:D21)</f>
        <v>440471</v>
      </c>
      <c r="E23" s="51">
        <f ca="1">SUBTOTAL(9,E2:E21)</f>
        <v>57261.36</v>
      </c>
      <c r="F23" s="52">
        <f ca="1">SUBTOTAL(9,F2:F21)</f>
        <v>383209.77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0"/>
  <sheetViews>
    <sheetView zoomScale="80" zoomScaleNormal="80" workbookViewId="0">
      <selection activeCell="G26" sqref="G26"/>
    </sheetView>
  </sheetViews>
  <sheetFormatPr defaultRowHeight="15"/>
  <cols>
    <col min="1" max="1" width="18.5703125" customWidth="1"/>
    <col min="2" max="2" width="18.42578125" customWidth="1"/>
    <col min="3" max="3" width="12.42578125" style="46" bestFit="1" customWidth="1"/>
    <col min="5" max="5" width="11" customWidth="1"/>
    <col min="7" max="7" width="17.42578125" customWidth="1"/>
  </cols>
  <sheetData>
    <row r="2" spans="1:7">
      <c r="B2" t="s">
        <v>121</v>
      </c>
    </row>
    <row r="3" spans="1:7" ht="31.5" customHeight="1">
      <c r="A3" s="39" t="s">
        <v>34</v>
      </c>
      <c r="B3" s="39" t="s">
        <v>33</v>
      </c>
      <c r="C3" s="39" t="s">
        <v>122</v>
      </c>
      <c r="D3" s="43" t="s">
        <v>123</v>
      </c>
      <c r="E3" s="39" t="s">
        <v>124</v>
      </c>
      <c r="F3" s="40" t="s">
        <v>125</v>
      </c>
      <c r="G3" s="39" t="s">
        <v>126</v>
      </c>
    </row>
    <row r="4" spans="1:7">
      <c r="A4" s="2"/>
      <c r="B4" s="44"/>
      <c r="C4" s="47"/>
      <c r="D4" s="48">
        <v>0.9891166901098275</v>
      </c>
      <c r="E4" s="2"/>
      <c r="F4" s="10">
        <v>0.13</v>
      </c>
      <c r="G4" s="38"/>
    </row>
    <row r="5" spans="1:7">
      <c r="A5" s="37">
        <v>200</v>
      </c>
      <c r="B5" s="42" t="s">
        <v>127</v>
      </c>
      <c r="C5" s="45">
        <v>14500</v>
      </c>
      <c r="D5" s="41">
        <f>$D$4*C5</f>
        <v>14342.192006592499</v>
      </c>
      <c r="E5" s="3">
        <f>C5+D5</f>
        <v>28842.192006592501</v>
      </c>
      <c r="F5" s="2">
        <f>$F$4*E5</f>
        <v>3749.4849608570253</v>
      </c>
      <c r="G5" s="3">
        <f>E5-F5</f>
        <v>25092.707045735475</v>
      </c>
    </row>
    <row r="6" spans="1:7">
      <c r="A6" s="37">
        <v>201</v>
      </c>
      <c r="B6" s="2" t="s">
        <v>128</v>
      </c>
      <c r="C6" s="45">
        <v>15200</v>
      </c>
      <c r="D6" s="41">
        <f t="shared" ref="D6:D16" si="0">$D$4*C6</f>
        <v>15034.573689669378</v>
      </c>
      <c r="E6" s="3">
        <f t="shared" ref="E6:E16" si="1">C6+D6</f>
        <v>30234.573689669378</v>
      </c>
      <c r="F6" s="2">
        <f t="shared" ref="F6:F16" si="2">$F$4*E6</f>
        <v>3930.4945796570191</v>
      </c>
      <c r="G6" s="3">
        <f t="shared" ref="G6:G16" si="3">E6-F6</f>
        <v>26304.079110012361</v>
      </c>
    </row>
    <row r="7" spans="1:7">
      <c r="A7" s="37">
        <v>202</v>
      </c>
      <c r="B7" s="2" t="s">
        <v>129</v>
      </c>
      <c r="C7" s="45">
        <v>15900</v>
      </c>
      <c r="D7" s="41">
        <f t="shared" si="0"/>
        <v>15726.955372746257</v>
      </c>
      <c r="E7" s="3">
        <f t="shared" si="1"/>
        <v>31626.955372746255</v>
      </c>
      <c r="F7" s="2">
        <f t="shared" si="2"/>
        <v>4111.5041984570134</v>
      </c>
      <c r="G7" s="3">
        <f t="shared" si="3"/>
        <v>27515.451174289243</v>
      </c>
    </row>
    <row r="8" spans="1:7">
      <c r="A8" s="37">
        <v>203</v>
      </c>
      <c r="B8" s="2" t="s">
        <v>130</v>
      </c>
      <c r="C8" s="45">
        <v>16250</v>
      </c>
      <c r="D8" s="41">
        <f t="shared" si="0"/>
        <v>16073.146214284698</v>
      </c>
      <c r="E8" s="3">
        <f t="shared" si="1"/>
        <v>32323.146214284698</v>
      </c>
      <c r="F8" s="2">
        <f t="shared" si="2"/>
        <v>4202.0090078570111</v>
      </c>
      <c r="G8" s="3">
        <f t="shared" si="3"/>
        <v>28121.137206427687</v>
      </c>
    </row>
    <row r="9" spans="1:7">
      <c r="A9" s="37">
        <v>204</v>
      </c>
      <c r="B9" s="2" t="s">
        <v>131</v>
      </c>
      <c r="C9" s="45">
        <v>16950</v>
      </c>
      <c r="D9" s="41">
        <f t="shared" si="0"/>
        <v>16765.527897361575</v>
      </c>
      <c r="E9" s="3">
        <f t="shared" si="1"/>
        <v>33715.527897361579</v>
      </c>
      <c r="F9" s="2">
        <f t="shared" si="2"/>
        <v>4383.0186266570054</v>
      </c>
      <c r="G9" s="3">
        <f t="shared" si="3"/>
        <v>29332.509270704573</v>
      </c>
    </row>
    <row r="10" spans="1:7">
      <c r="A10" s="37">
        <v>205</v>
      </c>
      <c r="B10" s="2" t="s">
        <v>132</v>
      </c>
      <c r="C10" s="45">
        <v>17300</v>
      </c>
      <c r="D10" s="41">
        <f t="shared" si="0"/>
        <v>17111.718738900017</v>
      </c>
      <c r="E10" s="3">
        <f t="shared" si="1"/>
        <v>34411.718738900017</v>
      </c>
      <c r="F10" s="2">
        <f t="shared" si="2"/>
        <v>4473.5234360570021</v>
      </c>
      <c r="G10" s="3">
        <f t="shared" si="3"/>
        <v>29938.195302843014</v>
      </c>
    </row>
    <row r="11" spans="1:7">
      <c r="A11" s="37">
        <v>206</v>
      </c>
      <c r="B11" s="2" t="s">
        <v>133</v>
      </c>
      <c r="C11" s="45">
        <v>18000</v>
      </c>
      <c r="D11" s="41">
        <f t="shared" si="0"/>
        <v>17804.100421976895</v>
      </c>
      <c r="E11" s="3">
        <f t="shared" si="1"/>
        <v>35804.100421976895</v>
      </c>
      <c r="F11" s="2">
        <f t="shared" si="2"/>
        <v>4654.5330548569964</v>
      </c>
      <c r="G11" s="3">
        <f t="shared" si="3"/>
        <v>31149.567367119897</v>
      </c>
    </row>
    <row r="12" spans="1:7">
      <c r="A12" s="37">
        <v>207</v>
      </c>
      <c r="B12" s="2" t="s">
        <v>134</v>
      </c>
      <c r="C12" s="45">
        <v>18700</v>
      </c>
      <c r="D12" s="41">
        <f t="shared" si="0"/>
        <v>18496.482105053776</v>
      </c>
      <c r="E12" s="3">
        <f t="shared" si="1"/>
        <v>37196.482105053772</v>
      </c>
      <c r="F12" s="2">
        <f t="shared" si="2"/>
        <v>4835.5426736569907</v>
      </c>
      <c r="G12" s="3">
        <f t="shared" si="3"/>
        <v>32360.939431396782</v>
      </c>
    </row>
    <row r="13" spans="1:7">
      <c r="A13" s="37">
        <v>208</v>
      </c>
      <c r="B13" s="2" t="s">
        <v>135</v>
      </c>
      <c r="C13" s="45">
        <v>19050</v>
      </c>
      <c r="D13" s="41">
        <f t="shared" si="0"/>
        <v>18842.672946592214</v>
      </c>
      <c r="E13" s="3">
        <f t="shared" si="1"/>
        <v>37892.672946592211</v>
      </c>
      <c r="F13" s="2">
        <f t="shared" si="2"/>
        <v>4926.0474830569874</v>
      </c>
      <c r="G13" s="3">
        <f t="shared" si="3"/>
        <v>32966.625463535223</v>
      </c>
    </row>
    <row r="14" spans="1:7">
      <c r="A14" s="37">
        <v>209</v>
      </c>
      <c r="B14" s="2" t="s">
        <v>136</v>
      </c>
      <c r="C14" s="45">
        <v>24050</v>
      </c>
      <c r="D14" s="41">
        <f t="shared" si="0"/>
        <v>23788.256397141351</v>
      </c>
      <c r="E14" s="3">
        <f t="shared" si="1"/>
        <v>47838.256397141347</v>
      </c>
      <c r="F14" s="2">
        <f t="shared" si="2"/>
        <v>6218.9733316283755</v>
      </c>
      <c r="G14" s="3">
        <f t="shared" si="3"/>
        <v>41619.283065512973</v>
      </c>
    </row>
    <row r="15" spans="1:7">
      <c r="A15" s="37">
        <v>210</v>
      </c>
      <c r="B15" s="2" t="s">
        <v>137</v>
      </c>
      <c r="C15" s="45">
        <v>25550</v>
      </c>
      <c r="D15" s="41">
        <f t="shared" si="0"/>
        <v>25271.931432306093</v>
      </c>
      <c r="E15" s="3">
        <f t="shared" si="1"/>
        <v>50821.931432306097</v>
      </c>
      <c r="F15" s="2">
        <f t="shared" si="2"/>
        <v>6606.8510861997929</v>
      </c>
      <c r="G15" s="3">
        <f t="shared" si="3"/>
        <v>44215.080346106304</v>
      </c>
    </row>
    <row r="16" spans="1:7">
      <c r="A16" s="37"/>
      <c r="B16" s="2" t="s">
        <v>28</v>
      </c>
      <c r="C16" s="45">
        <v>202250</v>
      </c>
      <c r="D16" s="41">
        <f t="shared" si="0"/>
        <v>200048.85057471262</v>
      </c>
      <c r="E16" s="3">
        <f t="shared" si="1"/>
        <v>402298.85057471262</v>
      </c>
      <c r="F16" s="2">
        <f t="shared" si="2"/>
        <v>52298.85057471264</v>
      </c>
      <c r="G16" s="3">
        <f t="shared" si="3"/>
        <v>350000</v>
      </c>
    </row>
    <row r="18" spans="2:3">
      <c r="B18" s="49" t="s">
        <v>138</v>
      </c>
      <c r="C18" s="50">
        <f>MAX(G4:G15)</f>
        <v>44215.080346106304</v>
      </c>
    </row>
    <row r="19" spans="2:3">
      <c r="B19" s="49" t="s">
        <v>139</v>
      </c>
      <c r="C19" s="50">
        <f>MIN(G4:G15)</f>
        <v>25092.707045735475</v>
      </c>
    </row>
    <row r="20" spans="2:3">
      <c r="B20" s="49" t="s">
        <v>140</v>
      </c>
      <c r="C20" s="50">
        <f>AVERAGE(G4:G15)</f>
        <v>31692.32498033487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4"/>
  <sheetViews>
    <sheetView zoomScale="80" zoomScaleNormal="80" workbookViewId="0">
      <selection activeCell="I14" sqref="I14"/>
    </sheetView>
  </sheetViews>
  <sheetFormatPr defaultRowHeight="15"/>
  <cols>
    <col min="1" max="1" width="27.42578125" customWidth="1"/>
  </cols>
  <sheetData>
    <row r="1" spans="1:6">
      <c r="B1" s="101" t="s">
        <v>149</v>
      </c>
      <c r="C1" s="101"/>
      <c r="D1" s="101"/>
      <c r="E1" s="101"/>
    </row>
    <row r="3" spans="1:6">
      <c r="B3" s="102" t="s">
        <v>150</v>
      </c>
      <c r="C3" s="86"/>
      <c r="D3" s="54">
        <v>5000</v>
      </c>
    </row>
    <row r="5" spans="1:6" ht="30" customHeight="1">
      <c r="A5" s="56" t="s">
        <v>151</v>
      </c>
      <c r="B5" s="56" t="s">
        <v>152</v>
      </c>
      <c r="C5" s="56" t="s">
        <v>153</v>
      </c>
      <c r="D5" s="56" t="s">
        <v>154</v>
      </c>
      <c r="E5" s="56" t="s">
        <v>155</v>
      </c>
      <c r="F5" s="56" t="s">
        <v>156</v>
      </c>
    </row>
    <row r="6" spans="1:6">
      <c r="A6" s="55" t="s">
        <v>157</v>
      </c>
      <c r="B6" s="54">
        <v>1</v>
      </c>
      <c r="C6" s="54">
        <v>0</v>
      </c>
      <c r="D6" s="54">
        <f>B6*$D$3+C6</f>
        <v>5000</v>
      </c>
      <c r="E6" s="54">
        <v>6</v>
      </c>
      <c r="F6" s="54">
        <f>D6*E6</f>
        <v>30000</v>
      </c>
    </row>
    <row r="7" spans="1:6">
      <c r="A7" s="55" t="s">
        <v>158</v>
      </c>
      <c r="B7" s="54">
        <v>1.2</v>
      </c>
      <c r="C7" s="54">
        <v>0</v>
      </c>
      <c r="D7" s="54">
        <f t="shared" ref="D7:D13" si="0">B7*$D$3+C7</f>
        <v>6000</v>
      </c>
      <c r="E7" s="54">
        <v>8</v>
      </c>
      <c r="F7" s="54">
        <f t="shared" ref="F7:F13" si="1">D7*E7</f>
        <v>48000</v>
      </c>
    </row>
    <row r="8" spans="1:6">
      <c r="A8" s="55" t="s">
        <v>159</v>
      </c>
      <c r="B8" s="54">
        <v>2.5</v>
      </c>
      <c r="C8" s="54">
        <v>0</v>
      </c>
      <c r="D8" s="54">
        <f t="shared" si="0"/>
        <v>12500</v>
      </c>
      <c r="E8" s="54">
        <v>10</v>
      </c>
      <c r="F8" s="54">
        <f t="shared" si="1"/>
        <v>125000</v>
      </c>
    </row>
    <row r="9" spans="1:6">
      <c r="A9" s="55" t="s">
        <v>160</v>
      </c>
      <c r="B9" s="54">
        <v>3</v>
      </c>
      <c r="C9" s="54">
        <v>1000</v>
      </c>
      <c r="D9" s="54">
        <f t="shared" si="0"/>
        <v>16000</v>
      </c>
      <c r="E9" s="54">
        <v>3</v>
      </c>
      <c r="F9" s="54">
        <f t="shared" si="1"/>
        <v>48000</v>
      </c>
    </row>
    <row r="10" spans="1:6">
      <c r="A10" s="55" t="s">
        <v>161</v>
      </c>
      <c r="B10" s="54">
        <v>4</v>
      </c>
      <c r="C10" s="54">
        <v>0</v>
      </c>
      <c r="D10" s="54">
        <f t="shared" si="0"/>
        <v>20000</v>
      </c>
      <c r="E10" s="54">
        <v>1</v>
      </c>
      <c r="F10" s="54">
        <f t="shared" si="1"/>
        <v>20000</v>
      </c>
    </row>
    <row r="11" spans="1:6">
      <c r="A11" s="55" t="s">
        <v>162</v>
      </c>
      <c r="B11" s="54">
        <v>1.5</v>
      </c>
      <c r="C11" s="54">
        <v>1500</v>
      </c>
      <c r="D11" s="54">
        <f t="shared" si="0"/>
        <v>9000</v>
      </c>
      <c r="E11" s="54">
        <v>1</v>
      </c>
      <c r="F11" s="54">
        <f t="shared" si="1"/>
        <v>9000</v>
      </c>
    </row>
    <row r="12" spans="1:6">
      <c r="A12" s="55" t="s">
        <v>163</v>
      </c>
      <c r="B12" s="54">
        <v>3.5</v>
      </c>
      <c r="C12" s="54">
        <v>0</v>
      </c>
      <c r="D12" s="54">
        <f t="shared" si="0"/>
        <v>17500</v>
      </c>
      <c r="E12" s="54">
        <v>1</v>
      </c>
      <c r="F12" s="54">
        <f t="shared" si="1"/>
        <v>17500</v>
      </c>
    </row>
    <row r="13" spans="1:6">
      <c r="A13" s="55" t="s">
        <v>164</v>
      </c>
      <c r="B13" s="54">
        <v>5</v>
      </c>
      <c r="C13" s="54">
        <v>2000</v>
      </c>
      <c r="D13" s="54">
        <f t="shared" si="0"/>
        <v>27000</v>
      </c>
      <c r="E13" s="54">
        <v>1</v>
      </c>
      <c r="F13" s="54">
        <f t="shared" si="1"/>
        <v>27000</v>
      </c>
    </row>
    <row r="14" spans="1:6">
      <c r="F14" s="83"/>
    </row>
  </sheetData>
  <mergeCells count="2">
    <mergeCell ref="B1:E1"/>
    <mergeCell ref="B3:C3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7"/>
  <sheetViews>
    <sheetView topLeftCell="D1" zoomScale="90" zoomScaleNormal="90" workbookViewId="0">
      <selection activeCell="T17" sqref="T17"/>
    </sheetView>
  </sheetViews>
  <sheetFormatPr defaultRowHeight="12"/>
  <cols>
    <col min="1" max="1" width="9.140625" style="66"/>
    <col min="2" max="3" width="18.28515625" style="66" customWidth="1"/>
    <col min="4" max="4" width="18.140625" style="66" customWidth="1"/>
    <col min="5" max="5" width="9.140625" style="66"/>
    <col min="6" max="6" width="18.140625" style="66" customWidth="1"/>
    <col min="7" max="7" width="18.28515625" style="66" customWidth="1"/>
    <col min="8" max="8" width="27.28515625" style="66" customWidth="1"/>
    <col min="9" max="16384" width="9.140625" style="66"/>
  </cols>
  <sheetData>
    <row r="1" spans="1:12">
      <c r="A1" s="103" t="s">
        <v>180</v>
      </c>
      <c r="B1" s="103"/>
      <c r="C1" s="103"/>
      <c r="D1" s="103"/>
      <c r="E1" s="103"/>
      <c r="F1" s="103"/>
      <c r="G1" s="103"/>
      <c r="H1" s="103"/>
    </row>
    <row r="3" spans="1:12" ht="45" customHeight="1">
      <c r="B3" s="67" t="s">
        <v>181</v>
      </c>
      <c r="C3" s="71">
        <v>0.13700000000000001</v>
      </c>
    </row>
    <row r="5" spans="1:12" ht="49.5" customHeight="1">
      <c r="A5" s="67" t="s">
        <v>182</v>
      </c>
      <c r="B5" s="67" t="s">
        <v>183</v>
      </c>
      <c r="C5" s="67" t="s">
        <v>184</v>
      </c>
      <c r="D5" s="67" t="s">
        <v>185</v>
      </c>
      <c r="E5" s="67" t="s">
        <v>186</v>
      </c>
      <c r="F5" s="67" t="s">
        <v>187</v>
      </c>
      <c r="G5" s="67" t="s">
        <v>188</v>
      </c>
      <c r="H5" s="67" t="s">
        <v>189</v>
      </c>
      <c r="L5" s="69"/>
    </row>
    <row r="6" spans="1:12">
      <c r="A6" s="73">
        <v>1</v>
      </c>
      <c r="B6" s="72">
        <v>75250</v>
      </c>
      <c r="C6" s="68">
        <f>B6*(1+Ставка/12)^(1-$A6)</f>
        <v>75250</v>
      </c>
      <c r="D6" s="68"/>
      <c r="E6" s="68"/>
      <c r="F6" s="68">
        <f t="shared" ref="F6:F17" si="0">E6*(1+Ставка/12)^(1-$A6)</f>
        <v>0</v>
      </c>
      <c r="G6" s="68">
        <f>F6</f>
        <v>0</v>
      </c>
      <c r="H6" s="68">
        <f>C6-D6</f>
        <v>75250</v>
      </c>
    </row>
    <row r="7" spans="1:12">
      <c r="A7" s="73">
        <v>2</v>
      </c>
      <c r="B7" s="72">
        <v>125700</v>
      </c>
      <c r="C7" s="74">
        <f>B7*(1+Ставка/12)^(1-$A7)</f>
        <v>124281.12383620335</v>
      </c>
      <c r="D7" s="74">
        <f>D6+C7</f>
        <v>124281.12383620335</v>
      </c>
      <c r="E7" s="72">
        <v>25250</v>
      </c>
      <c r="F7" s="68">
        <f t="shared" si="0"/>
        <v>24964.983109499877</v>
      </c>
      <c r="G7" s="74">
        <f>G6+F7</f>
        <v>24964.983109499877</v>
      </c>
      <c r="H7" s="68">
        <f t="shared" ref="H7:H17" si="1">C7-D7</f>
        <v>0</v>
      </c>
    </row>
    <row r="8" spans="1:12">
      <c r="A8" s="73">
        <v>3</v>
      </c>
      <c r="B8" s="72">
        <v>136540</v>
      </c>
      <c r="C8" s="74">
        <f>B8*(1+Ставка/12)^(1-$A8)</f>
        <v>133474.92537834431</v>
      </c>
      <c r="D8" s="74">
        <f t="shared" ref="D8:D17" si="2">D7+C8</f>
        <v>257756.04921454767</v>
      </c>
      <c r="E8" s="72">
        <v>75950</v>
      </c>
      <c r="F8" s="68">
        <f t="shared" si="0"/>
        <v>74245.060659771872</v>
      </c>
      <c r="G8" s="74">
        <f t="shared" ref="G8:G17" si="3">G7+F8</f>
        <v>99210.043769271753</v>
      </c>
      <c r="H8" s="68">
        <f t="shared" si="1"/>
        <v>-124281.12383620336</v>
      </c>
    </row>
    <row r="9" spans="1:12">
      <c r="A9" s="73">
        <v>4</v>
      </c>
      <c r="B9" s="72">
        <v>175020</v>
      </c>
      <c r="C9" s="74">
        <f>B9*(1+Ставка/12)^(1-$A9)</f>
        <v>169159.8774427321</v>
      </c>
      <c r="D9" s="74">
        <f t="shared" si="2"/>
        <v>426915.92665727978</v>
      </c>
      <c r="E9" s="72">
        <v>105700</v>
      </c>
      <c r="F9" s="68">
        <f t="shared" si="0"/>
        <v>102160.89044507362</v>
      </c>
      <c r="G9" s="74">
        <f t="shared" si="3"/>
        <v>201370.93421434535</v>
      </c>
      <c r="H9" s="68">
        <f t="shared" si="1"/>
        <v>-257756.04921454767</v>
      </c>
    </row>
    <row r="10" spans="1:12">
      <c r="A10" s="73">
        <v>5</v>
      </c>
      <c r="B10" s="72">
        <v>170600</v>
      </c>
      <c r="C10" s="74">
        <f>B10*(1+Ставка/12)^(1-$A10)</f>
        <v>163026.64956595324</v>
      </c>
      <c r="D10" s="74">
        <f t="shared" si="2"/>
        <v>589942.57622323302</v>
      </c>
      <c r="E10" s="72">
        <v>168300</v>
      </c>
      <c r="F10" s="68">
        <f t="shared" si="0"/>
        <v>160828.75218024579</v>
      </c>
      <c r="G10" s="74">
        <f t="shared" si="3"/>
        <v>362199.68639459112</v>
      </c>
      <c r="H10" s="68">
        <f t="shared" si="1"/>
        <v>-426915.92665727978</v>
      </c>
    </row>
    <row r="11" spans="1:12">
      <c r="A11" s="73">
        <v>6</v>
      </c>
      <c r="B11" s="68"/>
      <c r="C11" s="68"/>
      <c r="D11" s="74">
        <f t="shared" si="2"/>
        <v>589942.57622323302</v>
      </c>
      <c r="E11" s="72">
        <v>147500</v>
      </c>
      <c r="F11" s="68">
        <f t="shared" si="0"/>
        <v>139361.07600195601</v>
      </c>
      <c r="G11" s="74">
        <f t="shared" si="3"/>
        <v>501560.76239654713</v>
      </c>
      <c r="H11" s="68">
        <f t="shared" si="1"/>
        <v>-589942.57622323302</v>
      </c>
    </row>
    <row r="12" spans="1:12">
      <c r="A12" s="73">
        <v>7</v>
      </c>
      <c r="B12" s="68"/>
      <c r="C12" s="68"/>
      <c r="D12" s="74">
        <f t="shared" si="2"/>
        <v>589942.57622323302</v>
      </c>
      <c r="E12" s="72">
        <v>137450</v>
      </c>
      <c r="F12" s="68">
        <f t="shared" si="0"/>
        <v>128399.72950489051</v>
      </c>
      <c r="G12" s="74">
        <f t="shared" si="3"/>
        <v>629960.49190143764</v>
      </c>
      <c r="H12" s="68">
        <f t="shared" si="1"/>
        <v>-589942.57622323302</v>
      </c>
    </row>
    <row r="13" spans="1:12">
      <c r="A13" s="73">
        <v>8</v>
      </c>
      <c r="B13" s="68"/>
      <c r="C13" s="68"/>
      <c r="D13" s="74">
        <f t="shared" si="2"/>
        <v>589942.57622323302</v>
      </c>
      <c r="E13" s="72">
        <v>127420</v>
      </c>
      <c r="F13" s="68">
        <f t="shared" si="0"/>
        <v>117686.55755255293</v>
      </c>
      <c r="G13" s="74">
        <f t="shared" si="3"/>
        <v>747647.04945399053</v>
      </c>
      <c r="H13" s="68">
        <f t="shared" si="1"/>
        <v>-589942.57622323302</v>
      </c>
    </row>
    <row r="14" spans="1:12">
      <c r="A14" s="73">
        <v>9</v>
      </c>
      <c r="B14" s="68"/>
      <c r="C14" s="68"/>
      <c r="D14" s="74">
        <f t="shared" si="2"/>
        <v>589942.57622323302</v>
      </c>
      <c r="E14" s="72">
        <v>43100</v>
      </c>
      <c r="F14" s="68">
        <f t="shared" si="0"/>
        <v>39358.308274120274</v>
      </c>
      <c r="G14" s="74">
        <f t="shared" si="3"/>
        <v>787005.35772811086</v>
      </c>
      <c r="H14" s="68">
        <f t="shared" si="1"/>
        <v>-589942.57622323302</v>
      </c>
    </row>
    <row r="15" spans="1:12">
      <c r="A15" s="73">
        <v>10</v>
      </c>
      <c r="B15" s="68"/>
      <c r="C15" s="68"/>
      <c r="D15" s="74">
        <f>D14+C15</f>
        <v>589942.57622323302</v>
      </c>
      <c r="E15" s="68"/>
      <c r="F15" s="68">
        <f t="shared" si="0"/>
        <v>0</v>
      </c>
      <c r="G15" s="74">
        <f t="shared" si="3"/>
        <v>787005.35772811086</v>
      </c>
      <c r="H15" s="68">
        <f t="shared" si="1"/>
        <v>-589942.57622323302</v>
      </c>
    </row>
    <row r="16" spans="1:12">
      <c r="A16" s="73">
        <v>11</v>
      </c>
      <c r="B16" s="68"/>
      <c r="C16" s="68"/>
      <c r="D16" s="74">
        <f t="shared" si="2"/>
        <v>589942.57622323302</v>
      </c>
      <c r="E16" s="68"/>
      <c r="F16" s="68">
        <f t="shared" si="0"/>
        <v>0</v>
      </c>
      <c r="G16" s="74">
        <f t="shared" si="3"/>
        <v>787005.35772811086</v>
      </c>
      <c r="H16" s="68">
        <f t="shared" si="1"/>
        <v>-589942.57622323302</v>
      </c>
    </row>
    <row r="17" spans="1:8">
      <c r="A17" s="73">
        <v>12</v>
      </c>
      <c r="B17" s="68"/>
      <c r="C17" s="68"/>
      <c r="D17" s="74">
        <f t="shared" si="2"/>
        <v>589942.57622323302</v>
      </c>
      <c r="E17" s="68"/>
      <c r="F17" s="68">
        <f t="shared" si="0"/>
        <v>0</v>
      </c>
      <c r="G17" s="74">
        <f t="shared" si="3"/>
        <v>787005.35772811086</v>
      </c>
      <c r="H17" s="68">
        <f t="shared" si="1"/>
        <v>-589942.57622323302</v>
      </c>
    </row>
    <row r="19" spans="1:8">
      <c r="B19" s="104" t="s">
        <v>190</v>
      </c>
      <c r="C19" s="104"/>
      <c r="D19" s="104"/>
      <c r="E19" s="68">
        <f>COUNT(E7:E14)</f>
        <v>8</v>
      </c>
    </row>
    <row r="20" spans="1:8">
      <c r="B20" s="104" t="s">
        <v>191</v>
      </c>
      <c r="C20" s="104"/>
      <c r="D20" s="104"/>
      <c r="E20" s="75">
        <f>COUNTIF(E7:E14,"&gt;100 000")</f>
        <v>5</v>
      </c>
    </row>
    <row r="35" spans="12:12">
      <c r="L35" s="70"/>
    </row>
    <row r="36" spans="12:12">
      <c r="L36" s="70"/>
    </row>
    <row r="37" spans="12:12">
      <c r="L37" s="70"/>
    </row>
    <row r="38" spans="12:12">
      <c r="L38" s="70"/>
    </row>
    <row r="39" spans="12:12">
      <c r="L39" s="70"/>
    </row>
    <row r="40" spans="12:12">
      <c r="L40" s="70"/>
    </row>
    <row r="41" spans="12:12">
      <c r="L41" s="70"/>
    </row>
    <row r="42" spans="12:12">
      <c r="L42" s="70"/>
    </row>
    <row r="43" spans="12:12">
      <c r="L43" s="70"/>
    </row>
    <row r="44" spans="12:12">
      <c r="L44" s="70"/>
    </row>
    <row r="47" spans="12:12">
      <c r="L47" s="70"/>
    </row>
  </sheetData>
  <mergeCells count="3">
    <mergeCell ref="A1:H1"/>
    <mergeCell ref="B19:D19"/>
    <mergeCell ref="B20:D2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"/>
  <sheetViews>
    <sheetView workbookViewId="0">
      <selection activeCell="F6" sqref="F6"/>
    </sheetView>
  </sheetViews>
  <sheetFormatPr defaultRowHeight="15"/>
  <cols>
    <col min="1" max="2" width="18.28515625" customWidth="1"/>
    <col min="3" max="3" width="18.42578125" customWidth="1"/>
  </cols>
  <sheetData>
    <row r="1" spans="1:5">
      <c r="A1" s="105" t="s">
        <v>192</v>
      </c>
      <c r="B1" s="105"/>
      <c r="C1" s="105"/>
      <c r="D1" s="105"/>
      <c r="E1" s="105"/>
    </row>
    <row r="3" spans="1:5">
      <c r="A3" s="78" t="s">
        <v>194</v>
      </c>
      <c r="B3" s="79">
        <v>45000</v>
      </c>
    </row>
    <row r="4" spans="1:5" ht="28.5" customHeight="1">
      <c r="A4" s="65" t="s">
        <v>170</v>
      </c>
      <c r="B4" s="77">
        <v>0.105</v>
      </c>
    </row>
    <row r="7" spans="1:5">
      <c r="A7" s="105" t="s">
        <v>193</v>
      </c>
      <c r="B7" s="105"/>
      <c r="C7" s="105"/>
      <c r="D7" s="105"/>
      <c r="E7" s="105"/>
    </row>
    <row r="9" spans="1:5" ht="29.25" customHeight="1">
      <c r="A9" s="65" t="s">
        <v>195</v>
      </c>
      <c r="B9" s="65" t="s">
        <v>196</v>
      </c>
      <c r="C9" s="65" t="s">
        <v>197</v>
      </c>
    </row>
    <row r="10" spans="1:5">
      <c r="A10" s="62">
        <v>1</v>
      </c>
      <c r="B10" s="80">
        <f>$B$3*(1+$B$4)^A10</f>
        <v>49725</v>
      </c>
      <c r="C10" s="80">
        <f>FV($B$4,A10,,-$B$3,1)</f>
        <v>49725</v>
      </c>
    </row>
    <row r="11" spans="1:5">
      <c r="A11" s="62">
        <v>2</v>
      </c>
      <c r="B11" s="80">
        <f t="shared" ref="B11:B15" si="0">$B$3*(1+$B$4)^A11</f>
        <v>54946.125</v>
      </c>
      <c r="C11" s="80">
        <f t="shared" ref="C11:C15" si="1">FV($B$4,A11,,-$B$3,1)</f>
        <v>54946.125</v>
      </c>
    </row>
    <row r="12" spans="1:5">
      <c r="A12" s="62">
        <v>3</v>
      </c>
      <c r="B12" s="80">
        <f t="shared" si="0"/>
        <v>60715.468124999999</v>
      </c>
      <c r="C12" s="80">
        <f t="shared" si="1"/>
        <v>60715.468124999999</v>
      </c>
    </row>
    <row r="13" spans="1:5">
      <c r="A13" s="62">
        <v>4</v>
      </c>
      <c r="B13" s="80">
        <f t="shared" si="0"/>
        <v>67090.592278125012</v>
      </c>
      <c r="C13" s="80">
        <f t="shared" si="1"/>
        <v>67090.592278125012</v>
      </c>
    </row>
    <row r="14" spans="1:5">
      <c r="A14" s="62">
        <v>5</v>
      </c>
      <c r="B14" s="80">
        <f t="shared" si="0"/>
        <v>74135.104467328129</v>
      </c>
      <c r="C14" s="80">
        <f t="shared" si="1"/>
        <v>74135.104467328129</v>
      </c>
    </row>
    <row r="15" spans="1:5">
      <c r="A15" s="62">
        <v>6</v>
      </c>
      <c r="B15" s="80">
        <f t="shared" si="0"/>
        <v>81919.290436397583</v>
      </c>
      <c r="C15" s="80">
        <f t="shared" si="1"/>
        <v>81919.290436397583</v>
      </c>
    </row>
  </sheetData>
  <mergeCells count="2">
    <mergeCell ref="A7:E7"/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"/>
  <sheetViews>
    <sheetView workbookViewId="0">
      <selection activeCell="B20" sqref="B20"/>
    </sheetView>
  </sheetViews>
  <sheetFormatPr defaultRowHeight="15"/>
  <cols>
    <col min="2" max="2" width="18.28515625" customWidth="1"/>
    <col min="3" max="3" width="9.140625" customWidth="1"/>
  </cols>
  <sheetData>
    <row r="1" spans="1:8">
      <c r="A1" s="99" t="s">
        <v>165</v>
      </c>
      <c r="B1" s="99"/>
      <c r="C1" s="99"/>
      <c r="D1" s="99"/>
      <c r="E1" s="99"/>
      <c r="F1" s="99"/>
      <c r="G1" s="99"/>
      <c r="H1" s="99"/>
    </row>
    <row r="2" spans="1:8">
      <c r="A2" s="106" t="s">
        <v>166</v>
      </c>
      <c r="B2" s="55" t="s">
        <v>167</v>
      </c>
      <c r="C2" s="108">
        <v>0</v>
      </c>
      <c r="D2" s="108">
        <v>1</v>
      </c>
      <c r="E2" s="108">
        <v>2</v>
      </c>
      <c r="F2" s="108">
        <v>3</v>
      </c>
      <c r="G2" s="108">
        <v>4</v>
      </c>
      <c r="H2" s="106" t="s">
        <v>172</v>
      </c>
    </row>
    <row r="3" spans="1:8">
      <c r="A3" s="107"/>
      <c r="B3" s="55" t="s">
        <v>168</v>
      </c>
      <c r="C3" s="109"/>
      <c r="D3" s="110"/>
      <c r="E3" s="110"/>
      <c r="F3" s="110"/>
      <c r="G3" s="110"/>
      <c r="H3" s="107"/>
    </row>
    <row r="4" spans="1:8">
      <c r="A4" s="57">
        <v>0</v>
      </c>
      <c r="B4" s="55" t="s">
        <v>169</v>
      </c>
      <c r="C4" s="54">
        <v>-1000</v>
      </c>
      <c r="D4" s="54">
        <v>500</v>
      </c>
      <c r="E4" s="54">
        <v>400</v>
      </c>
      <c r="F4" s="54">
        <v>300</v>
      </c>
      <c r="G4" s="54">
        <v>100</v>
      </c>
      <c r="H4" s="54">
        <v>300</v>
      </c>
    </row>
    <row r="5" spans="1:8">
      <c r="A5" s="57">
        <v>1</v>
      </c>
      <c r="B5" s="55" t="s">
        <v>170</v>
      </c>
      <c r="C5" s="54">
        <v>0.1</v>
      </c>
      <c r="D5" s="54">
        <v>0.1</v>
      </c>
      <c r="E5" s="54">
        <v>0.1</v>
      </c>
      <c r="F5" s="54">
        <v>0.1</v>
      </c>
      <c r="G5" s="54">
        <v>0.1</v>
      </c>
      <c r="H5" s="54"/>
    </row>
    <row r="6" spans="1:8">
      <c r="A6" s="57">
        <v>2</v>
      </c>
      <c r="B6" s="55" t="s">
        <v>171</v>
      </c>
      <c r="C6" s="54">
        <f>C4/(1+C5)^C2</f>
        <v>-1000</v>
      </c>
      <c r="D6" s="54">
        <f t="shared" ref="D6:G6" si="0">D4/(1+D5)^D2</f>
        <v>454.5454545454545</v>
      </c>
      <c r="E6" s="54">
        <f t="shared" si="0"/>
        <v>330.57851239669418</v>
      </c>
      <c r="F6" s="54">
        <f t="shared" si="0"/>
        <v>225.39444027047327</v>
      </c>
      <c r="G6" s="54">
        <f t="shared" si="0"/>
        <v>68.301345536507057</v>
      </c>
      <c r="H6" s="54">
        <f>SUM(C4:G4)</f>
        <v>300</v>
      </c>
    </row>
  </sheetData>
  <mergeCells count="8">
    <mergeCell ref="A1:H1"/>
    <mergeCell ref="A2:A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"/>
  <sheetViews>
    <sheetView workbookViewId="0">
      <selection activeCell="F13" sqref="F13"/>
    </sheetView>
  </sheetViews>
  <sheetFormatPr defaultRowHeight="15"/>
  <cols>
    <col min="2" max="2" width="18.28515625" customWidth="1"/>
    <col min="3" max="3" width="9.140625" customWidth="1"/>
  </cols>
  <sheetData>
    <row r="1" spans="1:8">
      <c r="A1" s="99" t="s">
        <v>173</v>
      </c>
      <c r="B1" s="99"/>
      <c r="C1" s="99"/>
      <c r="D1" s="99"/>
      <c r="E1" s="99"/>
      <c r="F1" s="99"/>
      <c r="G1" s="99"/>
      <c r="H1" s="99"/>
    </row>
    <row r="2" spans="1:8">
      <c r="A2" s="106" t="s">
        <v>166</v>
      </c>
      <c r="B2" s="55" t="s">
        <v>167</v>
      </c>
      <c r="C2" s="108">
        <v>0</v>
      </c>
      <c r="D2" s="108">
        <v>1</v>
      </c>
      <c r="E2" s="108">
        <v>2</v>
      </c>
      <c r="F2" s="108">
        <v>3</v>
      </c>
      <c r="G2" s="108">
        <v>4</v>
      </c>
      <c r="H2" s="106" t="s">
        <v>172</v>
      </c>
    </row>
    <row r="3" spans="1:8">
      <c r="A3" s="107"/>
      <c r="B3" s="55" t="s">
        <v>168</v>
      </c>
      <c r="C3" s="109"/>
      <c r="D3" s="110"/>
      <c r="E3" s="110"/>
      <c r="F3" s="110"/>
      <c r="G3" s="110"/>
      <c r="H3" s="107"/>
    </row>
    <row r="4" spans="1:8">
      <c r="A4" s="57">
        <v>0</v>
      </c>
      <c r="B4" s="55" t="s">
        <v>169</v>
      </c>
      <c r="C4" s="54">
        <v>-1000</v>
      </c>
      <c r="D4" s="54">
        <v>500</v>
      </c>
      <c r="E4" s="54">
        <v>400</v>
      </c>
      <c r="F4" s="54">
        <v>300</v>
      </c>
      <c r="G4" s="54">
        <v>100</v>
      </c>
      <c r="H4" s="54">
        <v>300</v>
      </c>
    </row>
    <row r="5" spans="1:8">
      <c r="A5" s="57">
        <v>1</v>
      </c>
      <c r="B5" s="55" t="s">
        <v>170</v>
      </c>
      <c r="C5" s="54">
        <v>0.1</v>
      </c>
      <c r="D5" s="54">
        <v>0.1</v>
      </c>
      <c r="E5" s="54">
        <v>0.1</v>
      </c>
      <c r="F5" s="54">
        <v>0.1</v>
      </c>
      <c r="G5" s="54">
        <v>0.1</v>
      </c>
      <c r="H5" s="54"/>
    </row>
    <row r="6" spans="1:8">
      <c r="A6" s="57">
        <v>2</v>
      </c>
      <c r="B6" s="55" t="s">
        <v>171</v>
      </c>
      <c r="C6" s="54">
        <f>C4/(1+C5)^C2</f>
        <v>-1000</v>
      </c>
      <c r="D6" s="54">
        <f t="shared" ref="D6:G6" si="0">D4/(1+D5)^D2</f>
        <v>454.5454545454545</v>
      </c>
      <c r="E6" s="54">
        <f t="shared" si="0"/>
        <v>330.57851239669418</v>
      </c>
      <c r="F6" s="54">
        <f t="shared" si="0"/>
        <v>225.39444027047327</v>
      </c>
      <c r="G6" s="54">
        <f t="shared" si="0"/>
        <v>68.301345536507057</v>
      </c>
      <c r="H6" s="54">
        <f>SUM(C4:G4)</f>
        <v>300</v>
      </c>
    </row>
  </sheetData>
  <mergeCells count="8">
    <mergeCell ref="A1:H1"/>
    <mergeCell ref="A2:A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>
      <selection activeCell="J16" sqref="J16"/>
    </sheetView>
  </sheetViews>
  <sheetFormatPr defaultRowHeight="12.75"/>
  <cols>
    <col min="1" max="1" width="9.140625" style="58"/>
    <col min="2" max="2" width="13.7109375" style="58" customWidth="1"/>
    <col min="3" max="3" width="10.5703125" style="58" customWidth="1"/>
    <col min="4" max="4" width="13.7109375" style="58" customWidth="1"/>
    <col min="5" max="5" width="11.28515625" style="58" customWidth="1"/>
    <col min="6" max="16384" width="9.140625" style="58"/>
  </cols>
  <sheetData>
    <row r="1" spans="1:5">
      <c r="A1" s="111" t="s">
        <v>174</v>
      </c>
      <c r="B1" s="111"/>
      <c r="C1" s="111"/>
      <c r="D1" s="111"/>
      <c r="E1" s="111"/>
    </row>
    <row r="2" spans="1:5">
      <c r="A2" s="60" t="s">
        <v>167</v>
      </c>
      <c r="B2" s="113" t="s">
        <v>175</v>
      </c>
      <c r="C2" s="114"/>
      <c r="D2" s="113" t="s">
        <v>176</v>
      </c>
      <c r="E2" s="114"/>
    </row>
    <row r="3" spans="1:5">
      <c r="A3" s="61"/>
      <c r="B3" s="59" t="s">
        <v>177</v>
      </c>
      <c r="C3" s="59" t="s">
        <v>178</v>
      </c>
      <c r="D3" s="59" t="s">
        <v>177</v>
      </c>
      <c r="E3" s="59" t="s">
        <v>178</v>
      </c>
    </row>
    <row r="4" spans="1:5">
      <c r="A4" s="59">
        <v>0</v>
      </c>
      <c r="B4" s="59">
        <v>-1000</v>
      </c>
      <c r="C4" s="59">
        <v>-1000</v>
      </c>
      <c r="D4" s="59">
        <v>-1000</v>
      </c>
      <c r="E4" s="59">
        <v>-1000</v>
      </c>
    </row>
    <row r="5" spans="1:5">
      <c r="A5" s="59">
        <v>1</v>
      </c>
      <c r="B5" s="59">
        <v>455</v>
      </c>
      <c r="C5" s="59">
        <f>C4+B5</f>
        <v>-545</v>
      </c>
      <c r="D5" s="59">
        <v>91</v>
      </c>
      <c r="E5" s="59">
        <f>E4+D5</f>
        <v>-909</v>
      </c>
    </row>
    <row r="6" spans="1:5">
      <c r="A6" s="59">
        <v>2</v>
      </c>
      <c r="B6" s="59">
        <v>331</v>
      </c>
      <c r="C6" s="59">
        <f t="shared" ref="C6:C8" si="0">C5+B6</f>
        <v>-214</v>
      </c>
      <c r="D6" s="59">
        <v>248</v>
      </c>
      <c r="E6" s="59">
        <f t="shared" ref="E6:E8" si="1">E5+D6</f>
        <v>-661</v>
      </c>
    </row>
    <row r="7" spans="1:5">
      <c r="A7" s="59">
        <v>3</v>
      </c>
      <c r="B7" s="59">
        <v>225</v>
      </c>
      <c r="C7" s="59">
        <f t="shared" si="0"/>
        <v>11</v>
      </c>
      <c r="D7" s="59">
        <v>301</v>
      </c>
      <c r="E7" s="59">
        <f t="shared" si="1"/>
        <v>-360</v>
      </c>
    </row>
    <row r="8" spans="1:5">
      <c r="A8" s="59">
        <v>4</v>
      </c>
      <c r="B8" s="59">
        <v>68</v>
      </c>
      <c r="C8" s="59">
        <f t="shared" si="0"/>
        <v>79</v>
      </c>
      <c r="D8" s="59">
        <v>410</v>
      </c>
      <c r="E8" s="59">
        <f t="shared" si="1"/>
        <v>50</v>
      </c>
    </row>
    <row r="10" spans="1:5">
      <c r="A10" s="112" t="s">
        <v>179</v>
      </c>
      <c r="B10" s="112"/>
      <c r="C10" s="59">
        <f>A6+ABS(C6/B7)</f>
        <v>2.951111111111111</v>
      </c>
      <c r="D10" s="59"/>
      <c r="E10" s="59">
        <f>A7+ABS(E7/D8)</f>
        <v>3.8780487804878048</v>
      </c>
    </row>
  </sheetData>
  <mergeCells count="4">
    <mergeCell ref="A1:E1"/>
    <mergeCell ref="A10:B10"/>
    <mergeCell ref="B2:C2"/>
    <mergeCell ref="D2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4"/>
  <sheetViews>
    <sheetView workbookViewId="0">
      <selection activeCell="E9" sqref="E9"/>
    </sheetView>
  </sheetViews>
  <sheetFormatPr defaultRowHeight="15"/>
  <cols>
    <col min="1" max="1" width="17.85546875" customWidth="1"/>
    <col min="2" max="2" width="20.42578125" customWidth="1"/>
    <col min="4" max="4" width="20.5703125" customWidth="1"/>
    <col min="5" max="5" width="18.140625" customWidth="1"/>
  </cols>
  <sheetData>
    <row r="1" spans="1:5">
      <c r="A1" s="99" t="s">
        <v>198</v>
      </c>
      <c r="B1" s="99"/>
    </row>
    <row r="3" spans="1:5" ht="29.25" customHeight="1">
      <c r="A3" s="65" t="s">
        <v>200</v>
      </c>
      <c r="B3" s="64" t="s">
        <v>199</v>
      </c>
      <c r="C3" s="81"/>
      <c r="D3" s="64" t="s">
        <v>199</v>
      </c>
      <c r="E3" s="65" t="s">
        <v>155</v>
      </c>
    </row>
    <row r="4" spans="1:5">
      <c r="A4" s="2" t="s">
        <v>129</v>
      </c>
      <c r="B4" s="63" t="s">
        <v>142</v>
      </c>
      <c r="D4" s="63" t="s">
        <v>142</v>
      </c>
      <c r="E4" s="54">
        <f>COUNTIF(B4:B14,D4)</f>
        <v>3</v>
      </c>
    </row>
    <row r="5" spans="1:5">
      <c r="A5" s="2" t="s">
        <v>133</v>
      </c>
      <c r="B5" s="63" t="s">
        <v>143</v>
      </c>
      <c r="D5" s="63" t="s">
        <v>143</v>
      </c>
      <c r="E5" s="54">
        <f>COUNTIF(B5:B15,D5)</f>
        <v>5</v>
      </c>
    </row>
    <row r="6" spans="1:5">
      <c r="A6" s="2" t="s">
        <v>132</v>
      </c>
      <c r="B6" s="63" t="s">
        <v>143</v>
      </c>
      <c r="D6" s="63" t="s">
        <v>201</v>
      </c>
      <c r="E6" s="54">
        <f>COUNTIF(B6:B16,D6)</f>
        <v>3</v>
      </c>
    </row>
    <row r="7" spans="1:5">
      <c r="A7" s="2" t="s">
        <v>136</v>
      </c>
      <c r="B7" s="63" t="s">
        <v>201</v>
      </c>
      <c r="D7" s="54"/>
      <c r="E7" s="54"/>
    </row>
    <row r="8" spans="1:5">
      <c r="A8" t="s">
        <v>127</v>
      </c>
      <c r="B8" s="63" t="s">
        <v>142</v>
      </c>
      <c r="D8" s="54"/>
      <c r="E8" s="54"/>
    </row>
    <row r="9" spans="1:5">
      <c r="A9" s="2" t="s">
        <v>130</v>
      </c>
      <c r="B9" s="63" t="s">
        <v>143</v>
      </c>
      <c r="D9" s="54"/>
      <c r="E9" s="54"/>
    </row>
    <row r="10" spans="1:5">
      <c r="A10" s="2" t="s">
        <v>135</v>
      </c>
      <c r="B10" s="63" t="s">
        <v>201</v>
      </c>
      <c r="D10" s="54"/>
      <c r="E10" s="54"/>
    </row>
    <row r="11" spans="1:5">
      <c r="A11" s="2" t="s">
        <v>128</v>
      </c>
      <c r="B11" s="63" t="s">
        <v>142</v>
      </c>
      <c r="D11" s="54"/>
      <c r="E11" s="54"/>
    </row>
    <row r="12" spans="1:5">
      <c r="A12" s="2" t="s">
        <v>131</v>
      </c>
      <c r="B12" s="63" t="s">
        <v>143</v>
      </c>
      <c r="D12" s="54"/>
      <c r="E12" s="54"/>
    </row>
    <row r="13" spans="1:5">
      <c r="A13" s="2" t="s">
        <v>134</v>
      </c>
      <c r="B13" s="63" t="s">
        <v>143</v>
      </c>
      <c r="D13" s="54"/>
      <c r="E13" s="54"/>
    </row>
    <row r="14" spans="1:5">
      <c r="A14" s="2" t="s">
        <v>137</v>
      </c>
      <c r="B14" s="63" t="s">
        <v>201</v>
      </c>
      <c r="D14" s="54"/>
      <c r="E14" s="5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A26" sqref="A26"/>
    </sheetView>
  </sheetViews>
  <sheetFormatPr defaultColWidth="9.140625" defaultRowHeight="15"/>
  <cols>
    <col min="2" max="2" width="53.85546875" customWidth="1"/>
    <col min="3" max="3" width="18" customWidth="1"/>
    <col min="4" max="5" width="18.42578125" customWidth="1"/>
  </cols>
  <sheetData>
    <row r="1" spans="1:5">
      <c r="A1" s="84" t="s">
        <v>14</v>
      </c>
      <c r="B1" s="84"/>
      <c r="C1" s="84"/>
      <c r="D1" s="84"/>
      <c r="E1" s="84"/>
    </row>
    <row r="3" spans="1: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</row>
    <row r="4" spans="1:5">
      <c r="A4" s="2">
        <v>1</v>
      </c>
      <c r="B4" s="7" t="s">
        <v>20</v>
      </c>
      <c r="C4" s="8">
        <v>820</v>
      </c>
      <c r="D4" s="2">
        <v>150</v>
      </c>
      <c r="E4" s="2">
        <v>123000</v>
      </c>
    </row>
    <row r="5" spans="1:5">
      <c r="A5" s="2">
        <v>2</v>
      </c>
      <c r="B5" s="9" t="s">
        <v>21</v>
      </c>
      <c r="C5" s="8">
        <v>1530</v>
      </c>
      <c r="D5" s="2">
        <v>60</v>
      </c>
      <c r="E5" s="2">
        <v>91800</v>
      </c>
    </row>
    <row r="6" spans="1:5">
      <c r="A6" s="2">
        <v>3</v>
      </c>
      <c r="B6" s="9" t="s">
        <v>22</v>
      </c>
      <c r="C6" s="8">
        <v>1500</v>
      </c>
      <c r="D6" s="2">
        <v>25</v>
      </c>
      <c r="E6" s="2">
        <v>37500</v>
      </c>
    </row>
    <row r="7" spans="1:5">
      <c r="A7" s="2">
        <v>4</v>
      </c>
      <c r="B7" s="9" t="s">
        <v>23</v>
      </c>
      <c r="C7" s="8">
        <v>250</v>
      </c>
      <c r="D7" s="2">
        <v>40</v>
      </c>
      <c r="E7" s="2">
        <v>10000</v>
      </c>
    </row>
    <row r="8" spans="1:5">
      <c r="A8" s="2">
        <v>5</v>
      </c>
      <c r="B8" s="9" t="s">
        <v>24</v>
      </c>
      <c r="C8" s="8">
        <v>125</v>
      </c>
      <c r="D8" s="2">
        <v>80</v>
      </c>
      <c r="E8" s="2">
        <v>10000</v>
      </c>
    </row>
    <row r="9" spans="1:5">
      <c r="A9" s="2">
        <v>6</v>
      </c>
      <c r="B9" s="9" t="s">
        <v>25</v>
      </c>
      <c r="C9" s="8">
        <v>80</v>
      </c>
      <c r="D9" s="2">
        <v>50</v>
      </c>
      <c r="E9" s="2">
        <v>4000</v>
      </c>
    </row>
    <row r="10" spans="1:5">
      <c r="A10" s="2">
        <v>7</v>
      </c>
      <c r="B10" s="9" t="s">
        <v>26</v>
      </c>
      <c r="C10" s="8">
        <v>120</v>
      </c>
      <c r="D10" s="2">
        <v>120</v>
      </c>
      <c r="E10" s="2">
        <v>14400</v>
      </c>
    </row>
    <row r="11" spans="1:5">
      <c r="A11" s="2">
        <v>8</v>
      </c>
      <c r="B11" s="9" t="s">
        <v>27</v>
      </c>
      <c r="C11" s="8">
        <v>50</v>
      </c>
      <c r="D11" s="2">
        <v>40</v>
      </c>
      <c r="E11" s="2">
        <v>2000</v>
      </c>
    </row>
    <row r="12" spans="1:5">
      <c r="A12" s="2"/>
      <c r="B12" s="2"/>
      <c r="C12" s="2"/>
      <c r="D12" s="2" t="s">
        <v>28</v>
      </c>
      <c r="E12" s="2">
        <v>292700</v>
      </c>
    </row>
    <row r="14" spans="1:5">
      <c r="B14" s="87" t="s">
        <v>29</v>
      </c>
      <c r="C14" s="88"/>
      <c r="D14" s="87"/>
      <c r="E14" s="2">
        <v>2000</v>
      </c>
    </row>
    <row r="15" spans="1:5">
      <c r="B15" s="87" t="s">
        <v>30</v>
      </c>
      <c r="C15" s="88"/>
      <c r="D15" s="87"/>
      <c r="E15" s="2">
        <v>123000</v>
      </c>
    </row>
  </sheetData>
  <mergeCells count="3">
    <mergeCell ref="A1:E1"/>
    <mergeCell ref="B14:D14"/>
    <mergeCell ref="B15:D15"/>
  </mergeCells>
  <pageMargins left="0.70000004768371604" right="0.70000004768371604" top="0.75" bottom="0.75" header="0.30000001192092901" footer="0.3000000119209290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0"/>
  <sheetViews>
    <sheetView zoomScale="80" zoomScaleNormal="80" workbookViewId="0">
      <selection activeCell="F14" sqref="F14"/>
    </sheetView>
  </sheetViews>
  <sheetFormatPr defaultRowHeight="15"/>
  <cols>
    <col min="1" max="1" width="18.28515625" customWidth="1"/>
    <col min="2" max="2" width="18.42578125" customWidth="1"/>
    <col min="3" max="3" width="21" customWidth="1"/>
    <col min="5" max="5" width="19.42578125" customWidth="1"/>
    <col min="6" max="6" width="18.140625" customWidth="1"/>
  </cols>
  <sheetData>
    <row r="1" spans="1:6">
      <c r="A1" s="99" t="s">
        <v>204</v>
      </c>
      <c r="B1" s="99"/>
      <c r="C1" s="99"/>
    </row>
    <row r="3" spans="1:6" ht="30" customHeight="1">
      <c r="A3" s="76" t="s">
        <v>205</v>
      </c>
      <c r="B3" s="76" t="s">
        <v>206</v>
      </c>
      <c r="C3" s="76" t="s">
        <v>207</v>
      </c>
      <c r="E3" s="76" t="s">
        <v>207</v>
      </c>
      <c r="F3" s="76" t="s">
        <v>208</v>
      </c>
    </row>
    <row r="4" spans="1:6">
      <c r="A4" s="63" t="s">
        <v>209</v>
      </c>
      <c r="B4" s="79">
        <v>13202</v>
      </c>
      <c r="C4" s="63" t="s">
        <v>210</v>
      </c>
      <c r="E4" s="63" t="s">
        <v>211</v>
      </c>
      <c r="F4" s="54">
        <f>SUMIF(C4:C20,E4,B4:B20)</f>
        <v>12197</v>
      </c>
    </row>
    <row r="5" spans="1:6">
      <c r="A5" s="63" t="s">
        <v>212</v>
      </c>
      <c r="B5" s="79">
        <v>4340</v>
      </c>
      <c r="C5" s="63" t="s">
        <v>213</v>
      </c>
      <c r="E5" s="63" t="s">
        <v>213</v>
      </c>
      <c r="F5" s="54">
        <f t="shared" ref="F5:F8" si="0">SUMIF(C5:C21,E5,B5:B21)</f>
        <v>9331</v>
      </c>
    </row>
    <row r="6" spans="1:6">
      <c r="A6" s="63" t="s">
        <v>214</v>
      </c>
      <c r="B6" s="62">
        <v>2907</v>
      </c>
      <c r="C6" s="63" t="s">
        <v>211</v>
      </c>
      <c r="E6" s="63" t="s">
        <v>210</v>
      </c>
      <c r="F6" s="54">
        <f t="shared" si="0"/>
        <v>1251</v>
      </c>
    </row>
    <row r="7" spans="1:6">
      <c r="A7" s="63" t="s">
        <v>215</v>
      </c>
      <c r="B7" s="62">
        <v>2668</v>
      </c>
      <c r="C7" s="63" t="s">
        <v>213</v>
      </c>
      <c r="E7" s="54" t="s">
        <v>216</v>
      </c>
      <c r="F7" s="54">
        <f t="shared" si="0"/>
        <v>1907</v>
      </c>
    </row>
    <row r="8" spans="1:6">
      <c r="A8" s="63" t="s">
        <v>217</v>
      </c>
      <c r="B8" s="62">
        <v>2345</v>
      </c>
      <c r="C8" s="63" t="s">
        <v>211</v>
      </c>
      <c r="E8" s="63" t="s">
        <v>218</v>
      </c>
      <c r="F8" s="54">
        <f t="shared" si="0"/>
        <v>768</v>
      </c>
    </row>
    <row r="9" spans="1:6">
      <c r="A9" s="63" t="s">
        <v>219</v>
      </c>
      <c r="B9" s="62">
        <v>2231</v>
      </c>
      <c r="C9" s="63" t="s">
        <v>211</v>
      </c>
    </row>
    <row r="10" spans="1:6">
      <c r="A10" s="63" t="s">
        <v>220</v>
      </c>
      <c r="B10" s="79">
        <v>1845</v>
      </c>
      <c r="C10" s="63" t="s">
        <v>211</v>
      </c>
    </row>
    <row r="11" spans="1:6">
      <c r="A11" s="63" t="s">
        <v>221</v>
      </c>
      <c r="B11" s="79">
        <v>1251</v>
      </c>
      <c r="C11" s="63" t="s">
        <v>210</v>
      </c>
    </row>
    <row r="12" spans="1:6">
      <c r="A12" s="63" t="s">
        <v>222</v>
      </c>
      <c r="B12" s="79">
        <v>1224</v>
      </c>
      <c r="C12" s="63" t="s">
        <v>211</v>
      </c>
    </row>
    <row r="13" spans="1:6">
      <c r="A13" s="63" t="s">
        <v>223</v>
      </c>
      <c r="B13" s="79">
        <v>1068</v>
      </c>
      <c r="C13" s="63" t="s">
        <v>216</v>
      </c>
    </row>
    <row r="14" spans="1:6">
      <c r="A14" s="63" t="s">
        <v>224</v>
      </c>
      <c r="B14" s="62">
        <v>987</v>
      </c>
      <c r="C14" s="63" t="s">
        <v>211</v>
      </c>
    </row>
    <row r="15" spans="1:6">
      <c r="A15" s="63" t="s">
        <v>225</v>
      </c>
      <c r="B15" s="62">
        <v>906</v>
      </c>
      <c r="C15" s="63" t="s">
        <v>213</v>
      </c>
    </row>
    <row r="16" spans="1:6">
      <c r="A16" s="54" t="s">
        <v>226</v>
      </c>
      <c r="B16" s="62">
        <v>888</v>
      </c>
      <c r="C16" s="63" t="s">
        <v>213</v>
      </c>
    </row>
    <row r="17" spans="1:3">
      <c r="A17" s="63" t="s">
        <v>227</v>
      </c>
      <c r="B17" s="62">
        <v>839</v>
      </c>
      <c r="C17" s="63" t="s">
        <v>216</v>
      </c>
    </row>
    <row r="18" spans="1:3">
      <c r="A18" s="63" t="s">
        <v>228</v>
      </c>
      <c r="B18" s="62">
        <v>768</v>
      </c>
      <c r="C18" s="63" t="s">
        <v>218</v>
      </c>
    </row>
    <row r="19" spans="1:3">
      <c r="A19" s="63" t="s">
        <v>229</v>
      </c>
      <c r="B19" s="62">
        <v>658</v>
      </c>
      <c r="C19" s="63" t="s">
        <v>211</v>
      </c>
    </row>
    <row r="20" spans="1:3">
      <c r="A20" s="63" t="s">
        <v>230</v>
      </c>
      <c r="B20" s="62">
        <v>529</v>
      </c>
      <c r="C20" s="54" t="s">
        <v>213</v>
      </c>
    </row>
  </sheetData>
  <mergeCells count="1">
    <mergeCell ref="A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1"/>
  <sheetViews>
    <sheetView zoomScale="80" zoomScaleNormal="80" workbookViewId="0">
      <selection activeCell="E19" sqref="E19"/>
    </sheetView>
  </sheetViews>
  <sheetFormatPr defaultRowHeight="15"/>
  <cols>
    <col min="1" max="1" width="18.28515625" customWidth="1"/>
    <col min="2" max="2" width="18.42578125" customWidth="1"/>
    <col min="3" max="3" width="21" customWidth="1"/>
    <col min="5" max="5" width="19.42578125" customWidth="1"/>
    <col min="6" max="6" width="18.140625" customWidth="1"/>
  </cols>
  <sheetData>
    <row r="1" spans="1:6">
      <c r="A1" s="99" t="s">
        <v>204</v>
      </c>
      <c r="B1" s="99"/>
      <c r="C1" s="99"/>
    </row>
    <row r="3" spans="1:6" ht="30" customHeight="1">
      <c r="A3" s="76" t="s">
        <v>205</v>
      </c>
      <c r="B3" s="76" t="s">
        <v>206</v>
      </c>
      <c r="C3" s="76" t="s">
        <v>207</v>
      </c>
      <c r="E3" s="76" t="s">
        <v>207</v>
      </c>
      <c r="F3" s="76" t="s">
        <v>208</v>
      </c>
    </row>
    <row r="4" spans="1:6">
      <c r="A4" s="63" t="s">
        <v>209</v>
      </c>
      <c r="B4" s="79">
        <v>13202</v>
      </c>
      <c r="C4" s="63" t="s">
        <v>210</v>
      </c>
      <c r="E4" s="63" t="s">
        <v>211</v>
      </c>
      <c r="F4" s="54">
        <f>SUMIF(C4:C20,E4,B4:B20)</f>
        <v>12197</v>
      </c>
    </row>
    <row r="5" spans="1:6">
      <c r="A5" s="63" t="s">
        <v>212</v>
      </c>
      <c r="B5" s="79">
        <v>4340</v>
      </c>
      <c r="C5" s="63" t="s">
        <v>213</v>
      </c>
      <c r="E5" s="63" t="s">
        <v>213</v>
      </c>
      <c r="F5" s="54">
        <f>SUMIF(C5:C21,E5,B5:B21)</f>
        <v>9331</v>
      </c>
    </row>
    <row r="6" spans="1:6">
      <c r="A6" s="63" t="s">
        <v>214</v>
      </c>
      <c r="B6" s="62">
        <v>2907</v>
      </c>
      <c r="C6" s="63" t="s">
        <v>211</v>
      </c>
      <c r="E6" s="63" t="s">
        <v>210</v>
      </c>
      <c r="F6" s="54">
        <f t="shared" ref="F6:F8" si="0">SUMIF(C6:C22,E6,B6:B22)</f>
        <v>1251</v>
      </c>
    </row>
    <row r="7" spans="1:6">
      <c r="A7" s="63" t="s">
        <v>215</v>
      </c>
      <c r="B7" s="62">
        <v>2668</v>
      </c>
      <c r="C7" s="63" t="s">
        <v>213</v>
      </c>
      <c r="E7" s="54" t="s">
        <v>216</v>
      </c>
      <c r="F7" s="54">
        <f t="shared" si="0"/>
        <v>1907</v>
      </c>
    </row>
    <row r="8" spans="1:6">
      <c r="A8" s="63" t="s">
        <v>217</v>
      </c>
      <c r="B8" s="62">
        <v>2345</v>
      </c>
      <c r="C8" s="63" t="s">
        <v>211</v>
      </c>
      <c r="E8" s="63" t="s">
        <v>218</v>
      </c>
      <c r="F8" s="54">
        <f t="shared" si="0"/>
        <v>768</v>
      </c>
    </row>
    <row r="9" spans="1:6">
      <c r="A9" s="63" t="s">
        <v>219</v>
      </c>
      <c r="B9" s="62">
        <v>2231</v>
      </c>
      <c r="C9" s="63" t="s">
        <v>211</v>
      </c>
    </row>
    <row r="10" spans="1:6">
      <c r="A10" s="63" t="s">
        <v>220</v>
      </c>
      <c r="B10" s="79">
        <v>1845</v>
      </c>
      <c r="C10" s="63" t="s">
        <v>211</v>
      </c>
    </row>
    <row r="11" spans="1:6">
      <c r="A11" s="63" t="s">
        <v>221</v>
      </c>
      <c r="B11" s="79">
        <v>1251</v>
      </c>
      <c r="C11" s="63" t="s">
        <v>210</v>
      </c>
    </row>
    <row r="12" spans="1:6">
      <c r="A12" s="63" t="s">
        <v>222</v>
      </c>
      <c r="B12" s="79">
        <v>1224</v>
      </c>
      <c r="C12" s="63" t="s">
        <v>211</v>
      </c>
    </row>
    <row r="13" spans="1:6">
      <c r="A13" s="63" t="s">
        <v>223</v>
      </c>
      <c r="B13" s="79">
        <v>1068</v>
      </c>
      <c r="C13" s="63" t="s">
        <v>216</v>
      </c>
    </row>
    <row r="14" spans="1:6">
      <c r="A14" s="63" t="s">
        <v>224</v>
      </c>
      <c r="B14" s="62">
        <v>987</v>
      </c>
      <c r="C14" s="63" t="s">
        <v>211</v>
      </c>
    </row>
    <row r="15" spans="1:6">
      <c r="A15" s="63" t="s">
        <v>225</v>
      </c>
      <c r="B15" s="62">
        <v>906</v>
      </c>
      <c r="C15" s="63" t="s">
        <v>213</v>
      </c>
    </row>
    <row r="16" spans="1:6">
      <c r="A16" s="54" t="s">
        <v>226</v>
      </c>
      <c r="B16" s="62">
        <v>888</v>
      </c>
      <c r="C16" s="63" t="s">
        <v>213</v>
      </c>
    </row>
    <row r="17" spans="1:3">
      <c r="A17" s="63" t="s">
        <v>227</v>
      </c>
      <c r="B17" s="62">
        <v>839</v>
      </c>
      <c r="C17" s="63" t="s">
        <v>216</v>
      </c>
    </row>
    <row r="18" spans="1:3">
      <c r="A18" s="63" t="s">
        <v>228</v>
      </c>
      <c r="B18" s="62">
        <v>768</v>
      </c>
      <c r="C18" s="63" t="s">
        <v>218</v>
      </c>
    </row>
    <row r="19" spans="1:3">
      <c r="A19" s="63" t="s">
        <v>229</v>
      </c>
      <c r="B19" s="62">
        <v>658</v>
      </c>
      <c r="C19" s="63" t="s">
        <v>211</v>
      </c>
    </row>
    <row r="20" spans="1:3">
      <c r="A20" s="63" t="s">
        <v>230</v>
      </c>
      <c r="B20" s="62">
        <v>529</v>
      </c>
      <c r="C20" s="54" t="s">
        <v>213</v>
      </c>
    </row>
    <row r="21" spans="1:3">
      <c r="B21">
        <f>COUNT(B4:B20)</f>
        <v>17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sqref="A1:F1"/>
    </sheetView>
  </sheetViews>
  <sheetFormatPr defaultColWidth="9.140625" defaultRowHeight="15"/>
  <cols>
    <col min="3" max="3" width="18.28515625" customWidth="1"/>
    <col min="4" max="5" width="18.42578125" customWidth="1"/>
    <col min="6" max="6" width="18.28515625" customWidth="1"/>
  </cols>
  <sheetData>
    <row r="1" spans="1:6">
      <c r="A1" s="84" t="s">
        <v>31</v>
      </c>
      <c r="B1" s="84"/>
      <c r="C1" s="84"/>
      <c r="D1" s="84"/>
      <c r="E1" s="84"/>
      <c r="F1" s="84"/>
    </row>
    <row r="3" spans="1:6" ht="30" customHeight="1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</row>
    <row r="4" spans="1:6">
      <c r="A4" s="2" t="s">
        <v>38</v>
      </c>
      <c r="B4" s="2" t="s">
        <v>39</v>
      </c>
      <c r="C4" s="2">
        <v>245</v>
      </c>
      <c r="D4" s="10">
        <v>0.1</v>
      </c>
      <c r="E4" s="2">
        <v>3265</v>
      </c>
      <c r="F4" s="2">
        <f t="shared" ref="F4:F15" si="0">D4*E4</f>
        <v>326.5</v>
      </c>
    </row>
    <row r="5" spans="1:6">
      <c r="A5" s="2" t="s">
        <v>40</v>
      </c>
      <c r="B5" s="2" t="s">
        <v>41</v>
      </c>
      <c r="C5" s="2">
        <v>289</v>
      </c>
      <c r="D5" s="10">
        <v>0.08</v>
      </c>
      <c r="E5" s="2">
        <v>4568</v>
      </c>
      <c r="F5" s="2">
        <f t="shared" si="0"/>
        <v>365.44</v>
      </c>
    </row>
    <row r="6" spans="1:6">
      <c r="A6" s="2" t="s">
        <v>42</v>
      </c>
      <c r="B6" s="2" t="s">
        <v>43</v>
      </c>
      <c r="C6" s="2">
        <v>356</v>
      </c>
      <c r="D6" s="10">
        <v>0.05</v>
      </c>
      <c r="E6" s="2">
        <v>4500</v>
      </c>
      <c r="F6" s="2">
        <f t="shared" si="0"/>
        <v>225</v>
      </c>
    </row>
    <row r="7" spans="1:6">
      <c r="A7" s="2" t="s">
        <v>44</v>
      </c>
      <c r="B7" s="2" t="s">
        <v>45</v>
      </c>
      <c r="C7" s="2">
        <v>657</v>
      </c>
      <c r="D7" s="10">
        <v>0.11</v>
      </c>
      <c r="E7" s="2">
        <v>6804</v>
      </c>
      <c r="F7" s="2">
        <f t="shared" si="0"/>
        <v>748.44</v>
      </c>
    </row>
    <row r="8" spans="1:6">
      <c r="A8" s="2" t="s">
        <v>46</v>
      </c>
      <c r="B8" s="2" t="s">
        <v>47</v>
      </c>
      <c r="C8" s="2">
        <v>568</v>
      </c>
      <c r="D8" s="10">
        <v>0.09</v>
      </c>
      <c r="E8" s="2">
        <v>6759</v>
      </c>
      <c r="F8" s="2">
        <f t="shared" si="0"/>
        <v>608.30999999999995</v>
      </c>
    </row>
    <row r="9" spans="1:6">
      <c r="A9" s="2" t="s">
        <v>48</v>
      </c>
      <c r="B9" s="2" t="s">
        <v>49</v>
      </c>
      <c r="C9" s="2">
        <v>849</v>
      </c>
      <c r="D9" s="10">
        <v>0.12</v>
      </c>
      <c r="E9" s="2">
        <v>4673</v>
      </c>
      <c r="F9" s="2">
        <f t="shared" si="0"/>
        <v>560.76</v>
      </c>
    </row>
    <row r="10" spans="1:6">
      <c r="A10" s="2" t="s">
        <v>50</v>
      </c>
      <c r="B10" s="2" t="s">
        <v>51</v>
      </c>
      <c r="C10" s="2">
        <v>409</v>
      </c>
      <c r="D10" s="10">
        <v>0.21</v>
      </c>
      <c r="E10" s="2">
        <v>5677</v>
      </c>
      <c r="F10" s="2">
        <f t="shared" si="0"/>
        <v>1192.1699999999998</v>
      </c>
    </row>
    <row r="11" spans="1:6">
      <c r="A11" s="2" t="s">
        <v>52</v>
      </c>
      <c r="B11" s="2" t="s">
        <v>53</v>
      </c>
      <c r="C11" s="2">
        <v>386</v>
      </c>
      <c r="D11" s="10">
        <v>0.46</v>
      </c>
      <c r="E11" s="2">
        <v>6836</v>
      </c>
      <c r="F11" s="2">
        <f t="shared" si="0"/>
        <v>3144.56</v>
      </c>
    </row>
    <row r="12" spans="1:6">
      <c r="A12" s="2" t="s">
        <v>54</v>
      </c>
      <c r="B12" s="2" t="s">
        <v>55</v>
      </c>
      <c r="C12" s="2">
        <v>598</v>
      </c>
      <c r="D12" s="10">
        <v>0.06</v>
      </c>
      <c r="E12" s="2">
        <v>3534</v>
      </c>
      <c r="F12" s="2">
        <f t="shared" si="0"/>
        <v>212.04</v>
      </c>
    </row>
    <row r="13" spans="1:6">
      <c r="A13" s="2" t="s">
        <v>56</v>
      </c>
      <c r="B13" s="2" t="s">
        <v>57</v>
      </c>
      <c r="C13" s="2">
        <v>4569</v>
      </c>
      <c r="D13" s="10">
        <v>0.03</v>
      </c>
      <c r="E13" s="2">
        <v>5789</v>
      </c>
      <c r="F13" s="2">
        <f t="shared" si="0"/>
        <v>173.67</v>
      </c>
    </row>
    <row r="14" spans="1:6">
      <c r="A14" s="2" t="s">
        <v>58</v>
      </c>
      <c r="B14" s="2" t="s">
        <v>59</v>
      </c>
      <c r="C14" s="2">
        <v>239</v>
      </c>
      <c r="D14" s="10">
        <v>0.02</v>
      </c>
      <c r="E14" s="2">
        <v>4673</v>
      </c>
      <c r="F14" s="2">
        <f t="shared" si="0"/>
        <v>93.460000000000008</v>
      </c>
    </row>
    <row r="15" spans="1:6">
      <c r="A15" s="2" t="s">
        <v>60</v>
      </c>
      <c r="B15" s="2" t="s">
        <v>61</v>
      </c>
      <c r="C15" s="2">
        <v>590</v>
      </c>
      <c r="D15" s="10">
        <v>0.01</v>
      </c>
      <c r="E15" s="2">
        <v>6785</v>
      </c>
      <c r="F15" s="2">
        <f t="shared" si="0"/>
        <v>67.849999999999994</v>
      </c>
    </row>
    <row r="18" spans="3:6">
      <c r="C18" s="89" t="s">
        <v>62</v>
      </c>
      <c r="D18" s="89"/>
      <c r="E18" s="89"/>
      <c r="F18" s="2">
        <f>MAX(F4, F15)</f>
        <v>326.5</v>
      </c>
    </row>
    <row r="19" spans="3:6">
      <c r="C19" s="89" t="s">
        <v>63</v>
      </c>
      <c r="D19" s="89"/>
      <c r="E19" s="89"/>
      <c r="F19" s="2">
        <f>MIN(F4, F15)</f>
        <v>67.849999999999994</v>
      </c>
    </row>
    <row r="20" spans="3:6">
      <c r="C20" s="89" t="s">
        <v>64</v>
      </c>
      <c r="D20" s="89"/>
      <c r="E20" s="89"/>
      <c r="F20" s="2">
        <f>AVERAGE(F4, F15)</f>
        <v>197.17500000000001</v>
      </c>
    </row>
    <row r="21" spans="3:6">
      <c r="C21" s="89" t="s">
        <v>65</v>
      </c>
      <c r="D21" s="89"/>
      <c r="E21" s="89"/>
      <c r="F21" s="10">
        <f>AVERAGE(D4, 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0000004768371604" right="0.70000004768371604" top="0.75" bottom="0.75" header="0.30000001192092901" footer="0.300000011920929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6"/>
  <sheetViews>
    <sheetView workbookViewId="0">
      <selection sqref="A1:F1"/>
    </sheetView>
  </sheetViews>
  <sheetFormatPr defaultColWidth="9.140625" defaultRowHeight="11.25"/>
  <cols>
    <col min="1" max="1" width="18.42578125" style="11" customWidth="1"/>
    <col min="2" max="2" width="9.140625" style="11" bestFit="1" customWidth="1"/>
    <col min="3" max="16384" width="9.140625" style="11"/>
  </cols>
  <sheetData>
    <row r="1" spans="1:6">
      <c r="A1" s="91" t="s">
        <v>66</v>
      </c>
      <c r="B1" s="92"/>
      <c r="C1" s="92"/>
      <c r="D1" s="92"/>
      <c r="E1" s="92"/>
      <c r="F1" s="93"/>
    </row>
    <row r="2" spans="1:6">
      <c r="A2" s="97" t="s">
        <v>67</v>
      </c>
      <c r="B2" s="97" t="s">
        <v>68</v>
      </c>
      <c r="C2" s="94" t="s">
        <v>69</v>
      </c>
      <c r="D2" s="95"/>
      <c r="E2" s="96"/>
      <c r="F2" s="97" t="s">
        <v>70</v>
      </c>
    </row>
    <row r="3" spans="1:6" ht="45.75" customHeight="1">
      <c r="A3" s="98"/>
      <c r="B3" s="98"/>
      <c r="C3" s="12" t="s">
        <v>71</v>
      </c>
      <c r="D3" s="12" t="s">
        <v>72</v>
      </c>
      <c r="E3" s="12" t="s">
        <v>73</v>
      </c>
      <c r="F3" s="98"/>
    </row>
    <row r="4" spans="1:6">
      <c r="A4" s="13" t="s">
        <v>74</v>
      </c>
      <c r="B4" s="13">
        <v>4200</v>
      </c>
      <c r="C4" s="13">
        <v>240</v>
      </c>
      <c r="D4" s="13">
        <v>29</v>
      </c>
      <c r="E4" s="13">
        <f t="shared" ref="E4:E11" si="0">C4+D4</f>
        <v>269</v>
      </c>
      <c r="F4" s="13">
        <f t="shared" ref="F4:F11" si="1">B4*E4</f>
        <v>1129800</v>
      </c>
    </row>
    <row r="5" spans="1:6">
      <c r="A5" s="13" t="s">
        <v>75</v>
      </c>
      <c r="B5" s="13">
        <v>9500</v>
      </c>
      <c r="C5" s="13">
        <v>103</v>
      </c>
      <c r="D5" s="13">
        <v>104</v>
      </c>
      <c r="E5" s="13">
        <f t="shared" si="0"/>
        <v>207</v>
      </c>
      <c r="F5" s="13">
        <f t="shared" si="1"/>
        <v>1966500</v>
      </c>
    </row>
    <row r="6" spans="1:6" hidden="1">
      <c r="A6" s="13" t="s">
        <v>76</v>
      </c>
      <c r="B6" s="13">
        <v>6250</v>
      </c>
      <c r="C6" s="13">
        <v>76</v>
      </c>
      <c r="D6" s="13">
        <v>45</v>
      </c>
      <c r="E6" s="13">
        <f t="shared" si="0"/>
        <v>121</v>
      </c>
      <c r="F6" s="13">
        <f t="shared" si="1"/>
        <v>756250</v>
      </c>
    </row>
    <row r="7" spans="1:6">
      <c r="A7" s="13" t="s">
        <v>77</v>
      </c>
      <c r="B7" s="13">
        <v>12750</v>
      </c>
      <c r="C7" s="13">
        <v>10</v>
      </c>
      <c r="D7" s="13">
        <v>17</v>
      </c>
      <c r="E7" s="13">
        <f t="shared" si="0"/>
        <v>27</v>
      </c>
      <c r="F7" s="13">
        <f t="shared" si="1"/>
        <v>344250</v>
      </c>
    </row>
    <row r="8" spans="1:6">
      <c r="A8" s="13" t="s">
        <v>78</v>
      </c>
      <c r="B8" s="13">
        <v>13790</v>
      </c>
      <c r="C8" s="13">
        <v>57</v>
      </c>
      <c r="D8" s="13">
        <v>45</v>
      </c>
      <c r="E8" s="13">
        <f t="shared" si="0"/>
        <v>102</v>
      </c>
      <c r="F8" s="13">
        <f t="shared" si="1"/>
        <v>1406580</v>
      </c>
    </row>
    <row r="9" spans="1:6" hidden="1">
      <c r="A9" s="13" t="s">
        <v>79</v>
      </c>
      <c r="B9" s="13">
        <v>4620</v>
      </c>
      <c r="C9" s="13">
        <v>104</v>
      </c>
      <c r="D9" s="13">
        <v>120</v>
      </c>
      <c r="E9" s="13">
        <f t="shared" si="0"/>
        <v>224</v>
      </c>
      <c r="F9" s="13">
        <f t="shared" si="1"/>
        <v>1034880</v>
      </c>
    </row>
    <row r="10" spans="1:6" hidden="1">
      <c r="A10" s="13" t="s">
        <v>80</v>
      </c>
      <c r="B10" s="13">
        <v>450</v>
      </c>
      <c r="C10" s="13">
        <v>72</v>
      </c>
      <c r="D10" s="13">
        <v>55</v>
      </c>
      <c r="E10" s="13">
        <f t="shared" si="0"/>
        <v>127</v>
      </c>
      <c r="F10" s="13">
        <f t="shared" si="1"/>
        <v>57150</v>
      </c>
    </row>
    <row r="11" spans="1:6" hidden="1">
      <c r="A11" s="13" t="s">
        <v>81</v>
      </c>
      <c r="B11" s="13">
        <v>120</v>
      </c>
      <c r="C11" s="13">
        <v>516</v>
      </c>
      <c r="D11" s="13">
        <v>247</v>
      </c>
      <c r="E11" s="13">
        <f t="shared" si="0"/>
        <v>763</v>
      </c>
      <c r="F11" s="13">
        <f t="shared" si="1"/>
        <v>91560</v>
      </c>
    </row>
    <row r="12" spans="1:6" hidden="1">
      <c r="A12" s="14" t="s">
        <v>82</v>
      </c>
      <c r="B12" s="13"/>
      <c r="C12" s="13"/>
      <c r="D12" s="13"/>
      <c r="E12" s="13"/>
      <c r="F12" s="13">
        <f>SUM(F4:F11)</f>
        <v>6786970</v>
      </c>
    </row>
    <row r="15" spans="1:6">
      <c r="A15" s="90" t="s">
        <v>83</v>
      </c>
      <c r="B15" s="90"/>
      <c r="C15" s="13">
        <f>MAX(C4:C11)</f>
        <v>516</v>
      </c>
      <c r="D15" s="13">
        <f>MAX(D4:D11)</f>
        <v>247</v>
      </c>
      <c r="F15" s="13">
        <f>MAX(F4:F11)</f>
        <v>1966500</v>
      </c>
    </row>
    <row r="16" spans="1:6">
      <c r="A16" s="90" t="s">
        <v>84</v>
      </c>
      <c r="B16" s="90"/>
      <c r="C16" s="13">
        <f>MIN(C4:C11)</f>
        <v>10</v>
      </c>
      <c r="D16" s="13">
        <f>MIN(D4:D11)</f>
        <v>17</v>
      </c>
      <c r="F16" s="13">
        <f>MIN(F4:F11)</f>
        <v>57150</v>
      </c>
    </row>
  </sheetData>
  <autoFilter ref="B4:B12" xr:uid="{00000000-0009-0000-0000-000003000000}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0000004768371604" right="0.70000004768371604" top="0.75" bottom="0.75" header="0.30000001192092901" footer="0.300000011920929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J5" sqref="J5"/>
    </sheetView>
  </sheetViews>
  <sheetFormatPr defaultColWidth="9.140625" defaultRowHeight="15"/>
  <cols>
    <col min="1" max="1" width="30" customWidth="1"/>
  </cols>
  <sheetData>
    <row r="1" spans="1:8">
      <c r="A1" s="84" t="s">
        <v>85</v>
      </c>
      <c r="B1" s="84"/>
      <c r="C1" s="84"/>
      <c r="D1" s="84"/>
      <c r="E1" s="84"/>
      <c r="F1" s="84"/>
      <c r="G1" s="84"/>
      <c r="H1" s="84"/>
    </row>
    <row r="3" spans="1:8">
      <c r="A3" t="s">
        <v>86</v>
      </c>
      <c r="B3">
        <v>1970</v>
      </c>
      <c r="C3">
        <v>1979</v>
      </c>
      <c r="D3">
        <v>1988</v>
      </c>
      <c r="E3">
        <v>1997</v>
      </c>
      <c r="F3">
        <v>2006</v>
      </c>
      <c r="G3">
        <v>2015</v>
      </c>
      <c r="H3">
        <v>2024</v>
      </c>
    </row>
    <row r="4" spans="1:8">
      <c r="A4" t="s">
        <v>87</v>
      </c>
      <c r="B4">
        <v>130.1</v>
      </c>
      <c r="C4">
        <v>137.6</v>
      </c>
      <c r="D4">
        <v>147.4</v>
      </c>
      <c r="E4">
        <v>148.30000000000001</v>
      </c>
      <c r="F4">
        <v>148.1</v>
      </c>
      <c r="G4">
        <v>140.1</v>
      </c>
      <c r="H4" s="15" t="s">
        <v>88</v>
      </c>
    </row>
  </sheetData>
  <mergeCells count="1">
    <mergeCell ref="A1:H1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workbookViewId="0">
      <selection activeCell="M15" sqref="M15"/>
    </sheetView>
  </sheetViews>
  <sheetFormatPr defaultRowHeight="15"/>
  <cols>
    <col min="1" max="1" width="27.42578125" customWidth="1"/>
  </cols>
  <sheetData>
    <row r="1" spans="1:11">
      <c r="A1" s="99" t="s">
        <v>202</v>
      </c>
      <c r="B1" s="84"/>
      <c r="C1" s="84"/>
      <c r="D1" s="84"/>
      <c r="E1" s="84"/>
      <c r="F1" s="84"/>
      <c r="G1" s="84"/>
      <c r="H1" s="84"/>
    </row>
    <row r="3" spans="1:11">
      <c r="A3" s="54" t="s">
        <v>86</v>
      </c>
      <c r="B3" s="54">
        <v>1992</v>
      </c>
      <c r="C3" s="54">
        <v>1996</v>
      </c>
      <c r="D3" s="54">
        <v>2000</v>
      </c>
      <c r="E3" s="54">
        <v>2004</v>
      </c>
      <c r="F3" s="54">
        <v>2008</v>
      </c>
      <c r="G3" s="54">
        <v>2012</v>
      </c>
      <c r="H3" s="54">
        <v>2016</v>
      </c>
      <c r="I3" s="54">
        <v>2018</v>
      </c>
      <c r="J3" s="54">
        <v>2020</v>
      </c>
      <c r="K3" s="54">
        <v>2022</v>
      </c>
    </row>
    <row r="4" spans="1:11">
      <c r="A4" s="63" t="s">
        <v>203</v>
      </c>
      <c r="B4" s="54">
        <v>1320.2</v>
      </c>
      <c r="C4" s="54">
        <v>1005.2</v>
      </c>
      <c r="D4" s="54">
        <v>1103.3</v>
      </c>
      <c r="E4" s="54">
        <v>867.7</v>
      </c>
      <c r="F4" s="54">
        <v>812.4</v>
      </c>
      <c r="G4" s="54">
        <v>780.2</v>
      </c>
      <c r="H4" s="82">
        <v>741.6</v>
      </c>
      <c r="I4" s="54"/>
      <c r="J4" s="54"/>
      <c r="K4" s="54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E18" sqref="E18"/>
    </sheetView>
  </sheetViews>
  <sheetFormatPr defaultColWidth="10.7109375" defaultRowHeight="12.75"/>
  <cols>
    <col min="1" max="1" width="10.7109375" style="16" bestFit="1" customWidth="1"/>
    <col min="2" max="16384" width="10.7109375" style="16"/>
  </cols>
  <sheetData>
    <row r="1" spans="1:8">
      <c r="A1" s="16" t="s">
        <v>89</v>
      </c>
    </row>
    <row r="3" spans="1:8">
      <c r="A3" s="100" t="s">
        <v>90</v>
      </c>
      <c r="B3" s="100" t="s">
        <v>91</v>
      </c>
      <c r="C3" s="100"/>
      <c r="D3" s="100"/>
      <c r="E3" s="100"/>
      <c r="F3" s="100" t="s">
        <v>92</v>
      </c>
      <c r="G3" s="100" t="s">
        <v>93</v>
      </c>
      <c r="H3" s="100" t="s">
        <v>82</v>
      </c>
    </row>
    <row r="4" spans="1:8" ht="30" customHeight="1">
      <c r="A4" s="100"/>
      <c r="B4" s="18" t="s">
        <v>94</v>
      </c>
      <c r="C4" s="18" t="s">
        <v>95</v>
      </c>
      <c r="D4" s="18" t="s">
        <v>96</v>
      </c>
      <c r="E4" s="18" t="s">
        <v>97</v>
      </c>
      <c r="F4" s="100"/>
      <c r="G4" s="100"/>
      <c r="H4" s="100"/>
    </row>
    <row r="5" spans="1:8">
      <c r="A5" s="17"/>
      <c r="B5" s="17"/>
      <c r="C5" s="19">
        <v>0.08</v>
      </c>
      <c r="D5" s="19">
        <v>0.3</v>
      </c>
      <c r="E5" s="19">
        <v>0.1</v>
      </c>
      <c r="F5" s="17"/>
      <c r="G5" s="17"/>
      <c r="H5" s="17"/>
    </row>
    <row r="6" spans="1:8">
      <c r="A6" s="17" t="s">
        <v>98</v>
      </c>
      <c r="B6" s="20">
        <v>11947.5</v>
      </c>
      <c r="C6" s="17">
        <f t="shared" ref="C6:C11" si="0">B6*$C$5</f>
        <v>955.80000000000007</v>
      </c>
      <c r="D6" s="17">
        <f t="shared" ref="D6:D11" si="1">C6*$D$5</f>
        <v>286.74</v>
      </c>
      <c r="E6" s="17">
        <f t="shared" ref="E6:E11" si="2">D6*$E$5</f>
        <v>28.674000000000003</v>
      </c>
      <c r="F6" s="21">
        <v>412</v>
      </c>
      <c r="G6" s="21">
        <v>6</v>
      </c>
      <c r="H6" s="17">
        <f t="shared" ref="H6:H11" si="3">SUM(B6:E6)+F6*G6</f>
        <v>15690.714</v>
      </c>
    </row>
    <row r="7" spans="1:8">
      <c r="A7" s="17" t="s">
        <v>99</v>
      </c>
      <c r="B7" s="20">
        <v>11087.5</v>
      </c>
      <c r="C7" s="17">
        <f t="shared" si="0"/>
        <v>887</v>
      </c>
      <c r="D7" s="17">
        <f t="shared" si="1"/>
        <v>266.09999999999997</v>
      </c>
      <c r="E7" s="17">
        <f t="shared" si="2"/>
        <v>26.61</v>
      </c>
      <c r="F7" s="21">
        <v>379</v>
      </c>
      <c r="G7" s="21">
        <v>3</v>
      </c>
      <c r="H7" s="17">
        <f t="shared" si="3"/>
        <v>13404.210000000001</v>
      </c>
    </row>
    <row r="8" spans="1:8">
      <c r="A8" s="17" t="s">
        <v>100</v>
      </c>
      <c r="B8" s="20">
        <v>12985.5</v>
      </c>
      <c r="C8" s="17">
        <f t="shared" si="0"/>
        <v>1038.8399999999999</v>
      </c>
      <c r="D8" s="17">
        <f t="shared" si="1"/>
        <v>311.65199999999999</v>
      </c>
      <c r="E8" s="17">
        <f t="shared" si="2"/>
        <v>31.165199999999999</v>
      </c>
      <c r="F8" s="21">
        <v>390.45</v>
      </c>
      <c r="G8" s="21">
        <v>7</v>
      </c>
      <c r="H8" s="17">
        <f t="shared" si="3"/>
        <v>17100.307199999999</v>
      </c>
    </row>
    <row r="9" spans="1:8">
      <c r="A9" s="17" t="s">
        <v>101</v>
      </c>
      <c r="B9" s="22">
        <v>14322.5</v>
      </c>
      <c r="C9" s="17">
        <f t="shared" si="0"/>
        <v>1145.8</v>
      </c>
      <c r="D9" s="17">
        <f t="shared" si="1"/>
        <v>343.73999999999995</v>
      </c>
      <c r="E9" s="17">
        <f t="shared" si="2"/>
        <v>34.373999999999995</v>
      </c>
      <c r="F9" s="21">
        <v>399</v>
      </c>
      <c r="G9" s="21">
        <v>2</v>
      </c>
      <c r="H9" s="17">
        <f t="shared" si="3"/>
        <v>16644.413999999997</v>
      </c>
    </row>
    <row r="10" spans="1:8">
      <c r="A10" s="17" t="s">
        <v>102</v>
      </c>
      <c r="B10" s="20">
        <v>12616.5</v>
      </c>
      <c r="C10" s="17">
        <f t="shared" si="0"/>
        <v>1009.32</v>
      </c>
      <c r="D10" s="17">
        <f t="shared" si="1"/>
        <v>302.79599999999999</v>
      </c>
      <c r="E10" s="17">
        <f t="shared" si="2"/>
        <v>30.279600000000002</v>
      </c>
      <c r="F10" s="21">
        <v>455</v>
      </c>
      <c r="G10" s="21">
        <v>4</v>
      </c>
      <c r="H10" s="17">
        <f t="shared" si="3"/>
        <v>15778.8956</v>
      </c>
    </row>
    <row r="11" spans="1:8">
      <c r="A11" s="17" t="s">
        <v>103</v>
      </c>
      <c r="B11" s="20">
        <v>13329.5</v>
      </c>
      <c r="C11" s="17">
        <f t="shared" si="0"/>
        <v>1066.3600000000001</v>
      </c>
      <c r="D11" s="17">
        <f t="shared" si="1"/>
        <v>319.90800000000002</v>
      </c>
      <c r="E11" s="17">
        <f t="shared" si="2"/>
        <v>31.990800000000004</v>
      </c>
      <c r="F11" s="21">
        <v>470.25</v>
      </c>
      <c r="G11" s="21">
        <v>5</v>
      </c>
      <c r="H11" s="17">
        <f t="shared" si="3"/>
        <v>17099.0088</v>
      </c>
    </row>
  </sheetData>
  <sortState xmlns:xlrd2="http://schemas.microsoft.com/office/spreadsheetml/2017/richdata2" ref="A6:H11">
    <sortCondition ref="A6:A11"/>
  </sortState>
  <mergeCells count="5">
    <mergeCell ref="A3:A4"/>
    <mergeCell ref="B3:E3"/>
    <mergeCell ref="F3:F4"/>
    <mergeCell ref="G3:G4"/>
    <mergeCell ref="H3:H4"/>
  </mergeCell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14"/>
  <sheetViews>
    <sheetView workbookViewId="0">
      <selection activeCell="J6" sqref="J6"/>
    </sheetView>
  </sheetViews>
  <sheetFormatPr defaultRowHeight="12.75"/>
  <cols>
    <col min="1" max="6" width="9.140625" style="23"/>
    <col min="7" max="7" width="13" style="23" customWidth="1"/>
    <col min="8" max="16384" width="9.140625" style="23"/>
  </cols>
  <sheetData>
    <row r="3" spans="1:7">
      <c r="B3" s="24" t="s">
        <v>104</v>
      </c>
      <c r="C3" s="25">
        <v>0.1</v>
      </c>
    </row>
    <row r="4" spans="1:7" ht="31.5" customHeight="1">
      <c r="B4" s="26" t="s">
        <v>105</v>
      </c>
      <c r="C4" s="27">
        <v>56</v>
      </c>
    </row>
    <row r="6" spans="1:7" ht="30.75" customHeight="1">
      <c r="A6" s="28" t="s">
        <v>106</v>
      </c>
      <c r="B6" s="28" t="s">
        <v>107</v>
      </c>
      <c r="C6" s="28" t="s">
        <v>108</v>
      </c>
      <c r="D6" s="28" t="s">
        <v>109</v>
      </c>
      <c r="E6" s="34" t="s">
        <v>110</v>
      </c>
      <c r="F6" s="28" t="s">
        <v>111</v>
      </c>
      <c r="G6" s="28" t="s">
        <v>112</v>
      </c>
    </row>
    <row r="7" spans="1:7">
      <c r="A7" s="24" t="s">
        <v>113</v>
      </c>
      <c r="B7" s="30">
        <v>5</v>
      </c>
      <c r="C7" s="24">
        <v>110</v>
      </c>
      <c r="D7" s="32">
        <f>B7*C7</f>
        <v>550</v>
      </c>
      <c r="E7" s="24">
        <f>$C$3*D7</f>
        <v>55</v>
      </c>
      <c r="F7" s="33">
        <f>D7-E7</f>
        <v>495</v>
      </c>
      <c r="G7" s="36">
        <f>$C$4*F7</f>
        <v>27720</v>
      </c>
    </row>
    <row r="8" spans="1:7">
      <c r="A8" s="24" t="s">
        <v>114</v>
      </c>
      <c r="B8" s="30">
        <v>0.2</v>
      </c>
      <c r="C8" s="24">
        <v>100</v>
      </c>
      <c r="D8" s="32">
        <f t="shared" ref="D8:D13" si="0">B8*C8</f>
        <v>20</v>
      </c>
      <c r="E8" s="24">
        <f t="shared" ref="E8:E13" si="1">$C$3*D8</f>
        <v>2</v>
      </c>
      <c r="F8" s="33">
        <f t="shared" ref="F8:F13" si="2">D8-E8</f>
        <v>18</v>
      </c>
      <c r="G8" s="36">
        <f t="shared" ref="G8:G13" si="3">$C$4*F8</f>
        <v>1008</v>
      </c>
    </row>
    <row r="9" spans="1:7">
      <c r="A9" s="24" t="s">
        <v>115</v>
      </c>
      <c r="B9" s="30">
        <v>3.3</v>
      </c>
      <c r="C9" s="24">
        <v>200</v>
      </c>
      <c r="D9" s="32">
        <f t="shared" si="0"/>
        <v>660</v>
      </c>
      <c r="E9" s="24">
        <f t="shared" si="1"/>
        <v>66</v>
      </c>
      <c r="F9" s="33">
        <f t="shared" si="2"/>
        <v>594</v>
      </c>
      <c r="G9" s="36">
        <f t="shared" si="3"/>
        <v>33264</v>
      </c>
    </row>
    <row r="10" spans="1:7">
      <c r="A10" s="24" t="s">
        <v>116</v>
      </c>
      <c r="B10" s="30">
        <v>2.5</v>
      </c>
      <c r="C10" s="24">
        <v>120</v>
      </c>
      <c r="D10" s="32">
        <f t="shared" si="0"/>
        <v>300</v>
      </c>
      <c r="E10" s="24">
        <f t="shared" si="1"/>
        <v>30</v>
      </c>
      <c r="F10" s="33">
        <f t="shared" si="2"/>
        <v>270</v>
      </c>
      <c r="G10" s="36">
        <f t="shared" si="3"/>
        <v>15120</v>
      </c>
    </row>
    <row r="11" spans="1:7">
      <c r="A11" s="24" t="s">
        <v>117</v>
      </c>
      <c r="B11" s="30">
        <v>1</v>
      </c>
      <c r="C11" s="24">
        <v>90</v>
      </c>
      <c r="D11" s="32">
        <f t="shared" si="0"/>
        <v>90</v>
      </c>
      <c r="E11" s="24">
        <f t="shared" si="1"/>
        <v>9</v>
      </c>
      <c r="F11" s="33">
        <f t="shared" si="2"/>
        <v>81</v>
      </c>
      <c r="G11" s="36">
        <f t="shared" si="3"/>
        <v>4536</v>
      </c>
    </row>
    <row r="12" spans="1:7">
      <c r="A12" s="24" t="s">
        <v>118</v>
      </c>
      <c r="B12" s="30">
        <v>0.9</v>
      </c>
      <c r="C12" s="24">
        <v>210</v>
      </c>
      <c r="D12" s="32">
        <f t="shared" si="0"/>
        <v>189</v>
      </c>
      <c r="E12" s="24">
        <f t="shared" si="1"/>
        <v>18.900000000000002</v>
      </c>
      <c r="F12" s="33">
        <f t="shared" si="2"/>
        <v>170.1</v>
      </c>
      <c r="G12" s="36">
        <f t="shared" si="3"/>
        <v>9525.6</v>
      </c>
    </row>
    <row r="13" spans="1:7">
      <c r="A13" s="24" t="s">
        <v>119</v>
      </c>
      <c r="B13" s="30">
        <v>9</v>
      </c>
      <c r="C13" s="24">
        <v>20</v>
      </c>
      <c r="D13" s="32">
        <f t="shared" si="0"/>
        <v>180</v>
      </c>
      <c r="E13" s="24">
        <f t="shared" si="1"/>
        <v>18</v>
      </c>
      <c r="F13" s="33">
        <f t="shared" si="2"/>
        <v>162</v>
      </c>
      <c r="G13" s="36">
        <f t="shared" si="3"/>
        <v>9072</v>
      </c>
    </row>
    <row r="14" spans="1:7">
      <c r="A14" s="29" t="s">
        <v>120</v>
      </c>
      <c r="B14" s="24"/>
      <c r="C14" s="24"/>
      <c r="D14" s="31"/>
      <c r="E14" s="35"/>
      <c r="F14" s="24"/>
      <c r="G14" s="36">
        <f>SUM(G7:G13)</f>
        <v>100245.6</v>
      </c>
    </row>
  </sheetData>
  <conditionalFormatting sqref="G7:G13">
    <cfRule type="cellIs" dxfId="1" priority="2" operator="greaterThan">
      <formula>10000</formula>
    </cfRule>
  </conditionalFormatting>
  <conditionalFormatting sqref="G7:G13">
    <cfRule type="cellIs" dxfId="0" priority="1" operator="lessThan">
      <formula>10000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15"/>
  <sheetViews>
    <sheetView tabSelected="1" workbookViewId="0">
      <selection activeCell="D23" sqref="D23"/>
    </sheetView>
  </sheetViews>
  <sheetFormatPr defaultRowHeight="15"/>
  <cols>
    <col min="1" max="1" width="18.42578125" customWidth="1"/>
    <col min="2" max="2" width="18.140625" customWidth="1"/>
    <col min="3" max="3" width="20.140625" customWidth="1"/>
  </cols>
  <sheetData>
    <row r="3" spans="1:6" ht="45">
      <c r="A3" s="39" t="s">
        <v>34</v>
      </c>
      <c r="B3" s="39" t="s">
        <v>33</v>
      </c>
      <c r="C3" s="39" t="s">
        <v>141</v>
      </c>
      <c r="D3" s="39" t="s">
        <v>124</v>
      </c>
      <c r="E3" s="39" t="s">
        <v>125</v>
      </c>
      <c r="F3" s="39" t="s">
        <v>126</v>
      </c>
    </row>
    <row r="4" spans="1:6">
      <c r="A4" s="2"/>
      <c r="B4" s="2"/>
      <c r="C4" s="2"/>
      <c r="D4" s="2"/>
      <c r="E4" s="10">
        <v>0.13</v>
      </c>
      <c r="F4" s="2"/>
    </row>
    <row r="5" spans="1:6" ht="15" customHeight="1">
      <c r="A5" s="2">
        <v>202</v>
      </c>
      <c r="B5" s="2" t="s">
        <v>129</v>
      </c>
      <c r="C5" s="2" t="s">
        <v>142</v>
      </c>
      <c r="D5" s="8">
        <v>46466</v>
      </c>
      <c r="E5" s="2">
        <f>D5*$E$4</f>
        <v>6040.58</v>
      </c>
      <c r="F5" s="8">
        <f>D5-E5</f>
        <v>40425.42</v>
      </c>
    </row>
    <row r="6" spans="1:6">
      <c r="A6" s="2">
        <v>206</v>
      </c>
      <c r="B6" s="2" t="s">
        <v>133</v>
      </c>
      <c r="C6" s="2" t="s">
        <v>143</v>
      </c>
      <c r="D6" s="8">
        <v>47849</v>
      </c>
      <c r="E6" s="2">
        <f t="shared" ref="E6:E15" si="0">D6*$E$4</f>
        <v>6220.37</v>
      </c>
      <c r="F6" s="8">
        <f t="shared" ref="F6:F15" si="1">D6-E6</f>
        <v>41628.629999999997</v>
      </c>
    </row>
    <row r="7" spans="1:6">
      <c r="A7" s="2">
        <v>205</v>
      </c>
      <c r="B7" s="2" t="s">
        <v>132</v>
      </c>
      <c r="C7" s="2" t="s">
        <v>143</v>
      </c>
      <c r="D7" s="8">
        <v>56155</v>
      </c>
      <c r="E7" s="2">
        <f t="shared" si="0"/>
        <v>7300.1500000000005</v>
      </c>
      <c r="F7" s="8">
        <f t="shared" si="1"/>
        <v>48854.85</v>
      </c>
    </row>
    <row r="8" spans="1:6">
      <c r="A8" s="2">
        <v>209</v>
      </c>
      <c r="B8" s="2" t="s">
        <v>136</v>
      </c>
      <c r="C8" s="2" t="s">
        <v>144</v>
      </c>
      <c r="D8" s="8">
        <v>57588</v>
      </c>
      <c r="E8" s="2">
        <f t="shared" si="0"/>
        <v>7486.4400000000005</v>
      </c>
      <c r="F8" s="8">
        <f t="shared" si="1"/>
        <v>50101.56</v>
      </c>
    </row>
    <row r="9" spans="1:6">
      <c r="A9" s="2">
        <v>200</v>
      </c>
      <c r="B9" t="s">
        <v>127</v>
      </c>
      <c r="C9" s="2" t="s">
        <v>142</v>
      </c>
      <c r="D9" s="8">
        <v>40273</v>
      </c>
      <c r="E9" s="2">
        <f t="shared" si="0"/>
        <v>5235.49</v>
      </c>
      <c r="F9" s="8">
        <f t="shared" si="1"/>
        <v>35037.51</v>
      </c>
    </row>
    <row r="10" spans="1:6">
      <c r="A10" s="2">
        <v>203</v>
      </c>
      <c r="B10" s="2" t="s">
        <v>130</v>
      </c>
      <c r="C10" s="2" t="s">
        <v>143</v>
      </c>
      <c r="D10" s="8">
        <v>34663</v>
      </c>
      <c r="E10" s="2">
        <f t="shared" si="0"/>
        <v>4506.1900000000005</v>
      </c>
      <c r="F10" s="8">
        <f t="shared" si="1"/>
        <v>30156.809999999998</v>
      </c>
    </row>
    <row r="11" spans="1:6">
      <c r="A11" s="2">
        <v>208</v>
      </c>
      <c r="B11" s="2" t="s">
        <v>135</v>
      </c>
      <c r="C11" s="2" t="s">
        <v>144</v>
      </c>
      <c r="D11" s="8">
        <v>40514</v>
      </c>
      <c r="E11" s="2">
        <f t="shared" si="0"/>
        <v>5266.8200000000006</v>
      </c>
      <c r="F11" s="8">
        <f t="shared" si="1"/>
        <v>35247.18</v>
      </c>
    </row>
    <row r="12" spans="1:6">
      <c r="A12" s="2">
        <v>201</v>
      </c>
      <c r="B12" s="2" t="s">
        <v>128</v>
      </c>
      <c r="C12" s="2" t="s">
        <v>142</v>
      </c>
      <c r="D12" s="8">
        <v>21736</v>
      </c>
      <c r="E12" s="2">
        <f t="shared" si="0"/>
        <v>2825.6800000000003</v>
      </c>
      <c r="F12" s="8">
        <f t="shared" si="1"/>
        <v>18910.32</v>
      </c>
    </row>
    <row r="13" spans="1:6">
      <c r="A13" s="2">
        <v>204</v>
      </c>
      <c r="B13" s="2" t="s">
        <v>131</v>
      </c>
      <c r="C13" s="2" t="s">
        <v>143</v>
      </c>
      <c r="D13" s="8">
        <v>44440</v>
      </c>
      <c r="E13" s="2">
        <f t="shared" si="0"/>
        <v>5777.2</v>
      </c>
      <c r="F13" s="8">
        <f t="shared" si="1"/>
        <v>38662.800000000003</v>
      </c>
    </row>
    <row r="14" spans="1:6">
      <c r="A14" s="2">
        <v>207</v>
      </c>
      <c r="B14" s="2" t="s">
        <v>134</v>
      </c>
      <c r="C14" s="2" t="s">
        <v>143</v>
      </c>
      <c r="D14" s="8">
        <v>31977</v>
      </c>
      <c r="E14" s="2">
        <f t="shared" si="0"/>
        <v>4157.01</v>
      </c>
      <c r="F14" s="8">
        <f t="shared" si="1"/>
        <v>27819.989999999998</v>
      </c>
    </row>
    <row r="15" spans="1:6">
      <c r="A15" s="2">
        <v>210</v>
      </c>
      <c r="B15" s="2" t="s">
        <v>137</v>
      </c>
      <c r="C15" s="2" t="s">
        <v>144</v>
      </c>
      <c r="D15" s="8">
        <v>18810</v>
      </c>
      <c r="E15" s="2">
        <f t="shared" si="0"/>
        <v>2445.3000000000002</v>
      </c>
      <c r="F15" s="8">
        <f t="shared" si="1"/>
        <v>16364.7</v>
      </c>
    </row>
  </sheetData>
  <sortState xmlns:xlrd2="http://schemas.microsoft.com/office/spreadsheetml/2017/richdata2" ref="A6:D26">
    <sortCondition ref="B6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</vt:i4>
      </vt:variant>
    </vt:vector>
  </HeadingPairs>
  <TitlesOfParts>
    <vt:vector size="22" baseType="lpstr">
      <vt:lpstr>8.1</vt:lpstr>
      <vt:lpstr>8.2</vt:lpstr>
      <vt:lpstr>8.3</vt:lpstr>
      <vt:lpstr>8.4</vt:lpstr>
      <vt:lpstr>9.1-9.2</vt:lpstr>
      <vt:lpstr>9.3</vt:lpstr>
      <vt:lpstr>10.1</vt:lpstr>
      <vt:lpstr>10.2</vt:lpstr>
      <vt:lpstr>11.1</vt:lpstr>
      <vt:lpstr>Квартал (11.2)</vt:lpstr>
      <vt:lpstr>Зависимости (11.3)</vt:lpstr>
      <vt:lpstr>Подбор параметра (12.1)</vt:lpstr>
      <vt:lpstr>Штатное расписание 1 (12.2)</vt:lpstr>
      <vt:lpstr>13.1</vt:lpstr>
      <vt:lpstr>13.2</vt:lpstr>
      <vt:lpstr>Проект 1 (14.1)</vt:lpstr>
      <vt:lpstr>Проект 2 (14.2)</vt:lpstr>
      <vt:lpstr>Срок окупаемости (14.3)</vt:lpstr>
      <vt:lpstr>16.1</vt:lpstr>
      <vt:lpstr>16.2</vt:lpstr>
      <vt:lpstr>16.3</vt:lpstr>
      <vt:lpstr>Ставка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Sisadmin 3</cp:lastModifiedBy>
  <cp:revision/>
  <dcterms:created xsi:type="dcterms:W3CDTF">2024-04-16T13:24:10Z</dcterms:created>
  <dcterms:modified xsi:type="dcterms:W3CDTF">2024-04-23T07:28:32Z</dcterms:modified>
  <cp:category/>
  <cp:contentStatus/>
</cp:coreProperties>
</file>