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9"/>
  <workbookPr/>
  <xr:revisionPtr revIDLastSave="2405" documentId="11_0B1D56BE9CDCCE836B02CE7A5FB0D4A9BBFD1C62" xr6:coauthVersionLast="47" xr6:coauthVersionMax="47" xr10:uidLastSave="{678BA29D-C69D-4194-B50C-91ABC95D95A2}"/>
  <bookViews>
    <workbookView xWindow="240" yWindow="105" windowWidth="14805" windowHeight="8010" firstSheet="1" activeTab="4" xr2:uid="{00000000-000D-0000-FFFF-FFFF00000000}"/>
  </bookViews>
  <sheets>
    <sheet name="Virar Chandansar" sheetId="1" r:id="rId1"/>
    <sheet name="Sheet1" sheetId="7" r:id="rId2"/>
    <sheet name="Nerul" sheetId="3" r:id="rId3"/>
    <sheet name="Shahad" sheetId="2" r:id="rId4"/>
    <sheet name="Panvel (Residential)" sheetId="4" r:id="rId5"/>
    <sheet name="Panvel ( Villa)" sheetId="5" r:id="rId6"/>
    <sheet name="Panvel ( Plotted)" sheetId="6" r:id="rId7"/>
  </sheets>
  <definedNames>
    <definedName name="_xlnm._FilterDatabase" localSheetId="4" hidden="1">'Panvel (Residential)'!$C$25:$C$30</definedName>
    <definedName name="_xlnm.Print_Area" localSheetId="0">'Virar Chandansar'!$B$1:$K$14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20" i="2"/>
  <c r="F19" i="2"/>
  <c r="F18" i="2"/>
  <c r="I9" i="3"/>
  <c r="I28" i="1"/>
  <c r="I27" i="1"/>
  <c r="F74" i="1"/>
  <c r="F72" i="1"/>
  <c r="F70" i="1"/>
  <c r="F68" i="1"/>
  <c r="F67" i="1"/>
  <c r="F66" i="1"/>
  <c r="F65" i="1"/>
  <c r="F63" i="1"/>
  <c r="F62" i="1"/>
  <c r="F61" i="1"/>
  <c r="F60" i="1"/>
  <c r="F59" i="1"/>
  <c r="F58" i="1"/>
  <c r="F56" i="1"/>
  <c r="F55" i="1"/>
  <c r="F54" i="1"/>
  <c r="F53" i="1"/>
  <c r="F52" i="1"/>
  <c r="F51" i="1"/>
  <c r="F49" i="1"/>
  <c r="F48" i="1"/>
  <c r="F47" i="1"/>
  <c r="F46" i="1"/>
  <c r="F44" i="1"/>
  <c r="F43" i="1"/>
  <c r="F42" i="1"/>
  <c r="F41" i="1"/>
  <c r="F39" i="1"/>
  <c r="F38" i="1"/>
  <c r="F37" i="1"/>
  <c r="F36" i="1"/>
  <c r="F35" i="1"/>
  <c r="F32" i="1"/>
  <c r="F31" i="1"/>
  <c r="F30" i="1"/>
  <c r="F29" i="1"/>
  <c r="F28" i="1"/>
  <c r="F27" i="1"/>
  <c r="I8" i="3"/>
  <c r="I7" i="3"/>
  <c r="F54" i="3"/>
  <c r="F53" i="3"/>
  <c r="F52" i="3"/>
  <c r="F51" i="3"/>
  <c r="F50" i="3"/>
  <c r="F48" i="3"/>
  <c r="F47" i="3"/>
  <c r="F42" i="3"/>
  <c r="F43" i="3"/>
  <c r="F44" i="3"/>
  <c r="F45" i="3"/>
  <c r="F35" i="3"/>
  <c r="F36" i="3"/>
  <c r="F37" i="3"/>
  <c r="F38" i="3"/>
  <c r="F39" i="3"/>
  <c r="F40" i="3"/>
  <c r="C24" i="1"/>
  <c r="C23" i="1"/>
  <c r="C22" i="1"/>
  <c r="C21" i="1"/>
  <c r="C19" i="1"/>
  <c r="C18" i="1"/>
  <c r="E24" i="1"/>
  <c r="E23" i="1"/>
  <c r="E21" i="1"/>
  <c r="E20" i="1"/>
  <c r="E19" i="1"/>
  <c r="E18" i="1"/>
  <c r="E17" i="1"/>
  <c r="E16" i="1"/>
  <c r="C25" i="4"/>
  <c r="D25" i="4"/>
  <c r="E25" i="4"/>
  <c r="F25" i="4"/>
  <c r="C26" i="4"/>
  <c r="D26" i="4"/>
  <c r="E26" i="4"/>
  <c r="F26" i="4"/>
  <c r="G26" i="4"/>
  <c r="C27" i="4"/>
  <c r="D27" i="4"/>
  <c r="D4" i="2"/>
  <c r="E15" i="2"/>
  <c r="E14" i="2"/>
  <c r="E13" i="2"/>
  <c r="F33" i="3"/>
  <c r="F32" i="3"/>
  <c r="F28" i="3"/>
  <c r="F29" i="3"/>
  <c r="F30" i="3"/>
  <c r="F27" i="3"/>
  <c r="C29" i="4"/>
  <c r="F14" i="4" s="1"/>
  <c r="C30" i="4"/>
  <c r="D28" i="4"/>
  <c r="C28" i="4"/>
  <c r="F16" i="4"/>
  <c r="J21" i="4" s="1"/>
  <c r="F15" i="4"/>
  <c r="F13" i="4"/>
  <c r="F23" i="3"/>
  <c r="F24" i="3"/>
  <c r="F25" i="3"/>
  <c r="F22" i="3"/>
  <c r="F16" i="3"/>
  <c r="F17" i="3"/>
  <c r="F18" i="3"/>
  <c r="F19" i="3"/>
  <c r="F20" i="3"/>
  <c r="F15" i="3"/>
  <c r="F9" i="3"/>
  <c r="F10" i="3"/>
  <c r="D9" i="2"/>
  <c r="D11" i="2"/>
  <c r="F13" i="3"/>
  <c r="F12" i="3"/>
  <c r="F6" i="3"/>
  <c r="F7" i="3"/>
  <c r="F8" i="3"/>
  <c r="F5" i="3"/>
  <c r="F5" i="6"/>
  <c r="F6" i="6"/>
  <c r="F7" i="6"/>
  <c r="F8" i="6"/>
  <c r="F9" i="6"/>
  <c r="F10" i="6"/>
  <c r="F11" i="6"/>
  <c r="F4" i="6"/>
  <c r="N5" i="4"/>
  <c r="N6" i="4"/>
  <c r="N7" i="4"/>
  <c r="N8" i="4"/>
  <c r="N9" i="4"/>
  <c r="N4" i="4"/>
  <c r="F22" i="4" s="1"/>
  <c r="I5" i="4"/>
  <c r="I6" i="4"/>
  <c r="I7" i="4"/>
  <c r="I8" i="4"/>
  <c r="F19" i="4" s="1"/>
  <c r="I4" i="4"/>
  <c r="F21" i="4" s="1"/>
  <c r="B5" i="5"/>
  <c r="E5" i="5" s="1"/>
  <c r="B4" i="5"/>
  <c r="E4" i="5" s="1"/>
  <c r="H3" i="5" s="1"/>
  <c r="H4" i="5" s="1"/>
  <c r="E12" i="2"/>
  <c r="E10" i="2"/>
  <c r="E8" i="2"/>
  <c r="E7" i="2"/>
  <c r="E6" i="2"/>
  <c r="E5" i="1"/>
  <c r="E6" i="1"/>
  <c r="E7" i="1"/>
  <c r="E8" i="1"/>
  <c r="E9" i="1"/>
  <c r="J8" i="1" s="1"/>
  <c r="E10" i="1"/>
  <c r="E11" i="1"/>
  <c r="E12" i="1"/>
  <c r="E4" i="1"/>
  <c r="J5" i="1" s="1"/>
  <c r="J9" i="1" s="1"/>
  <c r="O17" i="1" l="1"/>
  <c r="O19" i="1" s="1"/>
  <c r="O16" i="1"/>
  <c r="O18" i="1" s="1"/>
  <c r="F17" i="4"/>
  <c r="F20" i="4"/>
  <c r="J20" i="4" s="1"/>
  <c r="F18" i="4"/>
  <c r="J19" i="4" s="1"/>
  <c r="J5" i="2"/>
  <c r="J4" i="2"/>
  <c r="J7" i="2" s="1"/>
  <c r="J6" i="1"/>
  <c r="J7" i="1" s="1"/>
  <c r="J10" i="1"/>
  <c r="J8" i="2"/>
  <c r="J18" i="4" l="1"/>
  <c r="L18" i="4" s="1"/>
  <c r="J9" i="2"/>
  <c r="J11" i="2" s="1"/>
  <c r="J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Avinash Dubey</author>
  </authors>
  <commentList>
    <comment ref="C25" authorId="0" shapeId="0" xr:uid="{687B59BE-88A7-4138-BC1E-4FB192B581DE}">
      <text>
        <t xml:space="preserve">Avinash Dubey:
1415
</t>
      </text>
    </comment>
  </commentList>
</comments>
</file>

<file path=xl/sharedStrings.xml><?xml version="1.0" encoding="utf-8"?>
<sst xmlns="http://schemas.openxmlformats.org/spreadsheetml/2006/main" count="408" uniqueCount="204">
  <si>
    <t xml:space="preserve">Virar Chandansar </t>
  </si>
  <si>
    <t>Sl. No.</t>
  </si>
  <si>
    <t>Developer/Apartment Name</t>
  </si>
  <si>
    <t>Cost</t>
  </si>
  <si>
    <t>Carpet Area (Per Sq.Ft.)</t>
  </si>
  <si>
    <t>Per Square Feet</t>
  </si>
  <si>
    <t>Parking</t>
  </si>
  <si>
    <t>Unfinished</t>
  </si>
  <si>
    <t>saichainatanya apartment</t>
  </si>
  <si>
    <t>No</t>
  </si>
  <si>
    <t>Average price per square feet</t>
  </si>
  <si>
    <t>Mahalaxmi Residency</t>
  </si>
  <si>
    <t>Yes</t>
  </si>
  <si>
    <t>Average price per square feet when Parking is available</t>
  </si>
  <si>
    <t>navshakti apatment</t>
  </si>
  <si>
    <t>Percentage change by Inclusion of parking</t>
  </si>
  <si>
    <t>vaishanavi sai complex</t>
  </si>
  <si>
    <t>Average Price of Unfinished Projects</t>
  </si>
  <si>
    <t>Rose shani mandir Kopri virar east</t>
  </si>
  <si>
    <t>Percentage change by completion of project</t>
  </si>
  <si>
    <t>Square Yogini Residence</t>
  </si>
  <si>
    <t>Market Price per Sq.Ft.</t>
  </si>
  <si>
    <t>Man Rose Enclave</t>
  </si>
  <si>
    <t>Recommended price for Chandansar Region</t>
  </si>
  <si>
    <t>VED GANGA BUILDERS AND DEVELOPERS</t>
  </si>
  <si>
    <t>Refined</t>
  </si>
  <si>
    <t xml:space="preserve"> </t>
  </si>
  <si>
    <t>w/o car park</t>
  </si>
  <si>
    <t>with Car park &amp; CH</t>
  </si>
  <si>
    <t>Builder/Building Name</t>
  </si>
  <si>
    <t>Type</t>
  </si>
  <si>
    <t>Price</t>
  </si>
  <si>
    <t>Carpet Size (Sq.Ft.)</t>
  </si>
  <si>
    <t>Price per Sq.Ft.</t>
  </si>
  <si>
    <t xml:space="preserve">Distance From Site </t>
  </si>
  <si>
    <t>Lipika Agarwal Skyrise</t>
  </si>
  <si>
    <t>1 BHK</t>
  </si>
  <si>
    <t>5.3 km</t>
  </si>
  <si>
    <t>Average Price offered in the market</t>
  </si>
  <si>
    <t>Recommended price for the project</t>
  </si>
  <si>
    <t>2 BHK</t>
  </si>
  <si>
    <t>3 BHK</t>
  </si>
  <si>
    <t>Giriraj Tower</t>
  </si>
  <si>
    <t>4.9 KM</t>
  </si>
  <si>
    <t xml:space="preserve">Rustomjee Avenue L1 L2 and L4
</t>
  </si>
  <si>
    <t>4.6km</t>
  </si>
  <si>
    <t xml:space="preserve">Parikh Yash Platina </t>
  </si>
  <si>
    <t>5.7 KM</t>
  </si>
  <si>
    <t>SB Blue Pearl</t>
  </si>
  <si>
    <t>4.6 km</t>
  </si>
  <si>
    <t>Basic Price Info</t>
  </si>
  <si>
    <t>Car Parking Charges</t>
  </si>
  <si>
    <t>Stamp Duty</t>
  </si>
  <si>
    <t>Registration charges</t>
  </si>
  <si>
    <t>GST</t>
  </si>
  <si>
    <t>Joyville Virar By Shapoorji Pallonji</t>
  </si>
  <si>
    <t>8 km</t>
  </si>
  <si>
    <t>Evershine Amavi 303</t>
  </si>
  <si>
    <t>5.1 km</t>
  </si>
  <si>
    <t xml:space="preserve">Sunteck West World </t>
  </si>
  <si>
    <t>21.7 kM</t>
  </si>
  <si>
    <t>Report</t>
  </si>
  <si>
    <t>Sales  &amp; Marketing Strategy</t>
  </si>
  <si>
    <t>Township &amp; Parcel Branding</t>
  </si>
  <si>
    <t>All projects</t>
  </si>
  <si>
    <t>Launch readiness</t>
  </si>
  <si>
    <t>Naming</t>
  </si>
  <si>
    <t>Site Detailing</t>
  </si>
  <si>
    <t>Colour coding</t>
  </si>
  <si>
    <t>Site Branding</t>
  </si>
  <si>
    <t>Theme</t>
  </si>
  <si>
    <t>Adverstisement</t>
  </si>
  <si>
    <t>Where, What &amp; How much</t>
  </si>
  <si>
    <t>Tagline</t>
  </si>
  <si>
    <t>Brochure</t>
  </si>
  <si>
    <t>Teaser</t>
  </si>
  <si>
    <t>Render images</t>
  </si>
  <si>
    <t>Walkthrough</t>
  </si>
  <si>
    <t>Costing &amp; Budget</t>
  </si>
  <si>
    <t>Nerul Region</t>
  </si>
  <si>
    <t>Delta Palm Beach</t>
  </si>
  <si>
    <t>Prices are inclusive of all facilities</t>
  </si>
  <si>
    <t>3BHK</t>
  </si>
  <si>
    <t>Average Price per Sq.Ft.</t>
  </si>
  <si>
    <t>Average Price per Sq.Ft. Removing Outliers</t>
  </si>
  <si>
    <t>4 BHK</t>
  </si>
  <si>
    <t>Recommended Price for Nerul Region</t>
  </si>
  <si>
    <t>Pyramid Centria</t>
  </si>
  <si>
    <t>19 East</t>
  </si>
  <si>
    <t xml:space="preserve">Amore Breeze heights </t>
  </si>
  <si>
    <t>Omkar Planet</t>
  </si>
  <si>
    <t>Experio Platinum</t>
  </si>
  <si>
    <t>L And T West Square</t>
  </si>
  <si>
    <t>odrej</t>
  </si>
  <si>
    <t>akshar</t>
  </si>
  <si>
    <t>Godrej Bayview</t>
  </si>
  <si>
    <t>Akshar Panchratna</t>
  </si>
  <si>
    <t xml:space="preserve">Arihant Advika
</t>
  </si>
  <si>
    <t>Shahad</t>
  </si>
  <si>
    <t>Sl No</t>
  </si>
  <si>
    <t>Area</t>
  </si>
  <si>
    <t>Carpet Area (Sq.Ft.)</t>
  </si>
  <si>
    <t>Parking  Available</t>
  </si>
  <si>
    <t>Size</t>
  </si>
  <si>
    <t xml:space="preserve"> Annapurna Mangeshi Paradise</t>
  </si>
  <si>
    <t>Avg price of INR/Sq.Ft.</t>
  </si>
  <si>
    <t>Mohankheda Greens</t>
  </si>
  <si>
    <t>Avg price of INR/Sq.Ft. when Parking is available</t>
  </si>
  <si>
    <t xml:space="preserve"> Sai Dham Society</t>
  </si>
  <si>
    <t>Nav Ambika Nagar CHS</t>
  </si>
  <si>
    <t>Percentage  change with Parking</t>
  </si>
  <si>
    <t>Recommended price without Parking</t>
  </si>
  <si>
    <t xml:space="preserve"> Precious Meadows</t>
  </si>
  <si>
    <t>Increase due to facilities</t>
  </si>
  <si>
    <t xml:space="preserve"> Mutha Sai Nirvana</t>
  </si>
  <si>
    <t xml:space="preserve">yash Apartment shahad station </t>
  </si>
  <si>
    <t>Recommended Final Price for Shahad Inclusive of facilities</t>
  </si>
  <si>
    <t>Ajanta park co-operative society shahad</t>
  </si>
  <si>
    <t>Vimal Park</t>
  </si>
  <si>
    <t>Dhakate Shahad</t>
  </si>
  <si>
    <t>Birla Vanya</t>
  </si>
  <si>
    <t>Godrej</t>
  </si>
  <si>
    <t xml:space="preserve">Panvel Residential </t>
  </si>
  <si>
    <t xml:space="preserve">Sai World City </t>
  </si>
  <si>
    <t>Tulip Wadhwa Wise City</t>
  </si>
  <si>
    <t>Hiranandani Fortune City</t>
  </si>
  <si>
    <t>TYPE</t>
  </si>
  <si>
    <t>PRICE</t>
  </si>
  <si>
    <t>UNIT</t>
  </si>
  <si>
    <t xml:space="preserve">Type </t>
  </si>
  <si>
    <t xml:space="preserve">price </t>
  </si>
  <si>
    <t>carpet Size (Sq.Ft.)</t>
  </si>
  <si>
    <t>Price per sq. ft.</t>
  </si>
  <si>
    <t>carpet Size (sSq.Ft.)</t>
  </si>
  <si>
    <t xml:space="preserve">Basic Rate </t>
  </si>
  <si>
    <t>Residential</t>
  </si>
  <si>
    <t>per sq. ft.</t>
  </si>
  <si>
    <t>Commercial</t>
  </si>
  <si>
    <t>per sq. ft. (Ground)</t>
  </si>
  <si>
    <t>per sq. ft. (First)</t>
  </si>
  <si>
    <t>Floor Rise</t>
  </si>
  <si>
    <t>from 2nd floor, per floor / per sq.ft</t>
  </si>
  <si>
    <t>Development Charges.</t>
  </si>
  <si>
    <t xml:space="preserve"> per sq.ft</t>
  </si>
  <si>
    <t>Car Parking</t>
  </si>
  <si>
    <t>(Stilt)</t>
  </si>
  <si>
    <t xml:space="preserve"> (Additional Stilt)</t>
  </si>
  <si>
    <t>Club Membership</t>
  </si>
  <si>
    <t>Average price for 2 bhk from sai world</t>
  </si>
  <si>
    <t xml:space="preserve"> per sq.ft.</t>
  </si>
  <si>
    <t>2.5 BHK</t>
  </si>
  <si>
    <t>Average price for 2.5 bhk from sai world</t>
  </si>
  <si>
    <t>Average price for 3  bhk from sai world</t>
  </si>
  <si>
    <t>Average price for 4  bhk from sai world</t>
  </si>
  <si>
    <t>Residential Area - PHASE - 1</t>
  </si>
  <si>
    <t>1415, 1440, 1470 &amp; 1500 sq.ft</t>
  </si>
  <si>
    <t>Average price for 2 bhk from Wadhwa Wise City</t>
  </si>
  <si>
    <t>Recommended price for Panvel Residential region</t>
  </si>
  <si>
    <t xml:space="preserve"> 1915, 1940, 1955, 2110 &amp; 2210 sq.ft.</t>
  </si>
  <si>
    <t>Average price for 2 bhk from Fortune City</t>
  </si>
  <si>
    <t xml:space="preserve"> 2 BHK</t>
  </si>
  <si>
    <t>3075 &amp; 3090 sq.ft.</t>
  </si>
  <si>
    <t>Average price for 3  bhk from Wise city</t>
  </si>
  <si>
    <t>Residential Area - PHASE - 2</t>
  </si>
  <si>
    <t>1150 &amp; 1290 sq.ft</t>
  </si>
  <si>
    <t>Average price for 3  bhk from Fortune City</t>
  </si>
  <si>
    <t>correct</t>
  </si>
  <si>
    <t>1565 sq.ft.</t>
  </si>
  <si>
    <t>Average price for 1  bhk from Wise city</t>
  </si>
  <si>
    <t>1765 sq.ft.</t>
  </si>
  <si>
    <t>Average price for 1  bhk from fortune city</t>
  </si>
  <si>
    <t>Commercial Area</t>
  </si>
  <si>
    <t>GROUND</t>
  </si>
  <si>
    <t>575 to 2530 sq ft.</t>
  </si>
  <si>
    <t>FIRST</t>
  </si>
  <si>
    <t>395 to 2570 sq ft.</t>
  </si>
  <si>
    <t>2 BHK price/Sq.Ft.</t>
  </si>
  <si>
    <t>sq.ft</t>
  </si>
  <si>
    <t>3 BHK price/Sq.Ft.</t>
  </si>
  <si>
    <t xml:space="preserve"> sq.ft.</t>
  </si>
  <si>
    <t>4 BHK Price/Sq.Ft.</t>
  </si>
  <si>
    <t>sq.ft.</t>
  </si>
  <si>
    <t>2.5 BHK price/sq.ft.</t>
  </si>
  <si>
    <t>Panvel Villa</t>
  </si>
  <si>
    <t xml:space="preserve">Wadhwa wise city </t>
  </si>
  <si>
    <t>Price is All Inclusive of Services</t>
  </si>
  <si>
    <t>Carpet Size</t>
  </si>
  <si>
    <t>Unit</t>
  </si>
  <si>
    <t>Price Per  Sq.Ft.</t>
  </si>
  <si>
    <t>Average of Price per Sq.Ft.</t>
  </si>
  <si>
    <t>3 BHK Bunglow</t>
  </si>
  <si>
    <t>Sq.Ft.</t>
  </si>
  <si>
    <t>Recommended Price for Villa at Panvel</t>
  </si>
  <si>
    <t>4 BHK Bunglow</t>
  </si>
  <si>
    <t xml:space="preserve">Panvel Plotted </t>
  </si>
  <si>
    <t>Wadhwa wise city</t>
  </si>
  <si>
    <t>No.</t>
  </si>
  <si>
    <t>carpet Size</t>
  </si>
  <si>
    <t>unit</t>
  </si>
  <si>
    <t>Price/Sq.Ft.</t>
  </si>
  <si>
    <t>Cr</t>
  </si>
  <si>
    <t>Recommended price for project</t>
  </si>
  <si>
    <t>9000 Per Sq.Ft.</t>
  </si>
  <si>
    <t>Plus GST and Stamp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</si>
</sst>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[$₹-4009]\ * #,##0.00_ ;_ [$₹-4009]\ * \-#,##0.00_ ;_ [$₹-4009]\ * &quot;-&quot;??_ ;_ @_ "/>
    <numFmt numFmtId="165" formatCode="[$₹-4009]\ #,##0.00"/>
    <numFmt numFmtId="166" formatCode="[$₹-44F]\ #,##0.00"/>
    <numFmt numFmtId="167" formatCode="[$₹-4009]\ #,##0"/>
    <numFmt numFmtId="168" formatCode="_(* #,##0_);_(* \(#,##0\);_(* &quot;-&quot;??_);_(@_)"/>
    <numFmt numFmtId="169" formatCode="0.0"/>
    <numFmt numFmtId="170" formatCode="_ [$₹-4009]\ * #,##0_ ;_ [$₹-4009]\ * \-#,##0_ ;_ [$₹-4009]\ * &quot;-&quot;??_ ;_ @_ "/>
  </numFmts>
  <fonts count="15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20"/>
      <color rgb="FF000000"/>
      <name val="Aptos Narrow"/>
      <scheme val="minor"/>
    </font>
    <font>
      <b/>
      <sz val="16"/>
      <color rgb="FF000000"/>
      <name val="Aptos Narrow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9"/>
      <color rgb="FF42526E"/>
      <name val="Open Sans"/>
      <charset val="1"/>
    </font>
    <font>
      <b/>
      <sz val="15"/>
      <color rgb="FF010C1F"/>
      <name val="Open Sans"/>
      <charset val="1"/>
    </font>
    <font>
      <sz val="11"/>
      <color rgb="FF091E42"/>
      <name val="Open Sans"/>
      <charset val="1"/>
    </font>
    <font>
      <b/>
      <sz val="11"/>
      <color rgb="FF091E42"/>
      <name val="Open Sans"/>
      <charset val="1"/>
    </font>
    <font>
      <sz val="11"/>
      <color rgb="FF000000"/>
      <name val="Aptos Narrow"/>
      <scheme val="minor"/>
    </font>
    <font>
      <b/>
      <sz val="11.5"/>
      <color rgb="FF000000"/>
      <name val="Aptos Narrow"/>
      <scheme val="minor"/>
    </font>
    <font>
      <b/>
      <sz val="11.5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10" fontId="0" fillId="0" borderId="0" xfId="0" applyNumberFormat="1"/>
    <xf numFmtId="0" fontId="0" fillId="2" borderId="2" xfId="0" applyFill="1" applyBorder="1"/>
    <xf numFmtId="0" fontId="0" fillId="0" borderId="2" xfId="0" applyBorder="1"/>
    <xf numFmtId="1" fontId="0" fillId="0" borderId="0" xfId="0" applyNumberFormat="1"/>
    <xf numFmtId="167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/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8" fontId="0" fillId="4" borderId="2" xfId="0" applyNumberFormat="1" applyFill="1" applyBorder="1" applyAlignment="1">
      <alignment vertical="center"/>
    </xf>
    <xf numFmtId="168" fontId="0" fillId="5" borderId="2" xfId="0" applyNumberFormat="1" applyFill="1" applyBorder="1" applyAlignment="1">
      <alignment vertical="center"/>
    </xf>
    <xf numFmtId="168" fontId="0" fillId="4" borderId="4" xfId="0" applyNumberFormat="1" applyFill="1" applyBorder="1" applyAlignment="1">
      <alignment vertical="center"/>
    </xf>
    <xf numFmtId="170" fontId="0" fillId="4" borderId="2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70" fontId="0" fillId="5" borderId="2" xfId="0" applyNumberFormat="1" applyFill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170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65" fontId="0" fillId="4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169" fontId="0" fillId="5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9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164" fontId="0" fillId="6" borderId="2" xfId="0" applyNumberForma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166" fontId="0" fillId="6" borderId="6" xfId="0" applyNumberFormat="1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5" fontId="0" fillId="0" borderId="2" xfId="0" applyNumberFormat="1" applyBorder="1"/>
    <xf numFmtId="168" fontId="0" fillId="0" borderId="0" xfId="0" applyNumberFormat="1" applyAlignment="1">
      <alignment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70" fontId="0" fillId="6" borderId="2" xfId="0" applyNumberForma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170" fontId="0" fillId="2" borderId="2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/>
    <xf numFmtId="0" fontId="2" fillId="7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wrapText="1"/>
    </xf>
    <xf numFmtId="0" fontId="2" fillId="7" borderId="2" xfId="0" applyFont="1" applyFill="1" applyBorder="1"/>
    <xf numFmtId="0" fontId="2" fillId="6" borderId="7" xfId="0" applyFont="1" applyFill="1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2" fillId="6" borderId="4" xfId="0" applyFont="1" applyFill="1" applyBorder="1" applyAlignment="1">
      <alignment horizontal="center" vertical="center" wrapText="1"/>
    </xf>
    <xf numFmtId="167" fontId="2" fillId="6" borderId="2" xfId="0" applyNumberFormat="1" applyFont="1" applyFill="1" applyBorder="1" applyAlignment="1">
      <alignment horizontal="center" vertical="center"/>
    </xf>
    <xf numFmtId="167" fontId="2" fillId="6" borderId="4" xfId="0" applyNumberFormat="1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2" borderId="0" xfId="0" applyNumberFormat="1" applyFont="1" applyFill="1" applyAlignment="1">
      <alignment vertical="center"/>
    </xf>
    <xf numFmtId="170" fontId="0" fillId="0" borderId="0" xfId="0" applyNumberFormat="1"/>
    <xf numFmtId="0" fontId="2" fillId="2" borderId="0" xfId="0" applyFont="1" applyFill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0" fontId="0" fillId="7" borderId="2" xfId="0" applyNumberForma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2" fillId="2" borderId="4" xfId="0" applyFont="1" applyFill="1" applyBorder="1" applyAlignment="1">
      <alignment horizontal="center" vertical="center"/>
    </xf>
    <xf numFmtId="9" fontId="0" fillId="0" borderId="0" xfId="0" applyNumberFormat="1"/>
    <xf numFmtId="0" fontId="12" fillId="0" borderId="0" xfId="0" applyFont="1"/>
    <xf numFmtId="0" fontId="10" fillId="0" borderId="0" xfId="0" applyFont="1"/>
    <xf numFmtId="10" fontId="2" fillId="2" borderId="9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67" fontId="0" fillId="4" borderId="10" xfId="0" applyNumberFormat="1" applyFill="1" applyBorder="1" applyAlignment="1">
      <alignment horizontal="center" vertical="center"/>
    </xf>
    <xf numFmtId="167" fontId="0" fillId="5" borderId="3" xfId="0" applyNumberFormat="1" applyFill="1" applyBorder="1" applyAlignment="1">
      <alignment horizontal="center" vertical="center"/>
    </xf>
    <xf numFmtId="167" fontId="0" fillId="4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" fontId="0" fillId="4" borderId="4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70" fontId="0" fillId="4" borderId="4" xfId="0" applyNumberFormat="1" applyFill="1" applyBorder="1" applyAlignment="1">
      <alignment horizontal="center" vertical="center"/>
    </xf>
    <xf numFmtId="170" fontId="0" fillId="4" borderId="6" xfId="0" applyNumberFormat="1" applyFill="1" applyBorder="1" applyAlignment="1">
      <alignment horizontal="center" vertical="center"/>
    </xf>
    <xf numFmtId="170" fontId="0" fillId="5" borderId="4" xfId="0" applyNumberFormat="1" applyFill="1" applyBorder="1" applyAlignment="1">
      <alignment horizontal="center" vertical="center"/>
    </xf>
    <xf numFmtId="170" fontId="0" fillId="5" borderId="6" xfId="0" applyNumberFormat="1" applyFill="1" applyBorder="1" applyAlignment="1">
      <alignment horizontal="center" vertical="center"/>
    </xf>
    <xf numFmtId="167" fontId="0" fillId="4" borderId="9" xfId="0" applyNumberFormat="1" applyFill="1" applyBorder="1" applyAlignment="1">
      <alignment horizontal="center" vertical="center"/>
    </xf>
    <xf numFmtId="167" fontId="0" fillId="4" borderId="10" xfId="0" applyNumberFormat="1" applyFill="1" applyBorder="1" applyAlignment="1">
      <alignment horizontal="center" vertical="center"/>
    </xf>
    <xf numFmtId="167" fontId="0" fillId="5" borderId="9" xfId="0" applyNumberFormat="1" applyFill="1" applyBorder="1" applyAlignment="1">
      <alignment horizontal="center" vertical="center"/>
    </xf>
    <xf numFmtId="167" fontId="0" fillId="5" borderId="10" xfId="0" applyNumberForma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0" fontId="13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topLeftCell="A46" workbookViewId="0">
      <selection activeCell="A46" sqref="A46:F49"/>
    </sheetView>
  </sheetViews>
  <sheetFormatPr defaultRowHeight="33" customHeight="1"/>
  <cols>
    <col min="2" max="2" width="37.5703125" customWidth="1"/>
    <col min="3" max="3" width="18.85546875" customWidth="1"/>
    <col min="4" max="4" width="21.5703125" bestFit="1" customWidth="1"/>
    <col min="5" max="5" width="15.7109375" customWidth="1"/>
    <col min="7" max="7" width="17.42578125" customWidth="1"/>
    <col min="8" max="8" width="26.42578125" customWidth="1"/>
    <col min="9" max="9" width="26.5703125" customWidth="1"/>
    <col min="10" max="10" width="11.85546875" customWidth="1"/>
    <col min="13" max="13" width="19" customWidth="1"/>
    <col min="15" max="15" width="12.42578125" customWidth="1"/>
  </cols>
  <sheetData>
    <row r="1" spans="1:16" ht="33" customHeight="1">
      <c r="A1" s="119" t="s">
        <v>0</v>
      </c>
      <c r="B1" s="119"/>
      <c r="C1" s="119"/>
      <c r="D1" s="119"/>
      <c r="E1" s="119"/>
      <c r="F1" s="119"/>
      <c r="G1" s="119"/>
    </row>
    <row r="3" spans="1:16" ht="33" customHeight="1">
      <c r="A3" s="27" t="s">
        <v>1</v>
      </c>
      <c r="B3" s="27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7" t="s">
        <v>7</v>
      </c>
    </row>
    <row r="4" spans="1:16" ht="33" customHeight="1">
      <c r="A4" s="14">
        <v>1</v>
      </c>
      <c r="B4" s="30" t="s">
        <v>8</v>
      </c>
      <c r="C4" s="41">
        <v>2400000</v>
      </c>
      <c r="D4" s="14">
        <v>600</v>
      </c>
      <c r="E4" s="41">
        <f>C4/D4</f>
        <v>4000</v>
      </c>
      <c r="F4" s="14" t="s">
        <v>9</v>
      </c>
      <c r="G4" s="14" t="s">
        <v>9</v>
      </c>
    </row>
    <row r="5" spans="1:16" ht="33" customHeight="1">
      <c r="A5" s="13">
        <v>2</v>
      </c>
      <c r="B5" s="29" t="s">
        <v>8</v>
      </c>
      <c r="C5" s="43">
        <v>1600000</v>
      </c>
      <c r="D5" s="13">
        <v>370</v>
      </c>
      <c r="E5" s="43">
        <f t="shared" ref="E5:E12" si="0">C5/D5</f>
        <v>4324.3243243243242</v>
      </c>
      <c r="F5" s="13" t="s">
        <v>9</v>
      </c>
      <c r="G5" s="13" t="s">
        <v>9</v>
      </c>
      <c r="I5" s="47" t="s">
        <v>10</v>
      </c>
      <c r="J5" s="48">
        <f>AVERAGE(E4:E12)</f>
        <v>5690.1662707474325</v>
      </c>
    </row>
    <row r="6" spans="1:16" ht="33" customHeight="1">
      <c r="A6" s="14">
        <v>3</v>
      </c>
      <c r="B6" s="30" t="s">
        <v>11</v>
      </c>
      <c r="C6" s="41">
        <v>2500000</v>
      </c>
      <c r="D6" s="14">
        <v>420</v>
      </c>
      <c r="E6" s="41">
        <f t="shared" si="0"/>
        <v>5952.3809523809523</v>
      </c>
      <c r="F6" s="14" t="s">
        <v>12</v>
      </c>
      <c r="G6" s="14" t="s">
        <v>9</v>
      </c>
      <c r="I6" s="47" t="s">
        <v>13</v>
      </c>
      <c r="J6" s="48">
        <f>AVERAGEIFS(E4:E12,F4:F12,"=Yes")</f>
        <v>5949.9453520670941</v>
      </c>
    </row>
    <row r="7" spans="1:16" ht="33" customHeight="1">
      <c r="A7" s="13">
        <v>4</v>
      </c>
      <c r="B7" s="29" t="s">
        <v>14</v>
      </c>
      <c r="C7" s="43">
        <v>3200000</v>
      </c>
      <c r="D7" s="13">
        <v>605</v>
      </c>
      <c r="E7" s="43">
        <f t="shared" si="0"/>
        <v>5289.2561983471078</v>
      </c>
      <c r="F7" s="13" t="s">
        <v>12</v>
      </c>
      <c r="G7" s="13" t="s">
        <v>9</v>
      </c>
      <c r="I7" s="47" t="s">
        <v>15</v>
      </c>
      <c r="J7" s="48">
        <f>((J6-J5)/J5)</f>
        <v>4.5654040490022148E-2</v>
      </c>
    </row>
    <row r="8" spans="1:16" ht="33" customHeight="1">
      <c r="A8" s="14">
        <v>5</v>
      </c>
      <c r="B8" s="30" t="s">
        <v>16</v>
      </c>
      <c r="C8" s="41">
        <v>2300000</v>
      </c>
      <c r="D8" s="14">
        <v>320</v>
      </c>
      <c r="E8" s="41">
        <f t="shared" si="0"/>
        <v>7187.5</v>
      </c>
      <c r="F8" s="14" t="s">
        <v>9</v>
      </c>
      <c r="G8" s="14" t="s">
        <v>9</v>
      </c>
      <c r="I8" s="47" t="s">
        <v>17</v>
      </c>
      <c r="J8" s="48">
        <f>AVERAGEIFS(E4:E12,G4:G12,"=Yes")</f>
        <v>4385.9649122807014</v>
      </c>
    </row>
    <row r="9" spans="1:16" ht="33" customHeight="1">
      <c r="A9" s="13">
        <v>6</v>
      </c>
      <c r="B9" s="29" t="s">
        <v>18</v>
      </c>
      <c r="C9" s="43">
        <v>2500000</v>
      </c>
      <c r="D9" s="13">
        <v>570</v>
      </c>
      <c r="E9" s="43">
        <f t="shared" si="0"/>
        <v>4385.9649122807014</v>
      </c>
      <c r="F9" s="13" t="s">
        <v>12</v>
      </c>
      <c r="G9" s="13" t="s">
        <v>12</v>
      </c>
      <c r="I9" s="47" t="s">
        <v>19</v>
      </c>
      <c r="J9" s="48">
        <f>(J5-J8)/J5</f>
        <v>0.22920267992369536</v>
      </c>
    </row>
    <row r="10" spans="1:16" ht="33" customHeight="1">
      <c r="A10" s="14">
        <v>9</v>
      </c>
      <c r="B10" s="30" t="s">
        <v>20</v>
      </c>
      <c r="C10" s="41">
        <v>2200000</v>
      </c>
      <c r="D10" s="14">
        <v>550</v>
      </c>
      <c r="E10" s="41">
        <f t="shared" si="0"/>
        <v>4000</v>
      </c>
      <c r="F10" s="14" t="s">
        <v>12</v>
      </c>
      <c r="G10" s="14" t="s">
        <v>9</v>
      </c>
      <c r="I10" s="48" t="s">
        <v>21</v>
      </c>
      <c r="J10" s="48">
        <f>0.85*J5</f>
        <v>4836.6413301353177</v>
      </c>
    </row>
    <row r="11" spans="1:16" ht="33" customHeight="1">
      <c r="A11" s="13">
        <v>10</v>
      </c>
      <c r="B11" s="29" t="s">
        <v>22</v>
      </c>
      <c r="C11" s="43">
        <v>2350000</v>
      </c>
      <c r="D11" s="13">
        <v>340</v>
      </c>
      <c r="E11" s="43">
        <f t="shared" si="0"/>
        <v>6911.7647058823532</v>
      </c>
      <c r="F11" s="13" t="s">
        <v>12</v>
      </c>
      <c r="G11" s="13" t="s">
        <v>9</v>
      </c>
      <c r="I11" s="32" t="s">
        <v>23</v>
      </c>
      <c r="J11" s="94">
        <f>(J10*J7)+J10</f>
        <v>5057.4535492570303</v>
      </c>
    </row>
    <row r="12" spans="1:16" ht="33" customHeight="1">
      <c r="A12" s="14">
        <v>11</v>
      </c>
      <c r="B12" s="30" t="s">
        <v>24</v>
      </c>
      <c r="C12" s="41">
        <v>3600000</v>
      </c>
      <c r="D12" s="14">
        <v>393</v>
      </c>
      <c r="E12" s="41">
        <f t="shared" si="0"/>
        <v>9160.3053435114507</v>
      </c>
      <c r="F12" s="14" t="s">
        <v>12</v>
      </c>
      <c r="G12" s="14" t="s">
        <v>9</v>
      </c>
    </row>
    <row r="13" spans="1:16" ht="33" customHeight="1">
      <c r="B13" s="46"/>
    </row>
    <row r="14" spans="1:16" ht="33" customHeight="1">
      <c r="A14" t="s">
        <v>25</v>
      </c>
    </row>
    <row r="15" spans="1:16" ht="33" customHeight="1">
      <c r="A15" s="27" t="s">
        <v>1</v>
      </c>
      <c r="B15" s="27" t="s">
        <v>2</v>
      </c>
      <c r="C15" s="27" t="s">
        <v>3</v>
      </c>
      <c r="D15" s="27" t="s">
        <v>4</v>
      </c>
      <c r="E15" s="27" t="s">
        <v>5</v>
      </c>
      <c r="F15" s="27" t="s">
        <v>6</v>
      </c>
      <c r="G15" s="27" t="s">
        <v>7</v>
      </c>
      <c r="H15" s="96" t="s">
        <v>26</v>
      </c>
    </row>
    <row r="16" spans="1:16" ht="33" customHeight="1">
      <c r="A16" s="14">
        <v>1</v>
      </c>
      <c r="B16" s="30" t="s">
        <v>8</v>
      </c>
      <c r="C16" s="21">
        <v>2400000</v>
      </c>
      <c r="D16" s="14">
        <v>600</v>
      </c>
      <c r="E16" s="41">
        <f>C16/D16</f>
        <v>4000</v>
      </c>
      <c r="F16" s="14" t="s">
        <v>9</v>
      </c>
      <c r="G16" s="14" t="s">
        <v>9</v>
      </c>
      <c r="N16" s="47" t="s">
        <v>10</v>
      </c>
      <c r="O16" s="48">
        <f>AVERAGE(E16:E24)</f>
        <v>4931.0350493966698</v>
      </c>
      <c r="P16" s="8" t="s">
        <v>27</v>
      </c>
    </row>
    <row r="17" spans="1:16" ht="33" customHeight="1">
      <c r="A17" s="13">
        <v>2</v>
      </c>
      <c r="B17" s="29" t="s">
        <v>8</v>
      </c>
      <c r="C17" s="19">
        <v>1600000</v>
      </c>
      <c r="D17" s="13">
        <v>370</v>
      </c>
      <c r="E17" s="43">
        <f t="shared" ref="E17:E24" si="1">C17/D17</f>
        <v>4324.3243243243242</v>
      </c>
      <c r="F17" s="13" t="s">
        <v>9</v>
      </c>
      <c r="G17" s="13" t="s">
        <v>9</v>
      </c>
      <c r="N17" s="47" t="s">
        <v>10</v>
      </c>
      <c r="O17" s="48">
        <f>AVERAGE(E16:E24)+800</f>
        <v>5731.0350493966698</v>
      </c>
      <c r="P17" s="8" t="s">
        <v>28</v>
      </c>
    </row>
    <row r="18" spans="1:16" ht="33" customHeight="1">
      <c r="A18" s="14">
        <v>3</v>
      </c>
      <c r="B18" s="30" t="s">
        <v>11</v>
      </c>
      <c r="C18" s="21">
        <f>2500000-300000</f>
        <v>2200000</v>
      </c>
      <c r="D18" s="14">
        <v>420</v>
      </c>
      <c r="E18" s="41">
        <f t="shared" si="1"/>
        <v>5238.0952380952385</v>
      </c>
      <c r="F18" s="14" t="s">
        <v>9</v>
      </c>
      <c r="G18" s="14" t="s">
        <v>9</v>
      </c>
      <c r="O18" s="80">
        <f>O16*80%</f>
        <v>3944.828039517336</v>
      </c>
    </row>
    <row r="19" spans="1:16" ht="33" customHeight="1">
      <c r="A19" s="13">
        <v>4</v>
      </c>
      <c r="B19" s="29" t="s">
        <v>14</v>
      </c>
      <c r="C19" s="19">
        <f>3200000-300000</f>
        <v>2900000</v>
      </c>
      <c r="D19" s="13">
        <v>605</v>
      </c>
      <c r="E19" s="43">
        <f t="shared" si="1"/>
        <v>4793.3884297520663</v>
      </c>
      <c r="F19" s="13" t="s">
        <v>9</v>
      </c>
      <c r="G19" s="13" t="s">
        <v>9</v>
      </c>
      <c r="O19" s="80">
        <f>O17*80%</f>
        <v>4584.828039517336</v>
      </c>
    </row>
    <row r="20" spans="1:16" ht="33" customHeight="1">
      <c r="A20" s="14">
        <v>5</v>
      </c>
      <c r="B20" s="30" t="s">
        <v>16</v>
      </c>
      <c r="C20" s="21">
        <v>2300000</v>
      </c>
      <c r="D20" s="14">
        <v>320</v>
      </c>
      <c r="E20" s="41">
        <f t="shared" si="1"/>
        <v>7187.5</v>
      </c>
      <c r="F20" s="14" t="s">
        <v>9</v>
      </c>
      <c r="G20" s="14" t="s">
        <v>9</v>
      </c>
    </row>
    <row r="21" spans="1:16" ht="33" customHeight="1">
      <c r="A21" s="13">
        <v>6</v>
      </c>
      <c r="B21" s="29" t="s">
        <v>18</v>
      </c>
      <c r="C21" s="19">
        <f>2500000-300000</f>
        <v>2200000</v>
      </c>
      <c r="D21" s="13">
        <v>570</v>
      </c>
      <c r="E21" s="43">
        <f t="shared" si="1"/>
        <v>3859.6491228070176</v>
      </c>
      <c r="F21" s="13" t="s">
        <v>12</v>
      </c>
      <c r="G21" s="13" t="s">
        <v>12</v>
      </c>
    </row>
    <row r="22" spans="1:16" ht="33" customHeight="1">
      <c r="A22" s="14">
        <v>9</v>
      </c>
      <c r="B22" s="30" t="s">
        <v>20</v>
      </c>
      <c r="C22" s="21">
        <f>2200000-300000</f>
        <v>1900000</v>
      </c>
      <c r="D22" s="14">
        <v>550</v>
      </c>
      <c r="E22" s="14">
        <v>550</v>
      </c>
      <c r="F22" s="14" t="s">
        <v>12</v>
      </c>
      <c r="G22" s="14" t="s">
        <v>9</v>
      </c>
    </row>
    <row r="23" spans="1:16" ht="33" customHeight="1">
      <c r="A23" s="13">
        <v>10</v>
      </c>
      <c r="B23" s="29" t="s">
        <v>22</v>
      </c>
      <c r="C23" s="19">
        <f>2350000-300000</f>
        <v>2050000</v>
      </c>
      <c r="D23" s="13">
        <v>340</v>
      </c>
      <c r="E23" s="43">
        <f t="shared" si="1"/>
        <v>6029.411764705882</v>
      </c>
      <c r="F23" s="13" t="s">
        <v>12</v>
      </c>
      <c r="G23" s="13" t="s">
        <v>9</v>
      </c>
    </row>
    <row r="24" spans="1:16" ht="33" customHeight="1">
      <c r="A24" s="14">
        <v>11</v>
      </c>
      <c r="B24" s="30" t="s">
        <v>24</v>
      </c>
      <c r="C24" s="21">
        <f>3600000-300000</f>
        <v>3300000</v>
      </c>
      <c r="D24" s="14">
        <v>393</v>
      </c>
      <c r="E24" s="41">
        <f t="shared" si="1"/>
        <v>8396.9465648854966</v>
      </c>
      <c r="F24" s="14" t="s">
        <v>12</v>
      </c>
      <c r="G24" s="14" t="s">
        <v>9</v>
      </c>
      <c r="J24" s="95"/>
    </row>
    <row r="25" spans="1:16" ht="33" customHeight="1">
      <c r="C25" s="95"/>
      <c r="J25" s="95"/>
    </row>
    <row r="26" spans="1:16" ht="33" customHeight="1">
      <c r="A26" s="103" t="s">
        <v>1</v>
      </c>
      <c r="B26" s="103" t="s">
        <v>29</v>
      </c>
      <c r="C26" s="103" t="s">
        <v>30</v>
      </c>
      <c r="D26" s="103" t="s">
        <v>31</v>
      </c>
      <c r="E26" s="107" t="s">
        <v>32</v>
      </c>
      <c r="F26" s="108" t="s">
        <v>33</v>
      </c>
      <c r="G26" s="27" t="s">
        <v>34</v>
      </c>
    </row>
    <row r="27" spans="1:16" ht="33" customHeight="1">
      <c r="A27" s="117">
        <v>1</v>
      </c>
      <c r="B27" s="118" t="s">
        <v>35</v>
      </c>
      <c r="C27" s="123" t="s">
        <v>36</v>
      </c>
      <c r="D27" s="19">
        <v>4300000</v>
      </c>
      <c r="E27" s="63">
        <v>411.4</v>
      </c>
      <c r="F27" s="109">
        <f>D27/E27</f>
        <v>10452.114730189596</v>
      </c>
      <c r="G27" s="118" t="s">
        <v>37</v>
      </c>
      <c r="H27" s="112" t="s">
        <v>38</v>
      </c>
      <c r="I27" s="5">
        <f>AVERAGE(F27:F75)</f>
        <v>10752.342906358841</v>
      </c>
    </row>
    <row r="28" spans="1:16" ht="33" customHeight="1">
      <c r="A28" s="117"/>
      <c r="B28" s="118"/>
      <c r="C28" s="124"/>
      <c r="D28" s="21">
        <v>4310000</v>
      </c>
      <c r="E28" s="64">
        <v>411.83</v>
      </c>
      <c r="F28" s="110">
        <f t="shared" ref="F28:F32" si="2">D28/E28</f>
        <v>10465.48333050045</v>
      </c>
      <c r="G28" s="118"/>
      <c r="H28" s="112" t="s">
        <v>39</v>
      </c>
      <c r="I28" s="5">
        <f>0.95*I27</f>
        <v>10214.725761040898</v>
      </c>
    </row>
    <row r="29" spans="1:16" ht="33" customHeight="1">
      <c r="A29" s="117"/>
      <c r="B29" s="118"/>
      <c r="C29" s="123" t="s">
        <v>40</v>
      </c>
      <c r="D29" s="19">
        <v>6110000</v>
      </c>
      <c r="E29" s="63">
        <v>583.51</v>
      </c>
      <c r="F29" s="111">
        <f t="shared" si="2"/>
        <v>10471.114462477079</v>
      </c>
      <c r="G29" s="118"/>
    </row>
    <row r="30" spans="1:16" ht="33" customHeight="1">
      <c r="A30" s="117"/>
      <c r="B30" s="118"/>
      <c r="C30" s="124"/>
      <c r="D30" s="21">
        <v>7156000</v>
      </c>
      <c r="E30" s="64">
        <v>684.05</v>
      </c>
      <c r="F30" s="110">
        <f t="shared" si="2"/>
        <v>10461.223594766465</v>
      </c>
      <c r="G30" s="118"/>
    </row>
    <row r="31" spans="1:16" ht="33" customHeight="1">
      <c r="A31" s="117"/>
      <c r="B31" s="118"/>
      <c r="C31" s="123" t="s">
        <v>41</v>
      </c>
      <c r="D31" s="19">
        <v>7983000</v>
      </c>
      <c r="E31" s="63">
        <v>763.27</v>
      </c>
      <c r="F31" s="111">
        <f t="shared" si="2"/>
        <v>10458.946375463467</v>
      </c>
      <c r="G31" s="118"/>
    </row>
    <row r="32" spans="1:16" ht="33" customHeight="1">
      <c r="A32" s="117"/>
      <c r="B32" s="118"/>
      <c r="C32" s="124"/>
      <c r="D32" s="21">
        <v>8338000</v>
      </c>
      <c r="E32" s="64">
        <v>796.64</v>
      </c>
      <c r="F32" s="110">
        <f t="shared" si="2"/>
        <v>10466.459128339024</v>
      </c>
      <c r="G32" s="118"/>
    </row>
    <row r="34" spans="1:8" ht="33" customHeight="1">
      <c r="C34" s="59"/>
      <c r="D34" s="59"/>
      <c r="E34" s="59"/>
      <c r="F34" s="59"/>
    </row>
    <row r="35" spans="1:8" ht="33" customHeight="1">
      <c r="A35" s="120">
        <v>2</v>
      </c>
      <c r="B35" s="115" t="s">
        <v>42</v>
      </c>
      <c r="C35" s="116" t="s">
        <v>36</v>
      </c>
      <c r="D35" s="19">
        <v>3600000</v>
      </c>
      <c r="E35" s="63">
        <v>416.13</v>
      </c>
      <c r="F35" s="20">
        <f>D35/E35</f>
        <v>8651.1426717612285</v>
      </c>
      <c r="G35" s="115" t="s">
        <v>43</v>
      </c>
    </row>
    <row r="36" spans="1:8" ht="33" customHeight="1">
      <c r="A36" s="121"/>
      <c r="B36" s="115"/>
      <c r="C36" s="116"/>
      <c r="D36" s="21">
        <v>4550000</v>
      </c>
      <c r="E36" s="64">
        <v>488.04</v>
      </c>
      <c r="F36" s="22">
        <f t="shared" ref="F36:F39" si="3">D36/E36</f>
        <v>9323.006310958117</v>
      </c>
      <c r="G36" s="115"/>
    </row>
    <row r="37" spans="1:8" ht="33" customHeight="1">
      <c r="A37" s="121"/>
      <c r="B37" s="115"/>
      <c r="C37" s="116" t="s">
        <v>40</v>
      </c>
      <c r="D37" s="19">
        <v>5011000</v>
      </c>
      <c r="E37" s="63">
        <v>579.1</v>
      </c>
      <c r="F37" s="20">
        <f t="shared" si="3"/>
        <v>8653.0823691935766</v>
      </c>
      <c r="G37" s="115"/>
    </row>
    <row r="38" spans="1:8" ht="33" customHeight="1">
      <c r="A38" s="121"/>
      <c r="B38" s="115"/>
      <c r="C38" s="116"/>
      <c r="D38" s="21">
        <v>7300000</v>
      </c>
      <c r="E38" s="64">
        <v>624.30999999999995</v>
      </c>
      <c r="F38" s="22">
        <f t="shared" si="3"/>
        <v>11692.908971504543</v>
      </c>
      <c r="G38" s="115"/>
    </row>
    <row r="39" spans="1:8" ht="33" customHeight="1">
      <c r="A39" s="122"/>
      <c r="B39" s="115"/>
      <c r="C39" s="13" t="s">
        <v>41</v>
      </c>
      <c r="D39" s="19">
        <v>9000000</v>
      </c>
      <c r="E39" s="63">
        <v>747.23</v>
      </c>
      <c r="F39" s="20">
        <f t="shared" si="3"/>
        <v>12044.484295330754</v>
      </c>
      <c r="G39" s="115"/>
    </row>
    <row r="41" spans="1:8" ht="33" customHeight="1">
      <c r="A41" s="117">
        <v>3</v>
      </c>
      <c r="B41" s="125" t="s">
        <v>44</v>
      </c>
      <c r="C41" s="116" t="s">
        <v>36</v>
      </c>
      <c r="D41" s="19">
        <v>3811000</v>
      </c>
      <c r="E41" s="63">
        <v>330.88</v>
      </c>
      <c r="F41" s="111">
        <f>D41/E41</f>
        <v>11517.770793036751</v>
      </c>
      <c r="G41" s="118" t="s">
        <v>45</v>
      </c>
    </row>
    <row r="42" spans="1:8" ht="33" customHeight="1">
      <c r="A42" s="117"/>
      <c r="B42" s="118"/>
      <c r="C42" s="116"/>
      <c r="D42" s="21">
        <v>4491000</v>
      </c>
      <c r="E42" s="64">
        <v>390</v>
      </c>
      <c r="F42" s="110">
        <f t="shared" ref="F42:F44" si="4">D42/E42</f>
        <v>11515.384615384615</v>
      </c>
      <c r="G42" s="118"/>
    </row>
    <row r="43" spans="1:8" ht="33" customHeight="1">
      <c r="A43" s="117"/>
      <c r="B43" s="118"/>
      <c r="C43" s="116" t="s">
        <v>40</v>
      </c>
      <c r="D43" s="19">
        <v>5300000</v>
      </c>
      <c r="E43" s="63">
        <v>472.21</v>
      </c>
      <c r="F43" s="111">
        <f t="shared" si="4"/>
        <v>11223.819910632981</v>
      </c>
      <c r="G43" s="118"/>
    </row>
    <row r="44" spans="1:8" ht="33" customHeight="1">
      <c r="A44" s="117"/>
      <c r="B44" s="118"/>
      <c r="C44" s="116"/>
      <c r="D44" s="21">
        <v>5884000</v>
      </c>
      <c r="E44" s="64">
        <v>512.04</v>
      </c>
      <c r="F44" s="110">
        <f t="shared" si="4"/>
        <v>11491.289742988829</v>
      </c>
      <c r="G44" s="118"/>
    </row>
    <row r="46" spans="1:8" ht="33" customHeight="1">
      <c r="A46" s="116">
        <v>4</v>
      </c>
      <c r="B46" s="126" t="s">
        <v>46</v>
      </c>
      <c r="C46" s="116" t="s">
        <v>36</v>
      </c>
      <c r="D46" s="19">
        <v>4400000</v>
      </c>
      <c r="E46" s="63">
        <v>370.06</v>
      </c>
      <c r="F46" s="111">
        <f>D46/E46</f>
        <v>11889.963789655731</v>
      </c>
      <c r="G46" s="115" t="s">
        <v>47</v>
      </c>
    </row>
    <row r="47" spans="1:8" ht="33" customHeight="1">
      <c r="A47" s="116"/>
      <c r="B47" s="115"/>
      <c r="C47" s="116"/>
      <c r="D47" s="21">
        <v>6502000</v>
      </c>
      <c r="E47" s="64">
        <v>598.36</v>
      </c>
      <c r="F47" s="110">
        <f t="shared" ref="F47:F49" si="5">D47/E47</f>
        <v>10866.368072732133</v>
      </c>
      <c r="G47" s="115"/>
    </row>
    <row r="48" spans="1:8" ht="33" customHeight="1">
      <c r="A48" s="116"/>
      <c r="B48" s="115"/>
      <c r="C48" s="116" t="s">
        <v>40</v>
      </c>
      <c r="D48" s="19">
        <v>7660000</v>
      </c>
      <c r="E48" s="63">
        <v>566</v>
      </c>
      <c r="F48" s="111">
        <f t="shared" si="5"/>
        <v>13533.56890459364</v>
      </c>
      <c r="G48" s="115"/>
      <c r="H48" s="100"/>
    </row>
    <row r="49" spans="1:9" ht="33" customHeight="1">
      <c r="A49" s="116"/>
      <c r="B49" s="115"/>
      <c r="C49" s="116"/>
      <c r="D49" s="21">
        <v>8070000</v>
      </c>
      <c r="E49" s="64">
        <v>596.64</v>
      </c>
      <c r="F49" s="110">
        <f t="shared" si="5"/>
        <v>13525.744167337089</v>
      </c>
      <c r="G49" s="115"/>
      <c r="H49" s="101"/>
    </row>
    <row r="50" spans="1:9" ht="33" customHeight="1">
      <c r="H50" s="106"/>
    </row>
    <row r="51" spans="1:9" ht="33" customHeight="1">
      <c r="A51" s="117">
        <v>5</v>
      </c>
      <c r="B51" s="118" t="s">
        <v>48</v>
      </c>
      <c r="C51" s="116" t="s">
        <v>36</v>
      </c>
      <c r="D51" s="19">
        <v>4020000</v>
      </c>
      <c r="E51" s="63">
        <v>402.03</v>
      </c>
      <c r="F51" s="111">
        <f>D51/E51</f>
        <v>9999.2537870308188</v>
      </c>
      <c r="G51" s="118" t="s">
        <v>49</v>
      </c>
      <c r="H51" s="105" t="s">
        <v>50</v>
      </c>
      <c r="I51" s="95">
        <v>5400</v>
      </c>
    </row>
    <row r="52" spans="1:9" ht="33" customHeight="1">
      <c r="A52" s="117"/>
      <c r="B52" s="118"/>
      <c r="C52" s="116"/>
      <c r="D52" s="21">
        <v>4440000</v>
      </c>
      <c r="E52" s="64">
        <v>444</v>
      </c>
      <c r="F52" s="110">
        <f t="shared" ref="F52:F56" si="6">D52/E52</f>
        <v>10000</v>
      </c>
      <c r="G52" s="118"/>
      <c r="H52" s="105" t="s">
        <v>51</v>
      </c>
      <c r="I52" s="95">
        <v>250000</v>
      </c>
    </row>
    <row r="53" spans="1:9" ht="33" customHeight="1">
      <c r="A53" s="117"/>
      <c r="B53" s="118"/>
      <c r="C53" s="116" t="s">
        <v>40</v>
      </c>
      <c r="D53" s="19">
        <v>4780000</v>
      </c>
      <c r="E53" s="63">
        <v>478.46</v>
      </c>
      <c r="F53" s="111">
        <f t="shared" si="6"/>
        <v>9990.3858211762745</v>
      </c>
      <c r="G53" s="118"/>
      <c r="H53" s="105" t="s">
        <v>52</v>
      </c>
      <c r="I53" s="104">
        <v>0.05</v>
      </c>
    </row>
    <row r="54" spans="1:9" ht="33" customHeight="1">
      <c r="A54" s="117"/>
      <c r="B54" s="118"/>
      <c r="C54" s="116"/>
      <c r="D54" s="21">
        <v>6990000</v>
      </c>
      <c r="E54" s="64">
        <v>699</v>
      </c>
      <c r="F54" s="110">
        <f t="shared" si="6"/>
        <v>10000</v>
      </c>
      <c r="G54" s="118"/>
      <c r="H54" s="105" t="s">
        <v>53</v>
      </c>
      <c r="I54" s="95">
        <v>30000</v>
      </c>
    </row>
    <row r="55" spans="1:9" ht="33" customHeight="1">
      <c r="A55" s="117"/>
      <c r="B55" s="118"/>
      <c r="C55" s="116" t="s">
        <v>41</v>
      </c>
      <c r="D55" s="19">
        <v>7900000</v>
      </c>
      <c r="E55" s="63">
        <v>790.29</v>
      </c>
      <c r="F55" s="111">
        <f t="shared" si="6"/>
        <v>9996.3304609700244</v>
      </c>
      <c r="G55" s="118"/>
      <c r="H55" s="105" t="s">
        <v>54</v>
      </c>
      <c r="I55" s="104">
        <v>0.12</v>
      </c>
    </row>
    <row r="56" spans="1:9" ht="33" customHeight="1">
      <c r="A56" s="117"/>
      <c r="B56" s="118"/>
      <c r="C56" s="116"/>
      <c r="D56" s="21">
        <v>8620000</v>
      </c>
      <c r="E56" s="64">
        <v>862</v>
      </c>
      <c r="F56" s="110">
        <f t="shared" si="6"/>
        <v>10000</v>
      </c>
      <c r="G56" s="118"/>
      <c r="H56" s="106"/>
    </row>
    <row r="57" spans="1:9" ht="33" customHeight="1">
      <c r="H57" s="100"/>
    </row>
    <row r="58" spans="1:9" ht="33" customHeight="1">
      <c r="A58" s="116">
        <v>6</v>
      </c>
      <c r="B58" s="115" t="s">
        <v>55</v>
      </c>
      <c r="C58" s="116" t="s">
        <v>36</v>
      </c>
      <c r="D58" s="19">
        <v>3846000</v>
      </c>
      <c r="E58" s="63">
        <v>349.7</v>
      </c>
      <c r="F58" s="111">
        <f>D58/E58</f>
        <v>10997.998284243638</v>
      </c>
      <c r="G58" s="115" t="s">
        <v>56</v>
      </c>
      <c r="H58" s="100"/>
    </row>
    <row r="59" spans="1:9" ht="33" customHeight="1">
      <c r="A59" s="116"/>
      <c r="B59" s="115"/>
      <c r="C59" s="116"/>
      <c r="D59" s="21">
        <v>6645000</v>
      </c>
      <c r="E59" s="64">
        <v>604.17999999999995</v>
      </c>
      <c r="F59" s="110">
        <f t="shared" ref="F59:F63" si="7">D59/E59</f>
        <v>10998.377966831078</v>
      </c>
      <c r="G59" s="115"/>
      <c r="H59" s="101"/>
    </row>
    <row r="60" spans="1:9" ht="33" customHeight="1">
      <c r="A60" s="116"/>
      <c r="B60" s="115"/>
      <c r="C60" s="116" t="s">
        <v>40</v>
      </c>
      <c r="D60" s="19">
        <v>6026000</v>
      </c>
      <c r="E60" s="63">
        <v>501.5</v>
      </c>
      <c r="F60" s="111">
        <f t="shared" si="7"/>
        <v>12015.952143569291</v>
      </c>
      <c r="G60" s="115"/>
      <c r="H60" s="102"/>
    </row>
    <row r="61" spans="1:9" ht="33" customHeight="1">
      <c r="A61" s="116"/>
      <c r="B61" s="115"/>
      <c r="C61" s="116"/>
      <c r="D61" s="21">
        <v>9132000</v>
      </c>
      <c r="E61" s="64">
        <v>760</v>
      </c>
      <c r="F61" s="110">
        <f t="shared" si="7"/>
        <v>12015.78947368421</v>
      </c>
      <c r="G61" s="115"/>
      <c r="H61" s="100"/>
    </row>
    <row r="62" spans="1:9" ht="33" customHeight="1">
      <c r="A62" s="116"/>
      <c r="B62" s="115"/>
      <c r="C62" s="116" t="s">
        <v>41</v>
      </c>
      <c r="D62" s="19">
        <v>8385000</v>
      </c>
      <c r="E62" s="63">
        <v>716</v>
      </c>
      <c r="F62" s="111">
        <f t="shared" si="7"/>
        <v>11710.893854748603</v>
      </c>
      <c r="G62" s="115"/>
      <c r="H62" s="100"/>
    </row>
    <row r="63" spans="1:9" ht="33" customHeight="1">
      <c r="A63" s="116"/>
      <c r="B63" s="115"/>
      <c r="C63" s="116"/>
      <c r="D63" s="21">
        <v>10400000</v>
      </c>
      <c r="E63" s="64">
        <v>885</v>
      </c>
      <c r="F63" s="110">
        <f t="shared" si="7"/>
        <v>11751.412429378532</v>
      </c>
      <c r="G63" s="115"/>
      <c r="H63" s="101"/>
    </row>
    <row r="65" spans="1:7" ht="33" customHeight="1">
      <c r="A65" s="117">
        <v>7</v>
      </c>
      <c r="B65" s="118" t="s">
        <v>57</v>
      </c>
      <c r="C65" s="116" t="s">
        <v>36</v>
      </c>
      <c r="D65" s="19">
        <v>3837000</v>
      </c>
      <c r="E65" s="63">
        <v>358.98</v>
      </c>
      <c r="F65" s="111">
        <f>D65/E65</f>
        <v>10688.617750292495</v>
      </c>
      <c r="G65" s="118" t="s">
        <v>58</v>
      </c>
    </row>
    <row r="66" spans="1:7" ht="33" customHeight="1">
      <c r="A66" s="117"/>
      <c r="B66" s="118"/>
      <c r="C66" s="116"/>
      <c r="D66" s="21">
        <v>4538000</v>
      </c>
      <c r="E66" s="64">
        <v>470</v>
      </c>
      <c r="F66" s="110">
        <f t="shared" ref="F66:F68" si="8">D66/E66</f>
        <v>9655.3191489361707</v>
      </c>
      <c r="G66" s="118"/>
    </row>
    <row r="67" spans="1:7" ht="33" customHeight="1">
      <c r="A67" s="117"/>
      <c r="B67" s="118"/>
      <c r="C67" s="116" t="s">
        <v>40</v>
      </c>
      <c r="D67" s="19">
        <v>4613000</v>
      </c>
      <c r="E67" s="63">
        <v>474.58</v>
      </c>
      <c r="F67" s="111">
        <f t="shared" si="8"/>
        <v>9720.1736272072158</v>
      </c>
      <c r="G67" s="118"/>
    </row>
    <row r="68" spans="1:7" ht="33" customHeight="1">
      <c r="A68" s="117"/>
      <c r="B68" s="118"/>
      <c r="C68" s="116"/>
      <c r="D68" s="21">
        <v>6431000</v>
      </c>
      <c r="E68" s="64">
        <v>645.19000000000005</v>
      </c>
      <c r="F68" s="110">
        <f t="shared" si="8"/>
        <v>9967.6064415133515</v>
      </c>
      <c r="G68" s="118"/>
    </row>
    <row r="70" spans="1:7" ht="33" customHeight="1">
      <c r="A70" s="116">
        <v>8</v>
      </c>
      <c r="B70" s="115" t="s">
        <v>59</v>
      </c>
      <c r="C70" s="116" t="s">
        <v>36</v>
      </c>
      <c r="D70" s="131">
        <v>3775000</v>
      </c>
      <c r="E70" s="127">
        <v>392.67</v>
      </c>
      <c r="F70" s="135">
        <f>D70/E70</f>
        <v>9613.6705121348714</v>
      </c>
      <c r="G70" s="115" t="s">
        <v>60</v>
      </c>
    </row>
    <row r="71" spans="1:7" ht="33" customHeight="1">
      <c r="A71" s="116"/>
      <c r="B71" s="115"/>
      <c r="C71" s="116"/>
      <c r="D71" s="132"/>
      <c r="E71" s="128"/>
      <c r="F71" s="136"/>
      <c r="G71" s="115"/>
    </row>
    <row r="72" spans="1:7" ht="33" customHeight="1">
      <c r="A72" s="116"/>
      <c r="B72" s="115"/>
      <c r="C72" s="117" t="s">
        <v>40</v>
      </c>
      <c r="D72" s="133">
        <v>6150000</v>
      </c>
      <c r="E72" s="129">
        <v>547.02</v>
      </c>
      <c r="F72" s="137">
        <f t="shared" ref="F71:F75" si="9">D72/E72</f>
        <v>11242.733355270375</v>
      </c>
      <c r="G72" s="115"/>
    </row>
    <row r="73" spans="1:7" ht="33" customHeight="1">
      <c r="A73" s="116"/>
      <c r="B73" s="115"/>
      <c r="C73" s="117"/>
      <c r="D73" s="134"/>
      <c r="E73" s="130"/>
      <c r="F73" s="138"/>
      <c r="G73" s="115"/>
    </row>
    <row r="74" spans="1:7" ht="33" customHeight="1">
      <c r="A74" s="116"/>
      <c r="B74" s="115"/>
      <c r="C74" s="116" t="s">
        <v>41</v>
      </c>
      <c r="D74" s="131">
        <v>7150000</v>
      </c>
      <c r="E74" s="127">
        <v>751</v>
      </c>
      <c r="F74" s="135">
        <f t="shared" si="9"/>
        <v>9520.6391478029291</v>
      </c>
      <c r="G74" s="115"/>
    </row>
    <row r="75" spans="1:7" ht="33" customHeight="1">
      <c r="A75" s="116"/>
      <c r="B75" s="115"/>
      <c r="C75" s="116"/>
      <c r="D75" s="132"/>
      <c r="E75" s="128"/>
      <c r="F75" s="136"/>
      <c r="G75" s="115"/>
    </row>
  </sheetData>
  <mergeCells count="54">
    <mergeCell ref="G51:G56"/>
    <mergeCell ref="G46:G49"/>
    <mergeCell ref="G41:G44"/>
    <mergeCell ref="G35:G39"/>
    <mergeCell ref="G27:G32"/>
    <mergeCell ref="F70:F71"/>
    <mergeCell ref="F72:F73"/>
    <mergeCell ref="F74:F75"/>
    <mergeCell ref="G65:G68"/>
    <mergeCell ref="G58:G63"/>
    <mergeCell ref="G70:G75"/>
    <mergeCell ref="E70:E71"/>
    <mergeCell ref="E72:E73"/>
    <mergeCell ref="E74:E75"/>
    <mergeCell ref="D70:D71"/>
    <mergeCell ref="D72:D73"/>
    <mergeCell ref="D74:D75"/>
    <mergeCell ref="A70:A75"/>
    <mergeCell ref="B70:B75"/>
    <mergeCell ref="C70:C71"/>
    <mergeCell ref="C72:C73"/>
    <mergeCell ref="C74:C75"/>
    <mergeCell ref="A65:A68"/>
    <mergeCell ref="B65:B68"/>
    <mergeCell ref="C65:C66"/>
    <mergeCell ref="C67:C68"/>
    <mergeCell ref="B41:B44"/>
    <mergeCell ref="C41:C42"/>
    <mergeCell ref="C43:C44"/>
    <mergeCell ref="A41:A44"/>
    <mergeCell ref="A46:A49"/>
    <mergeCell ref="B46:B49"/>
    <mergeCell ref="C46:C47"/>
    <mergeCell ref="C48:C49"/>
    <mergeCell ref="C51:C52"/>
    <mergeCell ref="C53:C54"/>
    <mergeCell ref="C55:C56"/>
    <mergeCell ref="A58:A63"/>
    <mergeCell ref="C35:C36"/>
    <mergeCell ref="C37:C38"/>
    <mergeCell ref="B35:B39"/>
    <mergeCell ref="A1:G1"/>
    <mergeCell ref="A27:A32"/>
    <mergeCell ref="B27:B32"/>
    <mergeCell ref="A35:A39"/>
    <mergeCell ref="C27:C28"/>
    <mergeCell ref="C29:C30"/>
    <mergeCell ref="C31:C32"/>
    <mergeCell ref="B58:B63"/>
    <mergeCell ref="C58:C59"/>
    <mergeCell ref="C60:C61"/>
    <mergeCell ref="C62:C63"/>
    <mergeCell ref="A51:A56"/>
    <mergeCell ref="B51:B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0EF6-A830-4950-A670-D0B79816935B}">
  <dimension ref="A1:G11"/>
  <sheetViews>
    <sheetView workbookViewId="0">
      <selection activeCell="G1" sqref="G1:G2"/>
    </sheetView>
  </sheetViews>
  <sheetFormatPr defaultRowHeight="15"/>
  <cols>
    <col min="1" max="1" width="10.85546875" customWidth="1"/>
    <col min="3" max="3" width="24.28515625" customWidth="1"/>
    <col min="4" max="4" width="26.140625" customWidth="1"/>
    <col min="6" max="6" width="24.85546875" customWidth="1"/>
    <col min="7" max="7" width="25.7109375" customWidth="1"/>
    <col min="9" max="9" width="26.5703125" customWidth="1"/>
    <col min="10" max="10" width="12.7109375" customWidth="1"/>
  </cols>
  <sheetData>
    <row r="1" spans="1:7">
      <c r="A1" s="113" t="s">
        <v>61</v>
      </c>
      <c r="B1" s="114"/>
      <c r="C1" s="113" t="s">
        <v>62</v>
      </c>
      <c r="D1" s="114"/>
      <c r="E1" s="114"/>
      <c r="F1" s="113" t="s">
        <v>63</v>
      </c>
    </row>
    <row r="2" spans="1:7">
      <c r="A2" s="114" t="s">
        <v>64</v>
      </c>
      <c r="B2" s="114"/>
      <c r="C2" s="114" t="s">
        <v>65</v>
      </c>
      <c r="D2" s="114"/>
      <c r="E2" s="114"/>
      <c r="F2" s="114" t="s">
        <v>66</v>
      </c>
      <c r="G2" s="114"/>
    </row>
    <row r="3" spans="1:7">
      <c r="A3" s="114"/>
      <c r="B3" s="114"/>
      <c r="C3" s="114" t="s">
        <v>67</v>
      </c>
      <c r="D3" s="114"/>
      <c r="E3" s="114"/>
      <c r="F3" s="114" t="s">
        <v>68</v>
      </c>
    </row>
    <row r="4" spans="1:7">
      <c r="A4" s="114"/>
      <c r="B4" s="114"/>
      <c r="C4" s="114" t="s">
        <v>69</v>
      </c>
      <c r="D4" s="114"/>
      <c r="E4" s="114"/>
      <c r="F4" s="114" t="s">
        <v>70</v>
      </c>
      <c r="G4" s="114"/>
    </row>
    <row r="5" spans="1:7">
      <c r="A5" s="114"/>
      <c r="B5" s="114"/>
      <c r="C5" s="114" t="s">
        <v>71</v>
      </c>
      <c r="D5" s="114" t="s">
        <v>72</v>
      </c>
      <c r="E5" s="114"/>
      <c r="F5" s="114" t="s">
        <v>73</v>
      </c>
      <c r="G5" s="114"/>
    </row>
    <row r="6" spans="1:7">
      <c r="A6" s="114"/>
      <c r="B6" s="114"/>
      <c r="C6" s="114" t="s">
        <v>74</v>
      </c>
      <c r="D6" s="114"/>
      <c r="E6" s="114"/>
      <c r="F6" s="114"/>
      <c r="G6" s="114"/>
    </row>
    <row r="7" spans="1:7">
      <c r="A7" s="114"/>
      <c r="B7" s="114"/>
      <c r="C7" s="114" t="s">
        <v>75</v>
      </c>
      <c r="D7" s="114"/>
      <c r="E7" s="114"/>
      <c r="G7" s="114"/>
    </row>
    <row r="8" spans="1:7">
      <c r="A8" s="114"/>
      <c r="B8" s="114"/>
      <c r="C8" s="114" t="s">
        <v>76</v>
      </c>
      <c r="D8" s="114"/>
      <c r="E8" s="114"/>
      <c r="G8" s="114"/>
    </row>
    <row r="9" spans="1:7">
      <c r="A9" s="114"/>
      <c r="B9" s="114"/>
      <c r="C9" s="114" t="s">
        <v>77</v>
      </c>
      <c r="D9" s="114"/>
      <c r="E9" s="114"/>
      <c r="G9" s="114"/>
    </row>
    <row r="10" spans="1:7">
      <c r="A10" s="114"/>
      <c r="B10" s="114"/>
      <c r="C10" s="114"/>
      <c r="D10" s="114"/>
      <c r="E10" s="114"/>
      <c r="F10" s="114"/>
      <c r="G10" s="114"/>
    </row>
    <row r="11" spans="1:7">
      <c r="A11" s="114"/>
      <c r="B11" s="114"/>
      <c r="C11" s="114" t="s">
        <v>78</v>
      </c>
      <c r="D11" s="114"/>
      <c r="E11" s="114"/>
      <c r="F11" s="114"/>
      <c r="G11" s="1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E204-CFB0-4F68-8AD6-60C5001EBD5D}">
  <dimension ref="A1:N54"/>
  <sheetViews>
    <sheetView topLeftCell="A8" workbookViewId="0">
      <selection activeCell="I10" sqref="I10"/>
    </sheetView>
  </sheetViews>
  <sheetFormatPr defaultColWidth="17.42578125" defaultRowHeight="32.25" customHeight="1"/>
  <cols>
    <col min="2" max="2" width="21.5703125" customWidth="1"/>
    <col min="8" max="8" width="21.7109375" customWidth="1"/>
    <col min="9" max="9" width="20.85546875" customWidth="1"/>
  </cols>
  <sheetData>
    <row r="1" spans="1:14" ht="32.25" customHeight="1">
      <c r="A1" s="139" t="s">
        <v>79</v>
      </c>
      <c r="B1" s="139"/>
      <c r="C1" s="139"/>
      <c r="D1" s="139"/>
      <c r="E1" s="139"/>
      <c r="F1" s="139"/>
    </row>
    <row r="2" spans="1:14" ht="32.25" customHeight="1">
      <c r="E2" s="1"/>
      <c r="F2" s="1"/>
      <c r="H2" s="57"/>
      <c r="I2" s="57"/>
      <c r="J2" s="57"/>
      <c r="K2" s="57"/>
      <c r="L2" s="57"/>
      <c r="M2" s="57"/>
      <c r="N2" s="57"/>
    </row>
    <row r="3" spans="1:14" ht="32.25" customHeight="1">
      <c r="A3" s="27" t="s">
        <v>1</v>
      </c>
      <c r="B3" s="27" t="s">
        <v>29</v>
      </c>
      <c r="C3" s="27" t="s">
        <v>30</v>
      </c>
      <c r="D3" s="27" t="s">
        <v>31</v>
      </c>
      <c r="E3" s="60" t="s">
        <v>32</v>
      </c>
      <c r="F3" s="60" t="s">
        <v>33</v>
      </c>
      <c r="H3" s="59"/>
      <c r="J3" s="58"/>
      <c r="K3" s="54"/>
      <c r="L3" s="55"/>
      <c r="M3" s="59"/>
      <c r="N3" s="59"/>
    </row>
    <row r="4" spans="1:14" ht="32.25" customHeight="1">
      <c r="A4" s="146">
        <v>1</v>
      </c>
      <c r="B4" s="140" t="s">
        <v>80</v>
      </c>
      <c r="C4" s="6"/>
      <c r="D4" s="6"/>
      <c r="E4" s="6"/>
      <c r="F4" s="6"/>
      <c r="H4" s="59"/>
      <c r="J4" s="58"/>
      <c r="K4" s="54"/>
      <c r="L4" s="55"/>
      <c r="M4" s="59"/>
      <c r="N4" s="59"/>
    </row>
    <row r="5" spans="1:14" ht="32.25" customHeight="1">
      <c r="A5" s="147"/>
      <c r="B5" s="141"/>
      <c r="C5" s="13" t="s">
        <v>40</v>
      </c>
      <c r="D5" s="19">
        <v>24600000</v>
      </c>
      <c r="E5" s="63">
        <v>763.15</v>
      </c>
      <c r="F5" s="20">
        <f>D5/E5</f>
        <v>32234.816222236783</v>
      </c>
      <c r="H5" s="154" t="s">
        <v>81</v>
      </c>
      <c r="I5" s="155"/>
      <c r="K5" s="54"/>
      <c r="L5" s="55"/>
      <c r="M5" s="59"/>
      <c r="N5" s="59"/>
    </row>
    <row r="6" spans="1:14" ht="32.25" customHeight="1">
      <c r="A6" s="147"/>
      <c r="B6" s="141"/>
      <c r="C6" s="14" t="s">
        <v>40</v>
      </c>
      <c r="D6" s="21">
        <v>26500000</v>
      </c>
      <c r="E6" s="64">
        <v>779.92</v>
      </c>
      <c r="F6" s="22">
        <f t="shared" ref="F6:F10" si="0">D6/E6</f>
        <v>33977.843881423738</v>
      </c>
      <c r="H6" s="65"/>
      <c r="I6" s="66"/>
      <c r="K6" s="54"/>
      <c r="L6" s="55"/>
      <c r="M6" s="59"/>
      <c r="N6" s="59"/>
    </row>
    <row r="7" spans="1:14" ht="32.25" customHeight="1">
      <c r="A7" s="147"/>
      <c r="B7" s="141"/>
      <c r="C7" s="13" t="s">
        <v>82</v>
      </c>
      <c r="D7" s="19">
        <v>36200000</v>
      </c>
      <c r="E7" s="63">
        <v>1114.2</v>
      </c>
      <c r="F7" s="20">
        <f t="shared" si="0"/>
        <v>32489.67869323281</v>
      </c>
      <c r="H7" s="67" t="s">
        <v>83</v>
      </c>
      <c r="I7" s="66">
        <f>AVERAGE(F5:F54)</f>
        <v>36916.583285401372</v>
      </c>
      <c r="K7" s="54"/>
      <c r="L7" s="55"/>
      <c r="M7" s="59"/>
      <c r="N7" s="59"/>
    </row>
    <row r="8" spans="1:14" ht="32.25" customHeight="1">
      <c r="A8" s="147"/>
      <c r="B8" s="141"/>
      <c r="C8" s="14" t="s">
        <v>82</v>
      </c>
      <c r="D8" s="21">
        <v>51300000</v>
      </c>
      <c r="E8" s="64">
        <v>1505.6</v>
      </c>
      <c r="F8" s="22">
        <f t="shared" si="0"/>
        <v>34072.794899043576</v>
      </c>
      <c r="H8" s="67" t="s">
        <v>84</v>
      </c>
      <c r="I8" s="66">
        <f>AVERAGE(F27:F30,F15:F20,F5:F10,F22:F25,F35:F40,F42:F45,F47:F48,F50:F54)</f>
        <v>38760.646559539724</v>
      </c>
      <c r="K8" s="54"/>
      <c r="L8" s="55"/>
      <c r="M8" s="59"/>
      <c r="N8" s="59"/>
    </row>
    <row r="9" spans="1:14" ht="32.25" customHeight="1">
      <c r="A9" s="147"/>
      <c r="B9" s="141"/>
      <c r="C9" s="13" t="s">
        <v>85</v>
      </c>
      <c r="D9" s="19">
        <v>55600000</v>
      </c>
      <c r="E9" s="63">
        <v>1631.45</v>
      </c>
      <c r="F9" s="20">
        <f t="shared" si="0"/>
        <v>34080.112783107048</v>
      </c>
      <c r="H9" s="38" t="s">
        <v>86</v>
      </c>
      <c r="I9" s="68">
        <f>0.95*I8</f>
        <v>36822.614231562737</v>
      </c>
      <c r="K9" s="54"/>
      <c r="L9" s="55"/>
      <c r="M9" s="59"/>
      <c r="N9" s="59"/>
    </row>
    <row r="10" spans="1:14" ht="32.25" customHeight="1">
      <c r="A10" s="148"/>
      <c r="B10" s="142"/>
      <c r="C10" s="14" t="s">
        <v>85</v>
      </c>
      <c r="D10" s="21">
        <v>73000000</v>
      </c>
      <c r="E10" s="64">
        <v>2142</v>
      </c>
      <c r="F10" s="22">
        <f t="shared" si="0"/>
        <v>34080.298786181142</v>
      </c>
      <c r="K10" s="54"/>
      <c r="L10" s="55"/>
      <c r="M10" s="59"/>
      <c r="N10" s="59"/>
    </row>
    <row r="11" spans="1:14" ht="32.25" customHeight="1">
      <c r="A11" s="6"/>
      <c r="B11" s="45"/>
      <c r="C11" s="6"/>
      <c r="D11" s="62"/>
      <c r="E11" s="61"/>
      <c r="F11" s="52"/>
      <c r="H11" s="59"/>
      <c r="I11" s="57"/>
      <c r="J11" s="58"/>
      <c r="K11" s="54"/>
      <c r="L11" s="55"/>
      <c r="M11" s="59"/>
      <c r="N11" s="59"/>
    </row>
    <row r="12" spans="1:14" ht="32.25" customHeight="1">
      <c r="A12" s="123">
        <v>2</v>
      </c>
      <c r="B12" s="143" t="s">
        <v>87</v>
      </c>
      <c r="C12" s="13" t="s">
        <v>40</v>
      </c>
      <c r="D12" s="19">
        <v>16500000</v>
      </c>
      <c r="E12" s="63">
        <v>812</v>
      </c>
      <c r="F12" s="20">
        <f>D12/E12</f>
        <v>20320.197044334975</v>
      </c>
      <c r="H12" s="59"/>
      <c r="I12" s="57"/>
      <c r="J12" s="58"/>
      <c r="K12" s="56"/>
      <c r="L12" s="55"/>
      <c r="M12" s="59"/>
      <c r="N12" s="59"/>
    </row>
    <row r="13" spans="1:14" ht="32.25" customHeight="1">
      <c r="A13" s="124"/>
      <c r="B13" s="145"/>
      <c r="C13" s="14" t="s">
        <v>41</v>
      </c>
      <c r="D13" s="21">
        <v>25000000</v>
      </c>
      <c r="E13" s="64">
        <v>1126</v>
      </c>
      <c r="F13" s="22">
        <f t="shared" ref="F13" si="1">D13/E13</f>
        <v>22202.486678507994</v>
      </c>
      <c r="J13" s="58"/>
      <c r="K13" s="56"/>
      <c r="L13" s="55"/>
      <c r="M13" s="59"/>
      <c r="N13" s="59"/>
    </row>
    <row r="14" spans="1:14" ht="32.25" customHeight="1">
      <c r="A14" s="6"/>
      <c r="B14" s="45"/>
      <c r="C14" s="6"/>
      <c r="D14" s="62"/>
      <c r="E14" s="6"/>
      <c r="F14" s="52"/>
      <c r="J14" s="58"/>
      <c r="K14" s="56"/>
      <c r="L14" s="55"/>
      <c r="M14" s="59"/>
      <c r="N14" s="59"/>
    </row>
    <row r="15" spans="1:14" ht="32.25" customHeight="1">
      <c r="A15" s="146">
        <v>3</v>
      </c>
      <c r="B15" s="140" t="s">
        <v>88</v>
      </c>
      <c r="C15" s="13" t="s">
        <v>40</v>
      </c>
      <c r="D15" s="19">
        <v>23000000</v>
      </c>
      <c r="E15" s="63">
        <v>533</v>
      </c>
      <c r="F15" s="20">
        <f>D15/E15</f>
        <v>43151.969981238275</v>
      </c>
    </row>
    <row r="16" spans="1:14" ht="32.25" customHeight="1">
      <c r="A16" s="147"/>
      <c r="B16" s="141"/>
      <c r="C16" s="14" t="s">
        <v>40</v>
      </c>
      <c r="D16" s="21">
        <v>30900000</v>
      </c>
      <c r="E16" s="64">
        <v>716</v>
      </c>
      <c r="F16" s="22">
        <f t="shared" ref="F16:F20" si="2">D16/E16</f>
        <v>43156.424581005587</v>
      </c>
    </row>
    <row r="17" spans="1:6" ht="32.25" customHeight="1">
      <c r="A17" s="147"/>
      <c r="B17" s="141"/>
      <c r="C17" s="13" t="s">
        <v>41</v>
      </c>
      <c r="D17" s="19">
        <v>36000000</v>
      </c>
      <c r="E17" s="63">
        <v>860.34</v>
      </c>
      <c r="F17" s="20">
        <f t="shared" si="2"/>
        <v>41843.922170304759</v>
      </c>
    </row>
    <row r="18" spans="1:6" ht="32.25" customHeight="1">
      <c r="A18" s="147"/>
      <c r="B18" s="141"/>
      <c r="C18" s="14" t="s">
        <v>41</v>
      </c>
      <c r="D18" s="21">
        <v>50200000</v>
      </c>
      <c r="E18" s="64">
        <v>1186</v>
      </c>
      <c r="F18" s="22">
        <f t="shared" si="2"/>
        <v>42327.150084317029</v>
      </c>
    </row>
    <row r="19" spans="1:6" ht="32.25" customHeight="1">
      <c r="A19" s="147"/>
      <c r="B19" s="141"/>
      <c r="C19" s="13" t="s">
        <v>85</v>
      </c>
      <c r="D19" s="19">
        <v>81200000</v>
      </c>
      <c r="E19" s="63">
        <v>2256</v>
      </c>
      <c r="F19" s="20">
        <f t="shared" si="2"/>
        <v>35992.907801418442</v>
      </c>
    </row>
    <row r="20" spans="1:6" ht="32.25" customHeight="1">
      <c r="A20" s="148"/>
      <c r="B20" s="142"/>
      <c r="C20" s="14" t="s">
        <v>85</v>
      </c>
      <c r="D20" s="21">
        <v>92200000</v>
      </c>
      <c r="E20" s="64">
        <v>2561</v>
      </c>
      <c r="F20" s="22">
        <f t="shared" si="2"/>
        <v>36001.561889886761</v>
      </c>
    </row>
    <row r="21" spans="1:6" ht="32.25" customHeight="1">
      <c r="A21" s="6"/>
      <c r="B21" s="45"/>
      <c r="C21" s="6"/>
      <c r="D21" s="62"/>
      <c r="E21" s="6"/>
      <c r="F21" s="52"/>
    </row>
    <row r="22" spans="1:6" ht="32.25" customHeight="1">
      <c r="A22" s="123">
        <v>4</v>
      </c>
      <c r="B22" s="143" t="s">
        <v>89</v>
      </c>
      <c r="C22" s="13" t="s">
        <v>36</v>
      </c>
      <c r="D22" s="19">
        <v>10300000</v>
      </c>
      <c r="E22" s="63">
        <v>310</v>
      </c>
      <c r="F22" s="20">
        <f>D22/E22</f>
        <v>33225.806451612902</v>
      </c>
    </row>
    <row r="23" spans="1:6" ht="32.25" customHeight="1">
      <c r="A23" s="149"/>
      <c r="B23" s="144"/>
      <c r="C23" s="14" t="s">
        <v>36</v>
      </c>
      <c r="D23" s="21">
        <v>10500000</v>
      </c>
      <c r="E23" s="64">
        <v>405</v>
      </c>
      <c r="F23" s="22">
        <f t="shared" ref="F23:F25" si="3">D23/E23</f>
        <v>25925.925925925927</v>
      </c>
    </row>
    <row r="24" spans="1:6" ht="32.25" customHeight="1">
      <c r="A24" s="149"/>
      <c r="B24" s="144"/>
      <c r="C24" s="13" t="s">
        <v>40</v>
      </c>
      <c r="D24" s="19">
        <v>17300000</v>
      </c>
      <c r="E24" s="63">
        <v>556.16999999999996</v>
      </c>
      <c r="F24" s="20">
        <f t="shared" si="3"/>
        <v>31105.59720948631</v>
      </c>
    </row>
    <row r="25" spans="1:6" ht="32.25" customHeight="1">
      <c r="A25" s="124"/>
      <c r="B25" s="145"/>
      <c r="C25" s="14" t="s">
        <v>40</v>
      </c>
      <c r="D25" s="21">
        <v>17700000</v>
      </c>
      <c r="E25" s="64">
        <v>642.39</v>
      </c>
      <c r="F25" s="22">
        <f t="shared" si="3"/>
        <v>27553.355438285154</v>
      </c>
    </row>
    <row r="26" spans="1:6" ht="32.25" customHeight="1">
      <c r="A26" s="6"/>
      <c r="B26" s="45"/>
      <c r="C26" s="6"/>
      <c r="D26" s="62"/>
      <c r="E26" s="6"/>
      <c r="F26" s="52"/>
    </row>
    <row r="27" spans="1:6" ht="32.25" customHeight="1">
      <c r="A27" s="146">
        <v>5</v>
      </c>
      <c r="B27" s="140" t="s">
        <v>90</v>
      </c>
      <c r="C27" s="13" t="s">
        <v>40</v>
      </c>
      <c r="D27" s="19">
        <v>18000000</v>
      </c>
      <c r="E27" s="63">
        <v>512.79</v>
      </c>
      <c r="F27" s="20">
        <f>D27/E27</f>
        <v>35102.088574270172</v>
      </c>
    </row>
    <row r="28" spans="1:6" ht="32.25" customHeight="1">
      <c r="A28" s="147"/>
      <c r="B28" s="141"/>
      <c r="C28" s="14" t="s">
        <v>40</v>
      </c>
      <c r="D28" s="21">
        <v>26700000</v>
      </c>
      <c r="E28" s="64">
        <v>760</v>
      </c>
      <c r="F28" s="22">
        <f t="shared" ref="F28:F30" si="4">D28/E28</f>
        <v>35131.57894736842</v>
      </c>
    </row>
    <row r="29" spans="1:6" ht="32.25" customHeight="1">
      <c r="A29" s="147"/>
      <c r="B29" s="141"/>
      <c r="C29" s="13" t="s">
        <v>41</v>
      </c>
      <c r="D29" s="19">
        <v>23700000</v>
      </c>
      <c r="E29" s="63">
        <v>672.74</v>
      </c>
      <c r="F29" s="20">
        <f t="shared" si="4"/>
        <v>35229.063233938818</v>
      </c>
    </row>
    <row r="30" spans="1:6" ht="32.25" customHeight="1">
      <c r="A30" s="148"/>
      <c r="B30" s="142"/>
      <c r="C30" s="14" t="s">
        <v>41</v>
      </c>
      <c r="D30" s="21">
        <v>37300000</v>
      </c>
      <c r="E30" s="64">
        <v>1061</v>
      </c>
      <c r="F30" s="22">
        <f t="shared" si="4"/>
        <v>35155.513666352497</v>
      </c>
    </row>
    <row r="31" spans="1:6" ht="32.25" customHeight="1">
      <c r="A31" s="6"/>
      <c r="B31" s="45"/>
      <c r="C31" s="6"/>
      <c r="D31" s="62"/>
      <c r="E31" s="6"/>
      <c r="F31" s="52"/>
    </row>
    <row r="32" spans="1:6" ht="32.25" customHeight="1">
      <c r="A32" s="116">
        <v>6</v>
      </c>
      <c r="B32" s="115" t="s">
        <v>91</v>
      </c>
      <c r="C32" s="13" t="s">
        <v>41</v>
      </c>
      <c r="D32" s="19">
        <v>14400000</v>
      </c>
      <c r="E32" s="63">
        <v>699.22</v>
      </c>
      <c r="F32" s="20">
        <f>D32/E32</f>
        <v>20594.376591058608</v>
      </c>
    </row>
    <row r="33" spans="1:9" ht="32.25" customHeight="1">
      <c r="A33" s="116"/>
      <c r="B33" s="115"/>
      <c r="C33" s="14" t="s">
        <v>85</v>
      </c>
      <c r="D33" s="21">
        <v>28400000</v>
      </c>
      <c r="E33" s="64">
        <v>1740.31</v>
      </c>
      <c r="F33" s="22">
        <f>D33/E33</f>
        <v>16318.931684584932</v>
      </c>
    </row>
    <row r="35" spans="1:9" ht="32.25" customHeight="1">
      <c r="A35" s="117">
        <v>7</v>
      </c>
      <c r="B35" s="116" t="s">
        <v>92</v>
      </c>
      <c r="C35" s="150" t="s">
        <v>40</v>
      </c>
      <c r="D35" s="22">
        <v>14700000</v>
      </c>
      <c r="E35" s="64">
        <v>485</v>
      </c>
      <c r="F35" s="41">
        <f>D35/E35</f>
        <v>30309.278350515466</v>
      </c>
    </row>
    <row r="36" spans="1:9" ht="32.25" customHeight="1">
      <c r="A36" s="117"/>
      <c r="B36" s="116"/>
      <c r="C36" s="151"/>
      <c r="D36" s="20">
        <v>37500000</v>
      </c>
      <c r="E36" s="63">
        <v>728</v>
      </c>
      <c r="F36" s="43">
        <f>D36/E36</f>
        <v>51510.989010989011</v>
      </c>
      <c r="I36" t="s">
        <v>93</v>
      </c>
    </row>
    <row r="37" spans="1:9" ht="32.25" customHeight="1">
      <c r="A37" s="117"/>
      <c r="B37" s="116"/>
      <c r="C37" s="152" t="s">
        <v>41</v>
      </c>
      <c r="D37" s="22">
        <v>25400000</v>
      </c>
      <c r="E37" s="64">
        <v>652</v>
      </c>
      <c r="F37" s="41">
        <f>D37/E37</f>
        <v>38957.055214723929</v>
      </c>
      <c r="I37" t="s">
        <v>94</v>
      </c>
    </row>
    <row r="38" spans="1:9" ht="32.25" customHeight="1">
      <c r="A38" s="117"/>
      <c r="B38" s="116"/>
      <c r="C38" s="153"/>
      <c r="D38" s="20">
        <v>55100000</v>
      </c>
      <c r="E38" s="63">
        <v>1068.0999999999999</v>
      </c>
      <c r="F38" s="43">
        <f>D38/E38</f>
        <v>51586.930062728214</v>
      </c>
    </row>
    <row r="39" spans="1:9" ht="32.25" customHeight="1">
      <c r="A39" s="117"/>
      <c r="B39" s="116"/>
      <c r="C39" s="150" t="s">
        <v>85</v>
      </c>
      <c r="D39" s="22">
        <v>49300000</v>
      </c>
      <c r="E39" s="64">
        <v>1265.4100000000001</v>
      </c>
      <c r="F39" s="41">
        <f>D39/E39</f>
        <v>38959.704759722146</v>
      </c>
    </row>
    <row r="40" spans="1:9" ht="32.25" customHeight="1">
      <c r="A40" s="117"/>
      <c r="B40" s="116"/>
      <c r="C40" s="151"/>
      <c r="D40" s="20">
        <v>68100000</v>
      </c>
      <c r="E40" s="63">
        <v>1453.03</v>
      </c>
      <c r="F40" s="43">
        <f>D40/E40</f>
        <v>46867.580160079284</v>
      </c>
    </row>
    <row r="41" spans="1:9" ht="32.25" customHeight="1">
      <c r="D41" s="4"/>
      <c r="E41" s="4"/>
    </row>
    <row r="42" spans="1:9" ht="32.25" customHeight="1">
      <c r="A42" s="116">
        <v>8</v>
      </c>
      <c r="B42" s="117" t="s">
        <v>95</v>
      </c>
      <c r="C42" s="150" t="s">
        <v>40</v>
      </c>
      <c r="D42" s="22">
        <v>29400000</v>
      </c>
      <c r="E42" s="64">
        <v>556.05999999999995</v>
      </c>
      <c r="F42" s="41">
        <f>D42/E42</f>
        <v>52871.99223105421</v>
      </c>
    </row>
    <row r="43" spans="1:9" ht="32.25" customHeight="1">
      <c r="A43" s="116"/>
      <c r="B43" s="117"/>
      <c r="C43" s="151"/>
      <c r="D43" s="20">
        <v>42000000</v>
      </c>
      <c r="E43" s="63">
        <v>796</v>
      </c>
      <c r="F43" s="43">
        <f>D43/E43</f>
        <v>52763.819095477389</v>
      </c>
    </row>
    <row r="44" spans="1:9" ht="32.25" customHeight="1">
      <c r="A44" s="116"/>
      <c r="B44" s="117"/>
      <c r="C44" s="152" t="s">
        <v>41</v>
      </c>
      <c r="D44" s="22">
        <v>37500000</v>
      </c>
      <c r="E44" s="64">
        <v>710.42</v>
      </c>
      <c r="F44" s="41">
        <f>D44/E44</f>
        <v>52785.676078939221</v>
      </c>
    </row>
    <row r="45" spans="1:9" ht="32.25" customHeight="1">
      <c r="A45" s="116"/>
      <c r="B45" s="117"/>
      <c r="C45" s="153"/>
      <c r="D45" s="20">
        <v>52300000</v>
      </c>
      <c r="E45" s="63">
        <v>990</v>
      </c>
      <c r="F45" s="43">
        <f>D45/E45</f>
        <v>52828.282828282827</v>
      </c>
    </row>
    <row r="47" spans="1:9" ht="32.25" customHeight="1">
      <c r="A47" s="117">
        <v>9</v>
      </c>
      <c r="B47" s="116" t="s">
        <v>96</v>
      </c>
      <c r="C47" s="150" t="s">
        <v>40</v>
      </c>
      <c r="D47" s="22">
        <v>21800000</v>
      </c>
      <c r="E47" s="64">
        <v>418.08</v>
      </c>
      <c r="F47" s="41">
        <f>D47/E47</f>
        <v>52143.130501339459</v>
      </c>
    </row>
    <row r="48" spans="1:9" ht="32.25" customHeight="1">
      <c r="A48" s="117"/>
      <c r="B48" s="116"/>
      <c r="C48" s="151"/>
      <c r="D48" s="20">
        <v>30300000</v>
      </c>
      <c r="E48" s="63">
        <v>594.71</v>
      </c>
      <c r="F48" s="43">
        <f>D48/E48</f>
        <v>50949.202132131621</v>
      </c>
    </row>
    <row r="50" spans="1:6" ht="32.25" customHeight="1">
      <c r="A50" s="116">
        <v>10</v>
      </c>
      <c r="B50" s="126" t="s">
        <v>97</v>
      </c>
      <c r="C50" s="13" t="s">
        <v>40</v>
      </c>
      <c r="D50" s="19">
        <v>20100000</v>
      </c>
      <c r="E50" s="63">
        <v>620.33000000000004</v>
      </c>
      <c r="F50" s="20">
        <f>D50/E50</f>
        <v>32402.108555123883</v>
      </c>
    </row>
    <row r="51" spans="1:6" ht="32.25" customHeight="1">
      <c r="A51" s="116"/>
      <c r="B51" s="115"/>
      <c r="C51" s="14" t="s">
        <v>40</v>
      </c>
      <c r="D51" s="21">
        <v>24800000</v>
      </c>
      <c r="E51" s="64">
        <v>772</v>
      </c>
      <c r="F51" s="22">
        <f t="shared" ref="F51:F54" si="5">D51/E51</f>
        <v>32124.352331606216</v>
      </c>
    </row>
    <row r="52" spans="1:6" ht="32.25" customHeight="1">
      <c r="A52" s="116"/>
      <c r="B52" s="115"/>
      <c r="C52" s="13" t="s">
        <v>41</v>
      </c>
      <c r="D52" s="19">
        <v>24500000</v>
      </c>
      <c r="E52" s="63">
        <v>762.41</v>
      </c>
      <c r="F52" s="20">
        <f t="shared" si="5"/>
        <v>32134.940517569288</v>
      </c>
    </row>
    <row r="53" spans="1:6" ht="32.25" customHeight="1">
      <c r="A53" s="116"/>
      <c r="B53" s="115"/>
      <c r="C53" s="14" t="s">
        <v>41</v>
      </c>
      <c r="D53" s="21">
        <v>31500000</v>
      </c>
      <c r="E53" s="64">
        <v>1020</v>
      </c>
      <c r="F53" s="22">
        <f t="shared" si="5"/>
        <v>30882.352941176472</v>
      </c>
    </row>
    <row r="54" spans="1:6" ht="32.25" customHeight="1">
      <c r="A54" s="116"/>
      <c r="B54" s="115"/>
      <c r="C54" s="13" t="s">
        <v>85</v>
      </c>
      <c r="D54" s="19">
        <v>48600000</v>
      </c>
      <c r="E54" s="63">
        <v>1508</v>
      </c>
      <c r="F54" s="20">
        <f t="shared" si="5"/>
        <v>32228.116710875333</v>
      </c>
    </row>
  </sheetData>
  <mergeCells count="28">
    <mergeCell ref="C47:C48"/>
    <mergeCell ref="B47:B48"/>
    <mergeCell ref="A47:A48"/>
    <mergeCell ref="A50:A54"/>
    <mergeCell ref="B50:B54"/>
    <mergeCell ref="C42:C43"/>
    <mergeCell ref="C44:C45"/>
    <mergeCell ref="B42:B45"/>
    <mergeCell ref="A42:A45"/>
    <mergeCell ref="C39:C40"/>
    <mergeCell ref="C35:C36"/>
    <mergeCell ref="C37:C38"/>
    <mergeCell ref="B35:B40"/>
    <mergeCell ref="A35:A40"/>
    <mergeCell ref="H5:I5"/>
    <mergeCell ref="A32:A33"/>
    <mergeCell ref="B32:B33"/>
    <mergeCell ref="A1:F1"/>
    <mergeCell ref="B15:B20"/>
    <mergeCell ref="B22:B25"/>
    <mergeCell ref="B27:B30"/>
    <mergeCell ref="B12:B13"/>
    <mergeCell ref="B4:B10"/>
    <mergeCell ref="A4:A10"/>
    <mergeCell ref="A12:A13"/>
    <mergeCell ref="A15:A20"/>
    <mergeCell ref="A22:A25"/>
    <mergeCell ref="A27:A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33FC-04D3-4270-8D29-1374BB85041B}">
  <sheetPr>
    <pageSetUpPr fitToPage="1"/>
  </sheetPr>
  <dimension ref="A1:J25"/>
  <sheetViews>
    <sheetView workbookViewId="0">
      <selection activeCell="A22" sqref="A22:F25"/>
    </sheetView>
  </sheetViews>
  <sheetFormatPr defaultRowHeight="31.5" customHeight="1"/>
  <cols>
    <col min="2" max="2" width="33.7109375" customWidth="1"/>
    <col min="3" max="3" width="15" bestFit="1" customWidth="1"/>
    <col min="4" max="4" width="17.5703125" customWidth="1"/>
    <col min="5" max="5" width="15" customWidth="1"/>
    <col min="6" max="6" width="16.140625" customWidth="1"/>
    <col min="9" max="9" width="27.140625" customWidth="1"/>
    <col min="10" max="10" width="11.140625" customWidth="1"/>
    <col min="12" max="12" width="21.5703125" customWidth="1"/>
  </cols>
  <sheetData>
    <row r="1" spans="1:10" ht="31.5" customHeight="1">
      <c r="A1" s="156" t="s">
        <v>98</v>
      </c>
      <c r="B1" s="156"/>
      <c r="C1" s="156"/>
      <c r="D1" s="156"/>
      <c r="E1" s="156"/>
      <c r="F1" s="156"/>
      <c r="G1" s="9"/>
    </row>
    <row r="3" spans="1:10" ht="31.5" customHeight="1">
      <c r="A3" s="27" t="s">
        <v>99</v>
      </c>
      <c r="B3" s="27" t="s">
        <v>100</v>
      </c>
      <c r="C3" s="27" t="s">
        <v>3</v>
      </c>
      <c r="D3" s="27" t="s">
        <v>101</v>
      </c>
      <c r="E3" s="27" t="s">
        <v>5</v>
      </c>
      <c r="F3" s="28" t="s">
        <v>102</v>
      </c>
      <c r="G3" s="27" t="s">
        <v>103</v>
      </c>
      <c r="I3" s="46"/>
    </row>
    <row r="4" spans="1:10" ht="31.5" customHeight="1">
      <c r="A4" s="13">
        <v>1</v>
      </c>
      <c r="B4" s="29" t="s">
        <v>104</v>
      </c>
      <c r="C4" s="19">
        <v>4300000</v>
      </c>
      <c r="D4" s="16">
        <f>C4/E4</f>
        <v>442.02302631578948</v>
      </c>
      <c r="E4" s="20">
        <v>9728</v>
      </c>
      <c r="F4" s="10" t="s">
        <v>12</v>
      </c>
      <c r="G4" s="13" t="s">
        <v>36</v>
      </c>
      <c r="I4" s="75" t="s">
        <v>105</v>
      </c>
      <c r="J4" s="73">
        <f>AVERAGE(E4:E15)</f>
        <v>9008.0562011937054</v>
      </c>
    </row>
    <row r="5" spans="1:10" ht="31.5" customHeight="1">
      <c r="A5" s="14">
        <v>2</v>
      </c>
      <c r="B5" s="30" t="s">
        <v>106</v>
      </c>
      <c r="C5" s="21">
        <v>5000000</v>
      </c>
      <c r="D5" s="17">
        <v>520</v>
      </c>
      <c r="E5" s="22">
        <v>9615</v>
      </c>
      <c r="F5" s="11" t="s">
        <v>12</v>
      </c>
      <c r="G5" s="14" t="s">
        <v>36</v>
      </c>
      <c r="I5" s="76" t="s">
        <v>107</v>
      </c>
      <c r="J5" s="73">
        <f>AVERAGEIFS(E4:E15,F4:F15,"=Yes")</f>
        <v>8644.7014550378881</v>
      </c>
    </row>
    <row r="6" spans="1:10" ht="31.5" customHeight="1">
      <c r="A6" s="13">
        <v>3</v>
      </c>
      <c r="B6" s="29" t="s">
        <v>108</v>
      </c>
      <c r="C6" s="19">
        <v>4600000</v>
      </c>
      <c r="D6" s="16">
        <v>410</v>
      </c>
      <c r="E6" s="20">
        <f>C6/D6</f>
        <v>11219.512195121952</v>
      </c>
      <c r="F6" s="10" t="s">
        <v>12</v>
      </c>
      <c r="G6" s="13" t="s">
        <v>36</v>
      </c>
      <c r="I6" s="77"/>
      <c r="J6" s="74"/>
    </row>
    <row r="7" spans="1:10" ht="31.5" customHeight="1">
      <c r="A7" s="14">
        <v>4</v>
      </c>
      <c r="B7" s="30" t="s">
        <v>109</v>
      </c>
      <c r="C7" s="21">
        <v>3000000</v>
      </c>
      <c r="D7" s="17">
        <v>550</v>
      </c>
      <c r="E7" s="22">
        <f>C7/D7</f>
        <v>5454.545454545455</v>
      </c>
      <c r="F7" s="11" t="s">
        <v>12</v>
      </c>
      <c r="G7" s="14" t="s">
        <v>36</v>
      </c>
      <c r="I7" s="76" t="s">
        <v>110</v>
      </c>
      <c r="J7" s="99">
        <f>((J4-J5)/J4)</f>
        <v>4.0336642893909487E-2</v>
      </c>
    </row>
    <row r="8" spans="1:10" ht="31.5" customHeight="1">
      <c r="A8" s="13">
        <v>5</v>
      </c>
      <c r="B8" s="29" t="s">
        <v>104</v>
      </c>
      <c r="C8" s="19">
        <v>4500000</v>
      </c>
      <c r="D8" s="16">
        <v>720</v>
      </c>
      <c r="E8" s="20">
        <f>C8/D8</f>
        <v>6250</v>
      </c>
      <c r="F8" s="10" t="s">
        <v>12</v>
      </c>
      <c r="G8" s="13" t="s">
        <v>36</v>
      </c>
      <c r="I8" s="76" t="s">
        <v>111</v>
      </c>
      <c r="J8" s="73">
        <f>0.85*J4</f>
        <v>7656.847771014649</v>
      </c>
    </row>
    <row r="9" spans="1:10" ht="31.5" customHeight="1">
      <c r="A9" s="14">
        <v>6</v>
      </c>
      <c r="B9" s="30" t="s">
        <v>112</v>
      </c>
      <c r="C9" s="21">
        <v>3600000</v>
      </c>
      <c r="D9" s="17">
        <f>C9/E9</f>
        <v>440.04400440044003</v>
      </c>
      <c r="E9" s="22">
        <v>8181</v>
      </c>
      <c r="F9" s="11" t="s">
        <v>12</v>
      </c>
      <c r="G9" s="14" t="s">
        <v>36</v>
      </c>
      <c r="I9" s="76" t="s">
        <v>113</v>
      </c>
      <c r="J9" s="73">
        <f>(J8*J7)+J8</f>
        <v>7965.6993052470934</v>
      </c>
    </row>
    <row r="10" spans="1:10" ht="31.5" customHeight="1">
      <c r="A10" s="13">
        <v>7</v>
      </c>
      <c r="B10" s="29" t="s">
        <v>114</v>
      </c>
      <c r="C10" s="19">
        <v>5300000</v>
      </c>
      <c r="D10" s="16">
        <v>490</v>
      </c>
      <c r="E10" s="20">
        <f>C10/D10</f>
        <v>10816.326530612245</v>
      </c>
      <c r="F10" s="10" t="s">
        <v>9</v>
      </c>
      <c r="G10" s="13" t="s">
        <v>36</v>
      </c>
    </row>
    <row r="11" spans="1:10" ht="31.5" customHeight="1">
      <c r="A11" s="14">
        <v>8</v>
      </c>
      <c r="B11" s="30" t="s">
        <v>115</v>
      </c>
      <c r="C11" s="21">
        <v>6500000</v>
      </c>
      <c r="D11" s="17">
        <f>C11/E11</f>
        <v>600.01846210652639</v>
      </c>
      <c r="E11" s="22">
        <v>10833</v>
      </c>
      <c r="F11" s="11" t="s">
        <v>12</v>
      </c>
      <c r="G11" s="14" t="s">
        <v>36</v>
      </c>
      <c r="I11" s="32" t="s">
        <v>116</v>
      </c>
      <c r="J11" s="44">
        <f>J9</f>
        <v>7965.6993052470934</v>
      </c>
    </row>
    <row r="12" spans="1:10" ht="31.5" customHeight="1">
      <c r="A12" s="15">
        <v>9</v>
      </c>
      <c r="B12" s="31" t="s">
        <v>117</v>
      </c>
      <c r="C12" s="23">
        <v>6500000</v>
      </c>
      <c r="D12" s="18">
        <v>600</v>
      </c>
      <c r="E12" s="24">
        <f>C12/D12</f>
        <v>10833.333333333334</v>
      </c>
      <c r="F12" s="12" t="s">
        <v>9</v>
      </c>
      <c r="G12" s="15" t="s">
        <v>36</v>
      </c>
    </row>
    <row r="13" spans="1:10" ht="31.5" customHeight="1">
      <c r="A13" s="14">
        <v>10</v>
      </c>
      <c r="B13" s="30" t="s">
        <v>106</v>
      </c>
      <c r="C13" s="21">
        <v>7000000</v>
      </c>
      <c r="D13" s="25">
        <v>758</v>
      </c>
      <c r="E13" s="22">
        <f>C13/D13</f>
        <v>9234.828496042217</v>
      </c>
      <c r="F13" s="14" t="s">
        <v>12</v>
      </c>
      <c r="G13" s="14" t="s">
        <v>40</v>
      </c>
    </row>
    <row r="14" spans="1:10" ht="31.5" customHeight="1">
      <c r="A14" s="13">
        <v>11</v>
      </c>
      <c r="B14" s="29" t="s">
        <v>118</v>
      </c>
      <c r="C14" s="19">
        <v>6200000</v>
      </c>
      <c r="D14" s="26">
        <v>1028</v>
      </c>
      <c r="E14" s="20">
        <f>C14/D14</f>
        <v>6031.1284046692608</v>
      </c>
      <c r="F14" s="13" t="s">
        <v>12</v>
      </c>
      <c r="G14" s="13" t="s">
        <v>40</v>
      </c>
    </row>
    <row r="15" spans="1:10" ht="31.5" customHeight="1">
      <c r="A15" s="14">
        <v>12</v>
      </c>
      <c r="B15" s="30" t="s">
        <v>119</v>
      </c>
      <c r="C15" s="21">
        <v>9900000</v>
      </c>
      <c r="D15" s="25">
        <v>1000</v>
      </c>
      <c r="E15" s="22">
        <f>C15/D15</f>
        <v>9900</v>
      </c>
      <c r="F15" s="14" t="s">
        <v>12</v>
      </c>
      <c r="G15" s="14" t="s">
        <v>40</v>
      </c>
    </row>
    <row r="18" spans="1:6" ht="31.5" customHeight="1">
      <c r="A18" s="116">
        <v>4</v>
      </c>
      <c r="B18" s="126" t="s">
        <v>120</v>
      </c>
      <c r="C18" s="13" t="s">
        <v>36</v>
      </c>
      <c r="D18" s="19">
        <v>5800000</v>
      </c>
      <c r="E18" s="63">
        <v>427.85</v>
      </c>
      <c r="F18" s="20">
        <f>D18/E18</f>
        <v>13556.152857309804</v>
      </c>
    </row>
    <row r="19" spans="1:6" ht="31.5" customHeight="1">
      <c r="A19" s="116"/>
      <c r="B19" s="126"/>
      <c r="C19" s="116" t="s">
        <v>40</v>
      </c>
      <c r="D19" s="19">
        <v>10000000</v>
      </c>
      <c r="E19" s="63">
        <v>714.73</v>
      </c>
      <c r="F19" s="20">
        <f t="shared" ref="F19:F20" si="0">D19/E19</f>
        <v>13991.297413009108</v>
      </c>
    </row>
    <row r="20" spans="1:6" ht="31.5" customHeight="1">
      <c r="A20" s="116"/>
      <c r="B20" s="126"/>
      <c r="C20" s="116"/>
      <c r="D20" s="21">
        <v>10200000</v>
      </c>
      <c r="E20" s="64">
        <v>726</v>
      </c>
      <c r="F20" s="22">
        <f t="shared" si="0"/>
        <v>14049.586776859504</v>
      </c>
    </row>
    <row r="22" spans="1:6" ht="31.5" customHeight="1">
      <c r="A22" s="116">
        <v>4</v>
      </c>
      <c r="B22" s="126" t="s">
        <v>121</v>
      </c>
      <c r="C22" s="116" t="s">
        <v>36</v>
      </c>
      <c r="D22" s="19">
        <v>4569000</v>
      </c>
      <c r="E22" s="63">
        <v>408.3</v>
      </c>
      <c r="F22" s="20">
        <f>D22/E22</f>
        <v>11190.301249081558</v>
      </c>
    </row>
    <row r="23" spans="1:6" ht="31.5" customHeight="1">
      <c r="A23" s="116"/>
      <c r="B23" s="115"/>
      <c r="C23" s="116"/>
      <c r="D23" s="21">
        <v>5200000</v>
      </c>
      <c r="E23" s="64">
        <v>461</v>
      </c>
      <c r="F23" s="22">
        <f t="shared" ref="F23:F25" si="1">D23/E23</f>
        <v>11279.826464208243</v>
      </c>
    </row>
    <row r="24" spans="1:6" ht="31.5" customHeight="1">
      <c r="A24" s="116"/>
      <c r="B24" s="115"/>
      <c r="C24" s="116" t="s">
        <v>40</v>
      </c>
      <c r="D24" s="19">
        <v>7136000</v>
      </c>
      <c r="E24" s="63">
        <v>577.26</v>
      </c>
      <c r="F24" s="20">
        <f t="shared" si="1"/>
        <v>12361.847347815543</v>
      </c>
    </row>
    <row r="25" spans="1:6" ht="31.5" customHeight="1">
      <c r="A25" s="116"/>
      <c r="B25" s="115"/>
      <c r="C25" s="116"/>
      <c r="D25" s="21">
        <v>8700000</v>
      </c>
      <c r="E25" s="64">
        <v>675</v>
      </c>
      <c r="F25" s="22">
        <f t="shared" si="1"/>
        <v>12888.888888888889</v>
      </c>
    </row>
  </sheetData>
  <mergeCells count="8">
    <mergeCell ref="B18:B20"/>
    <mergeCell ref="A18:A20"/>
    <mergeCell ref="A1:F1"/>
    <mergeCell ref="C19:C20"/>
    <mergeCell ref="A22:A25"/>
    <mergeCell ref="B22:B25"/>
    <mergeCell ref="C22:C23"/>
    <mergeCell ref="C24:C25"/>
  </mergeCells>
  <pageMargins left="0.7" right="0.7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7348-00E8-4523-9BD1-18A03AC0EDC8}">
  <sheetPr>
    <pageSetUpPr fitToPage="1"/>
  </sheetPr>
  <dimension ref="A1:X49"/>
  <sheetViews>
    <sheetView tabSelected="1" topLeftCell="A23" workbookViewId="0">
      <selection activeCell="C25" sqref="C25"/>
    </sheetView>
  </sheetViews>
  <sheetFormatPr defaultColWidth="21.140625" defaultRowHeight="27" customHeight="1"/>
  <cols>
    <col min="4" max="4" width="32.42578125" customWidth="1"/>
    <col min="6" max="6" width="16.28515625" customWidth="1"/>
    <col min="9" max="9" width="21.28515625" customWidth="1"/>
    <col min="10" max="10" width="23.5703125" customWidth="1"/>
    <col min="11" max="11" width="13.5703125" customWidth="1"/>
    <col min="24" max="24" width="25.85546875" customWidth="1"/>
  </cols>
  <sheetData>
    <row r="1" spans="1:24" ht="27" customHeight="1">
      <c r="A1" s="158" t="s">
        <v>122</v>
      </c>
      <c r="B1" s="158"/>
      <c r="C1" s="158"/>
      <c r="D1" s="158"/>
      <c r="E1" s="158"/>
      <c r="F1" s="158"/>
    </row>
    <row r="2" spans="1:24" ht="27" customHeight="1">
      <c r="A2" s="159" t="s">
        <v>123</v>
      </c>
      <c r="B2" s="159"/>
      <c r="C2" s="159"/>
      <c r="D2" s="159"/>
      <c r="F2" s="160" t="s">
        <v>124</v>
      </c>
      <c r="G2" s="160"/>
      <c r="H2" s="160"/>
      <c r="I2" s="160"/>
      <c r="K2" s="161" t="s">
        <v>125</v>
      </c>
      <c r="L2" s="161"/>
      <c r="M2" s="161"/>
      <c r="N2" s="161"/>
      <c r="P2" s="157"/>
      <c r="Q2" s="157"/>
      <c r="R2" s="157"/>
      <c r="S2" s="157"/>
      <c r="U2" s="157"/>
      <c r="V2" s="157"/>
      <c r="W2" s="157"/>
      <c r="X2" s="157"/>
    </row>
    <row r="3" spans="1:24" ht="27" customHeight="1">
      <c r="A3" s="2"/>
      <c r="B3" s="2" t="s">
        <v>126</v>
      </c>
      <c r="C3" s="2" t="s">
        <v>127</v>
      </c>
      <c r="D3" s="2" t="s">
        <v>128</v>
      </c>
      <c r="F3" s="27" t="s">
        <v>129</v>
      </c>
      <c r="G3" s="27" t="s">
        <v>130</v>
      </c>
      <c r="H3" s="27" t="s">
        <v>131</v>
      </c>
      <c r="I3" s="27" t="s">
        <v>132</v>
      </c>
      <c r="K3" s="27" t="s">
        <v>129</v>
      </c>
      <c r="L3" s="27" t="s">
        <v>130</v>
      </c>
      <c r="M3" s="27" t="s">
        <v>133</v>
      </c>
      <c r="N3" s="27" t="s">
        <v>132</v>
      </c>
      <c r="O3" s="4"/>
      <c r="P3" s="57"/>
      <c r="Q3" s="57"/>
      <c r="R3" s="57"/>
      <c r="S3" s="57"/>
      <c r="U3" s="57"/>
      <c r="V3" s="57"/>
      <c r="W3" s="57"/>
      <c r="X3" s="57"/>
    </row>
    <row r="4" spans="1:24" ht="27" customHeight="1">
      <c r="A4" s="86" t="s">
        <v>134</v>
      </c>
      <c r="B4" s="13"/>
      <c r="C4" s="35"/>
      <c r="D4" s="13"/>
      <c r="F4" s="69" t="s">
        <v>36</v>
      </c>
      <c r="G4" s="20">
        <v>5000000</v>
      </c>
      <c r="H4" s="63">
        <v>366.51</v>
      </c>
      <c r="I4" s="43">
        <f>G4/H4</f>
        <v>13642.192573190363</v>
      </c>
      <c r="K4" s="69" t="s">
        <v>36</v>
      </c>
      <c r="L4" s="22">
        <v>5963000</v>
      </c>
      <c r="M4" s="64">
        <v>389.76</v>
      </c>
      <c r="N4" s="41">
        <f>L4/M4</f>
        <v>15299.158456486042</v>
      </c>
      <c r="O4" s="4"/>
    </row>
    <row r="5" spans="1:24" ht="27" customHeight="1">
      <c r="A5" s="87"/>
      <c r="B5" s="29" t="s">
        <v>135</v>
      </c>
      <c r="C5" s="20">
        <v>7850</v>
      </c>
      <c r="D5" s="13" t="s">
        <v>136</v>
      </c>
      <c r="F5" s="70"/>
      <c r="G5" s="22">
        <v>6054000</v>
      </c>
      <c r="H5" s="64">
        <v>435</v>
      </c>
      <c r="I5" s="41">
        <f>G5/H5</f>
        <v>13917.241379310344</v>
      </c>
      <c r="K5" s="70"/>
      <c r="L5" s="20">
        <v>7852000</v>
      </c>
      <c r="M5" s="63">
        <v>557.14</v>
      </c>
      <c r="N5" s="43">
        <f>L5/M5</f>
        <v>14093.405607208242</v>
      </c>
      <c r="O5" s="4"/>
    </row>
    <row r="6" spans="1:24" ht="27" customHeight="1">
      <c r="A6" s="87"/>
      <c r="B6" s="29" t="s">
        <v>137</v>
      </c>
      <c r="C6" s="20">
        <v>16000</v>
      </c>
      <c r="D6" s="13" t="s">
        <v>138</v>
      </c>
      <c r="F6" s="15" t="s">
        <v>40</v>
      </c>
      <c r="G6" s="20">
        <v>5581000</v>
      </c>
      <c r="H6" s="63">
        <v>481.69</v>
      </c>
      <c r="I6" s="43">
        <f>G6/H6</f>
        <v>11586.289937511678</v>
      </c>
      <c r="K6" s="15" t="s">
        <v>40</v>
      </c>
      <c r="L6" s="22">
        <v>9236000</v>
      </c>
      <c r="M6" s="64">
        <v>672.43</v>
      </c>
      <c r="N6" s="41">
        <f>L6/M6</f>
        <v>13735.258688636737</v>
      </c>
      <c r="O6" s="4"/>
    </row>
    <row r="7" spans="1:24" ht="27" customHeight="1">
      <c r="A7" s="88"/>
      <c r="B7" s="29"/>
      <c r="C7" s="20">
        <v>12000</v>
      </c>
      <c r="D7" s="13" t="s">
        <v>139</v>
      </c>
      <c r="F7" s="71"/>
      <c r="G7" s="22">
        <v>9035000</v>
      </c>
      <c r="H7" s="64">
        <v>678</v>
      </c>
      <c r="I7" s="41">
        <f>G7/H7</f>
        <v>13325.958702064896</v>
      </c>
      <c r="K7" s="71"/>
      <c r="L7" s="20">
        <v>16100000</v>
      </c>
      <c r="M7" s="63">
        <v>1104</v>
      </c>
      <c r="N7" s="43">
        <f>L7/M7</f>
        <v>14583.333333333334</v>
      </c>
      <c r="O7" s="4"/>
    </row>
    <row r="8" spans="1:24" ht="27" customHeight="1">
      <c r="A8" s="85" t="s">
        <v>140</v>
      </c>
      <c r="B8" s="30"/>
      <c r="C8" s="22">
        <v>50</v>
      </c>
      <c r="D8" s="14" t="s">
        <v>141</v>
      </c>
      <c r="F8" s="14" t="s">
        <v>41</v>
      </c>
      <c r="G8" s="20">
        <v>11500000</v>
      </c>
      <c r="H8" s="63">
        <v>800</v>
      </c>
      <c r="I8" s="43">
        <f>G8/H8</f>
        <v>14375</v>
      </c>
      <c r="K8" s="69" t="s">
        <v>41</v>
      </c>
      <c r="L8" s="22">
        <v>15600000</v>
      </c>
      <c r="M8" s="64">
        <v>1399.22</v>
      </c>
      <c r="N8" s="41">
        <f>L8/M8</f>
        <v>11149.068766884408</v>
      </c>
      <c r="O8" s="4"/>
    </row>
    <row r="9" spans="1:24" ht="27" customHeight="1">
      <c r="A9" s="86" t="s">
        <v>142</v>
      </c>
      <c r="B9" s="29" t="s">
        <v>135</v>
      </c>
      <c r="C9" s="20">
        <v>400</v>
      </c>
      <c r="D9" s="13" t="s">
        <v>136</v>
      </c>
      <c r="K9" s="70"/>
      <c r="L9" s="20">
        <v>19000000</v>
      </c>
      <c r="M9" s="63">
        <v>1708</v>
      </c>
      <c r="N9" s="43">
        <f>L9/M9</f>
        <v>11124.121779859484</v>
      </c>
    </row>
    <row r="10" spans="1:24" ht="27" customHeight="1">
      <c r="A10" s="88"/>
      <c r="B10" s="29" t="s">
        <v>137</v>
      </c>
      <c r="C10" s="20">
        <v>500</v>
      </c>
      <c r="D10" s="13" t="s">
        <v>143</v>
      </c>
    </row>
    <row r="11" spans="1:24" ht="27" customHeight="1">
      <c r="A11" s="89" t="s">
        <v>144</v>
      </c>
      <c r="B11" s="30"/>
      <c r="C11" s="22">
        <v>700000</v>
      </c>
      <c r="D11" s="14" t="s">
        <v>145</v>
      </c>
    </row>
    <row r="12" spans="1:24" ht="27" customHeight="1">
      <c r="A12" s="90"/>
      <c r="B12" s="30"/>
      <c r="C12" s="22">
        <v>800000</v>
      </c>
      <c r="D12" s="14" t="s">
        <v>146</v>
      </c>
    </row>
    <row r="13" spans="1:24" ht="27" customHeight="1">
      <c r="A13" s="86" t="s">
        <v>147</v>
      </c>
      <c r="B13" s="29" t="s">
        <v>40</v>
      </c>
      <c r="C13" s="20">
        <v>500000</v>
      </c>
      <c r="D13" s="13"/>
      <c r="E13" s="67" t="s">
        <v>148</v>
      </c>
      <c r="F13" s="82">
        <f>AVERAGE(C25:F25,C28:D28)</f>
        <v>9128.571203342859</v>
      </c>
      <c r="G13" s="65" t="s">
        <v>149</v>
      </c>
    </row>
    <row r="14" spans="1:24" ht="27" customHeight="1">
      <c r="A14" s="87"/>
      <c r="B14" s="29" t="s">
        <v>150</v>
      </c>
      <c r="C14" s="20">
        <v>550000</v>
      </c>
      <c r="D14" s="10"/>
      <c r="E14" s="67" t="s">
        <v>151</v>
      </c>
      <c r="F14" s="82">
        <f>C29</f>
        <v>9048.7220447284344</v>
      </c>
      <c r="G14" s="65" t="s">
        <v>149</v>
      </c>
    </row>
    <row r="15" spans="1:24" ht="35.25" customHeight="1">
      <c r="A15" s="87"/>
      <c r="B15" s="29" t="s">
        <v>41</v>
      </c>
      <c r="C15" s="20">
        <v>600000</v>
      </c>
      <c r="D15" s="10"/>
      <c r="E15" s="67" t="s">
        <v>152</v>
      </c>
      <c r="F15" s="82">
        <f>AVERAGE(C26:G26,C30)</f>
        <v>8909.1348086814669</v>
      </c>
      <c r="G15" s="65" t="s">
        <v>149</v>
      </c>
    </row>
    <row r="16" spans="1:24" ht="34.5" customHeight="1">
      <c r="A16" s="88"/>
      <c r="B16" s="29" t="s">
        <v>85</v>
      </c>
      <c r="C16" s="20">
        <v>700000</v>
      </c>
      <c r="D16" s="10"/>
      <c r="E16" s="81" t="s">
        <v>153</v>
      </c>
      <c r="F16" s="83">
        <f>AVERAGE(C27:D27)</f>
        <v>8704.1794932512439</v>
      </c>
      <c r="G16" s="65" t="s">
        <v>149</v>
      </c>
    </row>
    <row r="17" spans="1:14" ht="27" customHeight="1">
      <c r="A17" s="89" t="s">
        <v>154</v>
      </c>
      <c r="B17" s="30" t="s">
        <v>40</v>
      </c>
      <c r="C17" s="36"/>
      <c r="D17" s="11" t="s">
        <v>155</v>
      </c>
      <c r="E17" s="67" t="s">
        <v>156</v>
      </c>
      <c r="F17" s="82">
        <f>AVERAGE(I6:I7)</f>
        <v>12456.124319788287</v>
      </c>
      <c r="G17" s="78" t="s">
        <v>149</v>
      </c>
      <c r="I17" s="173" t="s">
        <v>157</v>
      </c>
      <c r="J17" s="174"/>
    </row>
    <row r="18" spans="1:14" ht="27" customHeight="1">
      <c r="A18" s="91"/>
      <c r="B18" s="30" t="s">
        <v>41</v>
      </c>
      <c r="C18" s="36"/>
      <c r="D18" s="11" t="s">
        <v>158</v>
      </c>
      <c r="E18" s="67" t="s">
        <v>159</v>
      </c>
      <c r="F18" s="82">
        <f>AVERAGE(N6:N7)</f>
        <v>14159.296010985036</v>
      </c>
      <c r="G18" s="78" t="s">
        <v>149</v>
      </c>
      <c r="I18" s="27" t="s">
        <v>160</v>
      </c>
      <c r="J18" s="72">
        <f>0.9*AVERAGE(F13,F17,F18)</f>
        <v>10723.197460234855</v>
      </c>
      <c r="L18" s="5">
        <f>AVERAGE(J18:J19)</f>
        <v>10999.051438474449</v>
      </c>
    </row>
    <row r="19" spans="1:14" ht="27" customHeight="1">
      <c r="A19" s="90"/>
      <c r="B19" s="30" t="s">
        <v>85</v>
      </c>
      <c r="C19" s="36"/>
      <c r="D19" s="11" t="s">
        <v>161</v>
      </c>
      <c r="E19" s="67" t="s">
        <v>162</v>
      </c>
      <c r="F19" s="82">
        <f>AVERAGE(I8)</f>
        <v>14375</v>
      </c>
      <c r="G19" s="78" t="s">
        <v>149</v>
      </c>
      <c r="I19" s="27" t="s">
        <v>150</v>
      </c>
      <c r="J19" s="72">
        <f>0.9*AVERAGE(F14,F18,F19)</f>
        <v>11274.905416714042</v>
      </c>
    </row>
    <row r="20" spans="1:14" ht="27" customHeight="1">
      <c r="A20" s="89" t="s">
        <v>163</v>
      </c>
      <c r="B20" s="30" t="s">
        <v>40</v>
      </c>
      <c r="C20" s="36"/>
      <c r="D20" s="11" t="s">
        <v>164</v>
      </c>
      <c r="E20" s="67" t="s">
        <v>165</v>
      </c>
      <c r="F20" s="82">
        <f>AVERAGE(N8:N9)</f>
        <v>11136.595273371946</v>
      </c>
      <c r="G20" s="78" t="s">
        <v>149</v>
      </c>
      <c r="I20" s="27" t="s">
        <v>41</v>
      </c>
      <c r="J20" s="72">
        <f>0.9*AVERAGE(F15,F19,F20)</f>
        <v>10326.219024616024</v>
      </c>
      <c r="K20" t="s">
        <v>166</v>
      </c>
    </row>
    <row r="21" spans="1:14" ht="27" customHeight="1">
      <c r="A21" s="91"/>
      <c r="B21" s="30" t="s">
        <v>150</v>
      </c>
      <c r="C21" s="36"/>
      <c r="D21" s="11" t="s">
        <v>167</v>
      </c>
      <c r="E21" s="67" t="s">
        <v>168</v>
      </c>
      <c r="F21" s="84">
        <f>AVERAGE(I4:I5)</f>
        <v>13779.716976250354</v>
      </c>
      <c r="G21" s="78" t="s">
        <v>149</v>
      </c>
      <c r="I21" s="27" t="s">
        <v>85</v>
      </c>
      <c r="J21" s="72">
        <f>0.9*F16</f>
        <v>7833.7615439261199</v>
      </c>
    </row>
    <row r="22" spans="1:14" ht="27" customHeight="1">
      <c r="A22" s="90"/>
      <c r="B22" s="30" t="s">
        <v>41</v>
      </c>
      <c r="C22" s="36"/>
      <c r="D22" s="98" t="s">
        <v>169</v>
      </c>
      <c r="E22" s="67" t="s">
        <v>170</v>
      </c>
      <c r="F22" s="84">
        <f>AVERAGE(N4:N5)</f>
        <v>14696.282031847142</v>
      </c>
      <c r="G22" s="78" t="s">
        <v>149</v>
      </c>
    </row>
    <row r="23" spans="1:14" ht="27" customHeight="1">
      <c r="A23" s="86" t="s">
        <v>171</v>
      </c>
      <c r="B23" s="29" t="s">
        <v>172</v>
      </c>
      <c r="C23" s="97"/>
      <c r="D23" s="13" t="s">
        <v>173</v>
      </c>
    </row>
    <row r="24" spans="1:14" ht="27" customHeight="1">
      <c r="A24" s="88"/>
      <c r="B24" s="29" t="s">
        <v>174</v>
      </c>
      <c r="C24" s="35"/>
      <c r="D24" s="71" t="s">
        <v>175</v>
      </c>
    </row>
    <row r="25" spans="1:14" ht="27" customHeight="1">
      <c r="A25" s="92" t="s">
        <v>154</v>
      </c>
      <c r="B25" s="33" t="s">
        <v>176</v>
      </c>
      <c r="C25" s="51">
        <f>(1415*($C$5+$C$9)+$C$11+$C$13)/1415</f>
        <v>9098.0565371024732</v>
      </c>
      <c r="D25" s="51">
        <f>(1440*($C$5+$C$9)+$C$11+$C$13)/1440</f>
        <v>9083.3333333333339</v>
      </c>
      <c r="E25" s="51">
        <f>(1470*($C$5+$C$9)+C11+$C$13)/1470</f>
        <v>9066.3265306122448</v>
      </c>
      <c r="F25" s="51">
        <f>(1500*($C$5+$C$9)+C11+$C$13)/1500</f>
        <v>9050</v>
      </c>
      <c r="G25" s="6"/>
      <c r="H25" s="6" t="s">
        <v>177</v>
      </c>
    </row>
    <row r="26" spans="1:14" ht="27" customHeight="1">
      <c r="A26" s="93"/>
      <c r="B26" s="33" t="s">
        <v>178</v>
      </c>
      <c r="C26" s="51">
        <f>(1915*($C$5+$C$9)+$C$11+$C$15)/1915</f>
        <v>8928.8511749347253</v>
      </c>
      <c r="D26" s="51">
        <f>(1940*($C$5+$C$9)+$C$11+$C$15)/1940</f>
        <v>8920.1030927835054</v>
      </c>
      <c r="E26" s="51">
        <f>(1955*($C$5+$C$9)+$C$11+$C$15)/1955</f>
        <v>8914.9616368286443</v>
      </c>
      <c r="F26" s="51">
        <f>(2110*($C$5+$C$9)+$C$11+$C$15)/2110</f>
        <v>8866.1137440758303</v>
      </c>
      <c r="G26" s="52">
        <f>(2210*($C$5+$C$9)+$C$11+$C$15)/2210</f>
        <v>8838.2352941176468</v>
      </c>
      <c r="H26" s="6" t="s">
        <v>179</v>
      </c>
      <c r="N26" s="46"/>
    </row>
    <row r="27" spans="1:14" ht="27" customHeight="1">
      <c r="A27" s="37"/>
      <c r="B27" s="33" t="s">
        <v>180</v>
      </c>
      <c r="C27" s="51">
        <f>(3075*($C$5+$C$9)+$C$11+$C$16)/3075</f>
        <v>8705.2845528455291</v>
      </c>
      <c r="D27" s="51">
        <f>(3090*($C$5+$C$9)+$C$11+$C$16)/3090</f>
        <v>8703.0744336569587</v>
      </c>
      <c r="E27" s="6"/>
      <c r="F27" s="7"/>
      <c r="G27" s="6"/>
      <c r="H27" s="6" t="s">
        <v>181</v>
      </c>
    </row>
    <row r="28" spans="1:14" ht="27" customHeight="1">
      <c r="A28" s="92" t="s">
        <v>163</v>
      </c>
      <c r="B28" s="33" t="s">
        <v>176</v>
      </c>
      <c r="C28" s="51">
        <f>(1290*($C$5+$C$9)+$C$11+$C$13)/1290</f>
        <v>9180.2325581395344</v>
      </c>
      <c r="D28" s="51">
        <f>(1150*($C$5+$C$9)+$C$11+$C$13)/1150</f>
        <v>9293.4782608695659</v>
      </c>
      <c r="E28" s="6"/>
      <c r="F28" s="7"/>
      <c r="G28" s="6"/>
      <c r="H28" s="6" t="s">
        <v>177</v>
      </c>
    </row>
    <row r="29" spans="1:14" ht="27" customHeight="1">
      <c r="A29" s="93"/>
      <c r="B29" s="33" t="s">
        <v>182</v>
      </c>
      <c r="C29" s="51">
        <f>(1565*(C5+C9)+C11+C14)/1565</f>
        <v>9048.7220447284344</v>
      </c>
      <c r="D29" s="6"/>
      <c r="E29" s="6"/>
      <c r="F29" s="7"/>
      <c r="G29" s="6"/>
      <c r="H29" s="6" t="s">
        <v>179</v>
      </c>
    </row>
    <row r="30" spans="1:14" ht="27" customHeight="1">
      <c r="A30" s="37"/>
      <c r="B30" s="33" t="s">
        <v>178</v>
      </c>
      <c r="C30" s="51">
        <f>(1765*($C$5+$C$9)+$C$11+$C$15)/1765</f>
        <v>8986.543909348442</v>
      </c>
      <c r="D30" s="6"/>
      <c r="E30" s="6"/>
      <c r="F30" s="7"/>
      <c r="G30" s="6"/>
      <c r="H30" s="6" t="s">
        <v>181</v>
      </c>
    </row>
    <row r="35" spans="3:4" ht="27" customHeight="1">
      <c r="C35" s="3"/>
      <c r="D35" s="53"/>
    </row>
    <row r="46" spans="3:4" ht="27" customHeight="1">
      <c r="D46" s="79"/>
    </row>
    <row r="49" spans="4:4" ht="27" customHeight="1">
      <c r="D49" s="79"/>
    </row>
  </sheetData>
  <mergeCells count="7">
    <mergeCell ref="P2:S2"/>
    <mergeCell ref="U2:X2"/>
    <mergeCell ref="A1:F1"/>
    <mergeCell ref="I17:J17"/>
    <mergeCell ref="A2:D2"/>
    <mergeCell ref="F2:I2"/>
    <mergeCell ref="K2:N2"/>
  </mergeCells>
  <pageMargins left="0.7" right="0.7" top="0.75" bottom="0.75" header="0.3" footer="0.3"/>
  <pageSetup paperSize="9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B3FB-959F-4C46-A4CD-81AB5F367D1C}">
  <dimension ref="A1:H5"/>
  <sheetViews>
    <sheetView workbookViewId="0">
      <selection activeCell="H4" sqref="H4"/>
    </sheetView>
  </sheetViews>
  <sheetFormatPr defaultRowHeight="28.5" customHeight="1"/>
  <cols>
    <col min="1" max="1" width="15.28515625" customWidth="1"/>
    <col min="2" max="2" width="14.140625" customWidth="1"/>
    <col min="3" max="3" width="9.85546875" bestFit="1" customWidth="1"/>
    <col min="4" max="4" width="15.28515625" bestFit="1" customWidth="1"/>
    <col min="5" max="5" width="14.5703125" bestFit="1" customWidth="1"/>
    <col min="7" max="7" width="22.7109375" customWidth="1"/>
    <col min="8" max="8" width="17.5703125" customWidth="1"/>
  </cols>
  <sheetData>
    <row r="1" spans="1:8" ht="28.5" customHeight="1">
      <c r="A1" s="162" t="s">
        <v>183</v>
      </c>
      <c r="B1" s="163"/>
      <c r="C1" s="163"/>
      <c r="D1" s="163"/>
      <c r="E1" s="163"/>
    </row>
    <row r="2" spans="1:8" ht="28.5" customHeight="1">
      <c r="A2" s="164" t="s">
        <v>184</v>
      </c>
      <c r="B2" s="164"/>
      <c r="C2" s="164"/>
      <c r="D2" s="164"/>
      <c r="E2" s="164"/>
      <c r="G2" s="165" t="s">
        <v>185</v>
      </c>
      <c r="H2" s="166"/>
    </row>
    <row r="3" spans="1:8" ht="28.5" customHeight="1">
      <c r="A3" s="27" t="s">
        <v>30</v>
      </c>
      <c r="B3" s="27" t="s">
        <v>186</v>
      </c>
      <c r="C3" s="27" t="s">
        <v>187</v>
      </c>
      <c r="D3" s="27" t="s">
        <v>31</v>
      </c>
      <c r="E3" s="27" t="s">
        <v>188</v>
      </c>
      <c r="G3" s="49" t="s">
        <v>189</v>
      </c>
      <c r="H3" s="50">
        <f>AVERAGE(E4:E5)</f>
        <v>11174.091294649868</v>
      </c>
    </row>
    <row r="4" spans="1:8" ht="28.5" customHeight="1">
      <c r="A4" s="29" t="s">
        <v>190</v>
      </c>
      <c r="B4" s="13">
        <f>1810+480</f>
        <v>2290</v>
      </c>
      <c r="C4" s="13" t="s">
        <v>191</v>
      </c>
      <c r="D4" s="35">
        <v>24900000</v>
      </c>
      <c r="E4" s="35">
        <f>D4/B4</f>
        <v>10873.362445414847</v>
      </c>
      <c r="G4" s="38" t="s">
        <v>192</v>
      </c>
      <c r="H4" s="39">
        <f>0.9*H3</f>
        <v>10056.682165184882</v>
      </c>
    </row>
    <row r="5" spans="1:8" ht="28.5" customHeight="1">
      <c r="A5" s="30" t="s">
        <v>193</v>
      </c>
      <c r="B5" s="14">
        <f>2000+780</f>
        <v>2780</v>
      </c>
      <c r="C5" s="14" t="s">
        <v>191</v>
      </c>
      <c r="D5" s="36">
        <v>31900000</v>
      </c>
      <c r="E5" s="36">
        <f>D5/B5</f>
        <v>11474.820143884892</v>
      </c>
    </row>
  </sheetData>
  <mergeCells count="3">
    <mergeCell ref="A1:E1"/>
    <mergeCell ref="A2:E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D019-B2AD-42E7-A784-4ADF96765B30}">
  <dimension ref="A1:M11"/>
  <sheetViews>
    <sheetView workbookViewId="0">
      <selection activeCell="O7" sqref="O7"/>
    </sheetView>
  </sheetViews>
  <sheetFormatPr defaultRowHeight="22.5" customHeight="1"/>
  <cols>
    <col min="1" max="1" width="4.140625" bestFit="1" customWidth="1"/>
    <col min="2" max="2" width="10.85546875" customWidth="1"/>
    <col min="4" max="4" width="10.28515625" bestFit="1" customWidth="1"/>
    <col min="6" max="6" width="11" bestFit="1" customWidth="1"/>
    <col min="8" max="8" width="31.42578125" customWidth="1"/>
    <col min="9" max="9" width="14.42578125" customWidth="1"/>
    <col min="10" max="10" width="11.85546875" customWidth="1"/>
  </cols>
  <sheetData>
    <row r="1" spans="1:13" ht="22.5" customHeight="1">
      <c r="A1" s="119" t="s">
        <v>194</v>
      </c>
      <c r="B1" s="119"/>
      <c r="C1" s="119"/>
      <c r="D1" s="119"/>
      <c r="E1" s="119"/>
      <c r="F1" s="119"/>
      <c r="H1" t="s">
        <v>121</v>
      </c>
    </row>
    <row r="2" spans="1:13" ht="22.5" customHeight="1">
      <c r="A2" s="167" t="s">
        <v>195</v>
      </c>
      <c r="B2" s="167"/>
      <c r="C2" s="167"/>
      <c r="D2" s="167"/>
      <c r="E2" s="167"/>
      <c r="F2" s="167"/>
    </row>
    <row r="3" spans="1:13" ht="22.5" customHeight="1">
      <c r="A3" s="27" t="s">
        <v>196</v>
      </c>
      <c r="B3" s="27" t="s">
        <v>197</v>
      </c>
      <c r="C3" s="27" t="s">
        <v>198</v>
      </c>
      <c r="D3" s="27" t="s">
        <v>31</v>
      </c>
      <c r="E3" s="27" t="s">
        <v>198</v>
      </c>
      <c r="F3" s="27" t="s">
        <v>199</v>
      </c>
      <c r="G3" s="3"/>
    </row>
    <row r="4" spans="1:13" ht="22.5" customHeight="1">
      <c r="A4" s="13">
        <v>1</v>
      </c>
      <c r="B4" s="29">
        <v>2000</v>
      </c>
      <c r="C4" s="13" t="s">
        <v>191</v>
      </c>
      <c r="D4" s="13">
        <v>1.8</v>
      </c>
      <c r="E4" s="13" t="s">
        <v>200</v>
      </c>
      <c r="F4" s="43">
        <f>(D4/B4)*10000000</f>
        <v>9000</v>
      </c>
    </row>
    <row r="5" spans="1:13" ht="22.5" customHeight="1">
      <c r="A5" s="14">
        <v>2</v>
      </c>
      <c r="B5" s="30">
        <v>2200</v>
      </c>
      <c r="C5" s="14" t="s">
        <v>191</v>
      </c>
      <c r="D5" s="40">
        <v>1.89</v>
      </c>
      <c r="E5" s="14" t="s">
        <v>200</v>
      </c>
      <c r="F5" s="41">
        <f t="shared" ref="F5:F11" si="0">(D5/B5)*10000000</f>
        <v>8590.9090909090901</v>
      </c>
    </row>
    <row r="6" spans="1:13" ht="22.5" customHeight="1">
      <c r="A6" s="13">
        <v>3</v>
      </c>
      <c r="B6" s="29">
        <v>2500</v>
      </c>
      <c r="C6" s="13" t="s">
        <v>191</v>
      </c>
      <c r="D6" s="42">
        <v>2.25</v>
      </c>
      <c r="E6" s="13" t="s">
        <v>200</v>
      </c>
      <c r="F6" s="43">
        <f t="shared" si="0"/>
        <v>9000</v>
      </c>
      <c r="H6" s="34" t="s">
        <v>201</v>
      </c>
      <c r="I6" s="171" t="s">
        <v>202</v>
      </c>
      <c r="J6" s="172"/>
      <c r="K6" s="168" t="s">
        <v>203</v>
      </c>
      <c r="L6" s="169"/>
      <c r="M6" s="170"/>
    </row>
    <row r="7" spans="1:13" ht="22.5" customHeight="1">
      <c r="A7" s="14">
        <v>4</v>
      </c>
      <c r="B7" s="30">
        <v>3000</v>
      </c>
      <c r="C7" s="14" t="s">
        <v>191</v>
      </c>
      <c r="D7" s="14">
        <v>2.7</v>
      </c>
      <c r="E7" s="14" t="s">
        <v>200</v>
      </c>
      <c r="F7" s="41">
        <f t="shared" si="0"/>
        <v>9000</v>
      </c>
    </row>
    <row r="8" spans="1:13" ht="22.5" customHeight="1">
      <c r="A8" s="13">
        <v>5</v>
      </c>
      <c r="B8" s="29">
        <v>3500</v>
      </c>
      <c r="C8" s="13" t="s">
        <v>191</v>
      </c>
      <c r="D8" s="42">
        <v>3.15</v>
      </c>
      <c r="E8" s="13" t="s">
        <v>200</v>
      </c>
      <c r="F8" s="43">
        <f t="shared" si="0"/>
        <v>9000</v>
      </c>
    </row>
    <row r="9" spans="1:13" ht="22.5" customHeight="1">
      <c r="A9" s="14">
        <v>6</v>
      </c>
      <c r="B9" s="30">
        <v>4000</v>
      </c>
      <c r="C9" s="14" t="s">
        <v>191</v>
      </c>
      <c r="D9" s="40">
        <v>3.6</v>
      </c>
      <c r="E9" s="14" t="s">
        <v>200</v>
      </c>
      <c r="F9" s="41">
        <f t="shared" si="0"/>
        <v>9000</v>
      </c>
    </row>
    <row r="10" spans="1:13" ht="22.5" customHeight="1">
      <c r="A10" s="13">
        <v>7</v>
      </c>
      <c r="B10" s="29">
        <v>4500</v>
      </c>
      <c r="C10" s="13" t="s">
        <v>191</v>
      </c>
      <c r="D10" s="42">
        <v>4.05</v>
      </c>
      <c r="E10" s="13" t="s">
        <v>200</v>
      </c>
      <c r="F10" s="43">
        <f t="shared" si="0"/>
        <v>9000</v>
      </c>
    </row>
    <row r="11" spans="1:13" ht="22.5" customHeight="1">
      <c r="A11" s="14">
        <v>8</v>
      </c>
      <c r="B11" s="30">
        <v>5000</v>
      </c>
      <c r="C11" s="14" t="s">
        <v>191</v>
      </c>
      <c r="D11" s="14">
        <v>4.5</v>
      </c>
      <c r="E11" s="14" t="s">
        <v>200</v>
      </c>
      <c r="F11" s="41">
        <f t="shared" si="0"/>
        <v>9000</v>
      </c>
    </row>
  </sheetData>
  <mergeCells count="4">
    <mergeCell ref="A1:F1"/>
    <mergeCell ref="A2:F2"/>
    <mergeCell ref="K6:M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Avinash Dubey</cp:lastModifiedBy>
  <cp:revision/>
  <dcterms:created xsi:type="dcterms:W3CDTF">2024-04-23T06:52:24Z</dcterms:created>
  <dcterms:modified xsi:type="dcterms:W3CDTF">2024-05-22T11:10:55Z</dcterms:modified>
  <cp:category/>
  <cp:contentStatus/>
</cp:coreProperties>
</file>