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9eb0d17a7ed3b/Documents/SCORE CONTABILIDADE/12 - SCORE TECH/PROJECTS_ANTIGRAVITY/marialima/"/>
    </mc:Choice>
  </mc:AlternateContent>
  <xr:revisionPtr revIDLastSave="1470" documentId="13_ncr:1_{8EE95328-03E3-4DD1-B6CC-3ABCBF17AA75}" xr6:coauthVersionLast="47" xr6:coauthVersionMax="47" xr10:uidLastSave="{80EC38C4-0FCF-CF49-9563-73BF815046B0}"/>
  <bookViews>
    <workbookView xWindow="-120" yWindow="-120" windowWidth="29040" windowHeight="15720" tabRatio="839" firstSheet="1" activeTab="17" xr2:uid="{00000000-000D-0000-FFFF-FFFF00000000}"/>
  </bookViews>
  <sheets>
    <sheet name="ANÁLISE GERAL ITAPIPOCA" sheetId="19" r:id="rId1"/>
    <sheet name="METAS - ITAPIPOCA" sheetId="3" r:id="rId2"/>
    <sheet name="METAS -  SOBRAL (P VENDEDOR)" sheetId="10" state="hidden" r:id="rId3"/>
    <sheet name="VENDAS" sheetId="1" r:id="rId4"/>
    <sheet name="Planilha5" sheetId="21" state="hidden" r:id="rId5"/>
    <sheet name="Folha1" sheetId="16" state="hidden" r:id="rId6"/>
    <sheet name="RESUMO" sheetId="2" state="hidden" r:id="rId7"/>
    <sheet name="AUXILIAR" sheetId="11" state="hidden" r:id="rId8"/>
    <sheet name="Planilha2 (2)" sheetId="12" state="hidden" r:id="rId9"/>
    <sheet name="IMAGENS (2)" sheetId="13" state="hidden" r:id="rId10"/>
    <sheet name="VENDEDORES" sheetId="14" state="hidden" r:id="rId11"/>
    <sheet name="GERAL TOTAL" sheetId="22" r:id="rId12"/>
    <sheet name="VENDAS_VENDEDOR" sheetId="15" r:id="rId13"/>
    <sheet name="Planilha1" sheetId="17" state="hidden" r:id="rId14"/>
    <sheet name="IMAGENS" sheetId="7" state="hidden" r:id="rId15"/>
    <sheet name="Detalhes1" sheetId="24" state="hidden" r:id="rId16"/>
    <sheet name="ITAPIPOCA" sheetId="4" r:id="rId17"/>
    <sheet name="ANÁLISE GERAL ITAPIPOCA (2026)" sheetId="23" r:id="rId18"/>
    <sheet name="dashboard" sheetId="18" r:id="rId19"/>
    <sheet name="Planilha2" sheetId="6" state="hidden" r:id="rId20"/>
  </sheets>
  <externalReferences>
    <externalReference r:id="rId21"/>
    <externalReference r:id="rId22"/>
  </externalReferences>
  <definedNames>
    <definedName name="ANALISE2" localSheetId="7">#REF!</definedName>
    <definedName name="ANALISE2" localSheetId="9">#REF!</definedName>
    <definedName name="ANALISE2" localSheetId="8">#REF!</definedName>
    <definedName name="ANALISE2" localSheetId="12">#REF!</definedName>
    <definedName name="ANALISE2" localSheetId="10">#REF!</definedName>
    <definedName name="ANALISE2">#REF!</definedName>
    <definedName name="CalendárioAno1" localSheetId="16">#REF!</definedName>
    <definedName name="CalendárioAno1" localSheetId="2">#REF!</definedName>
    <definedName name="CalendárioAno1" localSheetId="1">#REF!</definedName>
    <definedName name="CalendárioAno1">#REF!</definedName>
    <definedName name="CalendárioAno10" localSheetId="16">#REF!</definedName>
    <definedName name="CalendárioAno10" localSheetId="2">#REF!</definedName>
    <definedName name="CalendárioAno10" localSheetId="1">#REF!</definedName>
    <definedName name="CalendárioAno10">#REF!</definedName>
    <definedName name="CalendárioAno11" localSheetId="16">#REF!</definedName>
    <definedName name="CalendárioAno11" localSheetId="2">#REF!</definedName>
    <definedName name="CalendárioAno11" localSheetId="1">#REF!</definedName>
    <definedName name="CalendárioAno11">#REF!</definedName>
    <definedName name="CalendárioAno12" localSheetId="16">#REF!</definedName>
    <definedName name="CalendárioAno12" localSheetId="2">#REF!</definedName>
    <definedName name="CalendárioAno12" localSheetId="1">#REF!</definedName>
    <definedName name="CalendárioAno12">#REF!</definedName>
    <definedName name="CalendárioAno2" localSheetId="16">#REF!</definedName>
    <definedName name="CalendárioAno2" localSheetId="2">#REF!</definedName>
    <definedName name="CalendárioAno2" localSheetId="1">#REF!</definedName>
    <definedName name="CalendárioAno2">#REF!</definedName>
    <definedName name="CalendárioAno3" localSheetId="16">#REF!</definedName>
    <definedName name="CalendárioAno3" localSheetId="2">#REF!</definedName>
    <definedName name="CalendárioAno3" localSheetId="1">#REF!</definedName>
    <definedName name="CalendárioAno3">#REF!</definedName>
    <definedName name="CalendárioAno4" localSheetId="16">#REF!</definedName>
    <definedName name="CalendárioAno4" localSheetId="2">#REF!</definedName>
    <definedName name="CalendárioAno4" localSheetId="1">#REF!</definedName>
    <definedName name="CalendárioAno4">#REF!</definedName>
    <definedName name="CalendárioAno5" localSheetId="16">#REF!</definedName>
    <definedName name="CalendárioAno5" localSheetId="2">#REF!</definedName>
    <definedName name="CalendárioAno5" localSheetId="1">#REF!</definedName>
    <definedName name="CalendárioAno5">#REF!</definedName>
    <definedName name="CalendárioAno6" localSheetId="16">#REF!</definedName>
    <definedName name="CalendárioAno6" localSheetId="2">#REF!</definedName>
    <definedName name="CalendárioAno6" localSheetId="1">#REF!</definedName>
    <definedName name="CalendárioAno6">#REF!</definedName>
    <definedName name="CalendárioAno7" localSheetId="16">#REF!</definedName>
    <definedName name="CalendárioAno7" localSheetId="2">#REF!</definedName>
    <definedName name="CalendárioAno7" localSheetId="1">#REF!</definedName>
    <definedName name="CalendárioAno7">#REF!</definedName>
    <definedName name="CalendárioAno8" localSheetId="16">#REF!</definedName>
    <definedName name="CalendárioAno8" localSheetId="2">#REF!</definedName>
    <definedName name="CalendárioAno8" localSheetId="1">#REF!</definedName>
    <definedName name="CalendárioAno8">#REF!</definedName>
    <definedName name="CalendárioAno9" localSheetId="16">#REF!</definedName>
    <definedName name="CalendárioAno9" localSheetId="2">#REF!</definedName>
    <definedName name="CalendárioAno9" localSheetId="1">#REF!</definedName>
    <definedName name="CalendárioAno9">#REF!</definedName>
    <definedName name="CaléndárioMês1" localSheetId="16">#REF!</definedName>
    <definedName name="CaléndárioMês1" localSheetId="2">#REF!</definedName>
    <definedName name="CaléndárioMês1" localSheetId="1">#REF!</definedName>
    <definedName name="CaléndárioMês1">#REF!</definedName>
    <definedName name="CaléndárioMês10" localSheetId="16">#REF!</definedName>
    <definedName name="CaléndárioMês10" localSheetId="2">#REF!</definedName>
    <definedName name="CaléndárioMês10" localSheetId="1">#REF!</definedName>
    <definedName name="CaléndárioMês10">#REF!</definedName>
    <definedName name="CaléndárioMês10Opção" localSheetId="7">MATCH(CaléndárioMês10,AUXILIAR!Meses,0)</definedName>
    <definedName name="CaléndárioMês10Opção" localSheetId="9">MATCH(CaléndárioMês10,'IMAGENS (2)'!Meses,0)</definedName>
    <definedName name="CaléndárioMês10Opção" localSheetId="16">MATCH(ITAPIPOCA!CaléndárioMês10,ITAPIPOCA!Meses,0)</definedName>
    <definedName name="CaléndárioMês10Opção" localSheetId="2">MATCH('METAS -  SOBRAL (P VENDEDOR)'!CaléndárioMês10,'METAS -  SOBRAL (P VENDEDOR)'!Meses,0)</definedName>
    <definedName name="CaléndárioMês10Opção" localSheetId="1">MATCH('METAS - ITAPIPOCA'!CaléndárioMês10,'METAS - ITAPIPOCA'!Meses,0)</definedName>
    <definedName name="CaléndárioMês10Opção" localSheetId="8">MATCH(CaléndárioMês10,'Planilha2 (2)'!Meses,0)</definedName>
    <definedName name="CaléndárioMês10Opção" localSheetId="12">MATCH(CaléndárioMês10,VENDAS_VENDEDOR!Meses,0)</definedName>
    <definedName name="CaléndárioMês10Opção" localSheetId="10">MATCH(CaléndárioMês10,VENDEDORES!Meses,0)</definedName>
    <definedName name="CaléndárioMês10Opção">MATCH(CaléndárioMês10,Meses,0)</definedName>
    <definedName name="CaléndárioMês11" localSheetId="16">#REF!</definedName>
    <definedName name="CaléndárioMês11" localSheetId="2">#REF!</definedName>
    <definedName name="CaléndárioMês11" localSheetId="1">#REF!</definedName>
    <definedName name="CaléndárioMês11">#REF!</definedName>
    <definedName name="CaléndárioMês11Opção" localSheetId="7">MATCH(CaléndárioMês11,AUXILIAR!Meses,0)</definedName>
    <definedName name="CaléndárioMês11Opção" localSheetId="9">MATCH(CaléndárioMês11,'IMAGENS (2)'!Meses,0)</definedName>
    <definedName name="CaléndárioMês11Opção" localSheetId="16">MATCH(ITAPIPOCA!CaléndárioMês11,ITAPIPOCA!Meses,0)</definedName>
    <definedName name="CaléndárioMês11Opção" localSheetId="2">MATCH('METAS -  SOBRAL (P VENDEDOR)'!CaléndárioMês11,'METAS -  SOBRAL (P VENDEDOR)'!Meses,0)</definedName>
    <definedName name="CaléndárioMês11Opção" localSheetId="1">MATCH('METAS - ITAPIPOCA'!CaléndárioMês11,'METAS - ITAPIPOCA'!Meses,0)</definedName>
    <definedName name="CaléndárioMês11Opção" localSheetId="8">MATCH(CaléndárioMês11,'Planilha2 (2)'!Meses,0)</definedName>
    <definedName name="CaléndárioMês11Opção" localSheetId="12">MATCH(CaléndárioMês11,VENDAS_VENDEDOR!Meses,0)</definedName>
    <definedName name="CaléndárioMês11Opção" localSheetId="10">MATCH(CaléndárioMês11,VENDEDORES!Meses,0)</definedName>
    <definedName name="CaléndárioMês11Opção">MATCH(CaléndárioMês11,Meses,0)</definedName>
    <definedName name="CaléndárioMês12" localSheetId="16">#REF!</definedName>
    <definedName name="CaléndárioMês12" localSheetId="2">#REF!</definedName>
    <definedName name="CaléndárioMês12" localSheetId="1">#REF!</definedName>
    <definedName name="CaléndárioMês12">#REF!</definedName>
    <definedName name="CaléndárioMês12Opção" localSheetId="7">MATCH(CaléndárioMês12,AUXILIAR!Meses,0)</definedName>
    <definedName name="CaléndárioMês12Opção" localSheetId="9">MATCH(CaléndárioMês12,'IMAGENS (2)'!Meses,0)</definedName>
    <definedName name="CaléndárioMês12Opção" localSheetId="16">MATCH(ITAPIPOCA!CaléndárioMês12,ITAPIPOCA!Meses,0)</definedName>
    <definedName name="CaléndárioMês12Opção" localSheetId="2">MATCH('METAS -  SOBRAL (P VENDEDOR)'!CaléndárioMês12,'METAS -  SOBRAL (P VENDEDOR)'!Meses,0)</definedName>
    <definedName name="CaléndárioMês12Opção" localSheetId="1">MATCH('METAS - ITAPIPOCA'!CaléndárioMês12,'METAS - ITAPIPOCA'!Meses,0)</definedName>
    <definedName name="CaléndárioMês12Opção" localSheetId="8">MATCH(CaléndárioMês12,'Planilha2 (2)'!Meses,0)</definedName>
    <definedName name="CaléndárioMês12Opção" localSheetId="12">MATCH(CaléndárioMês12,VENDAS_VENDEDOR!Meses,0)</definedName>
    <definedName name="CaléndárioMês12Opção" localSheetId="10">MATCH(CaléndárioMês12,VENDEDORES!Meses,0)</definedName>
    <definedName name="CaléndárioMês12Opção">MATCH(CaléndárioMês12,Meses,0)</definedName>
    <definedName name="CaléndárioMês1Opção" localSheetId="7">MATCH(CaléndárioMês1,AUXILIAR!Meses,0)</definedName>
    <definedName name="CaléndárioMês1Opção" localSheetId="9">MATCH(CaléndárioMês1,'IMAGENS (2)'!Meses,0)</definedName>
    <definedName name="CaléndárioMês1Opção" localSheetId="16">MATCH(ITAPIPOCA!CaléndárioMês1,ITAPIPOCA!Meses,0)</definedName>
    <definedName name="CaléndárioMês1Opção" localSheetId="2">MATCH('METAS -  SOBRAL (P VENDEDOR)'!CaléndárioMês1,'METAS -  SOBRAL (P VENDEDOR)'!Meses,0)</definedName>
    <definedName name="CaléndárioMês1Opção" localSheetId="1">MATCH('METAS - ITAPIPOCA'!CaléndárioMês1,'METAS - ITAPIPOCA'!Meses,0)</definedName>
    <definedName name="CaléndárioMês1Opção" localSheetId="8">MATCH(CaléndárioMês1,'Planilha2 (2)'!Meses,0)</definedName>
    <definedName name="CaléndárioMês1Opção" localSheetId="12">MATCH(CaléndárioMês1,VENDAS_VENDEDOR!Meses,0)</definedName>
    <definedName name="CaléndárioMês1Opção" localSheetId="10">MATCH(CaléndárioMês1,VENDEDORES!Meses,0)</definedName>
    <definedName name="CaléndárioMês1Opção">MATCH(CaléndárioMês1,Meses,0)</definedName>
    <definedName name="CaléndárioMês2" localSheetId="16">#REF!</definedName>
    <definedName name="CaléndárioMês2" localSheetId="2">#REF!</definedName>
    <definedName name="CaléndárioMês2" localSheetId="1">#REF!</definedName>
    <definedName name="CaléndárioMês2">#REF!</definedName>
    <definedName name="CaléndárioMês2Opção" localSheetId="7">MATCH(CaléndárioMês2,AUXILIAR!Meses,0)</definedName>
    <definedName name="CaléndárioMês2Opção" localSheetId="9">MATCH(CaléndárioMês2,'IMAGENS (2)'!Meses,0)</definedName>
    <definedName name="CaléndárioMês2Opção" localSheetId="16">MATCH(ITAPIPOCA!CaléndárioMês2,ITAPIPOCA!Meses,0)</definedName>
    <definedName name="CaléndárioMês2Opção" localSheetId="2">MATCH('METAS -  SOBRAL (P VENDEDOR)'!CaléndárioMês2,'METAS -  SOBRAL (P VENDEDOR)'!Meses,0)</definedName>
    <definedName name="CaléndárioMês2Opção" localSheetId="1">MATCH('METAS - ITAPIPOCA'!CaléndárioMês2,'METAS - ITAPIPOCA'!Meses,0)</definedName>
    <definedName name="CaléndárioMês2Opção" localSheetId="8">MATCH(CaléndárioMês2,'Planilha2 (2)'!Meses,0)</definedName>
    <definedName name="CaléndárioMês2Opção" localSheetId="12">MATCH(CaléndárioMês2,VENDAS_VENDEDOR!Meses,0)</definedName>
    <definedName name="CaléndárioMês2Opção" localSheetId="10">MATCH(CaléndárioMês2,VENDEDORES!Meses,0)</definedName>
    <definedName name="CaléndárioMês2Opção">MATCH(CaléndárioMês2,Meses,0)</definedName>
    <definedName name="CaléndárioMês3" localSheetId="16">#REF!</definedName>
    <definedName name="CaléndárioMês3" localSheetId="2">#REF!</definedName>
    <definedName name="CaléndárioMês3" localSheetId="1">#REF!</definedName>
    <definedName name="CaléndárioMês3">#REF!</definedName>
    <definedName name="CaléndárioMês3Opção" localSheetId="7">MATCH(CaléndárioMês3,AUXILIAR!Meses,0)</definedName>
    <definedName name="CaléndárioMês3Opção" localSheetId="9">MATCH(CaléndárioMês3,'IMAGENS (2)'!Meses,0)</definedName>
    <definedName name="CaléndárioMês3Opção" localSheetId="16">MATCH(ITAPIPOCA!CaléndárioMês3,ITAPIPOCA!Meses,0)</definedName>
    <definedName name="CaléndárioMês3Opção" localSheetId="2">MATCH('METAS -  SOBRAL (P VENDEDOR)'!CaléndárioMês3,'METAS -  SOBRAL (P VENDEDOR)'!Meses,0)</definedName>
    <definedName name="CaléndárioMês3Opção" localSheetId="1">MATCH('METAS - ITAPIPOCA'!CaléndárioMês3,'METAS - ITAPIPOCA'!Meses,0)</definedName>
    <definedName name="CaléndárioMês3Opção" localSheetId="8">MATCH(CaléndárioMês3,'Planilha2 (2)'!Meses,0)</definedName>
    <definedName name="CaléndárioMês3Opção" localSheetId="12">MATCH(CaléndárioMês3,VENDAS_VENDEDOR!Meses,0)</definedName>
    <definedName name="CaléndárioMês3Opção" localSheetId="10">MATCH(CaléndárioMês3,VENDEDORES!Meses,0)</definedName>
    <definedName name="CaléndárioMês3Opção">MATCH(CaléndárioMês3,Meses,0)</definedName>
    <definedName name="CaléndárioMês4" localSheetId="16">#REF!</definedName>
    <definedName name="CaléndárioMês4" localSheetId="2">#REF!</definedName>
    <definedName name="CaléndárioMês4" localSheetId="1">#REF!</definedName>
    <definedName name="CaléndárioMês4">#REF!</definedName>
    <definedName name="CaléndárioMês4Opção" localSheetId="7">MATCH(CaléndárioMês4,AUXILIAR!Meses,0)</definedName>
    <definedName name="CaléndárioMês4Opção" localSheetId="9">MATCH(CaléndárioMês4,'IMAGENS (2)'!Meses,0)</definedName>
    <definedName name="CaléndárioMês4Opção" localSheetId="16">MATCH(ITAPIPOCA!CaléndárioMês4,ITAPIPOCA!Meses,0)</definedName>
    <definedName name="CaléndárioMês4Opção" localSheetId="2">MATCH('METAS -  SOBRAL (P VENDEDOR)'!CaléndárioMês4,'METAS -  SOBRAL (P VENDEDOR)'!Meses,0)</definedName>
    <definedName name="CaléndárioMês4Opção" localSheetId="1">MATCH('METAS - ITAPIPOCA'!CaléndárioMês4,'METAS - ITAPIPOCA'!Meses,0)</definedName>
    <definedName name="CaléndárioMês4Opção" localSheetId="8">MATCH(CaléndárioMês4,'Planilha2 (2)'!Meses,0)</definedName>
    <definedName name="CaléndárioMês4Opção" localSheetId="12">MATCH(CaléndárioMês4,VENDAS_VENDEDOR!Meses,0)</definedName>
    <definedName name="CaléndárioMês4Opção" localSheetId="10">MATCH(CaléndárioMês4,VENDEDORES!Meses,0)</definedName>
    <definedName name="CaléndárioMês4Opção">MATCH(CaléndárioMês4,Meses,0)</definedName>
    <definedName name="CaléndárioMês5" localSheetId="16">#REF!</definedName>
    <definedName name="CaléndárioMês5" localSheetId="2">#REF!</definedName>
    <definedName name="CaléndárioMês5" localSheetId="1">#REF!</definedName>
    <definedName name="CaléndárioMês5">#REF!</definedName>
    <definedName name="CaléndárioMês5Opção" localSheetId="7">MATCH(CaléndárioMês5,AUXILIAR!Meses,0)</definedName>
    <definedName name="CaléndárioMês5Opção" localSheetId="9">MATCH(CaléndárioMês5,'IMAGENS (2)'!Meses,0)</definedName>
    <definedName name="CaléndárioMês5Opção" localSheetId="16">MATCH(ITAPIPOCA!CaléndárioMês5,ITAPIPOCA!Meses,0)</definedName>
    <definedName name="CaléndárioMês5Opção" localSheetId="2">MATCH('METAS -  SOBRAL (P VENDEDOR)'!CaléndárioMês5,'METAS -  SOBRAL (P VENDEDOR)'!Meses,0)</definedName>
    <definedName name="CaléndárioMês5Opção" localSheetId="1">MATCH('METAS - ITAPIPOCA'!CaléndárioMês5,'METAS - ITAPIPOCA'!Meses,0)</definedName>
    <definedName name="CaléndárioMês5Opção" localSheetId="8">MATCH(CaléndárioMês5,'Planilha2 (2)'!Meses,0)</definedName>
    <definedName name="CaléndárioMês5Opção" localSheetId="12">MATCH(CaléndárioMês5,VENDAS_VENDEDOR!Meses,0)</definedName>
    <definedName name="CaléndárioMês5Opção" localSheetId="10">MATCH(CaléndárioMês5,VENDEDORES!Meses,0)</definedName>
    <definedName name="CaléndárioMês5Opção">MATCH(CaléndárioMês5,Meses,0)</definedName>
    <definedName name="CaléndárioMês6" localSheetId="16">#REF!</definedName>
    <definedName name="CaléndárioMês6" localSheetId="2">#REF!</definedName>
    <definedName name="CaléndárioMês6" localSheetId="1">#REF!</definedName>
    <definedName name="CaléndárioMês6">#REF!</definedName>
    <definedName name="CaléndárioMês6Opção" localSheetId="7">MATCH(CaléndárioMês6,AUXILIAR!Meses,0)</definedName>
    <definedName name="CaléndárioMês6Opção" localSheetId="9">MATCH(CaléndárioMês6,'IMAGENS (2)'!Meses,0)</definedName>
    <definedName name="CaléndárioMês6Opção" localSheetId="16">MATCH(ITAPIPOCA!CaléndárioMês6,ITAPIPOCA!Meses,0)</definedName>
    <definedName name="CaléndárioMês6Opção" localSheetId="2">MATCH('METAS -  SOBRAL (P VENDEDOR)'!CaléndárioMês6,'METAS -  SOBRAL (P VENDEDOR)'!Meses,0)</definedName>
    <definedName name="CaléndárioMês6Opção" localSheetId="1">MATCH('METAS - ITAPIPOCA'!CaléndárioMês6,'METAS - ITAPIPOCA'!Meses,0)</definedName>
    <definedName name="CaléndárioMês6Opção" localSheetId="8">MATCH(CaléndárioMês6,'Planilha2 (2)'!Meses,0)</definedName>
    <definedName name="CaléndárioMês6Opção" localSheetId="12">MATCH(CaléndárioMês6,VENDAS_VENDEDOR!Meses,0)</definedName>
    <definedName name="CaléndárioMês6Opção" localSheetId="10">MATCH(CaléndárioMês6,VENDEDORES!Meses,0)</definedName>
    <definedName name="CaléndárioMês6Opção">MATCH(CaléndárioMês6,Meses,0)</definedName>
    <definedName name="CaléndárioMês7" localSheetId="16">#REF!</definedName>
    <definedName name="CaléndárioMês7" localSheetId="2">#REF!</definedName>
    <definedName name="CaléndárioMês7" localSheetId="1">#REF!</definedName>
    <definedName name="CaléndárioMês7">#REF!</definedName>
    <definedName name="CaléndárioMês7Opção" localSheetId="7">MATCH(CaléndárioMês7,AUXILIAR!Meses,0)</definedName>
    <definedName name="CaléndárioMês7Opção" localSheetId="9">MATCH(CaléndárioMês7,'IMAGENS (2)'!Meses,0)</definedName>
    <definedName name="CaléndárioMês7Opção" localSheetId="16">MATCH(ITAPIPOCA!CaléndárioMês7,ITAPIPOCA!Meses,0)</definedName>
    <definedName name="CaléndárioMês7Opção" localSheetId="2">MATCH('METAS -  SOBRAL (P VENDEDOR)'!CaléndárioMês7,'METAS -  SOBRAL (P VENDEDOR)'!Meses,0)</definedName>
    <definedName name="CaléndárioMês7Opção" localSheetId="1">MATCH('METAS - ITAPIPOCA'!CaléndárioMês7,'METAS - ITAPIPOCA'!Meses,0)</definedName>
    <definedName name="CaléndárioMês7Opção" localSheetId="8">MATCH(CaléndárioMês7,'Planilha2 (2)'!Meses,0)</definedName>
    <definedName name="CaléndárioMês7Opção" localSheetId="12">MATCH(CaléndárioMês7,VENDAS_VENDEDOR!Meses,0)</definedName>
    <definedName name="CaléndárioMês7Opção" localSheetId="10">MATCH(CaléndárioMês7,VENDEDORES!Meses,0)</definedName>
    <definedName name="CaléndárioMês7Opção">MATCH(CaléndárioMês7,Meses,0)</definedName>
    <definedName name="CaléndárioMês8" localSheetId="16">#REF!</definedName>
    <definedName name="CaléndárioMês8" localSheetId="2">#REF!</definedName>
    <definedName name="CaléndárioMês8" localSheetId="1">#REF!</definedName>
    <definedName name="CaléndárioMês8">#REF!</definedName>
    <definedName name="CaléndárioMês8Opção" localSheetId="7">MATCH(CaléndárioMês8,AUXILIAR!Meses,0)</definedName>
    <definedName name="CaléndárioMês8Opção" localSheetId="9">MATCH(CaléndárioMês8,'IMAGENS (2)'!Meses,0)</definedName>
    <definedName name="CaléndárioMês8Opção" localSheetId="16">MATCH(ITAPIPOCA!CaléndárioMês8,ITAPIPOCA!Meses,0)</definedName>
    <definedName name="CaléndárioMês8Opção" localSheetId="2">MATCH('METAS -  SOBRAL (P VENDEDOR)'!CaléndárioMês8,'METAS -  SOBRAL (P VENDEDOR)'!Meses,0)</definedName>
    <definedName name="CaléndárioMês8Opção" localSheetId="1">MATCH('METAS - ITAPIPOCA'!CaléndárioMês8,'METAS - ITAPIPOCA'!Meses,0)</definedName>
    <definedName name="CaléndárioMês8Opção" localSheetId="8">MATCH(CaléndárioMês8,'Planilha2 (2)'!Meses,0)</definedName>
    <definedName name="CaléndárioMês8Opção" localSheetId="12">MATCH(CaléndárioMês8,VENDAS_VENDEDOR!Meses,0)</definedName>
    <definedName name="CaléndárioMês8Opção" localSheetId="10">MATCH(CaléndárioMês8,VENDEDORES!Meses,0)</definedName>
    <definedName name="CaléndárioMês8Opção">MATCH(CaléndárioMês8,Meses,0)</definedName>
    <definedName name="CaléndárioMês9" localSheetId="16">#REF!</definedName>
    <definedName name="CaléndárioMês9" localSheetId="2">#REF!</definedName>
    <definedName name="CaléndárioMês9" localSheetId="1">#REF!</definedName>
    <definedName name="CaléndárioMês9">#REF!</definedName>
    <definedName name="CaléndárioMês9Opção" localSheetId="7">MATCH(CaléndárioMês9,AUXILIAR!Meses,0)</definedName>
    <definedName name="CaléndárioMês9Opção" localSheetId="9">MATCH(CaléndárioMês9,'IMAGENS (2)'!Meses,0)</definedName>
    <definedName name="CaléndárioMês9Opção" localSheetId="16">MATCH(ITAPIPOCA!CaléndárioMês9,ITAPIPOCA!Meses,0)</definedName>
    <definedName name="CaléndárioMês9Opção" localSheetId="2">MATCH('METAS -  SOBRAL (P VENDEDOR)'!CaléndárioMês9,'METAS -  SOBRAL (P VENDEDOR)'!Meses,0)</definedName>
    <definedName name="CaléndárioMês9Opção" localSheetId="1">MATCH('METAS - ITAPIPOCA'!CaléndárioMês9,'METAS - ITAPIPOCA'!Meses,0)</definedName>
    <definedName name="CaléndárioMês9Opção" localSheetId="8">MATCH(CaléndárioMês9,'Planilha2 (2)'!Meses,0)</definedName>
    <definedName name="CaléndárioMês9Opção" localSheetId="12">MATCH(CaléndárioMês9,VENDAS_VENDEDOR!Meses,0)</definedName>
    <definedName name="CaléndárioMês9Opção" localSheetId="10">MATCH(CaléndárioMês9,VENDEDORES!Meses,0)</definedName>
    <definedName name="CaléndárioMês9Opção">MATCH(CaléndárioMês9,Meses,0)</definedName>
    <definedName name="CC" localSheetId="16">#REF!</definedName>
    <definedName name="CC" localSheetId="2">#REF!</definedName>
    <definedName name="CC" localSheetId="1">#REF!</definedName>
    <definedName name="CC">#REF!</definedName>
    <definedName name="CONTAS">[1]!BANCOS[[#All],[CONTAS]]</definedName>
    <definedName name="DiaDaSemanaOpção" localSheetId="7">MATCH(InícioDaSemana,AUXILIAR!DiasDaSemana,0)+10</definedName>
    <definedName name="DiaDaSemanaOpção" localSheetId="9">MATCH(InícioDaSemana,'IMAGENS (2)'!DiasDaSemana,0)+10</definedName>
    <definedName name="DiaDaSemanaOpção" localSheetId="16">MATCH(InícioDaSemana,ITAPIPOCA!DiasDaSemana,0)+10</definedName>
    <definedName name="DiaDaSemanaOpção" localSheetId="2">MATCH([0]!InícioDaSemana,'METAS -  SOBRAL (P VENDEDOR)'!DiasDaSemana,0)+10</definedName>
    <definedName name="DiaDaSemanaOpção" localSheetId="1">MATCH(InícioDaSemana,'METAS - ITAPIPOCA'!DiasDaSemana,0)+10</definedName>
    <definedName name="DiaDaSemanaOpção" localSheetId="8">MATCH(InícioDaSemana,'Planilha2 (2)'!DiasDaSemana,0)+10</definedName>
    <definedName name="DiaDaSemanaOpção" localSheetId="12">MATCH(InícioDaSemana,VENDAS_VENDEDOR!DiasDaSemana,0)+10</definedName>
    <definedName name="DiaDaSemanaOpção" localSheetId="10">MATCH(InícioDaSemana,VENDEDORES!DiasDaSemana,0)+10</definedName>
    <definedName name="DiaDaSemanaOpção">MATCH(InícioDaSemana,DiasDaSemana,0)+10</definedName>
    <definedName name="Dias" localSheetId="7">{0,1,2,3,4,5,6}</definedName>
    <definedName name="Dias" localSheetId="9">{0,1,2,3,4,5,6}</definedName>
    <definedName name="Dias" localSheetId="16">{0,1,2,3,4,5,6}</definedName>
    <definedName name="Dias" localSheetId="2">{0,1,2,3,4,5,6}</definedName>
    <definedName name="Dias" localSheetId="1">{0,1,2,3,4,5,6}</definedName>
    <definedName name="Dias" localSheetId="8">{0,1,2,3,4,5,6}</definedName>
    <definedName name="Dias" localSheetId="12">{0,1,2,3,4,5,6}</definedName>
    <definedName name="Dias" localSheetId="10">{0,1,2,3,4,5,6}</definedName>
    <definedName name="Dias">{0,1,2,3,4,5,6}</definedName>
    <definedName name="DiasDaSemana" localSheetId="7">{"SEGUNDA-FEIRA","TERÇA-FEIRA","QUARTA-FEIRA","QUINTA-FEIRA","SEXTA-FEIRA","SÁBADO","DOMINGO"}</definedName>
    <definedName name="DiasDaSemana" localSheetId="9">{"SEGUNDA-FEIRA","TERÇA-FEIRA","QUARTA-FEIRA","QUINTA-FEIRA","SEXTA-FEIRA","SÁBADO","DOMINGO"}</definedName>
    <definedName name="DiasDaSemana" localSheetId="16">{"SEGUNDA-FEIRA","TERÇA-FEIRA","QUARTA-FEIRA","QUINTA-FEIRA","SEXTA-FEIRA","SÁBADO","DOMINGO"}</definedName>
    <definedName name="DiasDaSemana" localSheetId="2">{"SEGUNDA-FEIRA","TERÇA-FEIRA","QUARTA-FEIRA","QUINTA-FEIRA","SEXTA-FEIRA","SÁBADO","DOMINGO"}</definedName>
    <definedName name="DiasDaSemana" localSheetId="1">{"SEGUNDA-FEIRA","TERÇA-FEIRA","QUARTA-FEIRA","QUINTA-FEIRA","SEXTA-FEIRA","SÁBADO","DOMINGO"}</definedName>
    <definedName name="DiasDaSemana" localSheetId="8">{"SEGUNDA-FEIRA","TERÇA-FEIRA","QUARTA-FEIRA","QUINTA-FEIRA","SEXTA-FEIRA","SÁBADO","DOMINGO"}</definedName>
    <definedName name="DiasDaSemana" localSheetId="12">{"SEGUNDA-FEIRA","TERÇA-FEIRA","QUARTA-FEIRA","QUINTA-FEIRA","SEXTA-FEIRA","SÁBADO","DOMINGO"}</definedName>
    <definedName name="DiasDaSemana" localSheetId="10">{"SEGUNDA-FEIRA","TERÇA-FEIRA","QUARTA-FEIRA","QUINTA-FEIRA","SEXTA-FEIRA","SÁBADO","DOMINGO"}</definedName>
    <definedName name="DiasDaSemana">{"SEGUNDA-FEIRA","TERÇA-FEIRA","QUARTA-FEIRA","QUINTA-FEIRA","SEXTA-FEIRA","SÁBADO","DOMINGO"}</definedName>
    <definedName name="FONTES_RENDA">[1]!FONTES_DE_RENDA[#All]</definedName>
    <definedName name="GABRIEL">#REF!</definedName>
    <definedName name="INDICADORES">#REF!</definedName>
    <definedName name="InícioDaSemana">#REF!</definedName>
    <definedName name="Meses" localSheetId="7">{"janeiro","fevereiro","março","abril","maio","junho","julho","agosto","setembro","outubro","novembro","dezembro"}</definedName>
    <definedName name="Meses" localSheetId="9">{"janeiro","fevereiro","março","abril","maio","junho","julho","agosto","setembro","outubro","novembro","dezembro"}</definedName>
    <definedName name="Meses" localSheetId="16">{"janeiro","fevereiro","março","abril","maio","junho","julho","agosto","setembro","outubro","novembro","dezembro"}</definedName>
    <definedName name="Meses" localSheetId="2">{"janeiro","fevereiro","março","abril","maio","junho","julho","agosto","setembro","outubro","novembro","dezembro"}</definedName>
    <definedName name="Meses" localSheetId="1">{"janeiro","fevereiro","março","abril","maio","junho","julho","agosto","setembro","outubro","novembro","dezembro"}</definedName>
    <definedName name="Meses" localSheetId="8">{"janeiro","fevereiro","março","abril","maio","junho","julho","agosto","setembro","outubro","novembro","dezembro"}</definedName>
    <definedName name="Meses" localSheetId="12">{"janeiro","fevereiro","março","abril","maio","junho","julho","agosto","setembro","outubro","novembro","dezembro"}</definedName>
    <definedName name="Meses" localSheetId="10">{"janeiro","fevereiro","março","abril","maio","junho","julho","agosto","setembro","outubro","novembro","dezembro"}</definedName>
    <definedName name="Meses">{"janeiro","fevereiro","março","abril","maio","junho","julho","agosto","setembro","outubro","novembro","dezembro"}</definedName>
    <definedName name="METAS">[1]!METAS_E_OBJETIVOS[#All]</definedName>
    <definedName name="ORÇAMENTO">[1]!CONTROLE_ORÇAMENTARIO[#All]</definedName>
    <definedName name="PLANO_CONTAS">[1]CADASTROS!$E$9:$I$56</definedName>
    <definedName name="RegiãoTítuloColuna1..H12.1">#REF!</definedName>
    <definedName name="RegiãoTítuloColuna10..H54.1" localSheetId="16">#REF!</definedName>
    <definedName name="RegiãoTítuloColuna10..H54.1" localSheetId="2">#REF!</definedName>
    <definedName name="RegiãoTítuloColuna10..H54.1" localSheetId="1">#REF!</definedName>
    <definedName name="RegiãoTítuloColuna10..H54.1">#REF!</definedName>
    <definedName name="RegiãoTítuloColuna11..C56.1" localSheetId="16">#REF!</definedName>
    <definedName name="RegiãoTítuloColuna11..C56.1" localSheetId="2">#REF!</definedName>
    <definedName name="RegiãoTítuloColuna11..C56.1" localSheetId="1">#REF!</definedName>
    <definedName name="RegiãoTítuloColuna11..C56.1">#REF!</definedName>
    <definedName name="RegiãoTítuloColuna12..D56.1" localSheetId="16">#REF!</definedName>
    <definedName name="RegiãoTítuloColuna12..D56.1" localSheetId="2">#REF!</definedName>
    <definedName name="RegiãoTítuloColuna12..D56.1" localSheetId="1">#REF!</definedName>
    <definedName name="RegiãoTítuloColuna12..D56.1">#REF!</definedName>
    <definedName name="RegiãoTítuloColuna13..H68.1" localSheetId="16">#REF!</definedName>
    <definedName name="RegiãoTítuloColuna13..H68.1" localSheetId="2">#REF!</definedName>
    <definedName name="RegiãoTítuloColuna13..H68.1" localSheetId="1">#REF!</definedName>
    <definedName name="RegiãoTítuloColuna13..H68.1">#REF!</definedName>
    <definedName name="RegiãoTítuloColuna14..C70.1" localSheetId="16">#REF!</definedName>
    <definedName name="RegiãoTítuloColuna14..C70.1" localSheetId="2">#REF!</definedName>
    <definedName name="RegiãoTítuloColuna14..C70.1" localSheetId="1">#REF!</definedName>
    <definedName name="RegiãoTítuloColuna14..C70.1">#REF!</definedName>
    <definedName name="RegiãoTítuloColuna15..D70.1" localSheetId="16">#REF!</definedName>
    <definedName name="RegiãoTítuloColuna15..D70.1" localSheetId="2">#REF!</definedName>
    <definedName name="RegiãoTítuloColuna15..D70.1" localSheetId="1">#REF!</definedName>
    <definedName name="RegiãoTítuloColuna15..D70.1">#REF!</definedName>
    <definedName name="RegiãoTítuloColuna16..H82.1" localSheetId="16">#REF!</definedName>
    <definedName name="RegiãoTítuloColuna16..H82.1" localSheetId="2">#REF!</definedName>
    <definedName name="RegiãoTítuloColuna16..H82.1" localSheetId="1">#REF!</definedName>
    <definedName name="RegiãoTítuloColuna16..H82.1">#REF!</definedName>
    <definedName name="RegiãoTítuloColuna17..C84.1" localSheetId="16">#REF!</definedName>
    <definedName name="RegiãoTítuloColuna17..C84.1" localSheetId="2">#REF!</definedName>
    <definedName name="RegiãoTítuloColuna17..C84.1" localSheetId="1">#REF!</definedName>
    <definedName name="RegiãoTítuloColuna17..C84.1">#REF!</definedName>
    <definedName name="RegiãoTítuloColuna18..D84.1" localSheetId="16">#REF!</definedName>
    <definedName name="RegiãoTítuloColuna18..D84.1" localSheetId="2">#REF!</definedName>
    <definedName name="RegiãoTítuloColuna18..D84.1" localSheetId="1">#REF!</definedName>
    <definedName name="RegiãoTítuloColuna18..D84.1">#REF!</definedName>
    <definedName name="RegiãoTítuloColuna19..H96.1" localSheetId="16">#REF!</definedName>
    <definedName name="RegiãoTítuloColuna19..H96.1" localSheetId="2">#REF!</definedName>
    <definedName name="RegiãoTítuloColuna19..H96.1" localSheetId="1">#REF!</definedName>
    <definedName name="RegiãoTítuloColuna19..H96.1">#REF!</definedName>
    <definedName name="RegiãoTítuloColuna2..C14.1" localSheetId="16">#REF!</definedName>
    <definedName name="RegiãoTítuloColuna2..C14.1" localSheetId="2">#REF!</definedName>
    <definedName name="RegiãoTítuloColuna2..C14.1" localSheetId="1">#REF!</definedName>
    <definedName name="RegiãoTítuloColuna2..C14.1">#REF!</definedName>
    <definedName name="RegiãoTítuloColuna20..C98.1" localSheetId="16">#REF!</definedName>
    <definedName name="RegiãoTítuloColuna20..C98.1" localSheetId="2">#REF!</definedName>
    <definedName name="RegiãoTítuloColuna20..C98.1" localSheetId="1">#REF!</definedName>
    <definedName name="RegiãoTítuloColuna20..C98.1">#REF!</definedName>
    <definedName name="RegiãoTítuloColuna21..D98.1" localSheetId="16">#REF!</definedName>
    <definedName name="RegiãoTítuloColuna21..D98.1" localSheetId="2">#REF!</definedName>
    <definedName name="RegiãoTítuloColuna21..D98.1" localSheetId="1">#REF!</definedName>
    <definedName name="RegiãoTítuloColuna21..D98.1">#REF!</definedName>
    <definedName name="RegiãoTítuloColuna22..H110.1" localSheetId="16">#REF!</definedName>
    <definedName name="RegiãoTítuloColuna22..H110.1" localSheetId="2">#REF!</definedName>
    <definedName name="RegiãoTítuloColuna22..H110.1" localSheetId="1">#REF!</definedName>
    <definedName name="RegiãoTítuloColuna22..H110.1">#REF!</definedName>
    <definedName name="RegiãoTítuloColuna23..C112.1" localSheetId="16">#REF!</definedName>
    <definedName name="RegiãoTítuloColuna23..C112.1" localSheetId="2">#REF!</definedName>
    <definedName name="RegiãoTítuloColuna23..C112.1" localSheetId="1">#REF!</definedName>
    <definedName name="RegiãoTítuloColuna23..C112.1">#REF!</definedName>
    <definedName name="RegiãoTítuloColuna24..D112.1" localSheetId="16">#REF!</definedName>
    <definedName name="RegiãoTítuloColuna24..D112.1" localSheetId="2">#REF!</definedName>
    <definedName name="RegiãoTítuloColuna24..D112.1" localSheetId="1">#REF!</definedName>
    <definedName name="RegiãoTítuloColuna24..D112.1">#REF!</definedName>
    <definedName name="RegiãoTítuloColuna25..H124.1" localSheetId="16">#REF!</definedName>
    <definedName name="RegiãoTítuloColuna25..H124.1" localSheetId="2">#REF!</definedName>
    <definedName name="RegiãoTítuloColuna25..H124.1" localSheetId="1">#REF!</definedName>
    <definedName name="RegiãoTítuloColuna25..H124.1">#REF!</definedName>
    <definedName name="RegiãoTítuloColuna26..C126.1" localSheetId="16">#REF!</definedName>
    <definedName name="RegiãoTítuloColuna26..C126.1" localSheetId="2">#REF!</definedName>
    <definedName name="RegiãoTítuloColuna26..C126.1" localSheetId="1">#REF!</definedName>
    <definedName name="RegiãoTítuloColuna26..C126.1">#REF!</definedName>
    <definedName name="RegiãoTítuloColuna27..D126.1" localSheetId="16">#REF!</definedName>
    <definedName name="RegiãoTítuloColuna27..D126.1" localSheetId="2">#REF!</definedName>
    <definedName name="RegiãoTítuloColuna27..D126.1" localSheetId="1">#REF!</definedName>
    <definedName name="RegiãoTítuloColuna27..D126.1">#REF!</definedName>
    <definedName name="RegiãoTítuloColuna28..H138.1" localSheetId="16">#REF!</definedName>
    <definedName name="RegiãoTítuloColuna28..H138.1" localSheetId="2">#REF!</definedName>
    <definedName name="RegiãoTítuloColuna28..H138.1" localSheetId="1">#REF!</definedName>
    <definedName name="RegiãoTítuloColuna28..H138.1">#REF!</definedName>
    <definedName name="RegiãoTítuloColuna29..C140.1" localSheetId="16">#REF!</definedName>
    <definedName name="RegiãoTítuloColuna29..C140.1" localSheetId="2">#REF!</definedName>
    <definedName name="RegiãoTítuloColuna29..C140.1" localSheetId="1">#REF!</definedName>
    <definedName name="RegiãoTítuloColuna29..C140.1">#REF!</definedName>
    <definedName name="RegiãoTítuloColuna3..D14.1" localSheetId="16">#REF!</definedName>
    <definedName name="RegiãoTítuloColuna3..D14.1" localSheetId="2">#REF!</definedName>
    <definedName name="RegiãoTítuloColuna3..D14.1" localSheetId="1">#REF!</definedName>
    <definedName name="RegiãoTítuloColuna3..D14.1">#REF!</definedName>
    <definedName name="RegiãoTítuloColuna30..D140.1" localSheetId="16">#REF!</definedName>
    <definedName name="RegiãoTítuloColuna30..D140.1" localSheetId="2">#REF!</definedName>
    <definedName name="RegiãoTítuloColuna30..D140.1" localSheetId="1">#REF!</definedName>
    <definedName name="RegiãoTítuloColuna30..D140.1">#REF!</definedName>
    <definedName name="RegiãoTítuloColuna31..H152.1" localSheetId="16">#REF!</definedName>
    <definedName name="RegiãoTítuloColuna31..H152.1" localSheetId="2">#REF!</definedName>
    <definedName name="RegiãoTítuloColuna31..H152.1" localSheetId="1">#REF!</definedName>
    <definedName name="RegiãoTítuloColuna31..H152.1">#REF!</definedName>
    <definedName name="RegiãoTítuloColuna32..C154.1" localSheetId="16">#REF!</definedName>
    <definedName name="RegiãoTítuloColuna32..C154.1" localSheetId="2">#REF!</definedName>
    <definedName name="RegiãoTítuloColuna32..C154.1" localSheetId="1">#REF!</definedName>
    <definedName name="RegiãoTítuloColuna32..C154.1">#REF!</definedName>
    <definedName name="RegiãoTítuloColuna33..D154.1" localSheetId="16">#REF!</definedName>
    <definedName name="RegiãoTítuloColuna33..D154.1" localSheetId="2">#REF!</definedName>
    <definedName name="RegiãoTítuloColuna33..D154.1" localSheetId="1">#REF!</definedName>
    <definedName name="RegiãoTítuloColuna33..D154.1">#REF!</definedName>
    <definedName name="RegiãoTítuloColuna34..H166.1" localSheetId="16">#REF!</definedName>
    <definedName name="RegiãoTítuloColuna34..H166.1" localSheetId="2">#REF!</definedName>
    <definedName name="RegiãoTítuloColuna34..H166.1" localSheetId="1">#REF!</definedName>
    <definedName name="RegiãoTítuloColuna34..H166.1">#REF!</definedName>
    <definedName name="RegiãoTítuloColuna35..C168.1" localSheetId="16">#REF!</definedName>
    <definedName name="RegiãoTítuloColuna35..C168.1" localSheetId="2">#REF!</definedName>
    <definedName name="RegiãoTítuloColuna35..C168.1" localSheetId="1">#REF!</definedName>
    <definedName name="RegiãoTítuloColuna35..C168.1">#REF!</definedName>
    <definedName name="RegiãoTítuloColuna36..D168.1" localSheetId="16">#REF!</definedName>
    <definedName name="RegiãoTítuloColuna36..D168.1" localSheetId="2">#REF!</definedName>
    <definedName name="RegiãoTítuloColuna36..D168.1" localSheetId="1">#REF!</definedName>
    <definedName name="RegiãoTítuloColuna36..D168.1">#REF!</definedName>
    <definedName name="RegiãoTítuloColuna4..H26.1" localSheetId="16">#REF!</definedName>
    <definedName name="RegiãoTítuloColuna4..H26.1" localSheetId="2">#REF!</definedName>
    <definedName name="RegiãoTítuloColuna4..H26.1" localSheetId="1">#REF!</definedName>
    <definedName name="RegiãoTítuloColuna4..H26.1">#REF!</definedName>
    <definedName name="RegiãoTítuloColuna5..C28.1" localSheetId="16">#REF!</definedName>
    <definedName name="RegiãoTítuloColuna5..C28.1" localSheetId="2">#REF!</definedName>
    <definedName name="RegiãoTítuloColuna5..C28.1" localSheetId="1">#REF!</definedName>
    <definedName name="RegiãoTítuloColuna5..C28.1">#REF!</definedName>
    <definedName name="RegiãoTítuloColuna6..D28.1" localSheetId="16">#REF!</definedName>
    <definedName name="RegiãoTítuloColuna6..D28.1" localSheetId="2">#REF!</definedName>
    <definedName name="RegiãoTítuloColuna6..D28.1" localSheetId="1">#REF!</definedName>
    <definedName name="RegiãoTítuloColuna6..D28.1">#REF!</definedName>
    <definedName name="RegiãoTítuloColuna7..H40.1" localSheetId="16">#REF!</definedName>
    <definedName name="RegiãoTítuloColuna7..H40.1" localSheetId="2">#REF!</definedName>
    <definedName name="RegiãoTítuloColuna7..H40.1" localSheetId="1">#REF!</definedName>
    <definedName name="RegiãoTítuloColuna7..H40.1">#REF!</definedName>
    <definedName name="RegiãoTítuloColuna8..C42.1" localSheetId="16">#REF!</definedName>
    <definedName name="RegiãoTítuloColuna8..C42.1" localSheetId="2">#REF!</definedName>
    <definedName name="RegiãoTítuloColuna8..C42.1" localSheetId="1">#REF!</definedName>
    <definedName name="RegiãoTítuloColuna8..C42.1">#REF!</definedName>
    <definedName name="RegiãoTítuloColuna9..D42.1" localSheetId="16">#REF!</definedName>
    <definedName name="RegiãoTítuloColuna9..D42.1" localSheetId="2">#REF!</definedName>
    <definedName name="RegiãoTítuloColuna9..D42.1" localSheetId="1">#REF!</definedName>
    <definedName name="RegiãoTítuloColuna9..D42.1">#REF!</definedName>
    <definedName name="RESPONSAVEIS">[1]!RESPONSAVEL[[#All],[RESPONSÁVEIS]]</definedName>
    <definedName name="RESPONSÁVEIS">[1]!RESPONSAVEL[[#All],[RESPONSÁVEIS]]</definedName>
    <definedName name="SegmentaçãodeDados_DTPG" localSheetId="16">#REF!</definedName>
    <definedName name="SegmentaçãodeDados_DTPG" localSheetId="2">#REF!</definedName>
    <definedName name="SegmentaçãodeDados_DTPG" localSheetId="1">#REF!</definedName>
    <definedName name="SegmentaçãodeDados_DTPG">#REF!</definedName>
    <definedName name="SegmentaçãodeDados_DTPG1" localSheetId="16">#REF!</definedName>
    <definedName name="SegmentaçãodeDados_DTPG1" localSheetId="2">#REF!</definedName>
    <definedName name="SegmentaçãodeDados_DTPG1" localSheetId="1">#REF!</definedName>
    <definedName name="SegmentaçãodeDados_DTPG1">#REF!</definedName>
    <definedName name="SegmentaçãodeDados_DTPG2" localSheetId="16">#REF!</definedName>
    <definedName name="SegmentaçãodeDados_DTPG2" localSheetId="2">#REF!</definedName>
    <definedName name="SegmentaçãodeDados_DTPG2" localSheetId="1">#REF!</definedName>
    <definedName name="SegmentaçãodeDados_DTPG2">#REF!</definedName>
    <definedName name="TESTE" localSheetId="16">#REF!</definedName>
    <definedName name="TESTE" localSheetId="2">#REF!</definedName>
    <definedName name="TESTE" localSheetId="1">#REF!</definedName>
    <definedName name="TESTE">#REF!</definedName>
    <definedName name="ValorDoInícioDaSemana" localSheetId="7">IF([0]!InícioDaSemana="SEGUNDA-FEIRA",2,1)</definedName>
    <definedName name="ValorDoInícioDaSemana" localSheetId="16">IF([0]!InícioDaSemana="SEGUNDA-FEIRA",2,1)</definedName>
    <definedName name="ValorDoInícioDaSemana" localSheetId="2">IF([0]!InícioDaSemana="SEGUNDA-FEIRA",2,1)</definedName>
    <definedName name="ValorDoInícioDaSemana" localSheetId="1">IF([0]!InícioDaSemana="SEGUNDA-FEIRA",2,1)</definedName>
    <definedName name="ValorDoInícioDaSemana">IF([0]!InícioDaSemana="SEGUNDA-FEIRA",2,1)</definedName>
    <definedName name="Vendedor1" localSheetId="7">INDEX('IMAGENS (2)'!$I$4:$I$6,MATCH(AUXILIAR!$C$4,'IMAGENS (2)'!$H$4:$H$6,0))</definedName>
    <definedName name="Vendedor1" localSheetId="9">INDEX('IMAGENS (2)'!$I$4:$I$6,MATCH(AUXILIAR!$C$4,'IMAGENS (2)'!$H$4:$H$6,0))</definedName>
    <definedName name="Vendedor1" localSheetId="8">INDEX('IMAGENS (2)'!$I$4:$I$6,MATCH(AUXILIAR!$C$4,'IMAGENS (2)'!$H$4:$H$6,0))</definedName>
    <definedName name="Vendedor1" localSheetId="12">INDEX('IMAGENS (2)'!$I$4:$I$6,MATCH(AUXILIAR!$C$4,'IMAGENS (2)'!$H$4:$H$6,0))</definedName>
    <definedName name="Vendedor1" localSheetId="10">INDEX('IMAGENS (2)'!$I$4:$I$6,MATCH(AUXILIAR!$C$4,'IMAGENS (2)'!$H$4:$H$6,0))</definedName>
    <definedName name="Vendedor1">INDEX(IMAGENS!$I$4:$I$6,MATCH(#REF!,IMAGENS!$H$4:$H$6,0))</definedName>
    <definedName name="Vendedor2" localSheetId="7">INDEX('IMAGENS (2)'!$I$4:$I$6,MATCH(AUXILIAR!$C$5,'IMAGENS (2)'!$H$4:$H$6,0))</definedName>
    <definedName name="Vendedor2" localSheetId="9">INDEX('IMAGENS (2)'!$I$4:$I$6,MATCH(AUXILIAR!$C$5,'IMAGENS (2)'!$H$4:$H$6,0))</definedName>
    <definedName name="Vendedor2" localSheetId="8">INDEX('IMAGENS (2)'!$I$4:$I$6,MATCH(AUXILIAR!$C$5,'IMAGENS (2)'!$H$4:$H$6,0))</definedName>
    <definedName name="Vendedor2" localSheetId="12">INDEX('IMAGENS (2)'!$I$4:$I$6,MATCH(AUXILIAR!$C$5,'IMAGENS (2)'!$H$4:$H$6,0))</definedName>
    <definedName name="Vendedor2" localSheetId="10">INDEX('IMAGENS (2)'!$I$4:$I$6,MATCH(AUXILIAR!$C$5,'IMAGENS (2)'!$H$4:$H$6,0))</definedName>
    <definedName name="Vendedor2">INDEX(IMAGENS!$I$4:$I$6,MATCH(#REF!,IMAGENS!$H$4:$H$6,0))</definedName>
    <definedName name="Vendedor3" localSheetId="7">INDEX('IMAGENS (2)'!$I$4:$I$6,MATCH(AUXILIAR!$C$6,'IMAGENS (2)'!$H$4:$H$6,0))</definedName>
    <definedName name="Vendedor3" localSheetId="9">INDEX('IMAGENS (2)'!$I$4:$I$6,MATCH(AUXILIAR!$C$6,'IMAGENS (2)'!$H$4:$H$6,0))</definedName>
    <definedName name="Vendedor3" localSheetId="8">INDEX('IMAGENS (2)'!$I$4:$I$6,MATCH(AUXILIAR!$C$6,'IMAGENS (2)'!$H$4:$H$6,0))</definedName>
    <definedName name="Vendedor3" localSheetId="12">INDEX('IMAGENS (2)'!$I$4:$I$6,MATCH(AUXILIAR!$C$6,'IMAGENS (2)'!$H$4:$H$6,0))</definedName>
    <definedName name="Vendedor3" localSheetId="10">INDEX('IMAGENS (2)'!$I$4:$I$6,MATCH(AUXILIAR!$C$6,'IMAGENS (2)'!$H$4:$H$6,0))</definedName>
    <definedName name="Vendedor3">INDEX(IMAGENS!$I$4:$I$6,MATCH(#REF!,IMAGENS!$H$4:$H$6,0))</definedName>
  </definedNames>
  <calcPr calcId="191029"/>
  <pivotCaches>
    <pivotCache cacheId="6" r:id="rId23"/>
    <pivotCache cacheId="7" r:id="rId24"/>
    <pivotCache cacheId="8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3" l="1"/>
  <c r="N22" i="23"/>
  <c r="N23" i="23"/>
  <c r="N20" i="23"/>
  <c r="J31" i="1"/>
  <c r="J32" i="1"/>
  <c r="J33" i="1"/>
  <c r="J34" i="1"/>
  <c r="J30" i="1"/>
  <c r="I31" i="1"/>
  <c r="I32" i="1"/>
  <c r="I33" i="1"/>
  <c r="I34" i="1"/>
  <c r="I30" i="1"/>
  <c r="O33" i="1"/>
  <c r="P33" i="1"/>
  <c r="G30" i="1"/>
  <c r="G31" i="1"/>
  <c r="G32" i="1"/>
  <c r="G33" i="1"/>
  <c r="G34" i="1"/>
  <c r="G23" i="1" l="1"/>
  <c r="J21" i="23"/>
  <c r="J22" i="23"/>
  <c r="J23" i="23"/>
  <c r="J20" i="23"/>
  <c r="K7" i="4" l="1"/>
  <c r="Q6" i="15" l="1"/>
  <c r="H21" i="23"/>
  <c r="H22" i="23"/>
  <c r="H23" i="23"/>
  <c r="H20" i="23"/>
  <c r="T13" i="23"/>
  <c r="E14" i="23"/>
  <c r="F14" i="23"/>
  <c r="E28" i="23"/>
  <c r="E27" i="23"/>
  <c r="E25" i="23"/>
  <c r="D28" i="23"/>
  <c r="D27" i="23"/>
  <c r="D25" i="23"/>
  <c r="F22" i="23"/>
  <c r="C30" i="4"/>
  <c r="C31" i="4"/>
  <c r="C32" i="4"/>
  <c r="T9" i="23"/>
  <c r="T12" i="23" s="1"/>
  <c r="E12" i="23"/>
  <c r="U13" i="23" s="1"/>
  <c r="G12" i="23"/>
  <c r="G14" i="23" s="1"/>
  <c r="I12" i="23"/>
  <c r="I14" i="23" s="1"/>
  <c r="K12" i="23"/>
  <c r="K14" i="23" s="1"/>
  <c r="L12" i="23"/>
  <c r="L14" i="23" s="1"/>
  <c r="M12" i="23"/>
  <c r="M14" i="23" s="1"/>
  <c r="O12" i="23"/>
  <c r="O14" i="23" s="1"/>
  <c r="P12" i="23"/>
  <c r="P14" i="23" s="1"/>
  <c r="Q12" i="23"/>
  <c r="Q14" i="23" s="1"/>
  <c r="R12" i="23"/>
  <c r="R14" i="23" s="1"/>
  <c r="S12" i="23"/>
  <c r="S14" i="23" s="1"/>
  <c r="D12" i="23"/>
  <c r="D26" i="23" s="1"/>
  <c r="X18" i="23"/>
  <c r="S34" i="23"/>
  <c r="R34" i="23"/>
  <c r="R31" i="23"/>
  <c r="S28" i="23"/>
  <c r="R28" i="23"/>
  <c r="Q28" i="23"/>
  <c r="P28" i="23"/>
  <c r="O28" i="23"/>
  <c r="M28" i="23"/>
  <c r="L28" i="23"/>
  <c r="K28" i="23"/>
  <c r="I28" i="23"/>
  <c r="G28" i="23"/>
  <c r="S27" i="23"/>
  <c r="R27" i="23"/>
  <c r="Q27" i="23"/>
  <c r="P27" i="23"/>
  <c r="O27" i="23"/>
  <c r="M27" i="23"/>
  <c r="L27" i="23"/>
  <c r="K27" i="23"/>
  <c r="I27" i="23"/>
  <c r="G27" i="23"/>
  <c r="S26" i="23"/>
  <c r="R26" i="23"/>
  <c r="Q26" i="23"/>
  <c r="P26" i="23"/>
  <c r="O26" i="23"/>
  <c r="M26" i="23"/>
  <c r="L26" i="23"/>
  <c r="K26" i="23"/>
  <c r="I26" i="23"/>
  <c r="G26" i="23"/>
  <c r="E26" i="23"/>
  <c r="S25" i="23"/>
  <c r="R25" i="23"/>
  <c r="Q25" i="23"/>
  <c r="P25" i="23"/>
  <c r="O25" i="23"/>
  <c r="M25" i="23"/>
  <c r="L25" i="23"/>
  <c r="K25" i="23"/>
  <c r="I25" i="23"/>
  <c r="G25" i="23"/>
  <c r="S8" i="23"/>
  <c r="S10" i="23" s="1"/>
  <c r="R8" i="23"/>
  <c r="R10" i="23" s="1"/>
  <c r="Q8" i="23"/>
  <c r="Q10" i="23" s="1"/>
  <c r="O8" i="23"/>
  <c r="O10" i="23" s="1"/>
  <c r="M8" i="23"/>
  <c r="M10" i="23" s="1"/>
  <c r="L8" i="23"/>
  <c r="L10" i="23" s="1"/>
  <c r="K8" i="23"/>
  <c r="K10" i="23" s="1"/>
  <c r="I8" i="23"/>
  <c r="I10" i="23" s="1"/>
  <c r="G8" i="23"/>
  <c r="G10" i="23" s="1"/>
  <c r="E8" i="23"/>
  <c r="E10" i="23" s="1"/>
  <c r="D8" i="23"/>
  <c r="X6" i="23"/>
  <c r="W6" i="23"/>
  <c r="V6" i="23"/>
  <c r="S6" i="23"/>
  <c r="R6" i="23"/>
  <c r="Q6" i="23"/>
  <c r="O6" i="23"/>
  <c r="M6" i="23"/>
  <c r="L6" i="23"/>
  <c r="K6" i="23"/>
  <c r="I6" i="23"/>
  <c r="G6" i="23"/>
  <c r="E6" i="23"/>
  <c r="D6" i="23"/>
  <c r="P5" i="23"/>
  <c r="X5" i="23" s="1"/>
  <c r="X4" i="23"/>
  <c r="W4" i="23"/>
  <c r="V4" i="23"/>
  <c r="T4" i="23"/>
  <c r="P9" i="19"/>
  <c r="Q9" i="19"/>
  <c r="C128" i="15"/>
  <c r="I8" i="15"/>
  <c r="I10" i="15"/>
  <c r="I9" i="15"/>
  <c r="C97" i="15"/>
  <c r="C66" i="15"/>
  <c r="K8" i="4"/>
  <c r="O28" i="19"/>
  <c r="D14" i="23" l="1"/>
  <c r="T14" i="23"/>
  <c r="V13" i="23"/>
  <c r="X21" i="23"/>
  <c r="X19" i="23"/>
  <c r="P8" i="23"/>
  <c r="P10" i="23" s="1"/>
  <c r="P6" i="23"/>
  <c r="V5" i="23"/>
  <c r="T5" i="23"/>
  <c r="W5" i="23"/>
  <c r="D10" i="23"/>
  <c r="Q9" i="15"/>
  <c r="Q8" i="15"/>
  <c r="Q7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R15" i="4"/>
  <c r="R16" i="4"/>
  <c r="R17" i="4"/>
  <c r="R18" i="4"/>
  <c r="R19" i="4"/>
  <c r="R20" i="4"/>
  <c r="Y19" i="23" l="1"/>
  <c r="Y21" i="23"/>
  <c r="U9" i="23"/>
  <c r="T6" i="23"/>
  <c r="T8" i="23"/>
  <c r="T10" i="23" s="1"/>
  <c r="N28" i="19"/>
  <c r="N25" i="19"/>
  <c r="T13" i="19"/>
  <c r="L5" i="19"/>
  <c r="T5" i="19" s="1"/>
  <c r="T6" i="19"/>
  <c r="T12" i="19"/>
  <c r="O19" i="22"/>
  <c r="O9" i="22"/>
  <c r="D29" i="22"/>
  <c r="E29" i="22"/>
  <c r="F29" i="22"/>
  <c r="G29" i="22"/>
  <c r="H29" i="22"/>
  <c r="I29" i="22"/>
  <c r="C29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D24" i="22"/>
  <c r="E24" i="22"/>
  <c r="F24" i="22"/>
  <c r="G24" i="22"/>
  <c r="H24" i="22"/>
  <c r="I24" i="22"/>
  <c r="J24" i="22"/>
  <c r="K24" i="22"/>
  <c r="L24" i="22"/>
  <c r="M24" i="22"/>
  <c r="N24" i="22"/>
  <c r="C24" i="22"/>
  <c r="N18" i="22"/>
  <c r="N20" i="22" s="1"/>
  <c r="M18" i="22"/>
  <c r="M20" i="22" s="1"/>
  <c r="L18" i="22"/>
  <c r="L20" i="22" s="1"/>
  <c r="K18" i="22"/>
  <c r="K20" i="22" s="1"/>
  <c r="J18" i="22"/>
  <c r="I18" i="22"/>
  <c r="I20" i="22" s="1"/>
  <c r="H18" i="22"/>
  <c r="H20" i="22" s="1"/>
  <c r="G18" i="22"/>
  <c r="F18" i="22"/>
  <c r="F20" i="22" s="1"/>
  <c r="E18" i="22"/>
  <c r="D18" i="22"/>
  <c r="D20" i="22" s="1"/>
  <c r="C18" i="22"/>
  <c r="C20" i="22" s="1"/>
  <c r="N16" i="22"/>
  <c r="M16" i="22"/>
  <c r="L16" i="22"/>
  <c r="K16" i="22"/>
  <c r="J16" i="22"/>
  <c r="I16" i="22"/>
  <c r="H16" i="22"/>
  <c r="G16" i="22"/>
  <c r="F16" i="22"/>
  <c r="E16" i="22"/>
  <c r="D16" i="22"/>
  <c r="C16" i="22"/>
  <c r="O15" i="22"/>
  <c r="O14" i="22"/>
  <c r="N8" i="22"/>
  <c r="N10" i="22" s="1"/>
  <c r="M8" i="22"/>
  <c r="M10" i="22" s="1"/>
  <c r="L8" i="22"/>
  <c r="L10" i="22" s="1"/>
  <c r="K8" i="22"/>
  <c r="K10" i="22" s="1"/>
  <c r="J8" i="22"/>
  <c r="J10" i="22" s="1"/>
  <c r="I8" i="22"/>
  <c r="I10" i="22" s="1"/>
  <c r="H8" i="22"/>
  <c r="H10" i="22" s="1"/>
  <c r="G8" i="22"/>
  <c r="G10" i="22" s="1"/>
  <c r="F8" i="22"/>
  <c r="F10" i="22" s="1"/>
  <c r="E8" i="22"/>
  <c r="E10" i="22" s="1"/>
  <c r="D8" i="22"/>
  <c r="D10" i="22" s="1"/>
  <c r="C8" i="22"/>
  <c r="C10" i="22" s="1"/>
  <c r="N6" i="22"/>
  <c r="M6" i="22"/>
  <c r="L6" i="22"/>
  <c r="K6" i="22"/>
  <c r="J6" i="22"/>
  <c r="I6" i="22"/>
  <c r="H6" i="22"/>
  <c r="G6" i="22"/>
  <c r="F6" i="22"/>
  <c r="E6" i="22"/>
  <c r="D6" i="22"/>
  <c r="C6" i="22"/>
  <c r="O5" i="22"/>
  <c r="O4" i="22"/>
  <c r="S6" i="19"/>
  <c r="R6" i="19"/>
  <c r="T4" i="19"/>
  <c r="S4" i="19"/>
  <c r="R4" i="19"/>
  <c r="S8" i="15"/>
  <c r="S9" i="15"/>
  <c r="S7" i="15"/>
  <c r="S6" i="15"/>
  <c r="AC53" i="4"/>
  <c r="AM53" i="4" s="1"/>
  <c r="AW53" i="4" s="1"/>
  <c r="AC52" i="4"/>
  <c r="AM52" i="4" s="1"/>
  <c r="AW52" i="4" s="1"/>
  <c r="AC51" i="4"/>
  <c r="AM51" i="4" s="1"/>
  <c r="AW51" i="4" s="1"/>
  <c r="AC50" i="4"/>
  <c r="AM50" i="4" s="1"/>
  <c r="AW50" i="4" s="1"/>
  <c r="AC49" i="4"/>
  <c r="AM49" i="4" s="1"/>
  <c r="AW49" i="4" s="1"/>
  <c r="AC48" i="4"/>
  <c r="AM48" i="4" s="1"/>
  <c r="AW48" i="4" s="1"/>
  <c r="AC47" i="4"/>
  <c r="AM47" i="4" s="1"/>
  <c r="AW47" i="4" s="1"/>
  <c r="I24" i="3"/>
  <c r="E26" i="22" l="1"/>
  <c r="R5" i="19"/>
  <c r="S5" i="19"/>
  <c r="C26" i="22"/>
  <c r="J28" i="22"/>
  <c r="J30" i="22" s="1"/>
  <c r="K28" i="22"/>
  <c r="K30" i="22" s="1"/>
  <c r="C28" i="22"/>
  <c r="C30" i="22" s="1"/>
  <c r="I26" i="22"/>
  <c r="D28" i="22"/>
  <c r="D30" i="22" s="1"/>
  <c r="H26" i="22"/>
  <c r="E28" i="22"/>
  <c r="E30" i="22" s="1"/>
  <c r="D26" i="22"/>
  <c r="G28" i="22"/>
  <c r="G30" i="22" s="1"/>
  <c r="G26" i="22"/>
  <c r="F28" i="22"/>
  <c r="F30" i="22" s="1"/>
  <c r="J20" i="22"/>
  <c r="F26" i="22"/>
  <c r="O29" i="22"/>
  <c r="N28" i="22"/>
  <c r="N30" i="22" s="1"/>
  <c r="L28" i="22"/>
  <c r="L30" i="22" s="1"/>
  <c r="O24" i="22"/>
  <c r="M28" i="22"/>
  <c r="M30" i="22" s="1"/>
  <c r="E20" i="22"/>
  <c r="O8" i="22"/>
  <c r="O10" i="22" s="1"/>
  <c r="I28" i="22"/>
  <c r="I30" i="22" s="1"/>
  <c r="G20" i="22"/>
  <c r="H28" i="22"/>
  <c r="H30" i="22" s="1"/>
  <c r="O18" i="22"/>
  <c r="O20" i="22" s="1"/>
  <c r="O6" i="22"/>
  <c r="O25" i="22"/>
  <c r="U13" i="19"/>
  <c r="N26" i="22"/>
  <c r="M26" i="22"/>
  <c r="L26" i="22"/>
  <c r="K26" i="22"/>
  <c r="J26" i="22"/>
  <c r="O16" i="22"/>
  <c r="AY51" i="4"/>
  <c r="I102" i="3" s="1"/>
  <c r="AY50" i="4"/>
  <c r="I101" i="3" s="1"/>
  <c r="AO53" i="4"/>
  <c r="I80" i="3" s="1"/>
  <c r="AY52" i="4"/>
  <c r="I103" i="3" s="1"/>
  <c r="AO51" i="4"/>
  <c r="I78" i="3" s="1"/>
  <c r="AO50" i="4"/>
  <c r="I77" i="3" s="1"/>
  <c r="AO49" i="4"/>
  <c r="I76" i="3" s="1"/>
  <c r="AY47" i="4"/>
  <c r="I98" i="3" s="1"/>
  <c r="AB4" i="4"/>
  <c r="AL4" i="4" s="1"/>
  <c r="AL15" i="4" s="1"/>
  <c r="AB5" i="4"/>
  <c r="AL5" i="4" s="1"/>
  <c r="AE53" i="4"/>
  <c r="I55" i="3" s="1"/>
  <c r="AE52" i="4"/>
  <c r="I54" i="3" s="1"/>
  <c r="AE51" i="4"/>
  <c r="I53" i="3" s="1"/>
  <c r="AE50" i="4"/>
  <c r="I52" i="3" s="1"/>
  <c r="AE49" i="4"/>
  <c r="I51" i="3" s="1"/>
  <c r="AE47" i="4"/>
  <c r="I49" i="3" s="1"/>
  <c r="D9" i="4"/>
  <c r="D29" i="4"/>
  <c r="D28" i="4"/>
  <c r="D27" i="4"/>
  <c r="D26" i="4"/>
  <c r="D25" i="4"/>
  <c r="D23" i="4"/>
  <c r="D22" i="4"/>
  <c r="D18" i="4"/>
  <c r="D19" i="4"/>
  <c r="D20" i="4"/>
  <c r="D21" i="4"/>
  <c r="D16" i="4"/>
  <c r="D14" i="4"/>
  <c r="D15" i="4"/>
  <c r="D13" i="4"/>
  <c r="D12" i="4"/>
  <c r="D11" i="4"/>
  <c r="D8" i="4"/>
  <c r="D7" i="4"/>
  <c r="D6" i="4"/>
  <c r="D5" i="4"/>
  <c r="D4" i="4"/>
  <c r="D2" i="4"/>
  <c r="D20" i="19"/>
  <c r="D19" i="19"/>
  <c r="P4" i="19"/>
  <c r="D8" i="19"/>
  <c r="D6" i="19"/>
  <c r="G6" i="17"/>
  <c r="G5" i="17"/>
  <c r="G4" i="17"/>
  <c r="G3" i="17"/>
  <c r="D129" i="15"/>
  <c r="AU4" i="4"/>
  <c r="M3" i="15"/>
  <c r="Q3" i="15"/>
  <c r="D8" i="3" s="1"/>
  <c r="P3" i="15"/>
  <c r="C8" i="3" s="1"/>
  <c r="O3" i="15"/>
  <c r="B8" i="3" s="1"/>
  <c r="E20" i="19"/>
  <c r="F20" i="19"/>
  <c r="G20" i="19"/>
  <c r="H20" i="19"/>
  <c r="I20" i="19"/>
  <c r="J20" i="19"/>
  <c r="K20" i="19"/>
  <c r="L20" i="19"/>
  <c r="M20" i="19"/>
  <c r="N20" i="19"/>
  <c r="O20" i="19"/>
  <c r="E21" i="19"/>
  <c r="F21" i="19"/>
  <c r="G21" i="19"/>
  <c r="H21" i="19"/>
  <c r="I21" i="19"/>
  <c r="J21" i="19"/>
  <c r="K21" i="19"/>
  <c r="L21" i="19"/>
  <c r="M21" i="19"/>
  <c r="N21" i="19"/>
  <c r="O21" i="19"/>
  <c r="E22" i="19"/>
  <c r="F22" i="19"/>
  <c r="G22" i="19"/>
  <c r="H22" i="19"/>
  <c r="I22" i="19"/>
  <c r="J22" i="19"/>
  <c r="K22" i="19"/>
  <c r="L22" i="19"/>
  <c r="M22" i="19"/>
  <c r="N22" i="19"/>
  <c r="O22" i="19"/>
  <c r="O19" i="19"/>
  <c r="N19" i="19"/>
  <c r="M19" i="19"/>
  <c r="L19" i="19"/>
  <c r="K19" i="19"/>
  <c r="J19" i="19"/>
  <c r="I19" i="19"/>
  <c r="H19" i="19"/>
  <c r="G19" i="19"/>
  <c r="F19" i="19"/>
  <c r="E19" i="19"/>
  <c r="D21" i="19"/>
  <c r="D22" i="19"/>
  <c r="M10" i="15" l="1"/>
  <c r="M9" i="15"/>
  <c r="O26" i="22"/>
  <c r="O28" i="22"/>
  <c r="O30" i="22" s="1"/>
  <c r="D10" i="19"/>
  <c r="AB15" i="4"/>
  <c r="AO52" i="4"/>
  <c r="I79" i="3" s="1"/>
  <c r="AY53" i="4"/>
  <c r="I104" i="3" s="1"/>
  <c r="AO47" i="4"/>
  <c r="I74" i="3" s="1"/>
  <c r="AY49" i="4"/>
  <c r="I100" i="3" s="1"/>
  <c r="AL16" i="4"/>
  <c r="AV5" i="4"/>
  <c r="AV16" i="4" s="1"/>
  <c r="AB16" i="4"/>
  <c r="AV4" i="4"/>
  <c r="AV15" i="4" s="1"/>
  <c r="R3" i="15"/>
  <c r="E8" i="3" s="1"/>
  <c r="K3" i="15"/>
  <c r="K10" i="15" l="1"/>
  <c r="K9" i="15"/>
  <c r="C4" i="3"/>
  <c r="E8" i="19"/>
  <c r="F8" i="19"/>
  <c r="F10" i="19" s="1"/>
  <c r="G8" i="19"/>
  <c r="G10" i="19" s="1"/>
  <c r="H8" i="19"/>
  <c r="H10" i="19" s="1"/>
  <c r="I8" i="19"/>
  <c r="I10" i="19" s="1"/>
  <c r="J8" i="19"/>
  <c r="J10" i="19" s="1"/>
  <c r="K8" i="19"/>
  <c r="K10" i="19" s="1"/>
  <c r="L8" i="19"/>
  <c r="L10" i="19" s="1"/>
  <c r="M8" i="19"/>
  <c r="M10" i="19" s="1"/>
  <c r="N8" i="19"/>
  <c r="N10" i="19" s="1"/>
  <c r="O8" i="19"/>
  <c r="O10" i="19" s="1"/>
  <c r="E6" i="19"/>
  <c r="F6" i="19"/>
  <c r="G6" i="19"/>
  <c r="H6" i="19"/>
  <c r="I6" i="19"/>
  <c r="J6" i="19"/>
  <c r="K6" i="19"/>
  <c r="L6" i="19"/>
  <c r="M6" i="19"/>
  <c r="N6" i="19"/>
  <c r="O6" i="19"/>
  <c r="P5" i="19"/>
  <c r="P8" i="19" s="1"/>
  <c r="W48" i="4"/>
  <c r="AG48" i="4" s="1"/>
  <c r="AQ48" i="4" s="1"/>
  <c r="W49" i="4"/>
  <c r="AG49" i="4" s="1"/>
  <c r="AQ49" i="4" s="1"/>
  <c r="W50" i="4"/>
  <c r="AG50" i="4" s="1"/>
  <c r="AQ50" i="4" s="1"/>
  <c r="W51" i="4"/>
  <c r="AG51" i="4" s="1"/>
  <c r="AQ51" i="4" s="1"/>
  <c r="W52" i="4"/>
  <c r="AG52" i="4" s="1"/>
  <c r="AQ52" i="4" s="1"/>
  <c r="W53" i="4"/>
  <c r="AG53" i="4" s="1"/>
  <c r="AQ53" i="4" s="1"/>
  <c r="W47" i="4"/>
  <c r="AG47" i="4" s="1"/>
  <c r="AQ47" i="4" s="1"/>
  <c r="Z48" i="4"/>
  <c r="AJ48" i="4" s="1"/>
  <c r="AT48" i="4" s="1"/>
  <c r="Z49" i="4"/>
  <c r="AJ49" i="4" s="1"/>
  <c r="AT49" i="4" s="1"/>
  <c r="Z50" i="4"/>
  <c r="AJ50" i="4" s="1"/>
  <c r="AT50" i="4" s="1"/>
  <c r="Z51" i="4"/>
  <c r="AJ51" i="4" s="1"/>
  <c r="AT51" i="4" s="1"/>
  <c r="Z52" i="4"/>
  <c r="AJ52" i="4" s="1"/>
  <c r="AT52" i="4" s="1"/>
  <c r="Z53" i="4"/>
  <c r="Z47" i="4"/>
  <c r="AJ47" i="4" s="1"/>
  <c r="AT47" i="4" s="1"/>
  <c r="AC37" i="4"/>
  <c r="AM37" i="4" s="1"/>
  <c r="AW37" i="4" s="1"/>
  <c r="AC38" i="4"/>
  <c r="AM38" i="4" s="1"/>
  <c r="AW38" i="4" s="1"/>
  <c r="AC39" i="4"/>
  <c r="AM39" i="4" s="1"/>
  <c r="AW39" i="4" s="1"/>
  <c r="AC40" i="4"/>
  <c r="AM40" i="4" s="1"/>
  <c r="AW40" i="4" s="1"/>
  <c r="AC41" i="4"/>
  <c r="AM41" i="4" s="1"/>
  <c r="AW41" i="4" s="1"/>
  <c r="AC42" i="4"/>
  <c r="AM42" i="4" s="1"/>
  <c r="AW42" i="4" s="1"/>
  <c r="AC36" i="4"/>
  <c r="AM36" i="4" s="1"/>
  <c r="AW36" i="4" s="1"/>
  <c r="Z37" i="4"/>
  <c r="AJ37" i="4" s="1"/>
  <c r="AT37" i="4" s="1"/>
  <c r="Z38" i="4"/>
  <c r="AJ38" i="4" s="1"/>
  <c r="AT38" i="4" s="1"/>
  <c r="Z39" i="4"/>
  <c r="AJ39" i="4" s="1"/>
  <c r="AT39" i="4" s="1"/>
  <c r="Z40" i="4"/>
  <c r="AJ40" i="4" s="1"/>
  <c r="AT40" i="4" s="1"/>
  <c r="Z41" i="4"/>
  <c r="AJ41" i="4" s="1"/>
  <c r="AT41" i="4" s="1"/>
  <c r="Z42" i="4"/>
  <c r="AJ42" i="4" s="1"/>
  <c r="AT42" i="4" s="1"/>
  <c r="Z36" i="4"/>
  <c r="AJ36" i="4" s="1"/>
  <c r="AT36" i="4" s="1"/>
  <c r="W37" i="4"/>
  <c r="W38" i="4"/>
  <c r="W39" i="4"/>
  <c r="AG39" i="4" s="1"/>
  <c r="W40" i="4"/>
  <c r="W41" i="4"/>
  <c r="AG41" i="4" s="1"/>
  <c r="AQ41" i="4" s="1"/>
  <c r="W42" i="4"/>
  <c r="AG42" i="4" s="1"/>
  <c r="AQ42" i="4" s="1"/>
  <c r="W36" i="4"/>
  <c r="F24" i="3"/>
  <c r="C24" i="3"/>
  <c r="W4" i="4"/>
  <c r="W15" i="4" s="1"/>
  <c r="W5" i="4"/>
  <c r="W16" i="4" s="1"/>
  <c r="W6" i="4"/>
  <c r="W17" i="4" s="1"/>
  <c r="W7" i="4"/>
  <c r="AG7" i="4" s="1"/>
  <c r="AG18" i="4" s="1"/>
  <c r="W8" i="4"/>
  <c r="AG8" i="4" s="1"/>
  <c r="W9" i="4"/>
  <c r="W20" i="4" s="1"/>
  <c r="W3" i="4"/>
  <c r="W14" i="4" s="1"/>
  <c r="N4" i="4"/>
  <c r="N15" i="4" s="1"/>
  <c r="N5" i="4"/>
  <c r="N16" i="4" s="1"/>
  <c r="N6" i="4"/>
  <c r="X6" i="4" s="1"/>
  <c r="X17" i="4" s="1"/>
  <c r="N7" i="4"/>
  <c r="AH7" i="4" s="1"/>
  <c r="N8" i="4"/>
  <c r="N19" i="4" s="1"/>
  <c r="N9" i="4"/>
  <c r="AH9" i="4" s="1"/>
  <c r="AH20" i="4" s="1"/>
  <c r="N3" i="4"/>
  <c r="N14" i="4" s="1"/>
  <c r="M15" i="4"/>
  <c r="M16" i="4"/>
  <c r="M17" i="4"/>
  <c r="M18" i="4"/>
  <c r="M19" i="4"/>
  <c r="M20" i="4"/>
  <c r="M14" i="4"/>
  <c r="AS3" i="4"/>
  <c r="AS4" i="4"/>
  <c r="AS15" i="4" s="1"/>
  <c r="AS5" i="4"/>
  <c r="AS6" i="4"/>
  <c r="AS17" i="4" s="1"/>
  <c r="AS7" i="4"/>
  <c r="AS8" i="4"/>
  <c r="AS19" i="4" s="1"/>
  <c r="AS9" i="4"/>
  <c r="AU9" i="4"/>
  <c r="AU8" i="4"/>
  <c r="AU7" i="4"/>
  <c r="AU6" i="4"/>
  <c r="AU5" i="4"/>
  <c r="AU3" i="4"/>
  <c r="AI3" i="4"/>
  <c r="AI4" i="4"/>
  <c r="AI15" i="4" s="1"/>
  <c r="AI5" i="4"/>
  <c r="AI6" i="4"/>
  <c r="AI17" i="4" s="1"/>
  <c r="AI7" i="4"/>
  <c r="AI8" i="4"/>
  <c r="AI19" i="4" s="1"/>
  <c r="AI9" i="4"/>
  <c r="AK9" i="4"/>
  <c r="AK8" i="4"/>
  <c r="AK7" i="4"/>
  <c r="AK6" i="4"/>
  <c r="AK5" i="4"/>
  <c r="AK4" i="4"/>
  <c r="AK3" i="4"/>
  <c r="AA9" i="4"/>
  <c r="AA8" i="4"/>
  <c r="AA7" i="4"/>
  <c r="AA6" i="4"/>
  <c r="AA5" i="4"/>
  <c r="AA4" i="4"/>
  <c r="AA3" i="4"/>
  <c r="Q9" i="4"/>
  <c r="Q8" i="4"/>
  <c r="Q7" i="4"/>
  <c r="Q6" i="4"/>
  <c r="Q5" i="4"/>
  <c r="Q4" i="4"/>
  <c r="Q3" i="4"/>
  <c r="Y3" i="4"/>
  <c r="Y14" i="4" s="1"/>
  <c r="Y4" i="4"/>
  <c r="Y15" i="4" s="1"/>
  <c r="Y5" i="4"/>
  <c r="Y16" i="4" s="1"/>
  <c r="Y6" i="4"/>
  <c r="Y17" i="4" s="1"/>
  <c r="Y7" i="4"/>
  <c r="Y18" i="4" s="1"/>
  <c r="Y8" i="4"/>
  <c r="Y19" i="4" s="1"/>
  <c r="Y9" i="4"/>
  <c r="Y20" i="4" s="1"/>
  <c r="O4" i="4"/>
  <c r="O15" i="4" s="1"/>
  <c r="O5" i="4"/>
  <c r="O16" i="4" s="1"/>
  <c r="O6" i="4"/>
  <c r="O17" i="4" s="1"/>
  <c r="O7" i="4"/>
  <c r="O18" i="4" s="1"/>
  <c r="O8" i="4"/>
  <c r="O19" i="4" s="1"/>
  <c r="O9" i="4"/>
  <c r="O20" i="4" s="1"/>
  <c r="O3" i="4"/>
  <c r="O14" i="4" s="1"/>
  <c r="C6" i="1"/>
  <c r="B6" i="15" s="1"/>
  <c r="C7" i="1"/>
  <c r="C100" i="15" s="1"/>
  <c r="C8" i="1"/>
  <c r="C101" i="15" s="1"/>
  <c r="C9" i="1"/>
  <c r="C102" i="15" s="1"/>
  <c r="C10" i="1"/>
  <c r="C103" i="15" s="1"/>
  <c r="C11" i="1"/>
  <c r="C104" i="15" s="1"/>
  <c r="C12" i="1"/>
  <c r="C105" i="15" s="1"/>
  <c r="C13" i="1"/>
  <c r="C106" i="15" s="1"/>
  <c r="C14" i="1"/>
  <c r="C107" i="15" s="1"/>
  <c r="C15" i="1"/>
  <c r="C108" i="15" s="1"/>
  <c r="C16" i="1"/>
  <c r="C109" i="15" s="1"/>
  <c r="C17" i="1"/>
  <c r="C110" i="15" s="1"/>
  <c r="C18" i="1"/>
  <c r="C111" i="15" s="1"/>
  <c r="C19" i="1"/>
  <c r="C112" i="15" s="1"/>
  <c r="C20" i="1"/>
  <c r="C113" i="15" s="1"/>
  <c r="C21" i="1"/>
  <c r="C114" i="15" s="1"/>
  <c r="C22" i="1"/>
  <c r="C115" i="15" s="1"/>
  <c r="C23" i="1"/>
  <c r="C116" i="15" s="1"/>
  <c r="C24" i="1"/>
  <c r="C117" i="15" s="1"/>
  <c r="C25" i="1"/>
  <c r="C118" i="15" s="1"/>
  <c r="C26" i="1"/>
  <c r="C119" i="15" s="1"/>
  <c r="C27" i="1"/>
  <c r="C120" i="15" s="1"/>
  <c r="C28" i="1"/>
  <c r="C121" i="15" s="1"/>
  <c r="C29" i="1"/>
  <c r="C122" i="15" s="1"/>
  <c r="C30" i="1"/>
  <c r="C123" i="15" s="1"/>
  <c r="C31" i="1"/>
  <c r="C124" i="15" s="1"/>
  <c r="C32" i="1"/>
  <c r="C33" i="1"/>
  <c r="C34" i="1"/>
  <c r="C35" i="1"/>
  <c r="B35" i="15" s="1"/>
  <c r="C35" i="15" s="1"/>
  <c r="C5" i="1"/>
  <c r="C98" i="15" s="1"/>
  <c r="C22" i="10"/>
  <c r="F20" i="10"/>
  <c r="F22" i="10" s="1"/>
  <c r="I12" i="10"/>
  <c r="F12" i="10"/>
  <c r="C12" i="10"/>
  <c r="H22" i="10" l="1"/>
  <c r="C3" i="10" s="1"/>
  <c r="E10" i="19"/>
  <c r="T15" i="19"/>
  <c r="U15" i="19" s="1"/>
  <c r="P10" i="19"/>
  <c r="F35" i="1"/>
  <c r="F34" i="1"/>
  <c r="B34" i="15"/>
  <c r="C34" i="15" s="1"/>
  <c r="C127" i="15"/>
  <c r="F33" i="1"/>
  <c r="C126" i="15"/>
  <c r="B33" i="15"/>
  <c r="C33" i="15" s="1"/>
  <c r="C125" i="15"/>
  <c r="B32" i="15"/>
  <c r="F17" i="1"/>
  <c r="F18" i="1"/>
  <c r="C99" i="15"/>
  <c r="F16" i="1"/>
  <c r="B25" i="15"/>
  <c r="F10" i="1"/>
  <c r="B24" i="15"/>
  <c r="F32" i="1"/>
  <c r="F9" i="1"/>
  <c r="B17" i="15"/>
  <c r="F26" i="1"/>
  <c r="F8" i="1"/>
  <c r="B16" i="15"/>
  <c r="F25" i="1"/>
  <c r="B9" i="15"/>
  <c r="F24" i="1"/>
  <c r="B8" i="15"/>
  <c r="B26" i="15"/>
  <c r="B18" i="15"/>
  <c r="B10" i="15"/>
  <c r="B5" i="15"/>
  <c r="F31" i="1"/>
  <c r="F23" i="1"/>
  <c r="F15" i="1"/>
  <c r="F7" i="1"/>
  <c r="B31" i="15"/>
  <c r="B23" i="15"/>
  <c r="B15" i="15"/>
  <c r="B7" i="15"/>
  <c r="F30" i="1"/>
  <c r="F22" i="1"/>
  <c r="F14" i="1"/>
  <c r="F6" i="1"/>
  <c r="B30" i="15"/>
  <c r="B22" i="15"/>
  <c r="B14" i="15"/>
  <c r="F29" i="1"/>
  <c r="F21" i="1"/>
  <c r="F13" i="1"/>
  <c r="F5" i="1"/>
  <c r="B29" i="15"/>
  <c r="B21" i="15"/>
  <c r="B13" i="15"/>
  <c r="F28" i="1"/>
  <c r="F20" i="1"/>
  <c r="F12" i="1"/>
  <c r="B28" i="15"/>
  <c r="B20" i="15"/>
  <c r="B12" i="15"/>
  <c r="F27" i="1"/>
  <c r="F19" i="1"/>
  <c r="F11" i="1"/>
  <c r="B27" i="15"/>
  <c r="B19" i="15"/>
  <c r="B11" i="15"/>
  <c r="AQ39" i="4"/>
  <c r="K9" i="4"/>
  <c r="K14" i="4"/>
  <c r="K20" i="4" s="1"/>
  <c r="P6" i="19"/>
  <c r="N18" i="4"/>
  <c r="X3" i="4"/>
  <c r="X9" i="4"/>
  <c r="AG40" i="4"/>
  <c r="AJ53" i="4"/>
  <c r="AH8" i="4"/>
  <c r="AH19" i="4" s="1"/>
  <c r="AG4" i="4"/>
  <c r="AG15" i="4" s="1"/>
  <c r="AG38" i="4"/>
  <c r="AG36" i="4"/>
  <c r="AG37" i="4"/>
  <c r="N20" i="4"/>
  <c r="W18" i="4"/>
  <c r="AH5" i="4"/>
  <c r="AH16" i="4" s="1"/>
  <c r="X7" i="4"/>
  <c r="X5" i="4"/>
  <c r="AG9" i="4"/>
  <c r="AQ9" i="4" s="1"/>
  <c r="AQ20" i="4" s="1"/>
  <c r="X4" i="4"/>
  <c r="AG6" i="4"/>
  <c r="AR7" i="4"/>
  <c r="AH18" i="4"/>
  <c r="AQ8" i="4"/>
  <c r="AG19" i="4"/>
  <c r="AH6" i="4"/>
  <c r="N17" i="4"/>
  <c r="AG5" i="4"/>
  <c r="AR9" i="4"/>
  <c r="X8" i="4"/>
  <c r="AG3" i="4"/>
  <c r="AH3" i="4"/>
  <c r="W19" i="4"/>
  <c r="AH4" i="4"/>
  <c r="AQ7" i="4"/>
  <c r="AQ18" i="4" s="1"/>
  <c r="AA10" i="4"/>
  <c r="AK10" i="4"/>
  <c r="AU10" i="4"/>
  <c r="AS14" i="4"/>
  <c r="AS16" i="4"/>
  <c r="AS18" i="4"/>
  <c r="AS20" i="4"/>
  <c r="AI14" i="4"/>
  <c r="AI16" i="4"/>
  <c r="AI18" i="4"/>
  <c r="AI20" i="4"/>
  <c r="Q10" i="4"/>
  <c r="Q15" i="4"/>
  <c r="Q16" i="4"/>
  <c r="AB8" i="4"/>
  <c r="AL8" i="4" s="1"/>
  <c r="AB7" i="4"/>
  <c r="AL7" i="4" s="1"/>
  <c r="AB6" i="4"/>
  <c r="AL6" i="4" s="1"/>
  <c r="AB9" i="4"/>
  <c r="AL9" i="4" s="1"/>
  <c r="H3" i="17"/>
  <c r="AL19" i="4" l="1"/>
  <c r="AK19" i="4" s="1"/>
  <c r="AI41" i="4" s="1"/>
  <c r="C68" i="3" s="1"/>
  <c r="I7" i="1" s="1"/>
  <c r="AV8" i="4"/>
  <c r="AV19" i="4" s="1"/>
  <c r="AL18" i="4"/>
  <c r="AK18" i="4" s="1"/>
  <c r="AI40" i="4" s="1"/>
  <c r="C67" i="3" s="1"/>
  <c r="I6" i="1" s="1"/>
  <c r="AV7" i="4"/>
  <c r="AV18" i="4" s="1"/>
  <c r="AL17" i="4"/>
  <c r="AV6" i="4"/>
  <c r="AV17" i="4" s="1"/>
  <c r="AL20" i="4"/>
  <c r="AV9" i="4"/>
  <c r="AV20" i="4" s="1"/>
  <c r="AB19" i="4"/>
  <c r="AB17" i="4"/>
  <c r="AA17" i="4" s="1"/>
  <c r="AB18" i="4"/>
  <c r="AB20" i="4"/>
  <c r="Q18" i="4"/>
  <c r="O40" i="4" s="1"/>
  <c r="C17" i="3" s="1"/>
  <c r="G6" i="1" s="1"/>
  <c r="Q19" i="4"/>
  <c r="O41" i="4" s="1"/>
  <c r="C18" i="3" s="1"/>
  <c r="G7" i="1" s="1"/>
  <c r="R14" i="4"/>
  <c r="Q14" i="4" s="1"/>
  <c r="AE36" i="4" s="1"/>
  <c r="I38" i="3" s="1"/>
  <c r="H16" i="1" s="1"/>
  <c r="AB3" i="4"/>
  <c r="Q20" i="4"/>
  <c r="Q17" i="4"/>
  <c r="O39" i="4" s="1"/>
  <c r="C16" i="3" s="1"/>
  <c r="G5" i="1" s="1"/>
  <c r="U48" i="4"/>
  <c r="I25" i="3" s="1"/>
  <c r="U52" i="4"/>
  <c r="I29" i="3" s="1"/>
  <c r="U49" i="4"/>
  <c r="I26" i="3" s="1"/>
  <c r="AQ38" i="4"/>
  <c r="K15" i="4"/>
  <c r="K21" i="4" s="1"/>
  <c r="AQ40" i="4"/>
  <c r="AT53" i="4"/>
  <c r="F3" i="17"/>
  <c r="AQ37" i="4"/>
  <c r="AQ36" i="4"/>
  <c r="X14" i="4"/>
  <c r="AQ4" i="4"/>
  <c r="AQ15" i="4" s="1"/>
  <c r="X20" i="4"/>
  <c r="AR5" i="4"/>
  <c r="AR16" i="4" s="1"/>
  <c r="AR8" i="4"/>
  <c r="AG17" i="4"/>
  <c r="AQ6" i="4"/>
  <c r="AQ17" i="4" s="1"/>
  <c r="X15" i="4"/>
  <c r="X18" i="4"/>
  <c r="AG20" i="4"/>
  <c r="X16" i="4"/>
  <c r="AG16" i="4"/>
  <c r="AQ5" i="4"/>
  <c r="AR3" i="4"/>
  <c r="AH14" i="4"/>
  <c r="AG14" i="4"/>
  <c r="AQ3" i="4"/>
  <c r="AQ14" i="4" s="1"/>
  <c r="AR6" i="4"/>
  <c r="AH17" i="4"/>
  <c r="X19" i="4"/>
  <c r="AR20" i="4"/>
  <c r="AQ19" i="4"/>
  <c r="AH15" i="4"/>
  <c r="AR4" i="4"/>
  <c r="AR18" i="4"/>
  <c r="R49" i="4"/>
  <c r="F26" i="3" s="1"/>
  <c r="R48" i="4"/>
  <c r="F25" i="3" s="1"/>
  <c r="R10" i="4"/>
  <c r="U38" i="4"/>
  <c r="I15" i="3" s="1"/>
  <c r="G18" i="1" s="1"/>
  <c r="O49" i="4"/>
  <c r="C26" i="3" s="1"/>
  <c r="G25" i="1" s="1"/>
  <c r="U37" i="4"/>
  <c r="I14" i="3" s="1"/>
  <c r="G17" i="1" s="1"/>
  <c r="O48" i="4"/>
  <c r="C25" i="3" s="1"/>
  <c r="G24" i="1" s="1"/>
  <c r="O38" i="4"/>
  <c r="C15" i="3" s="1"/>
  <c r="R38" i="4"/>
  <c r="F15" i="3" s="1"/>
  <c r="G11" i="1" s="1"/>
  <c r="O37" i="4"/>
  <c r="C14" i="3" s="1"/>
  <c r="R37" i="4"/>
  <c r="F14" i="3" s="1"/>
  <c r="G10" i="1" s="1"/>
  <c r="O36" i="4"/>
  <c r="C13" i="3" s="1"/>
  <c r="R36" i="4"/>
  <c r="F13" i="3" s="1"/>
  <c r="G9" i="1" s="1"/>
  <c r="J5" i="17"/>
  <c r="J6" i="17"/>
  <c r="J4" i="17"/>
  <c r="J3" i="17"/>
  <c r="L3" i="15" l="1"/>
  <c r="U36" i="4"/>
  <c r="I13" i="3" s="1"/>
  <c r="G16" i="1" s="1"/>
  <c r="M6" i="1"/>
  <c r="AE39" i="4"/>
  <c r="I41" i="3" s="1"/>
  <c r="H19" i="1" s="1"/>
  <c r="Y39" i="4"/>
  <c r="C41" i="3" s="1"/>
  <c r="H5" i="1" s="1"/>
  <c r="AB39" i="4"/>
  <c r="F41" i="3" s="1"/>
  <c r="H12" i="1" s="1"/>
  <c r="Y50" i="4"/>
  <c r="C52" i="3" s="1"/>
  <c r="H26" i="1" s="1"/>
  <c r="AB14" i="4"/>
  <c r="AA14" i="4" s="1"/>
  <c r="Y36" i="4" s="1"/>
  <c r="C38" i="3" s="1"/>
  <c r="AL3" i="4"/>
  <c r="AB50" i="4"/>
  <c r="F52" i="3" s="1"/>
  <c r="H33" i="1" s="1"/>
  <c r="N33" i="1" s="1"/>
  <c r="R52" i="4"/>
  <c r="F29" i="3" s="1"/>
  <c r="M34" i="1" s="1"/>
  <c r="O52" i="4"/>
  <c r="C29" i="3" s="1"/>
  <c r="G28" i="1" s="1"/>
  <c r="R41" i="4"/>
  <c r="F18" i="3" s="1"/>
  <c r="G14" i="1" s="1"/>
  <c r="U41" i="4"/>
  <c r="I18" i="3" s="1"/>
  <c r="G21" i="1" s="1"/>
  <c r="U51" i="4"/>
  <c r="I28" i="3" s="1"/>
  <c r="U50" i="4"/>
  <c r="I27" i="3" s="1"/>
  <c r="R53" i="4"/>
  <c r="F30" i="3" s="1"/>
  <c r="U53" i="4"/>
  <c r="I30" i="3" s="1"/>
  <c r="L5" i="17"/>
  <c r="E4" i="3"/>
  <c r="L4" i="17"/>
  <c r="L6" i="17"/>
  <c r="L7" i="17" s="1"/>
  <c r="L3" i="17"/>
  <c r="U40" i="4"/>
  <c r="I17" i="3" s="1"/>
  <c r="G20" i="1" s="1"/>
  <c r="R50" i="4"/>
  <c r="F27" i="3" s="1"/>
  <c r="R40" i="4"/>
  <c r="F17" i="3" s="1"/>
  <c r="G13" i="1" s="1"/>
  <c r="R51" i="4"/>
  <c r="F28" i="3" s="1"/>
  <c r="O51" i="4"/>
  <c r="C28" i="3" s="1"/>
  <c r="G27" i="1" s="1"/>
  <c r="AA20" i="4"/>
  <c r="AR19" i="4"/>
  <c r="AI51" i="4"/>
  <c r="C78" i="3" s="1"/>
  <c r="I27" i="1" s="1"/>
  <c r="AL51" i="4"/>
  <c r="F78" i="3" s="1"/>
  <c r="AI52" i="4"/>
  <c r="C79" i="3" s="1"/>
  <c r="I28" i="1" s="1"/>
  <c r="AL52" i="4"/>
  <c r="F79" i="3" s="1"/>
  <c r="AL40" i="4"/>
  <c r="F67" i="3" s="1"/>
  <c r="I13" i="1" s="1"/>
  <c r="AO40" i="4"/>
  <c r="I67" i="3" s="1"/>
  <c r="I20" i="1" s="1"/>
  <c r="AL41" i="4"/>
  <c r="F68" i="3" s="1"/>
  <c r="I14" i="1" s="1"/>
  <c r="AO41" i="4"/>
  <c r="I68" i="3" s="1"/>
  <c r="I21" i="1" s="1"/>
  <c r="O42" i="4"/>
  <c r="C19" i="3" s="1"/>
  <c r="G8" i="1" s="1"/>
  <c r="U42" i="4"/>
  <c r="I19" i="3" s="1"/>
  <c r="G22" i="1" s="1"/>
  <c r="O53" i="4"/>
  <c r="C30" i="3" s="1"/>
  <c r="G29" i="1" s="1"/>
  <c r="R39" i="4"/>
  <c r="F16" i="3" s="1"/>
  <c r="G12" i="1" s="1"/>
  <c r="R42" i="4"/>
  <c r="F19" i="3" s="1"/>
  <c r="G15" i="1" s="1"/>
  <c r="U39" i="4"/>
  <c r="I16" i="3" s="1"/>
  <c r="G19" i="1" s="1"/>
  <c r="AB10" i="4"/>
  <c r="AK20" i="4"/>
  <c r="AL53" i="4" s="1"/>
  <c r="F80" i="3" s="1"/>
  <c r="AA15" i="4"/>
  <c r="AE37" i="4" s="1"/>
  <c r="I39" i="3" s="1"/>
  <c r="H17" i="1" s="1"/>
  <c r="AA18" i="4"/>
  <c r="AA16" i="4"/>
  <c r="O50" i="4"/>
  <c r="C27" i="3" s="1"/>
  <c r="G26" i="1" s="1"/>
  <c r="AU20" i="4"/>
  <c r="AV53" i="4" s="1"/>
  <c r="F104" i="3" s="1"/>
  <c r="AA19" i="4"/>
  <c r="AK16" i="4"/>
  <c r="AI38" i="4" s="1"/>
  <c r="C65" i="3" s="1"/>
  <c r="AK17" i="4"/>
  <c r="AI39" i="4" s="1"/>
  <c r="C66" i="3" s="1"/>
  <c r="I5" i="1" s="1"/>
  <c r="AU18" i="4"/>
  <c r="AS40" i="4" s="1"/>
  <c r="C91" i="3" s="1"/>
  <c r="J6" i="1" s="1"/>
  <c r="AK15" i="4"/>
  <c r="AR14" i="4"/>
  <c r="AQ16" i="4"/>
  <c r="AR17" i="4"/>
  <c r="AR15" i="4"/>
  <c r="K3" i="17" l="1"/>
  <c r="L9" i="15"/>
  <c r="L10" i="15"/>
  <c r="D4" i="3"/>
  <c r="K5" i="17"/>
  <c r="K4" i="17"/>
  <c r="K6" i="17"/>
  <c r="K7" i="17" s="1"/>
  <c r="M20" i="1"/>
  <c r="M24" i="1"/>
  <c r="M27" i="1"/>
  <c r="M31" i="1"/>
  <c r="M13" i="1"/>
  <c r="M17" i="1"/>
  <c r="M33" i="1"/>
  <c r="M35" i="1"/>
  <c r="M12" i="1"/>
  <c r="M29" i="1"/>
  <c r="M28" i="1"/>
  <c r="M26" i="1"/>
  <c r="M15" i="1"/>
  <c r="M23" i="1"/>
  <c r="M14" i="1"/>
  <c r="M19" i="1"/>
  <c r="M21" i="1"/>
  <c r="M16" i="1"/>
  <c r="M22" i="1"/>
  <c r="M30" i="1"/>
  <c r="AE41" i="4"/>
  <c r="I43" i="3" s="1"/>
  <c r="H21" i="1" s="1"/>
  <c r="Y41" i="4"/>
  <c r="C43" i="3" s="1"/>
  <c r="H7" i="1" s="1"/>
  <c r="AE40" i="4"/>
  <c r="I42" i="3" s="1"/>
  <c r="H20" i="1" s="1"/>
  <c r="Y40" i="4"/>
  <c r="C42" i="3" s="1"/>
  <c r="H6" i="1" s="1"/>
  <c r="I32" i="3"/>
  <c r="AE38" i="4"/>
  <c r="I40" i="3" s="1"/>
  <c r="H18" i="1" s="1"/>
  <c r="Y38" i="4"/>
  <c r="C40" i="3" s="1"/>
  <c r="AL14" i="4"/>
  <c r="AK14" i="4" s="1"/>
  <c r="AI36" i="4" s="1"/>
  <c r="C63" i="3" s="1"/>
  <c r="AV3" i="4"/>
  <c r="AV14" i="4" s="1"/>
  <c r="AU14" i="4" s="1"/>
  <c r="AL10" i="4"/>
  <c r="AI37" i="4"/>
  <c r="C64" i="3" s="1"/>
  <c r="AO48" i="4"/>
  <c r="AB53" i="4"/>
  <c r="F55" i="3" s="1"/>
  <c r="AE42" i="4"/>
  <c r="I44" i="3" s="1"/>
  <c r="H22" i="1" s="1"/>
  <c r="Y37" i="4"/>
  <c r="C39" i="3" s="1"/>
  <c r="AE48" i="4"/>
  <c r="U56" i="4"/>
  <c r="J7" i="17"/>
  <c r="AS51" i="4"/>
  <c r="C102" i="3" s="1"/>
  <c r="J27" i="1" s="1"/>
  <c r="AV51" i="4"/>
  <c r="F102" i="3" s="1"/>
  <c r="AY42" i="4"/>
  <c r="I93" i="3" s="1"/>
  <c r="J22" i="1" s="1"/>
  <c r="AS53" i="4"/>
  <c r="C104" i="3" s="1"/>
  <c r="J29" i="1" s="1"/>
  <c r="AV40" i="4"/>
  <c r="F91" i="3" s="1"/>
  <c r="J13" i="1" s="1"/>
  <c r="AY40" i="4"/>
  <c r="I91" i="3" s="1"/>
  <c r="J20" i="1" s="1"/>
  <c r="AS42" i="4"/>
  <c r="AV42" i="4"/>
  <c r="F93" i="3" s="1"/>
  <c r="J15" i="1" s="1"/>
  <c r="C21" i="3"/>
  <c r="F32" i="3"/>
  <c r="AB47" i="4"/>
  <c r="F49" i="3" s="1"/>
  <c r="H30" i="1" s="1"/>
  <c r="AB36" i="4"/>
  <c r="F38" i="3" s="1"/>
  <c r="H9" i="1" s="1"/>
  <c r="Y47" i="4"/>
  <c r="C49" i="3" s="1"/>
  <c r="H23" i="1" s="1"/>
  <c r="Y42" i="4"/>
  <c r="AB42" i="4"/>
  <c r="F44" i="3" s="1"/>
  <c r="H15" i="1" s="1"/>
  <c r="Y53" i="4"/>
  <c r="C55" i="3" s="1"/>
  <c r="H29" i="1" s="1"/>
  <c r="AU19" i="4"/>
  <c r="AS41" i="4" s="1"/>
  <c r="C92" i="3" s="1"/>
  <c r="J7" i="1" s="1"/>
  <c r="AI49" i="4"/>
  <c r="C76" i="3" s="1"/>
  <c r="I25" i="1" s="1"/>
  <c r="AL49" i="4"/>
  <c r="F76" i="3" s="1"/>
  <c r="AI50" i="4"/>
  <c r="C77" i="3" s="1"/>
  <c r="I26" i="1" s="1"/>
  <c r="AL50" i="4"/>
  <c r="F77" i="3" s="1"/>
  <c r="AI48" i="4"/>
  <c r="C75" i="3" s="1"/>
  <c r="I24" i="1" s="1"/>
  <c r="AL48" i="4"/>
  <c r="F75" i="3" s="1"/>
  <c r="AL47" i="4"/>
  <c r="F74" i="3" s="1"/>
  <c r="AO42" i="4"/>
  <c r="I69" i="3" s="1"/>
  <c r="I22" i="1" s="1"/>
  <c r="AI53" i="4"/>
  <c r="C80" i="3" s="1"/>
  <c r="I29" i="1" s="1"/>
  <c r="AL38" i="4"/>
  <c r="F65" i="3" s="1"/>
  <c r="I11" i="1" s="1"/>
  <c r="AO38" i="4"/>
  <c r="I65" i="3" s="1"/>
  <c r="I18" i="1" s="1"/>
  <c r="AL37" i="4"/>
  <c r="F64" i="3" s="1"/>
  <c r="I10" i="1" s="1"/>
  <c r="AO37" i="4"/>
  <c r="I64" i="3" s="1"/>
  <c r="I17" i="1" s="1"/>
  <c r="AL39" i="4"/>
  <c r="F66" i="3" s="1"/>
  <c r="I12" i="1" s="1"/>
  <c r="AO39" i="4"/>
  <c r="I66" i="3" s="1"/>
  <c r="I19" i="1" s="1"/>
  <c r="AL36" i="4"/>
  <c r="F63" i="3" s="1"/>
  <c r="I9" i="1" s="1"/>
  <c r="AI42" i="4"/>
  <c r="AL42" i="4"/>
  <c r="F69" i="3" s="1"/>
  <c r="I15" i="1" s="1"/>
  <c r="AB38" i="4"/>
  <c r="F40" i="3" s="1"/>
  <c r="H11" i="1" s="1"/>
  <c r="AB41" i="4"/>
  <c r="F43" i="3" s="1"/>
  <c r="H14" i="1" s="1"/>
  <c r="AB37" i="4"/>
  <c r="F39" i="3" s="1"/>
  <c r="H10" i="1" s="1"/>
  <c r="AB40" i="4"/>
  <c r="F42" i="3" s="1"/>
  <c r="H13" i="1" s="1"/>
  <c r="I21" i="3"/>
  <c r="C32" i="3"/>
  <c r="AB51" i="4"/>
  <c r="F53" i="3" s="1"/>
  <c r="H34" i="1" s="1"/>
  <c r="Y51" i="4"/>
  <c r="C53" i="3" s="1"/>
  <c r="H27" i="1" s="1"/>
  <c r="Y49" i="4"/>
  <c r="C51" i="3" s="1"/>
  <c r="H25" i="1" s="1"/>
  <c r="AB49" i="4"/>
  <c r="F51" i="3" s="1"/>
  <c r="H32" i="1" s="1"/>
  <c r="AB48" i="4"/>
  <c r="F50" i="3" s="1"/>
  <c r="H31" i="1" s="1"/>
  <c r="Y48" i="4"/>
  <c r="C50" i="3" s="1"/>
  <c r="H24" i="1" s="1"/>
  <c r="AU17" i="4"/>
  <c r="AS39" i="4" s="1"/>
  <c r="C90" i="3" s="1"/>
  <c r="J5" i="1" s="1"/>
  <c r="AU16" i="4"/>
  <c r="AS38" i="4" s="1"/>
  <c r="C89" i="3" s="1"/>
  <c r="AU15" i="4"/>
  <c r="AY48" i="4" s="1"/>
  <c r="AB52" i="4"/>
  <c r="F54" i="3" s="1"/>
  <c r="Y52" i="4"/>
  <c r="C54" i="3" s="1"/>
  <c r="H28" i="1" s="1"/>
  <c r="F21" i="3"/>
  <c r="L35" i="1"/>
  <c r="D35" i="1"/>
  <c r="F86" i="10"/>
  <c r="F64" i="10"/>
  <c r="F39" i="10"/>
  <c r="O35" i="1" l="1"/>
  <c r="AO36" i="4"/>
  <c r="I63" i="3" s="1"/>
  <c r="I16" i="1" s="1"/>
  <c r="AI47" i="4"/>
  <c r="C74" i="3" s="1"/>
  <c r="I23" i="1" s="1"/>
  <c r="N35" i="1"/>
  <c r="C30" i="10"/>
  <c r="I46" i="3"/>
  <c r="AY55" i="4"/>
  <c r="I99" i="3"/>
  <c r="I106" i="3" s="1"/>
  <c r="AO55" i="4"/>
  <c r="I75" i="3"/>
  <c r="I82" i="3" s="1"/>
  <c r="AE55" i="4"/>
  <c r="I50" i="3"/>
  <c r="I57" i="3" s="1"/>
  <c r="I33" i="3"/>
  <c r="AV10" i="4"/>
  <c r="AE44" i="4"/>
  <c r="F42" i="10"/>
  <c r="AS37" i="4"/>
  <c r="C88" i="3" s="1"/>
  <c r="AS36" i="4"/>
  <c r="C87" i="3" s="1"/>
  <c r="C93" i="3"/>
  <c r="J8" i="1" s="1"/>
  <c r="F82" i="3"/>
  <c r="C82" i="3"/>
  <c r="I71" i="3"/>
  <c r="F71" i="3"/>
  <c r="AI44" i="4"/>
  <c r="C69" i="3"/>
  <c r="I8" i="1" s="1"/>
  <c r="F41" i="10"/>
  <c r="F38" i="10"/>
  <c r="F57" i="3"/>
  <c r="F40" i="10"/>
  <c r="C57" i="3"/>
  <c r="F46" i="3"/>
  <c r="Y44" i="4"/>
  <c r="C44" i="3"/>
  <c r="H8" i="1" s="1"/>
  <c r="AS48" i="4"/>
  <c r="C99" i="3" s="1"/>
  <c r="J24" i="1" s="1"/>
  <c r="AV48" i="4"/>
  <c r="F99" i="3" s="1"/>
  <c r="AS49" i="4"/>
  <c r="C100" i="3" s="1"/>
  <c r="J25" i="1" s="1"/>
  <c r="AV49" i="4"/>
  <c r="F100" i="3" s="1"/>
  <c r="AS50" i="4"/>
  <c r="C101" i="3" s="1"/>
  <c r="J26" i="1" s="1"/>
  <c r="AV50" i="4"/>
  <c r="F101" i="3" s="1"/>
  <c r="AS52" i="4"/>
  <c r="C103" i="3" s="1"/>
  <c r="J28" i="1" s="1"/>
  <c r="AV52" i="4"/>
  <c r="F103" i="3" s="1"/>
  <c r="AS47" i="4"/>
  <c r="C98" i="3" s="1"/>
  <c r="J23" i="1" s="1"/>
  <c r="AV47" i="4"/>
  <c r="F98" i="3" s="1"/>
  <c r="AV41" i="4"/>
  <c r="F92" i="3" s="1"/>
  <c r="J14" i="1" s="1"/>
  <c r="AY41" i="4"/>
  <c r="I92" i="3" s="1"/>
  <c r="J21" i="1" s="1"/>
  <c r="AV36" i="4"/>
  <c r="F87" i="3" s="1"/>
  <c r="J9" i="1" s="1"/>
  <c r="AY36" i="4"/>
  <c r="I87" i="3" s="1"/>
  <c r="J16" i="1" s="1"/>
  <c r="AV37" i="4"/>
  <c r="F88" i="3" s="1"/>
  <c r="J10" i="1" s="1"/>
  <c r="AY37" i="4"/>
  <c r="I88" i="3" s="1"/>
  <c r="J17" i="1" s="1"/>
  <c r="AV38" i="4"/>
  <c r="F89" i="3" s="1"/>
  <c r="J11" i="1" s="1"/>
  <c r="AY38" i="4"/>
  <c r="I89" i="3" s="1"/>
  <c r="J18" i="1" s="1"/>
  <c r="AV39" i="4"/>
  <c r="F90" i="3" s="1"/>
  <c r="J12" i="1" s="1"/>
  <c r="AY39" i="4"/>
  <c r="I90" i="3" s="1"/>
  <c r="J19" i="1" s="1"/>
  <c r="AO44" i="4"/>
  <c r="AB44" i="4"/>
  <c r="AL55" i="4"/>
  <c r="AI55" i="4"/>
  <c r="AL44" i="4"/>
  <c r="C11" i="3"/>
  <c r="J3" i="15" s="1"/>
  <c r="AB55" i="4"/>
  <c r="Y55" i="4"/>
  <c r="C31" i="15"/>
  <c r="C32" i="15"/>
  <c r="C37" i="10"/>
  <c r="C31" i="10"/>
  <c r="F27" i="10"/>
  <c r="I27" i="10"/>
  <c r="C84" i="10"/>
  <c r="C86" i="10"/>
  <c r="F84" i="10"/>
  <c r="I74" i="10"/>
  <c r="I76" i="10"/>
  <c r="F74" i="10"/>
  <c r="F76" i="10"/>
  <c r="C75" i="10"/>
  <c r="C74" i="10"/>
  <c r="C60" i="10"/>
  <c r="C61" i="10"/>
  <c r="C62" i="10"/>
  <c r="C63" i="10"/>
  <c r="C64" i="10"/>
  <c r="C59" i="10"/>
  <c r="F60" i="10"/>
  <c r="F61" i="10"/>
  <c r="F62" i="10"/>
  <c r="F59" i="10"/>
  <c r="C53" i="10"/>
  <c r="C52" i="10"/>
  <c r="I50" i="10"/>
  <c r="I51" i="10"/>
  <c r="I52" i="10"/>
  <c r="I53" i="10"/>
  <c r="I54" i="10"/>
  <c r="I49" i="10"/>
  <c r="F50" i="10"/>
  <c r="F51" i="10"/>
  <c r="F52" i="10"/>
  <c r="F53" i="10"/>
  <c r="F54" i="10"/>
  <c r="F49" i="10"/>
  <c r="F37" i="10"/>
  <c r="C38" i="10"/>
  <c r="C39" i="10"/>
  <c r="C40" i="10"/>
  <c r="C41" i="10"/>
  <c r="C42" i="10"/>
  <c r="I28" i="10"/>
  <c r="I29" i="10"/>
  <c r="I30" i="10"/>
  <c r="I31" i="10"/>
  <c r="I32" i="10"/>
  <c r="F28" i="10"/>
  <c r="F29" i="10"/>
  <c r="F30" i="10"/>
  <c r="F31" i="10"/>
  <c r="F32" i="10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G4" i="11"/>
  <c r="G5" i="11"/>
  <c r="G6" i="11"/>
  <c r="G7" i="11"/>
  <c r="J10" i="15" l="1"/>
  <c r="J9" i="15"/>
  <c r="P35" i="1"/>
  <c r="B4" i="3"/>
  <c r="F71" i="10"/>
  <c r="C54" i="10"/>
  <c r="C76" i="10"/>
  <c r="I71" i="10"/>
  <c r="F81" i="10"/>
  <c r="C81" i="10"/>
  <c r="AP55" i="4"/>
  <c r="AF55" i="4"/>
  <c r="AS44" i="4"/>
  <c r="I4" i="17"/>
  <c r="I5" i="17"/>
  <c r="I6" i="17"/>
  <c r="I7" i="17" s="1"/>
  <c r="I3" i="17"/>
  <c r="F82" i="10"/>
  <c r="C83" i="10"/>
  <c r="F83" i="10"/>
  <c r="F106" i="3"/>
  <c r="I75" i="10"/>
  <c r="I73" i="10"/>
  <c r="C82" i="10"/>
  <c r="C85" i="10"/>
  <c r="C106" i="3"/>
  <c r="F72" i="10"/>
  <c r="I95" i="3"/>
  <c r="I72" i="10"/>
  <c r="F73" i="10"/>
  <c r="F75" i="10"/>
  <c r="F95" i="3"/>
  <c r="C95" i="3"/>
  <c r="C71" i="3"/>
  <c r="C61" i="3" s="1"/>
  <c r="C46" i="3"/>
  <c r="C36" i="3" s="1"/>
  <c r="C32" i="10"/>
  <c r="AS55" i="4"/>
  <c r="AV55" i="4"/>
  <c r="AY44" i="4"/>
  <c r="AV44" i="4"/>
  <c r="H4" i="17"/>
  <c r="H6" i="17"/>
  <c r="F6" i="17" s="1"/>
  <c r="H5" i="17"/>
  <c r="F5" i="17" s="1"/>
  <c r="L8" i="15"/>
  <c r="C71" i="10"/>
  <c r="C72" i="10"/>
  <c r="C73" i="10"/>
  <c r="P34" i="1"/>
  <c r="O34" i="1"/>
  <c r="N34" i="1"/>
  <c r="L30" i="1"/>
  <c r="L31" i="1"/>
  <c r="L32" i="1"/>
  <c r="L33" i="1"/>
  <c r="L34" i="1"/>
  <c r="D31" i="1"/>
  <c r="D32" i="1"/>
  <c r="D33" i="1"/>
  <c r="D34" i="1"/>
  <c r="C66" i="10"/>
  <c r="C51" i="10"/>
  <c r="C50" i="10"/>
  <c r="C49" i="10"/>
  <c r="C29" i="10"/>
  <c r="C28" i="10"/>
  <c r="C27" i="10"/>
  <c r="T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D28" i="1"/>
  <c r="D29" i="1"/>
  <c r="D30" i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D35" i="4"/>
  <c r="K4" i="4"/>
  <c r="I58" i="3" l="1"/>
  <c r="I83" i="3"/>
  <c r="N28" i="1"/>
  <c r="O28" i="1"/>
  <c r="P28" i="1"/>
  <c r="O31" i="1"/>
  <c r="P31" i="1"/>
  <c r="N31" i="1"/>
  <c r="N30" i="1"/>
  <c r="O30" i="1"/>
  <c r="P30" i="1"/>
  <c r="O29" i="1"/>
  <c r="N29" i="1"/>
  <c r="P29" i="1"/>
  <c r="O32" i="1"/>
  <c r="M32" i="1"/>
  <c r="N32" i="1"/>
  <c r="P32" i="1"/>
  <c r="I107" i="3"/>
  <c r="AZ55" i="4"/>
  <c r="F4" i="17"/>
  <c r="C3" i="17"/>
  <c r="B3" i="17" s="1"/>
  <c r="C4" i="17"/>
  <c r="C5" i="17"/>
  <c r="C85" i="3"/>
  <c r="K8" i="15"/>
  <c r="M8" i="15"/>
  <c r="J8" i="15"/>
  <c r="J15" i="15" s="1"/>
  <c r="N4" i="17"/>
  <c r="O5" i="17"/>
  <c r="P6" i="17"/>
  <c r="O4" i="17"/>
  <c r="M4" i="17"/>
  <c r="M6" i="17"/>
  <c r="N6" i="17"/>
  <c r="P4" i="17"/>
  <c r="O6" i="17"/>
  <c r="M5" i="17"/>
  <c r="N5" i="17"/>
  <c r="P5" i="17"/>
  <c r="F63" i="10"/>
  <c r="F66" i="10" s="1"/>
  <c r="F85" i="10"/>
  <c r="F88" i="10" s="1"/>
  <c r="F44" i="10"/>
  <c r="C78" i="10"/>
  <c r="C88" i="10"/>
  <c r="I78" i="10"/>
  <c r="F78" i="10"/>
  <c r="C56" i="10"/>
  <c r="C34" i="10"/>
  <c r="C44" i="10"/>
  <c r="F56" i="10"/>
  <c r="I56" i="10"/>
  <c r="I34" i="10"/>
  <c r="F34" i="10"/>
  <c r="D27" i="1"/>
  <c r="D26" i="1"/>
  <c r="D25" i="1"/>
  <c r="O25" i="1" l="1"/>
  <c r="M25" i="1"/>
  <c r="N25" i="1"/>
  <c r="P25" i="1"/>
  <c r="N27" i="1"/>
  <c r="O27" i="1"/>
  <c r="P27" i="1"/>
  <c r="N26" i="1"/>
  <c r="O26" i="1"/>
  <c r="P26" i="1"/>
  <c r="B5" i="17"/>
  <c r="B4" i="17"/>
  <c r="H44" i="10"/>
  <c r="C25" i="10" s="1"/>
  <c r="O3" i="17"/>
  <c r="M3" i="17"/>
  <c r="P3" i="17"/>
  <c r="N3" i="17"/>
  <c r="H88" i="10"/>
  <c r="C69" i="10" s="1"/>
  <c r="H66" i="10"/>
  <c r="C47" i="10" s="1"/>
  <c r="K18" i="15" l="1"/>
  <c r="K25" i="15" s="1"/>
  <c r="K16" i="15"/>
  <c r="K23" i="15" s="1"/>
  <c r="K17" i="15"/>
  <c r="K24" i="15" s="1"/>
  <c r="K15" i="15"/>
  <c r="K22" i="15" s="1"/>
  <c r="L15" i="15"/>
  <c r="L22" i="15" s="1"/>
  <c r="L17" i="15"/>
  <c r="L24" i="15" s="1"/>
  <c r="L16" i="15"/>
  <c r="L23" i="15" s="1"/>
  <c r="L18" i="15"/>
  <c r="L25" i="15" s="1"/>
  <c r="M17" i="15"/>
  <c r="M24" i="15" s="1"/>
  <c r="M15" i="15"/>
  <c r="M22" i="15" s="1"/>
  <c r="M18" i="15"/>
  <c r="M25" i="15" s="1"/>
  <c r="M16" i="15"/>
  <c r="M23" i="15" s="1"/>
  <c r="J18" i="15" l="1"/>
  <c r="J25" i="15" s="1"/>
  <c r="J16" i="15"/>
  <c r="J23" i="15" s="1"/>
  <c r="J17" i="15"/>
  <c r="J24" i="15" s="1"/>
  <c r="D13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R56" i="4"/>
  <c r="O56" i="4"/>
  <c r="U44" i="4"/>
  <c r="R44" i="4"/>
  <c r="O44" i="4"/>
  <c r="C8" i="4"/>
  <c r="C7" i="4"/>
  <c r="C6" i="4"/>
  <c r="C5" i="4"/>
  <c r="C4" i="4"/>
  <c r="C3" i="4"/>
  <c r="C2" i="4"/>
  <c r="C34" i="2"/>
  <c r="E36" i="1"/>
  <c r="C27" i="2" s="1"/>
  <c r="D24" i="1"/>
  <c r="D23" i="1"/>
  <c r="D22" i="1"/>
  <c r="D21" i="1"/>
  <c r="D20" i="1"/>
  <c r="D19" i="1"/>
  <c r="D18" i="1"/>
  <c r="D17" i="1"/>
  <c r="D16" i="1"/>
  <c r="D15" i="1"/>
  <c r="D14" i="1"/>
  <c r="D12" i="1"/>
  <c r="D11" i="1"/>
  <c r="D10" i="1"/>
  <c r="S9" i="1"/>
  <c r="Z9" i="1" s="1"/>
  <c r="D9" i="1"/>
  <c r="S8" i="1"/>
  <c r="Z8" i="1" s="1"/>
  <c r="D8" i="1"/>
  <c r="S7" i="1"/>
  <c r="Z7" i="1" s="1"/>
  <c r="D7" i="1"/>
  <c r="S6" i="1"/>
  <c r="Z6" i="1" s="1"/>
  <c r="D6" i="1"/>
  <c r="S5" i="1"/>
  <c r="D5" i="1"/>
  <c r="M11" i="1" l="1"/>
  <c r="O11" i="1"/>
  <c r="N11" i="1"/>
  <c r="P11" i="1"/>
  <c r="N20" i="1"/>
  <c r="P20" i="1"/>
  <c r="O20" i="1"/>
  <c r="M7" i="1"/>
  <c r="N7" i="1"/>
  <c r="O7" i="1"/>
  <c r="P7" i="1"/>
  <c r="P12" i="1"/>
  <c r="N12" i="1"/>
  <c r="O12" i="1"/>
  <c r="N21" i="1"/>
  <c r="O21" i="1"/>
  <c r="P21" i="1"/>
  <c r="N14" i="1"/>
  <c r="O14" i="1"/>
  <c r="P14" i="1"/>
  <c r="N22" i="1"/>
  <c r="O22" i="1"/>
  <c r="P22" i="1"/>
  <c r="O24" i="1"/>
  <c r="P24" i="1"/>
  <c r="N24" i="1"/>
  <c r="N13" i="1"/>
  <c r="O13" i="1"/>
  <c r="P13" i="1"/>
  <c r="N6" i="1"/>
  <c r="P6" i="1"/>
  <c r="O6" i="1"/>
  <c r="O10" i="1"/>
  <c r="M10" i="1"/>
  <c r="P10" i="1"/>
  <c r="N10" i="1"/>
  <c r="M8" i="1"/>
  <c r="O8" i="1"/>
  <c r="N8" i="1"/>
  <c r="P8" i="1"/>
  <c r="O15" i="1"/>
  <c r="N15" i="1"/>
  <c r="P15" i="1"/>
  <c r="N23" i="1"/>
  <c r="O23" i="1"/>
  <c r="P23" i="1"/>
  <c r="N16" i="1"/>
  <c r="O16" i="1"/>
  <c r="P16" i="1"/>
  <c r="M5" i="1"/>
  <c r="N5" i="1"/>
  <c r="M9" i="1"/>
  <c r="N9" i="1"/>
  <c r="O9" i="1"/>
  <c r="P9" i="1"/>
  <c r="O17" i="1"/>
  <c r="P17" i="1"/>
  <c r="N17" i="1"/>
  <c r="M18" i="1"/>
  <c r="O18" i="1"/>
  <c r="N18" i="1"/>
  <c r="P18" i="1"/>
  <c r="N19" i="1"/>
  <c r="O19" i="1"/>
  <c r="P19" i="1"/>
  <c r="V56" i="4"/>
  <c r="J22" i="15"/>
  <c r="AD5" i="1"/>
  <c r="AA7" i="1"/>
  <c r="AB7" i="1" s="1"/>
  <c r="AC7" i="1" s="1"/>
  <c r="AD7" i="1" s="1"/>
  <c r="AA9" i="1"/>
  <c r="AB9" i="1" s="1"/>
  <c r="AC9" i="1" s="1"/>
  <c r="AD9" i="1" s="1"/>
  <c r="AA8" i="1"/>
  <c r="AB8" i="1" s="1"/>
  <c r="AC8" i="1" s="1"/>
  <c r="AD8" i="1" s="1"/>
  <c r="C22" i="2"/>
  <c r="AC5" i="1"/>
  <c r="C23" i="2"/>
  <c r="AA6" i="1"/>
  <c r="AB6" i="1" s="1"/>
  <c r="AC6" i="1" s="1"/>
  <c r="AD6" i="1" s="1"/>
  <c r="C35" i="2"/>
  <c r="C21" i="2"/>
  <c r="C20" i="2"/>
  <c r="C19" i="2"/>
  <c r="C24" i="2"/>
  <c r="Z5" i="1"/>
  <c r="AA5" i="1"/>
  <c r="AB5" i="1"/>
  <c r="I36" i="1" l="1"/>
  <c r="C31" i="2" s="1"/>
  <c r="D31" i="2" s="1"/>
  <c r="P5" i="1"/>
  <c r="O5" i="1"/>
  <c r="J36" i="1"/>
  <c r="C32" i="2" s="1"/>
  <c r="E32" i="2" s="1"/>
  <c r="H36" i="1"/>
  <c r="C30" i="2" s="1"/>
  <c r="E30" i="2" s="1"/>
  <c r="G36" i="1"/>
  <c r="C29" i="2" s="1"/>
  <c r="D29" i="2" s="1"/>
  <c r="C25" i="2"/>
  <c r="D20" i="2" s="1"/>
  <c r="D32" i="2" l="1"/>
  <c r="E31" i="2"/>
  <c r="D30" i="2"/>
  <c r="E29" i="2"/>
  <c r="D23" i="2"/>
  <c r="D19" i="2"/>
  <c r="D22" i="2"/>
  <c r="D21" i="2"/>
  <c r="D25" i="2"/>
  <c r="D2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<sst xmlns="http://schemas.openxmlformats.org/spreadsheetml/2006/main" count="1293" uniqueCount="134">
  <si>
    <t>VENDAS - METAS INDIVIDUAIS</t>
  </si>
  <si>
    <t>META MÍNIMA</t>
  </si>
  <si>
    <t>TOP 1</t>
  </si>
  <si>
    <t>TOP 2</t>
  </si>
  <si>
    <t>MASTER</t>
  </si>
  <si>
    <t>VENDAS - ONLINE</t>
  </si>
  <si>
    <t>MÍNIMO</t>
  </si>
  <si>
    <t>MÍNIMA</t>
  </si>
  <si>
    <t>SEMANA 1</t>
  </si>
  <si>
    <t>SEMANA 2</t>
  </si>
  <si>
    <t>SEMANA 3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</si>
  <si>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</si>
  <si>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</si>
  <si>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</si>
  <si>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</si>
  <si>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</si>
  <si>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</si>
  <si>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</si>
  <si>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TOTAL</t>
  </si>
  <si>
    <t>SEMANA 4</t>
  </si>
  <si>
    <t>SEMANA 5</t>
  </si>
  <si>
    <t>TOTAL DO MÊS</t>
  </si>
  <si>
    <t>CENÁRIO 1</t>
  </si>
  <si>
    <t>CENÁRIO 2</t>
  </si>
  <si>
    <t>CENÁRIO 3</t>
  </si>
  <si>
    <t>CENÁRIO 4</t>
  </si>
  <si>
    <t>DATA</t>
  </si>
  <si>
    <t>DIA DA SEMANA</t>
  </si>
  <si>
    <t>VALOR</t>
  </si>
  <si>
    <t>ANO</t>
  </si>
  <si>
    <t>%</t>
  </si>
  <si>
    <t>FATURAMENTO</t>
  </si>
  <si>
    <t>MÊS</t>
  </si>
  <si>
    <t>META MENSAL</t>
  </si>
  <si>
    <t>PERCENTUAL DE REPRESENTATIVIDADE</t>
  </si>
  <si>
    <t>QUANTIDADE</t>
  </si>
  <si>
    <t>DIAS ÚTEIS</t>
  </si>
  <si>
    <t>MÉDIA/ DIA</t>
  </si>
  <si>
    <t>TOP1</t>
  </si>
  <si>
    <t>Total Geral</t>
  </si>
  <si>
    <t>Total</t>
  </si>
  <si>
    <t>VALOR DO DIA DA SEMANA</t>
  </si>
  <si>
    <t>DISTRIBUIÇÃO DA META</t>
  </si>
  <si>
    <t>NÃO</t>
  </si>
  <si>
    <t>SIM</t>
  </si>
  <si>
    <t xml:space="preserve"> </t>
  </si>
  <si>
    <t>METAS POR DIA - DIFERENÇA</t>
  </si>
  <si>
    <t>VENDAS /SEMANA</t>
  </si>
  <si>
    <t>Valores &gt; 0</t>
  </si>
  <si>
    <t xml:space="preserve">Valores realizados sufientes para suprir a meta. O valor negativo significa a diferença superada na semana. </t>
  </si>
  <si>
    <t>CÓDIGO</t>
  </si>
  <si>
    <t>VALOR REALIZADO</t>
  </si>
  <si>
    <t>SEMANA</t>
  </si>
  <si>
    <t>TOP2</t>
  </si>
  <si>
    <t>Semana 1</t>
  </si>
  <si>
    <t>Valores &lt; 0</t>
  </si>
  <si>
    <t xml:space="preserve">Valores realizados não sufientes para suprir a meta. O valor positivo significa a diferença não alcançada. </t>
  </si>
  <si>
    <t>Semana 2</t>
  </si>
  <si>
    <t>Semana 3</t>
  </si>
  <si>
    <t>Semana 4</t>
  </si>
  <si>
    <t>Semana 5</t>
  </si>
  <si>
    <t>VENDA</t>
  </si>
  <si>
    <t>REALIZADO</t>
  </si>
  <si>
    <t>DIVISÃO DAS METAS</t>
  </si>
  <si>
    <t>DIFERENÇA</t>
  </si>
  <si>
    <t>% ALCANCE DA META</t>
  </si>
  <si>
    <t>MELHOR VENDA DIÁRIA</t>
  </si>
  <si>
    <t>MELHOR SEMANA</t>
  </si>
  <si>
    <t>METAS INDIVIDUAIS</t>
  </si>
  <si>
    <t>Rótulos de Linha</t>
  </si>
  <si>
    <t>META INDIVIDUAL</t>
  </si>
  <si>
    <t>VENDEDOR</t>
  </si>
  <si>
    <t>CRIS</t>
  </si>
  <si>
    <t>VITÓRIA</t>
  </si>
  <si>
    <t>NARA</t>
  </si>
  <si>
    <t>SHERON</t>
  </si>
  <si>
    <t>NOME</t>
  </si>
  <si>
    <t>FOTO</t>
  </si>
  <si>
    <t>MELHOR VENDEDORA</t>
  </si>
  <si>
    <t>QUANTIDADE DE VENDEDORAS</t>
  </si>
  <si>
    <t>% ONLINE</t>
  </si>
  <si>
    <t>METAS POR DIA</t>
  </si>
  <si>
    <t>AIANE</t>
  </si>
  <si>
    <t>ALINE</t>
  </si>
  <si>
    <t>LOJA</t>
  </si>
  <si>
    <t>META VENDEDORA</t>
  </si>
  <si>
    <t>ONLINE</t>
  </si>
  <si>
    <t>VENDAS /MÊS DIFERENÇA</t>
  </si>
  <si>
    <t>VENDEDORA</t>
  </si>
  <si>
    <t>STATUS META</t>
  </si>
  <si>
    <t>COMISSÕES VALORES</t>
  </si>
  <si>
    <t>ITAPIPOCA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</si>
  <si>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</si>
  <si>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</si>
  <si>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</si>
  <si>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</si>
  <si>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</si>
  <si>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</si>
  <si>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</si>
  <si>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</si>
  <si>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</si>
  <si>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</si>
  <si>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</si>
  <si>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</si>
  <si>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CRESCIMENTO 2023/2024</t>
  </si>
  <si>
    <t>TAXA DE CRESCIMENTO ESPERADA 2025</t>
  </si>
  <si>
    <t>FATURAMENTO ESPERADO 2025</t>
  </si>
  <si>
    <t>FATURAMENTO REAL</t>
  </si>
  <si>
    <t>DIFRENÇA</t>
  </si>
  <si>
    <t>Ranking</t>
  </si>
  <si>
    <t>VENDAS</t>
  </si>
  <si>
    <t>(vazio)</t>
  </si>
  <si>
    <t>Soma de VALOR2</t>
  </si>
  <si>
    <t>SEMANA 6</t>
  </si>
  <si>
    <t>SOBRAL</t>
  </si>
  <si>
    <t>Ano</t>
  </si>
  <si>
    <t>Fat. Máx</t>
  </si>
  <si>
    <t>Fat. Mín</t>
  </si>
  <si>
    <t>Média de Faturamento</t>
  </si>
  <si>
    <t>Tícket Médio</t>
  </si>
  <si>
    <t>Peças por Atendimento</t>
  </si>
  <si>
    <t>Itapipoca</t>
  </si>
  <si>
    <t>SOBRAL - ITAPIPOCA</t>
  </si>
  <si>
    <t>JAN - JUL</t>
  </si>
  <si>
    <t>BIANCA</t>
  </si>
  <si>
    <t>LUCIJANE</t>
  </si>
  <si>
    <t>DEZ - Individual</t>
  </si>
  <si>
    <t>DEZ - Geral</t>
  </si>
  <si>
    <t>VENDAS /SEMANA - ITAPIPOCA</t>
  </si>
  <si>
    <t>TAXA DE CRESCIMENTO</t>
  </si>
  <si>
    <t>ITAPIPOCA - PLANO TRIMESTRAL</t>
  </si>
  <si>
    <t>Detalhes do Soma de VALOR2 - DIA DA SEMANA: SEGUNDA-FEIRA</t>
  </si>
  <si>
    <t>INDIVIDUAL</t>
  </si>
  <si>
    <t>Indivdual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</si>
</sst>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#,#00.00,\ &quot;Mil&quot;"/>
    <numFmt numFmtId="166" formatCode="[&gt;999999]0.0,,\ &quot;M&quot;;0.0,\ &quot;k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u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1848"/>
        <bgColor indexed="64"/>
      </patternFill>
    </fill>
    <fill>
      <patternFill patternType="solid">
        <fgColor rgb="FF0613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9" fontId="4" fillId="0" borderId="0" xfId="2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4" xfId="1" applyFont="1" applyBorder="1" applyAlignment="1">
      <alignment horizontal="center"/>
    </xf>
    <xf numFmtId="9" fontId="3" fillId="0" borderId="4" xfId="2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8" fontId="3" fillId="0" borderId="5" xfId="0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8" fontId="3" fillId="0" borderId="8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4" fontId="2" fillId="7" borderId="0" xfId="1" applyFont="1" applyFill="1" applyAlignment="1">
      <alignment horizontal="center"/>
    </xf>
    <xf numFmtId="0" fontId="3" fillId="0" borderId="0" xfId="0" applyFont="1"/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44" fontId="0" fillId="0" borderId="4" xfId="0" applyNumberFormat="1" applyBorder="1"/>
    <xf numFmtId="0" fontId="3" fillId="0" borderId="4" xfId="1" applyNumberFormat="1" applyFont="1" applyBorder="1" applyAlignment="1">
      <alignment horizontal="center" vertical="center"/>
    </xf>
    <xf numFmtId="8" fontId="3" fillId="0" borderId="4" xfId="1" applyNumberFormat="1" applyFont="1" applyBorder="1" applyAlignment="1">
      <alignment horizontal="center" vertical="center"/>
    </xf>
    <xf numFmtId="44" fontId="0" fillId="8" borderId="4" xfId="0" applyNumberFormat="1" applyFill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/>
    </xf>
    <xf numFmtId="8" fontId="3" fillId="0" borderId="4" xfId="1" applyNumberFormat="1" applyFont="1" applyBorder="1" applyAlignment="1">
      <alignment horizontal="center"/>
    </xf>
    <xf numFmtId="44" fontId="0" fillId="0" borderId="4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8" borderId="4" xfId="0" applyNumberFormat="1" applyFill="1" applyBorder="1" applyAlignment="1">
      <alignment horizontal="center"/>
    </xf>
    <xf numFmtId="0" fontId="0" fillId="0" borderId="3" xfId="0" applyBorder="1" applyAlignment="1">
      <alignment wrapText="1"/>
    </xf>
    <xf numFmtId="44" fontId="0" fillId="0" borderId="0" xfId="0" applyNumberFormat="1"/>
    <xf numFmtId="0" fontId="2" fillId="2" borderId="9" xfId="0" applyFont="1" applyFill="1" applyBorder="1" applyAlignment="1">
      <alignment horizontal="center" vertical="center"/>
    </xf>
    <xf numFmtId="0" fontId="3" fillId="0" borderId="4" xfId="0" applyFont="1" applyBorder="1"/>
    <xf numFmtId="44" fontId="3" fillId="0" borderId="4" xfId="1" applyFont="1" applyBorder="1"/>
    <xf numFmtId="44" fontId="0" fillId="0" borderId="0" xfId="1" applyFont="1"/>
    <xf numFmtId="0" fontId="3" fillId="0" borderId="10" xfId="0" applyFont="1" applyBorder="1"/>
    <xf numFmtId="44" fontId="3" fillId="0" borderId="10" xfId="0" applyNumberFormat="1" applyFont="1" applyBorder="1"/>
    <xf numFmtId="0" fontId="0" fillId="0" borderId="10" xfId="0" applyBorder="1"/>
    <xf numFmtId="44" fontId="0" fillId="0" borderId="10" xfId="1" applyFont="1" applyBorder="1"/>
    <xf numFmtId="44" fontId="3" fillId="0" borderId="0" xfId="0" applyNumberFormat="1" applyFont="1"/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7" fontId="3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3" fillId="10" borderId="4" xfId="0" applyFont="1" applyFill="1" applyBorder="1"/>
    <xf numFmtId="44" fontId="3" fillId="10" borderId="4" xfId="0" applyNumberFormat="1" applyFont="1" applyFill="1" applyBorder="1"/>
    <xf numFmtId="0" fontId="3" fillId="10" borderId="1" xfId="0" applyFont="1" applyFill="1" applyBorder="1" applyAlignment="1">
      <alignment horizontal="center" vertical="center"/>
    </xf>
    <xf numFmtId="44" fontId="3" fillId="10" borderId="1" xfId="1" applyFont="1" applyFill="1" applyBorder="1" applyAlignment="1">
      <alignment horizontal="center"/>
    </xf>
    <xf numFmtId="0" fontId="0" fillId="0" borderId="0" xfId="0" pivotButton="1"/>
    <xf numFmtId="44" fontId="3" fillId="0" borderId="4" xfId="0" applyNumberFormat="1" applyFont="1" applyBorder="1"/>
    <xf numFmtId="44" fontId="3" fillId="13" borderId="4" xfId="1" applyFont="1" applyFill="1" applyBorder="1" applyAlignment="1">
      <alignment horizontal="center" vertical="center"/>
    </xf>
    <xf numFmtId="0" fontId="4" fillId="11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/>
    </xf>
    <xf numFmtId="0" fontId="0" fillId="12" borderId="11" xfId="0" applyFill="1" applyBorder="1" applyAlignment="1">
      <alignment horizontal="left"/>
    </xf>
    <xf numFmtId="44" fontId="0" fillId="12" borderId="11" xfId="0" applyNumberFormat="1" applyFill="1" applyBorder="1"/>
    <xf numFmtId="10" fontId="3" fillId="0" borderId="4" xfId="2" applyNumberFormat="1" applyFont="1" applyBorder="1" applyAlignment="1">
      <alignment horizontal="center"/>
    </xf>
    <xf numFmtId="14" fontId="0" fillId="16" borderId="4" xfId="0" applyNumberFormat="1" applyFill="1" applyBorder="1" applyAlignment="1">
      <alignment horizontal="center"/>
    </xf>
    <xf numFmtId="44" fontId="0" fillId="16" borderId="4" xfId="1" applyFont="1" applyFill="1" applyBorder="1" applyAlignment="1">
      <alignment horizontal="center"/>
    </xf>
    <xf numFmtId="1" fontId="0" fillId="16" borderId="4" xfId="1" applyNumberFormat="1" applyFont="1" applyFill="1" applyBorder="1" applyAlignment="1">
      <alignment horizontal="center"/>
    </xf>
    <xf numFmtId="14" fontId="0" fillId="15" borderId="4" xfId="0" applyNumberFormat="1" applyFill="1" applyBorder="1" applyAlignment="1">
      <alignment horizontal="center" vertical="center"/>
    </xf>
    <xf numFmtId="44" fontId="0" fillId="15" borderId="4" xfId="1" applyFont="1" applyFill="1" applyBorder="1" applyAlignment="1">
      <alignment horizontal="center" vertical="center"/>
    </xf>
    <xf numFmtId="1" fontId="0" fillId="15" borderId="4" xfId="1" applyNumberFormat="1" applyFon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/>
    </xf>
    <xf numFmtId="44" fontId="0" fillId="15" borderId="4" xfId="1" applyFont="1" applyFill="1" applyBorder="1" applyAlignment="1">
      <alignment horizontal="center"/>
    </xf>
    <xf numFmtId="44" fontId="3" fillId="0" borderId="0" xfId="1" applyFont="1" applyBorder="1"/>
    <xf numFmtId="0" fontId="4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9" fontId="3" fillId="0" borderId="0" xfId="1" applyNumberFormat="1" applyFont="1" applyBorder="1"/>
    <xf numFmtId="0" fontId="0" fillId="22" borderId="0" xfId="0" applyFill="1"/>
    <xf numFmtId="0" fontId="0" fillId="23" borderId="0" xfId="0" applyFill="1"/>
    <xf numFmtId="44" fontId="0" fillId="23" borderId="0" xfId="0" applyNumberFormat="1" applyFill="1"/>
    <xf numFmtId="165" fontId="0" fillId="0" borderId="0" xfId="0" applyNumberFormat="1"/>
    <xf numFmtId="0" fontId="3" fillId="0" borderId="18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4" fontId="0" fillId="0" borderId="0" xfId="2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4" fontId="3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/>
    </xf>
    <xf numFmtId="44" fontId="0" fillId="0" borderId="10" xfId="0" applyNumberFormat="1" applyBorder="1"/>
    <xf numFmtId="0" fontId="10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4" fontId="0" fillId="0" borderId="4" xfId="1" applyFont="1" applyBorder="1"/>
    <xf numFmtId="9" fontId="0" fillId="0" borderId="4" xfId="2" applyFont="1" applyBorder="1" applyAlignment="1">
      <alignment horizontal="center"/>
    </xf>
    <xf numFmtId="0" fontId="0" fillId="0" borderId="4" xfId="0" applyBorder="1"/>
    <xf numFmtId="0" fontId="0" fillId="14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44" fontId="3" fillId="0" borderId="0" xfId="1" applyFont="1" applyBorder="1" applyAlignment="1">
      <alignment horizont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13" fillId="0" borderId="0" xfId="1" applyFon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9" fontId="14" fillId="0" borderId="4" xfId="0" applyNumberFormat="1" applyFont="1" applyBorder="1" applyAlignment="1">
      <alignment horizontal="center"/>
    </xf>
    <xf numFmtId="44" fontId="8" fillId="0" borderId="4" xfId="1" applyFont="1" applyBorder="1"/>
    <xf numFmtId="44" fontId="13" fillId="0" borderId="0" xfId="1" applyFont="1"/>
    <xf numFmtId="0" fontId="0" fillId="0" borderId="0" xfId="0" pivotButton="1" applyAlignment="1">
      <alignment horizontal="center"/>
    </xf>
    <xf numFmtId="44" fontId="1" fillId="0" borderId="0" xfId="1" applyFont="1" applyAlignment="1">
      <alignment horizontal="center"/>
    </xf>
    <xf numFmtId="166" fontId="0" fillId="0" borderId="0" xfId="0" applyNumberFormat="1"/>
    <xf numFmtId="10" fontId="0" fillId="0" borderId="0" xfId="0" applyNumberFormat="1"/>
    <xf numFmtId="44" fontId="0" fillId="0" borderId="0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5" borderId="4" xfId="0" applyFill="1" applyBorder="1"/>
    <xf numFmtId="0" fontId="0" fillId="0" borderId="4" xfId="1" applyNumberFormat="1" applyFont="1" applyBorder="1"/>
    <xf numFmtId="10" fontId="0" fillId="0" borderId="0" xfId="2" applyNumberFormat="1" applyFont="1"/>
    <xf numFmtId="44" fontId="0" fillId="0" borderId="4" xfId="1" applyFont="1" applyFill="1" applyBorder="1"/>
    <xf numFmtId="14" fontId="0" fillId="26" borderId="4" xfId="0" applyNumberFormat="1" applyFill="1" applyBorder="1" applyAlignment="1">
      <alignment horizontal="center" vertical="center"/>
    </xf>
    <xf numFmtId="14" fontId="0" fillId="26" borderId="4" xfId="0" applyNumberFormat="1" applyFill="1" applyBorder="1" applyAlignment="1">
      <alignment horizontal="center"/>
    </xf>
    <xf numFmtId="44" fontId="0" fillId="26" borderId="4" xfId="1" applyFont="1" applyFill="1" applyBorder="1" applyAlignment="1">
      <alignment horizontal="center"/>
    </xf>
    <xf numFmtId="1" fontId="0" fillId="26" borderId="4" xfId="1" applyNumberFormat="1" applyFont="1" applyFill="1" applyBorder="1" applyAlignment="1">
      <alignment horizontal="center" vertical="center"/>
    </xf>
    <xf numFmtId="14" fontId="0" fillId="27" borderId="4" xfId="0" applyNumberFormat="1" applyFill="1" applyBorder="1" applyAlignment="1">
      <alignment horizontal="center" vertical="center"/>
    </xf>
    <xf numFmtId="14" fontId="0" fillId="27" borderId="4" xfId="0" applyNumberFormat="1" applyFill="1" applyBorder="1" applyAlignment="1">
      <alignment horizontal="center"/>
    </xf>
    <xf numFmtId="44" fontId="0" fillId="27" borderId="4" xfId="1" applyFont="1" applyFill="1" applyBorder="1" applyAlignment="1">
      <alignment horizontal="center"/>
    </xf>
    <xf numFmtId="1" fontId="0" fillId="27" borderId="4" xfId="1" applyNumberFormat="1" applyFont="1" applyFill="1" applyBorder="1" applyAlignment="1">
      <alignment horizontal="center" vertical="center"/>
    </xf>
    <xf numFmtId="9" fontId="0" fillId="0" borderId="0" xfId="2" applyFont="1"/>
    <xf numFmtId="44" fontId="0" fillId="0" borderId="4" xfId="1" applyFont="1" applyBorder="1" applyAlignment="1">
      <alignment horizontal="center"/>
    </xf>
    <xf numFmtId="44" fontId="0" fillId="0" borderId="4" xfId="2" applyNumberFormat="1" applyFont="1" applyBorder="1" applyAlignment="1">
      <alignment horizontal="center"/>
    </xf>
    <xf numFmtId="0" fontId="6" fillId="14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44" fontId="2" fillId="2" borderId="2" xfId="1" applyFont="1" applyFill="1" applyBorder="1" applyAlignment="1">
      <alignment horizontal="center" vertical="center"/>
    </xf>
    <xf numFmtId="44" fontId="2" fillId="2" borderId="6" xfId="1" applyFont="1" applyFill="1" applyBorder="1" applyAlignment="1">
      <alignment horizontal="center" vertical="center"/>
    </xf>
    <xf numFmtId="44" fontId="2" fillId="2" borderId="7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A859"/>
      <color rgb="FF1E1848"/>
      <color rgb="FFF4F299"/>
      <color rgb="FFD6AEA8"/>
      <color rgb="FF061321"/>
      <color rgb="FF540000"/>
      <color rgb="FF04A4DE"/>
      <color rgb="FFEDC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Relationship Id="rId30" Type="http://schemas.microsoft.com/office/2022/10/relationships/richValueRel" Target="richData/richValueRel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 DIÁRIA</a:t>
            </a:r>
          </a:p>
        </c:rich>
      </c:tx>
      <c:layout>
        <c:manualLayout>
          <c:xMode val="edge"/>
          <c:yMode val="edge"/>
          <c:x val="0.4376218664919395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VENDAS!$C$5:$C$35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VENDAS!$E$5:$E$35</c:f>
              <c:numCache>
                <c:formatCode>_("R$"* #,##0.00_);_("R$"* \(#,##0.00\);_("R$"* "-"??_);_(@_)</c:formatCode>
                <c:ptCount val="31"/>
                <c:pt idx="0">
                  <c:v>3532</c:v>
                </c:pt>
                <c:pt idx="1">
                  <c:v>7946</c:v>
                </c:pt>
                <c:pt idx="3">
                  <c:v>3959</c:v>
                </c:pt>
                <c:pt idx="5">
                  <c:v>4814</c:v>
                </c:pt>
                <c:pt idx="6">
                  <c:v>3787</c:v>
                </c:pt>
                <c:pt idx="7">
                  <c:v>4045</c:v>
                </c:pt>
                <c:pt idx="8">
                  <c:v>10087</c:v>
                </c:pt>
                <c:pt idx="9">
                  <c:v>8347</c:v>
                </c:pt>
                <c:pt idx="10">
                  <c:v>7149</c:v>
                </c:pt>
                <c:pt idx="12">
                  <c:v>3039</c:v>
                </c:pt>
                <c:pt idx="13">
                  <c:v>1122</c:v>
                </c:pt>
                <c:pt idx="14">
                  <c:v>3872</c:v>
                </c:pt>
                <c:pt idx="15">
                  <c:v>4792</c:v>
                </c:pt>
                <c:pt idx="16">
                  <c:v>6008</c:v>
                </c:pt>
                <c:pt idx="17">
                  <c:v>5149</c:v>
                </c:pt>
                <c:pt idx="19">
                  <c:v>3058</c:v>
                </c:pt>
                <c:pt idx="21">
                  <c:v>3068</c:v>
                </c:pt>
                <c:pt idx="22">
                  <c:v>3403</c:v>
                </c:pt>
                <c:pt idx="23">
                  <c:v>2895</c:v>
                </c:pt>
                <c:pt idx="24">
                  <c:v>3017</c:v>
                </c:pt>
                <c:pt idx="26">
                  <c:v>2053</c:v>
                </c:pt>
                <c:pt idx="27">
                  <c:v>1289</c:v>
                </c:pt>
                <c:pt idx="28">
                  <c:v>1597</c:v>
                </c:pt>
                <c:pt idx="29">
                  <c:v>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4-4FAD-91F8-C93FD08E87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64797576"/>
        <c:axId val="365799944"/>
      </c:lineChart>
      <c:dateAx>
        <c:axId val="36479757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799944"/>
        <c:crosses val="autoZero"/>
        <c:auto val="1"/>
        <c:lblOffset val="100"/>
        <c:baseTimeUnit val="days"/>
      </c:dateAx>
      <c:valAx>
        <c:axId val="3657999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479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DIA DA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C0E-4083-8727-31C7C288BA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C0E-4083-8727-31C7C288BA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C0E-4083-8727-31C7C288BA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C0E-4083-8727-31C7C288BA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C0E-4083-8727-31C7C288BA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C0E-4083-8727-31C7C288BA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RESUMO!$B$19:$B$24</c:f>
              <c:strCache>
                <c:ptCount val="6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</c:strCache>
            </c:strRef>
          </c:cat>
          <c:val>
            <c:numRef>
              <c:f>RESUMO!$C$19:$C$24</c:f>
              <c:numCache>
                <c:formatCode>_("R$"* #,##0.00_);_("R$"* \(#,##0.00\);_("R$"* "-"??_);_(@_)</c:formatCode>
                <c:ptCount val="6"/>
                <c:pt idx="0">
                  <c:v>12964</c:v>
                </c:pt>
                <c:pt idx="1">
                  <c:v>6198</c:v>
                </c:pt>
                <c:pt idx="2">
                  <c:v>16114</c:v>
                </c:pt>
                <c:pt idx="3">
                  <c:v>29329</c:v>
                </c:pt>
                <c:pt idx="4">
                  <c:v>17250</c:v>
                </c:pt>
                <c:pt idx="5">
                  <c:v>19274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F-4C3C-A868-52BE4D0FFBF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3800063896009"/>
          <c:y val="5.1643173397222505E-2"/>
          <c:w val="0.84017445904797727"/>
          <c:h val="0.826792419210964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540000"/>
                </a:gs>
                <a:gs pos="83000">
                  <a:schemeClr val="tx1"/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Planilha1!$G$3:$G$6</c15:sqref>
                  </c15:fullRef>
                </c:ext>
              </c:extLst>
              <c:f>(Planilha1!$G$3,Planilha1!$G$5:$G$6)</c:f>
              <c:strCache>
                <c:ptCount val="3"/>
                <c:pt idx="0">
                  <c:v>AIANE</c:v>
                </c:pt>
                <c:pt idx="1">
                  <c:v>LUCIJANE</c:v>
                </c:pt>
                <c:pt idx="2">
                  <c:v>ALINE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Planilha1!$H$3:$H$6</c15:sqref>
                  </c15:fullRef>
                </c:ext>
              </c:extLst>
              <c:f>(Planilha1!$H$3,Planilha1!$H$5:$H$6)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25432</c:v>
                </c:pt>
                <c:pt idx="2">
                  <c:v>36555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2-4C77-B8EC-BE239E118F1E}"/>
            </c:ext>
          </c:extLst>
        </c:ser>
        <c:ser>
          <c:idx val="5"/>
          <c:order val="5"/>
          <c:tx>
            <c:v>META MÍNIMA</c:v>
          </c:tx>
          <c:spPr>
            <a:gradFill>
              <a:gsLst>
                <a:gs pos="0">
                  <a:srgbClr val="FFFF00"/>
                </a:gs>
                <a:gs pos="100000">
                  <a:schemeClr val="tx1"/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AIANE</c:v>
              </c:pt>
              <c:pt idx="1">
                <c:v>LUCIJANE</c:v>
              </c:pt>
              <c:pt idx="2">
                <c:v>ALINE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Planilha1!$M$3:$M$6</c15:sqref>
                  </c15:fullRef>
                </c:ext>
              </c:extLst>
              <c:f>(Planilha1!$M$3,Planilha1!$M$5:$M$6)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25432</c:v>
                </c:pt>
                <c:pt idx="2">
                  <c:v>36555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2-4C77-B8EC-BE239E118F1E}"/>
            </c:ext>
          </c:extLst>
        </c:ser>
        <c:ser>
          <c:idx val="6"/>
          <c:order val="6"/>
          <c:tx>
            <c:v>TOP 1</c:v>
          </c:tx>
          <c:spPr>
            <a:gradFill flip="none" rotWithShape="1">
              <a:gsLst>
                <a:gs pos="0">
                  <a:srgbClr val="04A4DE"/>
                </a:gs>
                <a:gs pos="100000">
                  <a:schemeClr val="tx1">
                    <a:lumMod val="99000"/>
                  </a:scheme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AIANE</c:v>
              </c:pt>
              <c:pt idx="1">
                <c:v>LUCIJANE</c:v>
              </c:pt>
              <c:pt idx="2">
                <c:v>ALINE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Planilha1!$N$3:$N$6</c15:sqref>
                  </c15:fullRef>
                </c:ext>
              </c:extLst>
              <c:f>(Planilha1!$N$3,Planilha1!$N$5:$N$6)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25432</c:v>
                </c:pt>
                <c:pt idx="2">
                  <c:v>36555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2-4C77-B8EC-BE239E118F1E}"/>
            </c:ext>
          </c:extLst>
        </c:ser>
        <c:ser>
          <c:idx val="7"/>
          <c:order val="7"/>
          <c:tx>
            <c:v>TOP 2</c:v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tx1"/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AIANE</c:v>
              </c:pt>
              <c:pt idx="1">
                <c:v>LUCIJANE</c:v>
              </c:pt>
              <c:pt idx="2">
                <c:v>ALINE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Planilha1!$O$3:$O$6</c15:sqref>
                  </c15:fullRef>
                </c:ext>
              </c:extLst>
              <c:f>(Planilha1!$O$3,Planilha1!$O$5:$O$6)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25432</c:v>
                </c:pt>
                <c:pt idx="2">
                  <c:v>36555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D2-4C77-B8EC-BE239E118F1E}"/>
            </c:ext>
          </c:extLst>
        </c:ser>
        <c:ser>
          <c:idx val="8"/>
          <c:order val="8"/>
          <c:tx>
            <c:v>MASTER</c:v>
          </c:tx>
          <c:spPr>
            <a:gradFill>
              <a:gsLst>
                <a:gs pos="0">
                  <a:srgbClr val="00A859"/>
                </a:gs>
                <a:gs pos="100000">
                  <a:schemeClr val="bg2">
                    <a:lumMod val="10000"/>
                  </a:schemeClr>
                </a:gs>
              </a:gsLst>
              <a:lin ang="8100000" scaled="1"/>
            </a:gra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AIANE</c:v>
              </c:pt>
              <c:pt idx="1">
                <c:v>LUCIJANE</c:v>
              </c:pt>
              <c:pt idx="2">
                <c:v>ALINE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Planilha1!$P$3:$P$6</c15:sqref>
                  </c15:fullRef>
                </c:ext>
              </c:extLst>
              <c:f>(Planilha1!$P$3,Planilha1!$P$5:$P$6)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0</c:v>
                </c:pt>
                <c:pt idx="2">
                  <c:v>36555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D2-4C77-B8EC-BE239E11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59627400"/>
        <c:axId val="459624880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FFFF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Planilha1!$G$3:$G$6</c15:sqref>
                  </c15:fullRef>
                </c:ext>
              </c:extLst>
              <c:f>(Planilha1!$G$3,Planilha1!$G$5:$G$6)</c:f>
              <c:strCache>
                <c:ptCount val="3"/>
                <c:pt idx="0">
                  <c:v>AIANE</c:v>
                </c:pt>
                <c:pt idx="1">
                  <c:v>LUCIJANE</c:v>
                </c:pt>
                <c:pt idx="2">
                  <c:v>ALINE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Planilha1!$I$3:$I$6</c15:sqref>
                  </c15:fullRef>
                </c:ext>
              </c:extLst>
              <c:f>(Planilha1!$I$3,Planilha1!$I$5:$I$6)</c:f>
              <c:numCache>
                <c:formatCode>_("R$"* #,##0.00_);_("R$"* \(#,##0.00\);_("R$"* "-"??_);_(@_)</c:formatCode>
                <c:ptCount val="3"/>
                <c:pt idx="0">
                  <c:v>13333.333333333334</c:v>
                </c:pt>
                <c:pt idx="1">
                  <c:v>13333.333333333334</c:v>
                </c:pt>
                <c:pt idx="2">
                  <c:v>13333.333333333334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D2-4C77-B8EC-BE239E118F1E}"/>
            </c:ext>
          </c:extLst>
        </c:ser>
        <c:ser>
          <c:idx val="2"/>
          <c:order val="2"/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Planilha1!$G$3:$G$6</c15:sqref>
                  </c15:fullRef>
                </c:ext>
              </c:extLst>
              <c:f>(Planilha1!$G$3,Planilha1!$G$5:$G$6)</c:f>
              <c:strCache>
                <c:ptCount val="3"/>
                <c:pt idx="0">
                  <c:v>AIANE</c:v>
                </c:pt>
                <c:pt idx="1">
                  <c:v>LUCIJANE</c:v>
                </c:pt>
                <c:pt idx="2">
                  <c:v>ALINE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Planilha1!$J$3:$J$6</c15:sqref>
                  </c15:fullRef>
                </c:ext>
              </c:extLst>
              <c:f>(Planilha1!$J$3,Planilha1!$J$5:$J$6)</c:f>
              <c:numCache>
                <c:formatCode>_("R$"* #,##0.00_);_("R$"* \(#,##0.00\);_("R$"* "-"??_);_(@_)</c:formatCode>
                <c:ptCount val="3"/>
                <c:pt idx="0">
                  <c:v>16666.666666666668</c:v>
                </c:pt>
                <c:pt idx="1">
                  <c:v>16666.666666666668</c:v>
                </c:pt>
                <c:pt idx="2">
                  <c:v>16666.666666666668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D2-4C77-B8EC-BE239E118F1E}"/>
            </c:ext>
          </c:extLst>
        </c:ser>
        <c:ser>
          <c:idx val="3"/>
          <c:order val="3"/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Planilha1!$G$3:$G$6</c15:sqref>
                  </c15:fullRef>
                </c:ext>
              </c:extLst>
              <c:f>(Planilha1!$G$3,Planilha1!$G$5:$G$6)</c:f>
              <c:strCache>
                <c:ptCount val="3"/>
                <c:pt idx="0">
                  <c:v>AIANE</c:v>
                </c:pt>
                <c:pt idx="1">
                  <c:v>LUCIJANE</c:v>
                </c:pt>
                <c:pt idx="2">
                  <c:v>ALINE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Planilha1!$K$3:$K$6</c15:sqref>
                  </c15:fullRef>
                </c:ext>
              </c:extLst>
              <c:f>(Planilha1!$K$3,Planilha1!$K$5:$K$6)</c:f>
              <c:numCache>
                <c:formatCode>_("R$"* #,##0.00_);_("R$"* \(#,##0.00\);_("R$"* "-"??_);_(@_)</c:formatCode>
                <c:ptCount val="3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2-4C77-B8EC-BE239E118F1E}"/>
            </c:ext>
          </c:extLst>
        </c:ser>
        <c:ser>
          <c:idx val="4"/>
          <c:order val="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Planilha1!$G$3:$G$6</c15:sqref>
                  </c15:fullRef>
                </c:ext>
              </c:extLst>
              <c:f>(Planilha1!$G$3,Planilha1!$G$5:$G$6)</c:f>
              <c:strCache>
                <c:ptCount val="3"/>
                <c:pt idx="0">
                  <c:v>AIANE</c:v>
                </c:pt>
                <c:pt idx="1">
                  <c:v>LUCIJANE</c:v>
                </c:pt>
                <c:pt idx="2">
                  <c:v>ALINE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Planilha1!$L$3:$L$6</c15:sqref>
                  </c15:fullRef>
                </c:ext>
              </c:extLst>
              <c:f>(Planilha1!$L$3,Planilha1!$L$5:$L$6)</c:f>
              <c:numCache>
                <c:formatCode>_("R$"* #,##0.00_);_("R$"* \(#,##0.00\);_("R$"* "-"??_);_(@_)</c:formatCode>
                <c:ptCount val="3"/>
                <c:pt idx="0">
                  <c:v>26666.666666666668</c:v>
                </c:pt>
                <c:pt idx="1">
                  <c:v>26666.666666666668</c:v>
                </c:pt>
                <c:pt idx="2">
                  <c:v>26666.666666666668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D2-4C77-B8EC-BE239E11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627400"/>
        <c:axId val="459624880"/>
      </c:lineChart>
      <c:catAx>
        <c:axId val="45962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624880"/>
        <c:crosses val="autoZero"/>
        <c:auto val="1"/>
        <c:lblAlgn val="ctr"/>
        <c:lblOffset val="100"/>
        <c:noMultiLvlLbl val="0"/>
      </c:catAx>
      <c:valAx>
        <c:axId val="45962488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4596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58414631560248065"/>
          <c:y val="3.5200164430089671E-3"/>
          <c:w val="0.39598612782191445"/>
          <c:h val="4.9297974456406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56873193881074E-2"/>
          <c:y val="7.575757575757576E-2"/>
          <c:w val="0.87473009476509034"/>
          <c:h val="0.8484848484848485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8F4558D-0583-4B8F-BC50-DDDAB39D91D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12-4054-BC46-031AF639C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C683D2-9824-4675-91E0-2F78FCF9322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A12-4054-BC46-031AF639C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BDAEC7-E7D2-46BF-A6AF-C4A596A8F37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12-4054-BC46-031AF639C193}"/>
                </c:ext>
              </c:extLst>
            </c:dLbl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Planilha1!$G$3:$G$4</c15:sqref>
                  </c15:fullRef>
                </c:ext>
              </c:extLst>
              <c:f>Planilha1!$G$3</c:f>
              <c:strCache>
                <c:ptCount val="1"/>
                <c:pt idx="0">
                  <c:v>AIANE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Planilha1!$H$3:$H$6</c15:sqref>
                  </c15:fullRef>
                </c:ext>
              </c:extLst>
              <c:f>(Planilha1!$H$3,Planilha1!$H$5:$H$6)</c:f>
              <c:numCache>
                <c:formatCode>_("R$"* #,##0.00_);_("R$"* \(#,##0.00\);_("R$"* "-"??_);_(@_)</c:formatCode>
                <c:ptCount val="3"/>
                <c:pt idx="0">
                  <c:v>39142</c:v>
                </c:pt>
                <c:pt idx="1">
                  <c:v>25432</c:v>
                </c:pt>
                <c:pt idx="2">
                  <c:v>36555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Planilha1!$G$3:$G$6</c15:f>
                <c15:dlblRangeCache>
                  <c:ptCount val="4"/>
                  <c:pt idx="0">
                    <c:v>AIANE</c:v>
                  </c:pt>
                  <c:pt idx="1">
                    <c:v>#REF!</c:v>
                  </c:pt>
                  <c:pt idx="2">
                    <c:v>LUCIJANE</c:v>
                  </c:pt>
                  <c:pt idx="3">
                    <c:v>ALINE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A12-4054-BC46-031AF639C19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Planilha1!$G$3:$G$4</c15:sqref>
                  </c15:fullRef>
                </c:ext>
              </c:extLst>
              <c:f>Planilha1!$G$3</c:f>
              <c:strCache>
                <c:ptCount val="1"/>
                <c:pt idx="0">
                  <c:v>AIANE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Planilha1!$D$3:$D$6</c15:sqref>
                  </c15:fullRef>
                </c:ext>
              </c:extLst>
              <c:f>(Planilha1!$D$3,Planilha1!$D$5:$D$6)</c:f>
              <c:numCache>
                <c:formatCode>#,#00.00,\ "Mil"</c:formatCode>
                <c:ptCount val="3"/>
                <c:pt idx="0">
                  <c:v>5000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2-4054-BC46-031AF639C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57754928"/>
        <c:axId val="257747728"/>
      </c:barChart>
      <c:catAx>
        <c:axId val="257754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7747728"/>
        <c:crossesAt val="0"/>
        <c:auto val="1"/>
        <c:lblAlgn val="ctr"/>
        <c:lblOffset val="100"/>
        <c:noMultiLvlLbl val="0"/>
      </c:catAx>
      <c:valAx>
        <c:axId val="257747728"/>
        <c:scaling>
          <c:orientation val="minMax"/>
          <c:max val="95000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57754928"/>
        <c:crosses val="autoZero"/>
        <c:crossBetween val="between"/>
        <c:majorUnit val="1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png"/><Relationship Id="rId7" Type="http://schemas.openxmlformats.org/officeDocument/2006/relationships/image" Target="../media/image18.emf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6" Type="http://schemas.openxmlformats.org/officeDocument/2006/relationships/image" Target="../media/image17.svg"/><Relationship Id="rId5" Type="http://schemas.openxmlformats.org/officeDocument/2006/relationships/image" Target="../media/image16.png"/><Relationship Id="rId4" Type="http://schemas.openxmlformats.org/officeDocument/2006/relationships/image" Target="../media/image15.svg"/><Relationship Id="rId9" Type="http://schemas.openxmlformats.org/officeDocument/2006/relationships/image" Target="../media/image20.emf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07/relationships/hdphoto" Target="../media/hdphoto1.wdp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25.png"/><Relationship Id="rId5" Type="http://schemas.openxmlformats.org/officeDocument/2006/relationships/chart" Target="../charts/chart4.xml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323850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D12BE7-A943-4BD7-B518-1F03E8AFC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16</xdr:row>
      <xdr:rowOff>179070</xdr:rowOff>
    </xdr:from>
    <xdr:to>
      <xdr:col>18</xdr:col>
      <xdr:colOff>15240</xdr:colOff>
      <xdr:row>31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2AFD43-AC12-AC51-42EF-3839E59CC6D7}"/>
            </a:ext>
            <a:ext uri="{147F2762-F138-4A5C-976F-8EAC2B608ADB}">
              <a16:predDERef xmlns:a16="http://schemas.microsoft.com/office/drawing/2014/main" pred="{89D12BE7-A943-4BD7-B518-1F03E8AFC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13</xdr:row>
      <xdr:rowOff>22860</xdr:rowOff>
    </xdr:from>
    <xdr:to>
      <xdr:col>2</xdr:col>
      <xdr:colOff>582930</xdr:colOff>
      <xdr:row>18</xdr:row>
      <xdr:rowOff>175260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0B49E90-58CC-4763-83BB-718A5C115378}"/>
            </a:ext>
          </a:extLst>
        </xdr:cNvPr>
        <xdr:cNvSpPr/>
      </xdr:nvSpPr>
      <xdr:spPr>
        <a:xfrm>
          <a:off x="727710" y="240030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6</xdr:row>
      <xdr:rowOff>125730</xdr:rowOff>
    </xdr:from>
    <xdr:to>
      <xdr:col>2</xdr:col>
      <xdr:colOff>582930</xdr:colOff>
      <xdr:row>12</xdr:row>
      <xdr:rowOff>95250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43BD3A90-DFEB-4093-9A90-55F804B1822E}"/>
            </a:ext>
          </a:extLst>
        </xdr:cNvPr>
        <xdr:cNvSpPr/>
      </xdr:nvSpPr>
      <xdr:spPr>
        <a:xfrm>
          <a:off x="727710" y="122301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0</xdr:row>
      <xdr:rowOff>45720</xdr:rowOff>
    </xdr:from>
    <xdr:to>
      <xdr:col>2</xdr:col>
      <xdr:colOff>582930</xdr:colOff>
      <xdr:row>6</xdr:row>
      <xdr:rowOff>15240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DE0AE38C-9A6E-43AA-A544-15FEA7A8E1A9}"/>
            </a:ext>
          </a:extLst>
        </xdr:cNvPr>
        <xdr:cNvSpPr/>
      </xdr:nvSpPr>
      <xdr:spPr>
        <a:xfrm>
          <a:off x="727710" y="45720"/>
          <a:ext cx="1059180" cy="1066800"/>
        </a:xfrm>
        <a:prstGeom prst="ellipse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398640</xdr:colOff>
      <xdr:row>4</xdr:row>
      <xdr:rowOff>121920</xdr:rowOff>
    </xdr:from>
    <xdr:ext cx="1216514" cy="1036800"/>
    <xdr:pic>
      <xdr:nvPicPr>
        <xdr:cNvPr id="2" name="Imagem 1">
          <a:extLst>
            <a:ext uri="{FF2B5EF4-FFF2-40B4-BE49-F238E27FC236}">
              <a16:creationId xmlns:a16="http://schemas.microsoft.com/office/drawing/2014/main" id="{574F4E98-8D80-4164-9B97-3A19444B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420" y="853440"/>
          <a:ext cx="1216514" cy="1036800"/>
        </a:xfrm>
        <a:prstGeom prst="rect">
          <a:avLst/>
        </a:prstGeom>
      </xdr:spPr>
    </xdr:pic>
    <xdr:clientData/>
  </xdr:oneCellAnchor>
  <xdr:oneCellAnchor>
    <xdr:from>
      <xdr:col>11</xdr:col>
      <xdr:colOff>289180</xdr:colOff>
      <xdr:row>2</xdr:row>
      <xdr:rowOff>637703</xdr:rowOff>
    </xdr:from>
    <xdr:ext cx="1311020" cy="1036321"/>
    <xdr:pic>
      <xdr:nvPicPr>
        <xdr:cNvPr id="3" name="Imagem 2">
          <a:extLst>
            <a:ext uri="{FF2B5EF4-FFF2-40B4-BE49-F238E27FC236}">
              <a16:creationId xmlns:a16="http://schemas.microsoft.com/office/drawing/2014/main" id="{16FBC2C6-FBED-44FF-8137-D43C5DF30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0960" y="546263"/>
          <a:ext cx="1311020" cy="1036321"/>
        </a:xfrm>
        <a:prstGeom prst="rect">
          <a:avLst/>
        </a:prstGeom>
      </xdr:spPr>
    </xdr:pic>
    <xdr:clientData/>
  </xdr:oneCellAnchor>
  <xdr:oneCellAnchor>
    <xdr:from>
      <xdr:col>11</xdr:col>
      <xdr:colOff>403860</xdr:colOff>
      <xdr:row>5</xdr:row>
      <xdr:rowOff>182880</xdr:rowOff>
    </xdr:from>
    <xdr:ext cx="1199375" cy="1036800"/>
    <xdr:pic>
      <xdr:nvPicPr>
        <xdr:cNvPr id="4" name="Imagem 3">
          <a:extLst>
            <a:ext uri="{FF2B5EF4-FFF2-40B4-BE49-F238E27FC236}">
              <a16:creationId xmlns:a16="http://schemas.microsoft.com/office/drawing/2014/main" id="{DF9A148B-B2A0-4E55-B444-38A1EEF7D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097280"/>
          <a:ext cx="1199375" cy="1036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121920</xdr:rowOff>
    </xdr:from>
    <xdr:to>
      <xdr:col>11</xdr:col>
      <xdr:colOff>0</xdr:colOff>
      <xdr:row>23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9340D5C-C353-4FA0-9031-76D3F68FB579}"/>
            </a:ext>
          </a:extLst>
        </xdr:cNvPr>
        <xdr:cNvSpPr/>
      </xdr:nvSpPr>
      <xdr:spPr>
        <a:xfrm>
          <a:off x="5798820" y="2499360"/>
          <a:ext cx="1203960" cy="17145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586740</xdr:colOff>
      <xdr:row>12</xdr:row>
      <xdr:rowOff>38100</xdr:rowOff>
    </xdr:from>
    <xdr:to>
      <xdr:col>6</xdr:col>
      <xdr:colOff>586740</xdr:colOff>
      <xdr:row>23</xdr:row>
      <xdr:rowOff>7620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80E081B-7B54-48D8-872A-36C4ED739F48}"/>
            </a:ext>
          </a:extLst>
        </xdr:cNvPr>
        <xdr:cNvSpPr/>
      </xdr:nvSpPr>
      <xdr:spPr>
        <a:xfrm>
          <a:off x="3375660" y="2232660"/>
          <a:ext cx="1203960" cy="19812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262890</xdr:colOff>
      <xdr:row>12</xdr:row>
      <xdr:rowOff>68580</xdr:rowOff>
    </xdr:from>
    <xdr:ext cx="640080" cy="647700"/>
    <xdr:pic>
      <xdr:nvPicPr>
        <xdr:cNvPr id="4" name="Gráfico 3" descr="Medalha com preenchimento sólido">
          <a:extLst>
            <a:ext uri="{FF2B5EF4-FFF2-40B4-BE49-F238E27FC236}">
              <a16:creationId xmlns:a16="http://schemas.microsoft.com/office/drawing/2014/main" id="{6B056CB0-E957-476C-829A-D9FFA4CC3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3790" y="2263140"/>
          <a:ext cx="640080" cy="647700"/>
        </a:xfrm>
        <a:prstGeom prst="rect">
          <a:avLst/>
        </a:prstGeom>
      </xdr:spPr>
    </xdr:pic>
    <xdr:clientData/>
  </xdr:oneCellAnchor>
  <xdr:oneCellAnchor>
    <xdr:from>
      <xdr:col>9</xdr:col>
      <xdr:colOff>285750</xdr:colOff>
      <xdr:row>13</xdr:row>
      <xdr:rowOff>127140</xdr:rowOff>
    </xdr:from>
    <xdr:ext cx="640080" cy="647700"/>
    <xdr:pic>
      <xdr:nvPicPr>
        <xdr:cNvPr id="5" name="Gráfico 4" descr="Faixa de Opções com preenchimento sólido">
          <a:extLst>
            <a:ext uri="{FF2B5EF4-FFF2-40B4-BE49-F238E27FC236}">
              <a16:creationId xmlns:a16="http://schemas.microsoft.com/office/drawing/2014/main" id="{B6ACD7A5-368C-49E8-BBDE-A97DBC45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84570" y="2504580"/>
          <a:ext cx="640080" cy="647700"/>
        </a:xfrm>
        <a:prstGeom prst="rect">
          <a:avLst/>
        </a:prstGeom>
      </xdr:spPr>
    </xdr:pic>
    <xdr:clientData/>
  </xdr:oneCellAnchor>
  <xdr:twoCellAnchor>
    <xdr:from>
      <xdr:col>6</xdr:col>
      <xdr:colOff>601980</xdr:colOff>
      <xdr:row>9</xdr:row>
      <xdr:rowOff>30480</xdr:rowOff>
    </xdr:from>
    <xdr:to>
      <xdr:col>8</xdr:col>
      <xdr:colOff>601980</xdr:colOff>
      <xdr:row>23</xdr:row>
      <xdr:rowOff>7620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09058C5-DA7F-4BBC-9D14-15842FCECABF}"/>
            </a:ext>
          </a:extLst>
        </xdr:cNvPr>
        <xdr:cNvSpPr/>
      </xdr:nvSpPr>
      <xdr:spPr>
        <a:xfrm>
          <a:off x="4594860" y="1676400"/>
          <a:ext cx="1203960" cy="25374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7</xdr:col>
      <xdr:colOff>278130</xdr:colOff>
      <xdr:row>9</xdr:row>
      <xdr:rowOff>94260</xdr:rowOff>
    </xdr:from>
    <xdr:ext cx="640080" cy="647700"/>
    <xdr:pic>
      <xdr:nvPicPr>
        <xdr:cNvPr id="7" name="Gráfico 6" descr="Troféu com preenchimento sólido">
          <a:extLst>
            <a:ext uri="{FF2B5EF4-FFF2-40B4-BE49-F238E27FC236}">
              <a16:creationId xmlns:a16="http://schemas.microsoft.com/office/drawing/2014/main" id="{C5EABBCA-55F6-407D-8766-32E7B649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72990" y="1740180"/>
          <a:ext cx="640080" cy="647700"/>
        </a:xfrm>
        <a:prstGeom prst="rect">
          <a:avLst/>
        </a:prstGeom>
      </xdr:spPr>
    </xdr:pic>
    <xdr:clientData/>
  </xdr:oneCellAnchor>
  <xdr:oneCellAnchor>
    <xdr:from>
      <xdr:col>7</xdr:col>
      <xdr:colOff>451137</xdr:colOff>
      <xdr:row>9</xdr:row>
      <xdr:rowOff>121920</xdr:rowOff>
    </xdr:from>
    <xdr:ext cx="301686" cy="374077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A96755E-ED98-4708-8832-B2D4DFD2AA0E}"/>
            </a:ext>
          </a:extLst>
        </xdr:cNvPr>
        <xdr:cNvSpPr txBox="1"/>
      </xdr:nvSpPr>
      <xdr:spPr>
        <a:xfrm>
          <a:off x="5045997" y="1767840"/>
          <a:ext cx="3016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>
              <a:solidFill>
                <a:schemeClr val="accent6">
                  <a:lumMod val="50000"/>
                </a:schemeClr>
              </a:solidFill>
            </a:rPr>
            <a:t>1</a:t>
          </a:r>
        </a:p>
      </xdr:txBody>
    </xdr:sp>
    <xdr:clientData/>
  </xdr:oneCellAnchor>
  <xdr:oneCellAnchor>
    <xdr:from>
      <xdr:col>5</xdr:col>
      <xdr:colOff>451137</xdr:colOff>
      <xdr:row>13</xdr:row>
      <xdr:rowOff>167640</xdr:rowOff>
    </xdr:from>
    <xdr:ext cx="275653" cy="31149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4289218-0B7F-44ED-BCAA-054B8F93C914}"/>
            </a:ext>
          </a:extLst>
        </xdr:cNvPr>
        <xdr:cNvSpPr txBox="1"/>
      </xdr:nvSpPr>
      <xdr:spPr>
        <a:xfrm>
          <a:off x="3842037" y="254508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accent6">
                  <a:lumMod val="50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473997</xdr:colOff>
      <xdr:row>14</xdr:row>
      <xdr:rowOff>15240</xdr:rowOff>
    </xdr:from>
    <xdr:ext cx="275653" cy="311496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EAEDF75B-B051-49CC-8F41-586B790946DE}"/>
            </a:ext>
          </a:extLst>
        </xdr:cNvPr>
        <xdr:cNvSpPr txBox="1"/>
      </xdr:nvSpPr>
      <xdr:spPr>
        <a:xfrm>
          <a:off x="6272817" y="2575560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bg1"/>
              </a:solidFill>
            </a:rPr>
            <a:t>3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586741</xdr:colOff>
          <xdr:row>7</xdr:row>
          <xdr:rowOff>0</xdr:rowOff>
        </xdr:from>
        <xdr:ext cx="1348740" cy="1066800"/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4839B4B8-499E-44AD-AB00-8568F3C1BF3A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2" spid="_x0000_s37543"/>
                </a:ext>
              </a:extLst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75661" y="192786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7</xdr:col>
      <xdr:colOff>367653</xdr:colOff>
      <xdr:row>13</xdr:row>
      <xdr:rowOff>45720</xdr:rowOff>
    </xdr:from>
    <xdr:ext cx="468653" cy="264560"/>
    <xdr:sp macro="" textlink="AUXILIAR!C4">
      <xdr:nvSpPr>
        <xdr:cNvPr id="12" name="CaixaDeTexto 11">
          <a:extLst>
            <a:ext uri="{FF2B5EF4-FFF2-40B4-BE49-F238E27FC236}">
              <a16:creationId xmlns:a16="http://schemas.microsoft.com/office/drawing/2014/main" id="{28628901-80AA-482C-B0DB-F34F6109C5A4}"/>
            </a:ext>
          </a:extLst>
        </xdr:cNvPr>
        <xdr:cNvSpPr txBox="1"/>
      </xdr:nvSpPr>
      <xdr:spPr>
        <a:xfrm>
          <a:off x="4962513" y="2423160"/>
          <a:ext cx="46865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53910FEE-A911-4EE8-8455-088B04113DDB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Total Geral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7</xdr:col>
      <xdr:colOff>108255</xdr:colOff>
      <xdr:row>14</xdr:row>
      <xdr:rowOff>68580</xdr:rowOff>
    </xdr:from>
    <xdr:ext cx="987450" cy="264560"/>
    <xdr:sp macro="" textlink="AUXILIAR!D4">
      <xdr:nvSpPr>
        <xdr:cNvPr id="13" name="CaixaDeTexto 12">
          <a:extLst>
            <a:ext uri="{FF2B5EF4-FFF2-40B4-BE49-F238E27FC236}">
              <a16:creationId xmlns:a16="http://schemas.microsoft.com/office/drawing/2014/main" id="{F48BE803-BF3A-42E0-8320-F97638DC2D5A}"/>
            </a:ext>
          </a:extLst>
        </xdr:cNvPr>
        <xdr:cNvSpPr txBox="1"/>
      </xdr:nvSpPr>
      <xdr:spPr>
        <a:xfrm>
          <a:off x="4703115" y="262890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0E6E1CEF-1FE7-4EEB-A8B0-6291F0D6DFE4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9</xdr:col>
      <xdr:colOff>353570</xdr:colOff>
      <xdr:row>17</xdr:row>
      <xdr:rowOff>45720</xdr:rowOff>
    </xdr:from>
    <xdr:ext cx="512063" cy="264560"/>
    <xdr:sp macro="" textlink="AUXILIAR!C6">
      <xdr:nvSpPr>
        <xdr:cNvPr id="14" name="CaixaDeTexto 13">
          <a:extLst>
            <a:ext uri="{FF2B5EF4-FFF2-40B4-BE49-F238E27FC236}">
              <a16:creationId xmlns:a16="http://schemas.microsoft.com/office/drawing/2014/main" id="{140B2082-AB35-4484-BD38-2518324689CF}"/>
            </a:ext>
          </a:extLst>
        </xdr:cNvPr>
        <xdr:cNvSpPr txBox="1"/>
      </xdr:nvSpPr>
      <xdr:spPr>
        <a:xfrm>
          <a:off x="6152390" y="3154680"/>
          <a:ext cx="5120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85438857-4E6B-40AA-96A3-510775941BE1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9</xdr:col>
      <xdr:colOff>115875</xdr:colOff>
      <xdr:row>18</xdr:row>
      <xdr:rowOff>68580</xdr:rowOff>
    </xdr:from>
    <xdr:ext cx="987450" cy="264560"/>
    <xdr:sp macro="" textlink="AUXILIAR!D6">
      <xdr:nvSpPr>
        <xdr:cNvPr id="15" name="CaixaDeTexto 14">
          <a:extLst>
            <a:ext uri="{FF2B5EF4-FFF2-40B4-BE49-F238E27FC236}">
              <a16:creationId xmlns:a16="http://schemas.microsoft.com/office/drawing/2014/main" id="{C68F4A0A-524E-41E7-A963-861A360E0C81}"/>
            </a:ext>
          </a:extLst>
        </xdr:cNvPr>
        <xdr:cNvSpPr txBox="1"/>
      </xdr:nvSpPr>
      <xdr:spPr>
        <a:xfrm>
          <a:off x="5914695" y="336042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E53BD0D3-3088-41DB-A17A-8EA8E6886704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213360</xdr:colOff>
      <xdr:row>16</xdr:row>
      <xdr:rowOff>68580</xdr:rowOff>
    </xdr:from>
    <xdr:ext cx="746760" cy="264560"/>
    <xdr:sp macro="" textlink="AUXILIAR!C5">
      <xdr:nvSpPr>
        <xdr:cNvPr id="16" name="CaixaDeTexto 15">
          <a:extLst>
            <a:ext uri="{FF2B5EF4-FFF2-40B4-BE49-F238E27FC236}">
              <a16:creationId xmlns:a16="http://schemas.microsoft.com/office/drawing/2014/main" id="{44832843-248B-4746-9DAB-6C75B75BEA7B}"/>
            </a:ext>
          </a:extLst>
        </xdr:cNvPr>
        <xdr:cNvSpPr txBox="1"/>
      </xdr:nvSpPr>
      <xdr:spPr>
        <a:xfrm>
          <a:off x="3604260" y="2994660"/>
          <a:ext cx="74676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121AB0F0-3E1E-4CFB-86A7-499A76DCEBD7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5</xdr:col>
      <xdr:colOff>93015</xdr:colOff>
      <xdr:row>17</xdr:row>
      <xdr:rowOff>91440</xdr:rowOff>
    </xdr:from>
    <xdr:ext cx="987450" cy="264560"/>
    <xdr:sp macro="" textlink="AUXILIAR!D5">
      <xdr:nvSpPr>
        <xdr:cNvPr id="17" name="CaixaDeTexto 16">
          <a:extLst>
            <a:ext uri="{FF2B5EF4-FFF2-40B4-BE49-F238E27FC236}">
              <a16:creationId xmlns:a16="http://schemas.microsoft.com/office/drawing/2014/main" id="{45320B60-4E7D-4805-A6A6-100DCCB86BB3}"/>
            </a:ext>
          </a:extLst>
        </xdr:cNvPr>
        <xdr:cNvSpPr txBox="1"/>
      </xdr:nvSpPr>
      <xdr:spPr>
        <a:xfrm>
          <a:off x="3483915" y="3200400"/>
          <a:ext cx="9874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73166BE9-07FD-49C7-9370-159B6C611D9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566700</xdr:colOff>
          <xdr:row>3</xdr:row>
          <xdr:rowOff>170460</xdr:rowOff>
        </xdr:from>
        <xdr:ext cx="1348740" cy="1066800"/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88D02B43-9B73-4F92-B50D-0339AD5D3C4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1" spid="_x0000_s37544"/>
                </a:ext>
              </a:extLst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59580" y="122202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18060</xdr:colOff>
          <xdr:row>8</xdr:row>
          <xdr:rowOff>63780</xdr:rowOff>
        </xdr:from>
        <xdr:ext cx="1348740" cy="1066800"/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1587FB4-CA15-4129-AD3D-A01B4AA1079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3" spid="_x0000_s37545"/>
                </a:ext>
              </a:extLst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816880" y="2174520"/>
              <a:ext cx="1348740" cy="106680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>
    <xdr:from>
      <xdr:col>0</xdr:col>
      <xdr:colOff>358140</xdr:colOff>
      <xdr:row>2</xdr:row>
      <xdr:rowOff>304800</xdr:rowOff>
    </xdr:from>
    <xdr:to>
      <xdr:col>2</xdr:col>
      <xdr:colOff>403860</xdr:colOff>
      <xdr:row>4</xdr:row>
      <xdr:rowOff>7620</xdr:rowOff>
    </xdr:to>
    <xdr:sp macro="[0]!ATUALIZAR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1A40C8E-A2F4-449D-83F9-3AEB24750646}"/>
            </a:ext>
          </a:extLst>
        </xdr:cNvPr>
        <xdr:cNvSpPr/>
      </xdr:nvSpPr>
      <xdr:spPr>
        <a:xfrm>
          <a:off x="358140" y="548640"/>
          <a:ext cx="1249680" cy="1905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ATUALIZAR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586740</xdr:colOff>
          <xdr:row>7</xdr:row>
          <xdr:rowOff>0</xdr:rowOff>
        </xdr:from>
        <xdr:to>
          <xdr:col>7</xdr:col>
          <xdr:colOff>152400</xdr:colOff>
          <xdr:row>12</xdr:row>
          <xdr:rowOff>152400</xdr:rowOff>
        </xdr:to>
        <xdr:pic>
          <xdr:nvPicPr>
            <xdr:cNvPr id="34855" name="Imagem 10">
              <a:extLst>
                <a:ext uri="{FF2B5EF4-FFF2-40B4-BE49-F238E27FC236}">
                  <a16:creationId xmlns:a16="http://schemas.microsoft.com/office/drawing/2014/main" id="{FC0B6D5E-6406-AA85-7E81-E8D246ACAA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2" spid="_x0000_s37546"/>
                </a:ext>
              </a:extLst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352800" y="1927860"/>
              <a:ext cx="1348740" cy="1066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563880</xdr:colOff>
          <xdr:row>3</xdr:row>
          <xdr:rowOff>167640</xdr:rowOff>
        </xdr:from>
        <xdr:to>
          <xdr:col>9</xdr:col>
          <xdr:colOff>129540</xdr:colOff>
          <xdr:row>8</xdr:row>
          <xdr:rowOff>175260</xdr:rowOff>
        </xdr:to>
        <xdr:pic>
          <xdr:nvPicPr>
            <xdr:cNvPr id="34856" name="Imagem 17">
              <a:extLst>
                <a:ext uri="{FF2B5EF4-FFF2-40B4-BE49-F238E27FC236}">
                  <a16:creationId xmlns:a16="http://schemas.microsoft.com/office/drawing/2014/main" id="{F8EA9C7F-6C13-59A4-73FA-ADEC169716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1" spid="_x0000_s37547"/>
                </a:ext>
              </a:extLst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18660" y="1219200"/>
              <a:ext cx="1348740" cy="1066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</xdr:colOff>
          <xdr:row>8</xdr:row>
          <xdr:rowOff>60960</xdr:rowOff>
        </xdr:from>
        <xdr:to>
          <xdr:col>11</xdr:col>
          <xdr:colOff>175260</xdr:colOff>
          <xdr:row>14</xdr:row>
          <xdr:rowOff>30480</xdr:rowOff>
        </xdr:to>
        <xdr:pic>
          <xdr:nvPicPr>
            <xdr:cNvPr id="34857" name="Imagem 18">
              <a:extLst>
                <a:ext uri="{FF2B5EF4-FFF2-40B4-BE49-F238E27FC236}">
                  <a16:creationId xmlns:a16="http://schemas.microsoft.com/office/drawing/2014/main" id="{73056A7A-740A-F7E0-D7F6-7B3272A946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3" spid="_x0000_s37548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53100" y="2171700"/>
              <a:ext cx="1348740" cy="1066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18</xdr:row>
      <xdr:rowOff>38100</xdr:rowOff>
    </xdr:from>
    <xdr:to>
      <xdr:col>8</xdr:col>
      <xdr:colOff>676275</xdr:colOff>
      <xdr:row>23</xdr:row>
      <xdr:rowOff>28575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482F429D-04E5-D479-B8C7-728A7E9C8D42}"/>
            </a:ext>
          </a:extLst>
        </xdr:cNvPr>
        <xdr:cNvGrpSpPr/>
      </xdr:nvGrpSpPr>
      <xdr:grpSpPr>
        <a:xfrm>
          <a:off x="3743325" y="3467100"/>
          <a:ext cx="4371975" cy="942975"/>
          <a:chOff x="3648075" y="3467100"/>
          <a:chExt cx="4095750" cy="942975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58FBE643-7E9C-C4DA-DB8B-3E31AF583E71}"/>
              </a:ext>
            </a:extLst>
          </xdr:cNvPr>
          <xdr:cNvSpPr/>
        </xdr:nvSpPr>
        <xdr:spPr>
          <a:xfrm>
            <a:off x="3648075" y="3714750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6E452026-CFBB-1C4E-905D-7DD78193FE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0102" b="53302"/>
          <a:stretch/>
        </xdr:blipFill>
        <xdr:spPr>
          <a:xfrm>
            <a:off x="6738296" y="3467100"/>
            <a:ext cx="1005529" cy="9429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27</xdr:row>
      <xdr:rowOff>28575</xdr:rowOff>
    </xdr:from>
    <xdr:to>
      <xdr:col>8</xdr:col>
      <xdr:colOff>689921</xdr:colOff>
      <xdr:row>32</xdr:row>
      <xdr:rowOff>28575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C9549A3A-1AE1-9B0E-3D33-854AE3A58F01}"/>
            </a:ext>
          </a:extLst>
        </xdr:cNvPr>
        <xdr:cNvGrpSpPr/>
      </xdr:nvGrpSpPr>
      <xdr:grpSpPr>
        <a:xfrm>
          <a:off x="3743325" y="5172075"/>
          <a:ext cx="4385621" cy="952500"/>
          <a:chOff x="3648075" y="5172075"/>
          <a:chExt cx="4109396" cy="952500"/>
        </a:xfrm>
      </xdr:grpSpPr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E4CF56AB-CE31-FED6-103D-C9B3742732CD}"/>
              </a:ext>
            </a:extLst>
          </xdr:cNvPr>
          <xdr:cNvSpPr/>
        </xdr:nvSpPr>
        <xdr:spPr>
          <a:xfrm>
            <a:off x="3648075" y="5448300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9129F9FC-526A-EF87-20BC-50427CE533B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425" b="52830"/>
          <a:stretch/>
        </xdr:blipFill>
        <xdr:spPr>
          <a:xfrm>
            <a:off x="6738296" y="5172075"/>
            <a:ext cx="1019175" cy="9525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13</xdr:row>
      <xdr:rowOff>142874</xdr:rowOff>
    </xdr:from>
    <xdr:to>
      <xdr:col>8</xdr:col>
      <xdr:colOff>657225</xdr:colOff>
      <xdr:row>18</xdr:row>
      <xdr:rowOff>114299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19072A78-4277-C97D-C08D-87C5D01ACFC0}"/>
            </a:ext>
          </a:extLst>
        </xdr:cNvPr>
        <xdr:cNvGrpSpPr/>
      </xdr:nvGrpSpPr>
      <xdr:grpSpPr>
        <a:xfrm>
          <a:off x="3743325" y="2619374"/>
          <a:ext cx="4352925" cy="923925"/>
          <a:chOff x="3648075" y="2619374"/>
          <a:chExt cx="4076700" cy="923925"/>
        </a:xfrm>
      </xdr:grpSpPr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915FD753-C3CB-BE3E-A12B-2D6F2236C835}"/>
              </a:ext>
            </a:extLst>
          </xdr:cNvPr>
          <xdr:cNvSpPr/>
        </xdr:nvSpPr>
        <xdr:spPr>
          <a:xfrm>
            <a:off x="3648075" y="2847975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EF73896F-4695-C78F-A6B8-C704752B4C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4245" r="51048"/>
          <a:stretch/>
        </xdr:blipFill>
        <xdr:spPr>
          <a:xfrm>
            <a:off x="6738296" y="2619374"/>
            <a:ext cx="986479" cy="92392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</xdr:colOff>
      <xdr:row>23</xdr:row>
      <xdr:rowOff>28575</xdr:rowOff>
    </xdr:from>
    <xdr:to>
      <xdr:col>8</xdr:col>
      <xdr:colOff>676275</xdr:colOff>
      <xdr:row>27</xdr:row>
      <xdr:rowOff>95249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79696A2-9E9D-CDCC-E62C-324E6E7B1BEE}"/>
            </a:ext>
          </a:extLst>
        </xdr:cNvPr>
        <xdr:cNvGrpSpPr/>
      </xdr:nvGrpSpPr>
      <xdr:grpSpPr>
        <a:xfrm>
          <a:off x="3743325" y="4410075"/>
          <a:ext cx="4371975" cy="828674"/>
          <a:chOff x="3648075" y="4410075"/>
          <a:chExt cx="4095750" cy="828674"/>
        </a:xfrm>
      </xdr:grpSpPr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9A0E27F1-D1D3-B81D-5302-7184AB353B40}"/>
              </a:ext>
            </a:extLst>
          </xdr:cNvPr>
          <xdr:cNvSpPr/>
        </xdr:nvSpPr>
        <xdr:spPr>
          <a:xfrm>
            <a:off x="3648075" y="4581525"/>
            <a:ext cx="3333750" cy="3905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31D9DE5B-F9B5-DE81-BDFC-6BF50436C99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0575" t="54717" r="-473" b="4245"/>
          <a:stretch/>
        </xdr:blipFill>
        <xdr:spPr>
          <a:xfrm>
            <a:off x="6738296" y="4410075"/>
            <a:ext cx="1005529" cy="82867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0</xdr:colOff>
      <xdr:row>10</xdr:row>
      <xdr:rowOff>0</xdr:rowOff>
    </xdr:from>
    <xdr:to>
      <xdr:col>16</xdr:col>
      <xdr:colOff>191298</xdr:colOff>
      <xdr:row>33</xdr:row>
      <xdr:rowOff>176893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63AE81-9D3D-4774-A6A1-538105CE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8467" b="90847" l="6167" r="92000">
                      <a14:foregroundMark x1="14833" y1="9611" x2="6912" y2="15878"/>
                      <a14:foregroundMark x1="6145" y1="20768" x2="9500" y2="30664"/>
                      <a14:foregroundMark x1="9500" y1="30664" x2="16500" y2="37757"/>
                      <a14:foregroundMark x1="16500" y1="37757" x2="21472" y2="37169"/>
                      <a14:foregroundMark x1="26167" y1="36613" x2="29167" y2="25172"/>
                      <a14:foregroundMark x1="29167" y1="25172" x2="26500" y2="13272"/>
                      <a14:foregroundMark x1="26500" y1="13272" x2="17667" y2="8467"/>
                      <a14:foregroundMark x1="17667" y1="8467" x2="14333" y2="8467"/>
                      <a14:foregroundMark x1="6167" y1="22197" x2="6167" y2="22197"/>
                      <a14:foregroundMark x1="17667" y1="19908" x2="17667" y2="19908"/>
                      <a14:foregroundMark x1="49500" y1="9611" x2="39667" y2="19451"/>
                      <a14:foregroundMark x1="39667" y1="19451" x2="45000" y2="37300"/>
                      <a14:foregroundMark x1="45000" y1="37300" x2="56333" y2="36613"/>
                      <a14:foregroundMark x1="56333" y1="36613" x2="60833" y2="22883"/>
                      <a14:foregroundMark x1="60833" y1="22883" x2="55667" y2="11899"/>
                      <a14:foregroundMark x1="55667" y1="11899" x2="45667" y2="9153"/>
                      <a14:foregroundMark x1="19000" y1="19680" x2="19000" y2="19680"/>
                      <a14:foregroundMark x1="39333" y1="29519" x2="39333" y2="29519"/>
                      <a14:foregroundMark x1="38500" y1="28146" x2="38766" y2="31258"/>
                      <a14:foregroundMark x1="43500" y1="12586" x2="41500" y2="12815"/>
                      <a14:foregroundMark x1="54333" y1="13501" x2="59500" y2="18535"/>
                      <a14:foregroundMark x1="59500" y1="16705" x2="61167" y2="29291"/>
                      <a14:foregroundMark x1="61167" y1="29291" x2="56667" y2="36384"/>
                      <a14:foregroundMark x1="42500" y1="10526" x2="41262" y2="11376"/>
                      <a14:foregroundMark x1="42647" y1="10425" x2="42500" y2="10526"/>
                      <a14:foregroundMark x1="43833" y1="9611" x2="43500" y2="9840"/>
                      <a14:foregroundMark x1="52833" y1="29519" x2="52333" y2="18764"/>
                      <a14:foregroundMark x1="52333" y1="18764" x2="47667" y2="18307"/>
                      <a14:foregroundMark x1="49833" y1="27689" x2="49833" y2="27689"/>
                      <a14:foregroundMark x1="51500" y1="25172" x2="49333" y2="27460"/>
                      <a14:foregroundMark x1="50500" y1="25400" x2="52333" y2="23799"/>
                      <a14:foregroundMark x1="50667" y1="25400" x2="52833" y2="22654"/>
                      <a14:foregroundMark x1="51667" y1="30664" x2="54500" y2="30435"/>
                      <a14:foregroundMark x1="56833" y1="45767" x2="56833" y2="45767"/>
                      <a14:foregroundMark x1="27167" y1="44165" x2="27167" y2="44165"/>
                      <a14:foregroundMark x1="10500" y1="45995" x2="11500" y2="45767"/>
                      <a14:foregroundMark x1="10667" y1="40961" x2="15167" y2="42334"/>
                      <a14:foregroundMark x1="16000" y1="43249" x2="13833" y2="43021"/>
                      <a14:foregroundMark x1="14500" y1="42792" x2="16000" y2="42105"/>
                      <a14:foregroundMark x1="75500" y1="40503" x2="75500" y2="40503"/>
                      <a14:foregroundMark x1="74000" y1="41190" x2="79500" y2="44851"/>
                      <a14:foregroundMark x1="88833" y1="44165" x2="91833" y2="42792"/>
                      <a14:foregroundMark x1="86833" y1="37986" x2="92500" y2="25629"/>
                      <a14:foregroundMark x1="92500" y1="25629" x2="92000" y2="13272"/>
                      <a14:foregroundMark x1="92000" y1="13272" x2="83000" y2="10526"/>
                      <a14:foregroundMark x1="83000" y1="10526" x2="73500" y2="14416"/>
                      <a14:foregroundMark x1="73500" y1="14416" x2="71000" y2="27231"/>
                      <a14:foregroundMark x1="71000" y1="27231" x2="79333" y2="36842"/>
                      <a14:foregroundMark x1="79333" y1="36842" x2="87667" y2="37300"/>
                      <a14:foregroundMark x1="87667" y1="37300" x2="86667" y2="37300"/>
                      <a14:foregroundMark x1="76000" y1="14645" x2="74500" y2="27002"/>
                      <a14:foregroundMark x1="74500" y1="27002" x2="80833" y2="34783"/>
                      <a14:foregroundMark x1="80833" y1="34783" x2="88500" y2="30664"/>
                      <a14:foregroundMark x1="80500" y1="19680" x2="79833" y2="28146"/>
                      <a14:foregroundMark x1="80500" y1="19908" x2="81500" y2="22883"/>
                      <a14:foregroundMark x1="79500" y1="26545" x2="84333" y2="28604"/>
                      <a14:foregroundMark x1="18333" y1="18307" x2="18833" y2="25400"/>
                      <a14:foregroundMark x1="46000" y1="44394" x2="40667" y2="38902"/>
                      <a14:foregroundMark x1="34000" y1="55606" x2="26418" y2="61238"/>
                      <a14:foregroundMark x1="23981" y1="64144" x2="26167" y2="78719"/>
                      <a14:foregroundMark x1="26167" y1="78719" x2="33667" y2="84439"/>
                      <a14:foregroundMark x1="33667" y1="84439" x2="44500" y2="75973"/>
                      <a14:foregroundMark x1="44500" y1="75973" x2="45150" y2="65272"/>
                      <a14:foregroundMark x1="43405" y1="62955" x2="37833" y2="56522"/>
                      <a14:foregroundMark x1="37833" y1="56522" x2="34000" y2="55149"/>
                      <a14:foregroundMark x1="36000" y1="76659" x2="34000" y2="66590"/>
                      <a14:foregroundMark x1="34000" y1="66590" x2="37667" y2="70709"/>
                      <a14:foregroundMark x1="25667" y1="89016" x2="28833" y2="89931"/>
                      <a14:foregroundMark x1="40500" y1="90847" x2="42667" y2="89016"/>
                      <a14:foregroundMark x1="60667" y1="87414" x2="63333" y2="88101"/>
                      <a14:foregroundMark x1="72833" y1="89931" x2="74500" y2="88101"/>
                      <a14:foregroundMark x1="62667" y1="64989" x2="67333" y2="77346"/>
                      <a14:foregroundMark x1="67333" y1="77346" x2="76000" y2="67277"/>
                      <a14:foregroundMark x1="76000" y1="67277" x2="65833" y2="66819"/>
                      <a14:foregroundMark x1="65833" y1="66819" x2="63167" y2="70709"/>
                      <a14:foregroundMark x1="60000" y1="59725" x2="57000" y2="70709"/>
                      <a14:foregroundMark x1="57000" y1="70709" x2="61333" y2="80778"/>
                      <a14:foregroundMark x1="61333" y1="80778" x2="71909" y2="83400"/>
                      <a14:foregroundMark x1="74964" y1="80170" x2="78333" y2="72769"/>
                      <a14:foregroundMark x1="78333" y1="72769" x2="76167" y2="62700"/>
                      <a14:foregroundMark x1="76167" y1="62700" x2="67667" y2="56522"/>
                      <a14:foregroundMark x1="67667" y1="56522" x2="59500" y2="59954"/>
                      <a14:backgroundMark x1="23500" y1="39588" x2="23500" y2="39588"/>
                      <a14:backgroundMark x1="25167" y1="38902" x2="25167" y2="38902"/>
                      <a14:backgroundMark x1="24833" y1="38215" x2="24833" y2="38215"/>
                      <a14:backgroundMark x1="23167" y1="40503" x2="19833" y2="40503"/>
                      <a14:backgroundMark x1="15863" y1="42460" x2="17833" y2="42334"/>
                      <a14:backgroundMark x1="26167" y1="37529" x2="23333" y2="40046"/>
                      <a14:backgroundMark x1="26500" y1="36613" x2="26500" y2="36613"/>
                      <a14:backgroundMark x1="26167" y1="36613" x2="26167" y2="36613"/>
                      <a14:backgroundMark x1="5167" y1="17391" x2="5167" y2="17391"/>
                      <a14:backgroundMark x1="5167" y1="23570" x2="4833" y2="16934"/>
                      <a14:backgroundMark x1="6000" y1="15332" x2="4833" y2="18764"/>
                      <a14:backgroundMark x1="56552" y1="36613" x2="56899" y2="36613"/>
                      <a14:backgroundMark x1="39714" y1="31895" x2="39667" y2="33867"/>
                      <a14:backgroundMark x1="39667" y1="33867" x2="40983" y2="34111"/>
                      <a14:backgroundMark x1="35500" y1="17391" x2="35167" y2="11442"/>
                      <a14:backgroundMark x1="38167" y1="14645" x2="37167" y2="12128"/>
                      <a14:backgroundMark x1="37667" y1="15561" x2="41667" y2="10069"/>
                      <a14:backgroundMark x1="33333" y1="14874" x2="35667" y2="13501"/>
                      <a14:backgroundMark x1="32167" y1="19908" x2="38000" y2="11899"/>
                      <a14:backgroundMark x1="38000" y1="11899" x2="37667" y2="12586"/>
                      <a14:backgroundMark x1="39000" y1="10984" x2="35667" y2="15561"/>
                      <a14:backgroundMark x1="43167" y1="10526" x2="43167" y2="10526"/>
                      <a14:backgroundMark x1="43500" y1="9840" x2="42167" y2="9153"/>
                      <a14:backgroundMark x1="38333" y1="31579" x2="38833" y2="32723"/>
                      <a14:backgroundMark x1="71500" y1="84439" x2="71500" y2="84439"/>
                      <a14:backgroundMark x1="71500" y1="84439" x2="76667" y2="82380"/>
                      <a14:backgroundMark x1="42167" y1="48741" x2="41833" y2="46224"/>
                      <a14:backgroundMark x1="43833" y1="48970" x2="42833" y2="47140"/>
                      <a14:backgroundMark x1="40167" y1="40961" x2="41000" y2="37300"/>
                      <a14:backgroundMark x1="5000" y1="21281" x2="6500" y2="19680"/>
                      <a14:backgroundMark x1="21167" y1="65675" x2="21667" y2="61785"/>
                      <a14:backgroundMark x1="23167" y1="64531" x2="22333" y2="59497"/>
                      <a14:backgroundMark x1="22833" y1="60412" x2="25000" y2="62929"/>
                      <a14:backgroundMark x1="46500" y1="60870" x2="46000" y2="6544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229725" y="1905000"/>
          <a:ext cx="5715798" cy="45583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504826</xdr:colOff>
      <xdr:row>17</xdr:row>
      <xdr:rowOff>0</xdr:rowOff>
    </xdr:from>
    <xdr:to>
      <xdr:col>20</xdr:col>
      <xdr:colOff>38100</xdr:colOff>
      <xdr:row>32</xdr:row>
      <xdr:rowOff>171450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30A098C2-5A86-7A1B-56F3-F93F8B79A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84" r="12682"/>
        <a:stretch/>
      </xdr:blipFill>
      <xdr:spPr>
        <a:xfrm>
          <a:off x="6600826" y="3238500"/>
          <a:ext cx="5629274" cy="3028950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absolute">
    <xdr:from>
      <xdr:col>0</xdr:col>
      <xdr:colOff>9525</xdr:colOff>
      <xdr:row>0</xdr:row>
      <xdr:rowOff>4</xdr:rowOff>
    </xdr:from>
    <xdr:to>
      <xdr:col>21</xdr:col>
      <xdr:colOff>0</xdr:colOff>
      <xdr:row>2</xdr:row>
      <xdr:rowOff>161929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BC1CEF2-0220-4FF2-BE40-51FB537C9064}"/>
            </a:ext>
          </a:extLst>
        </xdr:cNvPr>
        <xdr:cNvSpPr/>
      </xdr:nvSpPr>
      <xdr:spPr>
        <a:xfrm rot="5400000">
          <a:off x="6134100" y="-6124571"/>
          <a:ext cx="542925" cy="12792075"/>
        </a:xfrm>
        <a:prstGeom prst="rect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495300</xdr:colOff>
      <xdr:row>19</xdr:row>
      <xdr:rowOff>85725</xdr:rowOff>
    </xdr:from>
    <xdr:to>
      <xdr:col>9</xdr:col>
      <xdr:colOff>409575</xdr:colOff>
      <xdr:row>20</xdr:row>
      <xdr:rowOff>95250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9B9C327-9BD3-4868-9AA2-848EE3F4C6C0}"/>
            </a:ext>
          </a:extLst>
        </xdr:cNvPr>
        <xdr:cNvSpPr txBox="1"/>
      </xdr:nvSpPr>
      <xdr:spPr>
        <a:xfrm>
          <a:off x="4152900" y="3705225"/>
          <a:ext cx="17430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absolute">
    <xdr:from>
      <xdr:col>19</xdr:col>
      <xdr:colOff>47625</xdr:colOff>
      <xdr:row>0</xdr:row>
      <xdr:rowOff>51391</xdr:rowOff>
    </xdr:from>
    <xdr:to>
      <xdr:col>20</xdr:col>
      <xdr:colOff>466725</xdr:colOff>
      <xdr:row>2</xdr:row>
      <xdr:rowOff>95249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476163E-7797-4976-84F6-C331517A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51391"/>
          <a:ext cx="1028700" cy="424858"/>
        </a:xfrm>
        <a:prstGeom prst="rect">
          <a:avLst/>
        </a:prstGeom>
      </xdr:spPr>
    </xdr:pic>
    <xdr:clientData/>
  </xdr:twoCellAnchor>
  <xdr:twoCellAnchor editAs="absolute">
    <xdr:from>
      <xdr:col>0</xdr:col>
      <xdr:colOff>85726</xdr:colOff>
      <xdr:row>0</xdr:row>
      <xdr:rowOff>95250</xdr:rowOff>
    </xdr:from>
    <xdr:to>
      <xdr:col>9</xdr:col>
      <xdr:colOff>561975</xdr:colOff>
      <xdr:row>2</xdr:row>
      <xdr:rowOff>47625</xdr:rowOff>
    </xdr:to>
    <xdr:sp macro="" textlink="[2]DINÂMICA!C2">
      <xdr:nvSpPr>
        <xdr:cNvPr id="10" name="CaixaDeTexto 9">
          <a:extLst>
            <a:ext uri="{FF2B5EF4-FFF2-40B4-BE49-F238E27FC236}">
              <a16:creationId xmlns:a16="http://schemas.microsoft.com/office/drawing/2014/main" id="{2BE61279-7410-4378-AC6A-35DEDBFA2F2B}"/>
            </a:ext>
          </a:extLst>
        </xdr:cNvPr>
        <xdr:cNvSpPr txBox="1"/>
      </xdr:nvSpPr>
      <xdr:spPr>
        <a:xfrm>
          <a:off x="85726" y="95250"/>
          <a:ext cx="5962649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193E9D5-0541-40FF-B64D-5A01B487B1BD}" type="TxLink">
            <a:rPr lang="en-US" sz="1400" b="0" i="0" u="none" strike="noStrike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</a:t>
          </a:fld>
          <a:endParaRPr lang="pt-BR" sz="1400" b="0" i="0" u="none" strike="noStrike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123826</xdr:colOff>
      <xdr:row>16</xdr:row>
      <xdr:rowOff>66676</xdr:rowOff>
    </xdr:from>
    <xdr:to>
      <xdr:col>9</xdr:col>
      <xdr:colOff>476250</xdr:colOff>
      <xdr:row>32</xdr:row>
      <xdr:rowOff>152400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EB9AD739-1A37-CAC9-18E8-300C84778FC7}"/>
            </a:ext>
          </a:extLst>
        </xdr:cNvPr>
        <xdr:cNvSpPr/>
      </xdr:nvSpPr>
      <xdr:spPr>
        <a:xfrm>
          <a:off x="123826" y="3114676"/>
          <a:ext cx="5838824" cy="3133724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161928</xdr:colOff>
      <xdr:row>18</xdr:row>
      <xdr:rowOff>76199</xdr:rowOff>
    </xdr:from>
    <xdr:to>
      <xdr:col>9</xdr:col>
      <xdr:colOff>428626</xdr:colOff>
      <xdr:row>32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9419C99-0B2E-4E52-A983-B0E098D81166}"/>
            </a:ext>
            <a:ext uri="{147F2762-F138-4A5C-976F-8EAC2B608ADB}">
              <a16:predDERef xmlns:a16="http://schemas.microsoft.com/office/drawing/2014/main" pred="{EB9AD739-1A37-CAC9-18E8-300C84778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152401</xdr:colOff>
      <xdr:row>17</xdr:row>
      <xdr:rowOff>9525</xdr:rowOff>
    </xdr:from>
    <xdr:to>
      <xdr:col>7</xdr:col>
      <xdr:colOff>323851</xdr:colOff>
      <xdr:row>18</xdr:row>
      <xdr:rowOff>66675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A3FCACF-6064-4A5F-8325-BB5F106FF689}"/>
            </a:ext>
          </a:extLst>
        </xdr:cNvPr>
        <xdr:cNvSpPr txBox="1"/>
      </xdr:nvSpPr>
      <xdr:spPr>
        <a:xfrm>
          <a:off x="1371601" y="3248025"/>
          <a:ext cx="32194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Vendas</a:t>
          </a:r>
          <a:r>
            <a:rPr lang="pt-BR" sz="1800" baseline="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Individuais X Metas</a:t>
          </a:r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114301</xdr:colOff>
      <xdr:row>6</xdr:row>
      <xdr:rowOff>38099</xdr:rowOff>
    </xdr:from>
    <xdr:to>
      <xdr:col>9</xdr:col>
      <xdr:colOff>466725</xdr:colOff>
      <xdr:row>8</xdr:row>
      <xdr:rowOff>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2D994FA7-5802-44A8-A55A-96EB5FC1F2A5}"/>
            </a:ext>
          </a:extLst>
        </xdr:cNvPr>
        <xdr:cNvSpPr/>
      </xdr:nvSpPr>
      <xdr:spPr>
        <a:xfrm>
          <a:off x="114301" y="1181099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114301</xdr:colOff>
      <xdr:row>8</xdr:row>
      <xdr:rowOff>133349</xdr:rowOff>
    </xdr:from>
    <xdr:to>
      <xdr:col>9</xdr:col>
      <xdr:colOff>466725</xdr:colOff>
      <xdr:row>10</xdr:row>
      <xdr:rowOff>95250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1672C0E3-875D-D739-6303-0D70219D2340}"/>
            </a:ext>
          </a:extLst>
        </xdr:cNvPr>
        <xdr:cNvSpPr/>
      </xdr:nvSpPr>
      <xdr:spPr>
        <a:xfrm>
          <a:off x="114301" y="1657349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114301</xdr:colOff>
      <xdr:row>11</xdr:row>
      <xdr:rowOff>38099</xdr:rowOff>
    </xdr:from>
    <xdr:to>
      <xdr:col>9</xdr:col>
      <xdr:colOff>466725</xdr:colOff>
      <xdr:row>13</xdr:row>
      <xdr:rowOff>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3ADB201-97F2-5601-A8B8-164A49C61A93}"/>
            </a:ext>
          </a:extLst>
        </xdr:cNvPr>
        <xdr:cNvSpPr/>
      </xdr:nvSpPr>
      <xdr:spPr>
        <a:xfrm>
          <a:off x="114301" y="2133599"/>
          <a:ext cx="5838824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rgbClr val="061321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171451</xdr:colOff>
      <xdr:row>6</xdr:row>
      <xdr:rowOff>76200</xdr:rowOff>
    </xdr:from>
    <xdr:to>
      <xdr:col>2</xdr:col>
      <xdr:colOff>133351</xdr:colOff>
      <xdr:row>7</xdr:row>
      <xdr:rowOff>133350</xdr:rowOff>
    </xdr:to>
    <xdr:sp macro="" textlink="VENDAS_VENDEDOR!H8">
      <xdr:nvSpPr>
        <xdr:cNvPr id="18" name="CaixaDeTexto 17">
          <a:extLst>
            <a:ext uri="{FF2B5EF4-FFF2-40B4-BE49-F238E27FC236}">
              <a16:creationId xmlns:a16="http://schemas.microsoft.com/office/drawing/2014/main" id="{080DE359-E956-4F97-B1D6-C8560A756A65}"/>
            </a:ext>
          </a:extLst>
        </xdr:cNvPr>
        <xdr:cNvSpPr txBox="1"/>
      </xdr:nvSpPr>
      <xdr:spPr>
        <a:xfrm>
          <a:off x="171451" y="1219200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A1B6F38-84E6-4C38-97FA-D8B3AA45EAD7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AIANE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171451</xdr:colOff>
      <xdr:row>9</xdr:row>
      <xdr:rowOff>9525</xdr:rowOff>
    </xdr:from>
    <xdr:to>
      <xdr:col>2</xdr:col>
      <xdr:colOff>219075</xdr:colOff>
      <xdr:row>10</xdr:row>
      <xdr:rowOff>85725</xdr:rowOff>
    </xdr:to>
    <xdr:sp macro="" textlink="VENDAS_VENDEDOR!H9">
      <xdr:nvSpPr>
        <xdr:cNvPr id="20" name="CaixaDeTexto 19">
          <a:extLst>
            <a:ext uri="{FF2B5EF4-FFF2-40B4-BE49-F238E27FC236}">
              <a16:creationId xmlns:a16="http://schemas.microsoft.com/office/drawing/2014/main" id="{63813B8D-037F-DDA0-29D7-D9225A7E163E}"/>
            </a:ext>
          </a:extLst>
        </xdr:cNvPr>
        <xdr:cNvSpPr txBox="1"/>
      </xdr:nvSpPr>
      <xdr:spPr>
        <a:xfrm>
          <a:off x="171451" y="1724025"/>
          <a:ext cx="126682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88E18F7-3AEF-448E-A1D5-91B8FCB65CD5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LUCIJANE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152401</xdr:colOff>
      <xdr:row>11</xdr:row>
      <xdr:rowOff>57150</xdr:rowOff>
    </xdr:from>
    <xdr:to>
      <xdr:col>2</xdr:col>
      <xdr:colOff>114301</xdr:colOff>
      <xdr:row>12</xdr:row>
      <xdr:rowOff>114300</xdr:rowOff>
    </xdr:to>
    <xdr:sp macro="" textlink="VENDAS_VENDEDOR!H10">
      <xdr:nvSpPr>
        <xdr:cNvPr id="21" name="CaixaDeTexto 20">
          <a:extLst>
            <a:ext uri="{FF2B5EF4-FFF2-40B4-BE49-F238E27FC236}">
              <a16:creationId xmlns:a16="http://schemas.microsoft.com/office/drawing/2014/main" id="{7F6A4CC2-6FBF-2A2B-4392-04FB0C7A9FFC}"/>
            </a:ext>
          </a:extLst>
        </xdr:cNvPr>
        <xdr:cNvSpPr txBox="1"/>
      </xdr:nvSpPr>
      <xdr:spPr>
        <a:xfrm>
          <a:off x="152401" y="2152650"/>
          <a:ext cx="1181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C273491-B090-4009-8244-DD30230A23F9}" type="TxLink">
            <a:rPr lang="en-US" sz="18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ALINE</a:t>
          </a:fld>
          <a:endParaRPr lang="pt-BR" sz="18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200025</xdr:colOff>
      <xdr:row>3</xdr:row>
      <xdr:rowOff>104774</xdr:rowOff>
    </xdr:from>
    <xdr:to>
      <xdr:col>9</xdr:col>
      <xdr:colOff>466725</xdr:colOff>
      <xdr:row>5</xdr:row>
      <xdr:rowOff>66675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EDFC9E3-E657-4FB8-B4E8-75E03F6E8D16}"/>
            </a:ext>
          </a:extLst>
        </xdr:cNvPr>
        <xdr:cNvSpPr/>
      </xdr:nvSpPr>
      <xdr:spPr>
        <a:xfrm>
          <a:off x="1419225" y="676274"/>
          <a:ext cx="4533900" cy="342901"/>
        </a:xfrm>
        <a:prstGeom prst="roundRect">
          <a:avLst>
            <a:gd name="adj" fmla="val 4227"/>
          </a:avLst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238125</xdr:colOff>
      <xdr:row>3</xdr:row>
      <xdr:rowOff>161925</xdr:rowOff>
    </xdr:from>
    <xdr:to>
      <xdr:col>4</xdr:col>
      <xdr:colOff>85724</xdr:colOff>
      <xdr:row>5</xdr:row>
      <xdr:rowOff>28575</xdr:rowOff>
    </xdr:to>
    <xdr:sp macro="" textlink="VENDAS_VENDEDOR!J7">
      <xdr:nvSpPr>
        <xdr:cNvPr id="23" name="CaixaDeTexto 22">
          <a:extLst>
            <a:ext uri="{FF2B5EF4-FFF2-40B4-BE49-F238E27FC236}">
              <a16:creationId xmlns:a16="http://schemas.microsoft.com/office/drawing/2014/main" id="{A9C5D71D-5682-4934-A4C4-970541F22309}"/>
            </a:ext>
          </a:extLst>
        </xdr:cNvPr>
        <xdr:cNvSpPr txBox="1"/>
      </xdr:nvSpPr>
      <xdr:spPr>
        <a:xfrm>
          <a:off x="1457325" y="733425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0AE8847-42EE-4999-85AA-A2AA8DB44981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META MÍNIMA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146049</xdr:colOff>
      <xdr:row>3</xdr:row>
      <xdr:rowOff>161925</xdr:rowOff>
    </xdr:from>
    <xdr:to>
      <xdr:col>5</xdr:col>
      <xdr:colOff>403223</xdr:colOff>
      <xdr:row>5</xdr:row>
      <xdr:rowOff>28575</xdr:rowOff>
    </xdr:to>
    <xdr:sp macro="" textlink="VENDAS_VENDEDOR!K7">
      <xdr:nvSpPr>
        <xdr:cNvPr id="24" name="CaixaDeTexto 23">
          <a:extLst>
            <a:ext uri="{FF2B5EF4-FFF2-40B4-BE49-F238E27FC236}">
              <a16:creationId xmlns:a16="http://schemas.microsoft.com/office/drawing/2014/main" id="{1358706D-7F90-6409-6388-14E5C95241A1}"/>
            </a:ext>
          </a:extLst>
        </xdr:cNvPr>
        <xdr:cNvSpPr txBox="1"/>
      </xdr:nvSpPr>
      <xdr:spPr>
        <a:xfrm>
          <a:off x="2584449" y="733425"/>
          <a:ext cx="8667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23E9AE-CB77-4D1E-BB3C-FC7588CB609D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TOP 1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558798</xdr:colOff>
      <xdr:row>3</xdr:row>
      <xdr:rowOff>161925</xdr:rowOff>
    </xdr:from>
    <xdr:to>
      <xdr:col>7</xdr:col>
      <xdr:colOff>444499</xdr:colOff>
      <xdr:row>5</xdr:row>
      <xdr:rowOff>28575</xdr:rowOff>
    </xdr:to>
    <xdr:sp macro="" textlink="VENDAS_VENDEDOR!L7">
      <xdr:nvSpPr>
        <xdr:cNvPr id="25" name="CaixaDeTexto 24">
          <a:extLst>
            <a:ext uri="{FF2B5EF4-FFF2-40B4-BE49-F238E27FC236}">
              <a16:creationId xmlns:a16="http://schemas.microsoft.com/office/drawing/2014/main" id="{25BF9B11-27D4-9AA0-4488-9BB1421E48D7}"/>
            </a:ext>
          </a:extLst>
        </xdr:cNvPr>
        <xdr:cNvSpPr txBox="1"/>
      </xdr:nvSpPr>
      <xdr:spPr>
        <a:xfrm>
          <a:off x="3606798" y="733425"/>
          <a:ext cx="1104901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36D7804-D905-481D-94E3-26BD9AFC24CF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TOP 2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581024</xdr:colOff>
      <xdr:row>3</xdr:row>
      <xdr:rowOff>161925</xdr:rowOff>
    </xdr:from>
    <xdr:to>
      <xdr:col>9</xdr:col>
      <xdr:colOff>400049</xdr:colOff>
      <xdr:row>5</xdr:row>
      <xdr:rowOff>28575</xdr:rowOff>
    </xdr:to>
    <xdr:sp macro="" textlink="VENDAS_VENDEDOR!M7">
      <xdr:nvSpPr>
        <xdr:cNvPr id="26" name="CaixaDeTexto 25">
          <a:extLst>
            <a:ext uri="{FF2B5EF4-FFF2-40B4-BE49-F238E27FC236}">
              <a16:creationId xmlns:a16="http://schemas.microsoft.com/office/drawing/2014/main" id="{601AF2C2-AAE0-2F5C-B4BC-7AAB8F08DFC9}"/>
            </a:ext>
          </a:extLst>
        </xdr:cNvPr>
        <xdr:cNvSpPr txBox="1"/>
      </xdr:nvSpPr>
      <xdr:spPr>
        <a:xfrm>
          <a:off x="4848224" y="733425"/>
          <a:ext cx="1038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DEE840-74E2-4D8B-8050-CFE364CB36B0}" type="TxLink">
            <a:rPr lang="en-US" sz="105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MASTER</a:t>
          </a:fld>
          <a:endParaRPr lang="pt-BR" sz="105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209550</xdr:colOff>
      <xdr:row>6</xdr:row>
      <xdr:rowOff>114300</xdr:rowOff>
    </xdr:from>
    <xdr:to>
      <xdr:col>4</xdr:col>
      <xdr:colOff>57149</xdr:colOff>
      <xdr:row>7</xdr:row>
      <xdr:rowOff>171450</xdr:rowOff>
    </xdr:to>
    <xdr:sp macro="" textlink="VENDAS_VENDEDOR!J8">
      <xdr:nvSpPr>
        <xdr:cNvPr id="27" name="CaixaDeTexto 26">
          <a:extLst>
            <a:ext uri="{FF2B5EF4-FFF2-40B4-BE49-F238E27FC236}">
              <a16:creationId xmlns:a16="http://schemas.microsoft.com/office/drawing/2014/main" id="{57F7306E-18DC-44F0-807A-8006FDD416B4}"/>
            </a:ext>
          </a:extLst>
        </xdr:cNvPr>
        <xdr:cNvSpPr txBox="1"/>
      </xdr:nvSpPr>
      <xdr:spPr>
        <a:xfrm>
          <a:off x="1428750" y="125730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B672772-7192-483C-A721-71B0824DFC9E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R$ 25.808,67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12699</xdr:colOff>
      <xdr:row>6</xdr:row>
      <xdr:rowOff>114300</xdr:rowOff>
    </xdr:from>
    <xdr:to>
      <xdr:col>5</xdr:col>
      <xdr:colOff>581024</xdr:colOff>
      <xdr:row>7</xdr:row>
      <xdr:rowOff>171450</xdr:rowOff>
    </xdr:to>
    <xdr:sp macro="" textlink="VENDAS_VENDEDOR!K8">
      <xdr:nvSpPr>
        <xdr:cNvPr id="28" name="CaixaDeTexto 27">
          <a:extLst>
            <a:ext uri="{FF2B5EF4-FFF2-40B4-BE49-F238E27FC236}">
              <a16:creationId xmlns:a16="http://schemas.microsoft.com/office/drawing/2014/main" id="{C247F493-5F5A-4266-BBAE-CF65524213EF}"/>
            </a:ext>
          </a:extLst>
        </xdr:cNvPr>
        <xdr:cNvSpPr txBox="1"/>
      </xdr:nvSpPr>
      <xdr:spPr>
        <a:xfrm>
          <a:off x="2451099" y="125730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E8E61B-6ED8-4B31-84F0-3D81CD9BF609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R$ 22.475,33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549273</xdr:colOff>
      <xdr:row>6</xdr:row>
      <xdr:rowOff>114300</xdr:rowOff>
    </xdr:from>
    <xdr:to>
      <xdr:col>7</xdr:col>
      <xdr:colOff>434974</xdr:colOff>
      <xdr:row>7</xdr:row>
      <xdr:rowOff>171450</xdr:rowOff>
    </xdr:to>
    <xdr:sp macro="" textlink="VENDAS_VENDEDOR!L8">
      <xdr:nvSpPr>
        <xdr:cNvPr id="29" name="CaixaDeTexto 28">
          <a:extLst>
            <a:ext uri="{FF2B5EF4-FFF2-40B4-BE49-F238E27FC236}">
              <a16:creationId xmlns:a16="http://schemas.microsoft.com/office/drawing/2014/main" id="{22A7F922-E750-4499-B45D-6DF24CDBC6A6}"/>
            </a:ext>
          </a:extLst>
        </xdr:cNvPr>
        <xdr:cNvSpPr txBox="1"/>
      </xdr:nvSpPr>
      <xdr:spPr>
        <a:xfrm>
          <a:off x="3597273" y="125730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C7720B0-0955-415B-9BF3-2868D95D8556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R$ 19.142,00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485776</xdr:colOff>
      <xdr:row>6</xdr:row>
      <xdr:rowOff>114300</xdr:rowOff>
    </xdr:from>
    <xdr:to>
      <xdr:col>9</xdr:col>
      <xdr:colOff>438150</xdr:colOff>
      <xdr:row>7</xdr:row>
      <xdr:rowOff>171450</xdr:rowOff>
    </xdr:to>
    <xdr:sp macro="" textlink="VENDAS_VENDEDOR!M8">
      <xdr:nvSpPr>
        <xdr:cNvPr id="30" name="CaixaDeTexto 29">
          <a:extLst>
            <a:ext uri="{FF2B5EF4-FFF2-40B4-BE49-F238E27FC236}">
              <a16:creationId xmlns:a16="http://schemas.microsoft.com/office/drawing/2014/main" id="{1DB71ADA-BA33-4BEE-9491-1289745D90C0}"/>
            </a:ext>
          </a:extLst>
        </xdr:cNvPr>
        <xdr:cNvSpPr txBox="1"/>
      </xdr:nvSpPr>
      <xdr:spPr>
        <a:xfrm>
          <a:off x="4752976" y="125730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7C50B77-F388-4A77-BEC9-B647325B92E6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R$ 12.475,33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190500</xdr:colOff>
      <xdr:row>9</xdr:row>
      <xdr:rowOff>38100</xdr:rowOff>
    </xdr:from>
    <xdr:to>
      <xdr:col>4</xdr:col>
      <xdr:colOff>38099</xdr:colOff>
      <xdr:row>10</xdr:row>
      <xdr:rowOff>95250</xdr:rowOff>
    </xdr:to>
    <xdr:sp macro="" textlink="VENDAS_VENDEDOR!J9">
      <xdr:nvSpPr>
        <xdr:cNvPr id="35" name="CaixaDeTexto 34">
          <a:extLst>
            <a:ext uri="{FF2B5EF4-FFF2-40B4-BE49-F238E27FC236}">
              <a16:creationId xmlns:a16="http://schemas.microsoft.com/office/drawing/2014/main" id="{BC90370B-0E53-458C-ABA8-56DD523E7A33}"/>
            </a:ext>
          </a:extLst>
        </xdr:cNvPr>
        <xdr:cNvSpPr txBox="1"/>
      </xdr:nvSpPr>
      <xdr:spPr>
        <a:xfrm>
          <a:off x="1409700" y="1752600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B2BFCFB-7EE6-4FD4-8DA3-27FC8150D38F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R$ 12.098,67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603249</xdr:colOff>
      <xdr:row>9</xdr:row>
      <xdr:rowOff>38100</xdr:rowOff>
    </xdr:from>
    <xdr:to>
      <xdr:col>5</xdr:col>
      <xdr:colOff>561974</xdr:colOff>
      <xdr:row>10</xdr:row>
      <xdr:rowOff>95250</xdr:rowOff>
    </xdr:to>
    <xdr:sp macro="" textlink="VENDAS_VENDEDOR!K9">
      <xdr:nvSpPr>
        <xdr:cNvPr id="36" name="CaixaDeTexto 35">
          <a:extLst>
            <a:ext uri="{FF2B5EF4-FFF2-40B4-BE49-F238E27FC236}">
              <a16:creationId xmlns:a16="http://schemas.microsoft.com/office/drawing/2014/main" id="{3E7C8CC0-6FE5-4972-BDB1-8367F683501F}"/>
            </a:ext>
          </a:extLst>
        </xdr:cNvPr>
        <xdr:cNvSpPr txBox="1"/>
      </xdr:nvSpPr>
      <xdr:spPr>
        <a:xfrm>
          <a:off x="2432049" y="1752600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96DF6E5-BD37-43FD-AFEE-9D98FD091B58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R$ 8.765,33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530223</xdr:colOff>
      <xdr:row>9</xdr:row>
      <xdr:rowOff>38100</xdr:rowOff>
    </xdr:from>
    <xdr:to>
      <xdr:col>7</xdr:col>
      <xdr:colOff>415924</xdr:colOff>
      <xdr:row>10</xdr:row>
      <xdr:rowOff>95250</xdr:rowOff>
    </xdr:to>
    <xdr:sp macro="" textlink="VENDAS_VENDEDOR!L9">
      <xdr:nvSpPr>
        <xdr:cNvPr id="37" name="CaixaDeTexto 36">
          <a:extLst>
            <a:ext uri="{FF2B5EF4-FFF2-40B4-BE49-F238E27FC236}">
              <a16:creationId xmlns:a16="http://schemas.microsoft.com/office/drawing/2014/main" id="{DCD41DDF-AA61-4151-8D8F-7BBFAF682220}"/>
            </a:ext>
          </a:extLst>
        </xdr:cNvPr>
        <xdr:cNvSpPr txBox="1"/>
      </xdr:nvSpPr>
      <xdr:spPr>
        <a:xfrm>
          <a:off x="3578223" y="1752600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C30A595-FCA0-4CC0-903B-26DFFD5B27F0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R$ 5.432,00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466726</xdr:colOff>
      <xdr:row>9</xdr:row>
      <xdr:rowOff>38100</xdr:rowOff>
    </xdr:from>
    <xdr:to>
      <xdr:col>9</xdr:col>
      <xdr:colOff>419100</xdr:colOff>
      <xdr:row>10</xdr:row>
      <xdr:rowOff>95250</xdr:rowOff>
    </xdr:to>
    <xdr:sp macro="" textlink="VENDAS_VENDEDOR!M9">
      <xdr:nvSpPr>
        <xdr:cNvPr id="38" name="CaixaDeTexto 37">
          <a:extLst>
            <a:ext uri="{FF2B5EF4-FFF2-40B4-BE49-F238E27FC236}">
              <a16:creationId xmlns:a16="http://schemas.microsoft.com/office/drawing/2014/main" id="{7551BCB6-BA8B-4D03-84CF-39BAA748FC2D}"/>
            </a:ext>
          </a:extLst>
        </xdr:cNvPr>
        <xdr:cNvSpPr txBox="1"/>
      </xdr:nvSpPr>
      <xdr:spPr>
        <a:xfrm>
          <a:off x="4733926" y="1752600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75FEE97-F57B-4F0F-92DA-F2EDA25E4BDE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-R$ 1.234,67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190500</xdr:colOff>
      <xdr:row>11</xdr:row>
      <xdr:rowOff>66675</xdr:rowOff>
    </xdr:from>
    <xdr:to>
      <xdr:col>4</xdr:col>
      <xdr:colOff>38099</xdr:colOff>
      <xdr:row>12</xdr:row>
      <xdr:rowOff>123825</xdr:rowOff>
    </xdr:to>
    <xdr:sp macro="" textlink="VENDAS_VENDEDOR!J10">
      <xdr:nvSpPr>
        <xdr:cNvPr id="39" name="CaixaDeTexto 38">
          <a:extLst>
            <a:ext uri="{FF2B5EF4-FFF2-40B4-BE49-F238E27FC236}">
              <a16:creationId xmlns:a16="http://schemas.microsoft.com/office/drawing/2014/main" id="{7FB8629C-4C83-43F0-AA8D-BD8C1CBE9FFD}"/>
            </a:ext>
          </a:extLst>
        </xdr:cNvPr>
        <xdr:cNvSpPr txBox="1"/>
      </xdr:nvSpPr>
      <xdr:spPr>
        <a:xfrm>
          <a:off x="1409700" y="2162175"/>
          <a:ext cx="1066799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9041DB8-EA0A-4B77-8036-5A247280F5F4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R$ 23.221,67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603249</xdr:colOff>
      <xdr:row>11</xdr:row>
      <xdr:rowOff>66675</xdr:rowOff>
    </xdr:from>
    <xdr:to>
      <xdr:col>5</xdr:col>
      <xdr:colOff>561974</xdr:colOff>
      <xdr:row>12</xdr:row>
      <xdr:rowOff>123825</xdr:rowOff>
    </xdr:to>
    <xdr:sp macro="" textlink="VENDAS_VENDEDOR!K10">
      <xdr:nvSpPr>
        <xdr:cNvPr id="40" name="CaixaDeTexto 39">
          <a:extLst>
            <a:ext uri="{FF2B5EF4-FFF2-40B4-BE49-F238E27FC236}">
              <a16:creationId xmlns:a16="http://schemas.microsoft.com/office/drawing/2014/main" id="{0EBA9805-AACD-4D94-8232-95DE141095EC}"/>
            </a:ext>
          </a:extLst>
        </xdr:cNvPr>
        <xdr:cNvSpPr txBox="1"/>
      </xdr:nvSpPr>
      <xdr:spPr>
        <a:xfrm>
          <a:off x="2432049" y="2162175"/>
          <a:ext cx="1177925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4C58D81-F947-487E-9CBF-F7BC825AFF99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R$ 19.888,33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530223</xdr:colOff>
      <xdr:row>11</xdr:row>
      <xdr:rowOff>66675</xdr:rowOff>
    </xdr:from>
    <xdr:to>
      <xdr:col>7</xdr:col>
      <xdr:colOff>415924</xdr:colOff>
      <xdr:row>12</xdr:row>
      <xdr:rowOff>123825</xdr:rowOff>
    </xdr:to>
    <xdr:sp macro="" textlink="VENDAS_VENDEDOR!L10">
      <xdr:nvSpPr>
        <xdr:cNvPr id="41" name="CaixaDeTexto 40">
          <a:extLst>
            <a:ext uri="{FF2B5EF4-FFF2-40B4-BE49-F238E27FC236}">
              <a16:creationId xmlns:a16="http://schemas.microsoft.com/office/drawing/2014/main" id="{51EFB26E-EF86-4342-9A57-6B9736E78E7C}"/>
            </a:ext>
          </a:extLst>
        </xdr:cNvPr>
        <xdr:cNvSpPr txBox="1"/>
      </xdr:nvSpPr>
      <xdr:spPr>
        <a:xfrm>
          <a:off x="3578223" y="2162175"/>
          <a:ext cx="1104901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1CB75C9-BED9-4CAC-8EC4-2D83EB5E88D2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R$ 16.555,00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466726</xdr:colOff>
      <xdr:row>11</xdr:row>
      <xdr:rowOff>66675</xdr:rowOff>
    </xdr:from>
    <xdr:to>
      <xdr:col>9</xdr:col>
      <xdr:colOff>419100</xdr:colOff>
      <xdr:row>12</xdr:row>
      <xdr:rowOff>123825</xdr:rowOff>
    </xdr:to>
    <xdr:sp macro="" textlink="VENDAS_VENDEDOR!M10">
      <xdr:nvSpPr>
        <xdr:cNvPr id="42" name="CaixaDeTexto 41">
          <a:extLst>
            <a:ext uri="{FF2B5EF4-FFF2-40B4-BE49-F238E27FC236}">
              <a16:creationId xmlns:a16="http://schemas.microsoft.com/office/drawing/2014/main" id="{A4435C33-2C0F-4C92-9489-3BBBB25D702F}"/>
            </a:ext>
          </a:extLst>
        </xdr:cNvPr>
        <xdr:cNvSpPr txBox="1"/>
      </xdr:nvSpPr>
      <xdr:spPr>
        <a:xfrm>
          <a:off x="4733926" y="2162175"/>
          <a:ext cx="1171574" cy="247650"/>
        </a:xfrm>
        <a:prstGeom prst="rect">
          <a:avLst/>
        </a:prstGeom>
        <a:noFill/>
        <a:ln w="28575" cmpd="sng">
          <a:solidFill>
            <a:srgbClr val="00A859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B0FE631-3C3F-4B93-A14A-E63257E037FB}" type="TxLink">
            <a:rPr lang="en-US" sz="1050" b="0">
              <a:solidFill>
                <a:schemeClr val="bg1"/>
              </a:solidFill>
              <a:latin typeface="Abadi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l"/>
            <a:t> R$ 9.888,33 </a:t>
          </a:fld>
          <a:endParaRPr lang="pt-BR" sz="1050" b="0">
            <a:solidFill>
              <a:schemeClr val="bg1"/>
            </a:solidFill>
            <a:latin typeface="Abadi" panose="020F050202020403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9</xdr:col>
      <xdr:colOff>617220</xdr:colOff>
      <xdr:row>4</xdr:row>
      <xdr:rowOff>28576</xdr:rowOff>
    </xdr:from>
    <xdr:to>
      <xdr:col>20</xdr:col>
      <xdr:colOff>535305</xdr:colOff>
      <xdr:row>15</xdr:row>
      <xdr:rowOff>9526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CAE17377-9A7F-40EA-8710-DD9486FFB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760096"/>
          <a:ext cx="6791325" cy="1992630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17</xdr:row>
      <xdr:rowOff>91440</xdr:rowOff>
    </xdr:from>
    <xdr:to>
      <xdr:col>1</xdr:col>
      <xdr:colOff>541020</xdr:colOff>
      <xdr:row>18</xdr:row>
      <xdr:rowOff>102231</xdr:rowOff>
    </xdr:to>
    <xdr:sp macro="" textlink="VENDAS_VENDEDOR!M2">
      <xdr:nvSpPr>
        <xdr:cNvPr id="2" name="CaixaDeTexto 1">
          <a:extLst>
            <a:ext uri="{FF2B5EF4-FFF2-40B4-BE49-F238E27FC236}">
              <a16:creationId xmlns:a16="http://schemas.microsoft.com/office/drawing/2014/main" id="{CB620716-078E-4B96-955A-518E00B382BC}"/>
            </a:ext>
          </a:extLst>
        </xdr:cNvPr>
        <xdr:cNvSpPr txBox="1"/>
      </xdr:nvSpPr>
      <xdr:spPr>
        <a:xfrm>
          <a:off x="220980" y="3200400"/>
          <a:ext cx="944880" cy="193671"/>
        </a:xfrm>
        <a:prstGeom prst="rect">
          <a:avLst/>
        </a:prstGeom>
        <a:solidFill>
          <a:srgbClr val="00A85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7304226-606B-4F5D-864C-73E2F825AFFE}" type="TxLink">
            <a:rPr lang="en-US" sz="1100" b="1" i="0" u="none" strike="noStrike" kern="1200">
              <a:solidFill>
                <a:srgbClr val="FFFFFF"/>
              </a:solidFill>
              <a:latin typeface="Aptos Narrow"/>
            </a:rPr>
            <a:pPr algn="ctr"/>
            <a:t>MASTER</a:t>
          </a:fld>
          <a:endParaRPr lang="pt-BR" sz="900" kern="1200"/>
        </a:p>
      </xdr:txBody>
    </xdr:sp>
    <xdr:clientData/>
  </xdr:twoCellAnchor>
  <xdr:twoCellAnchor>
    <xdr:from>
      <xdr:col>0</xdr:col>
      <xdr:colOff>220980</xdr:colOff>
      <xdr:row>21</xdr:row>
      <xdr:rowOff>17418</xdr:rowOff>
    </xdr:from>
    <xdr:to>
      <xdr:col>1</xdr:col>
      <xdr:colOff>541020</xdr:colOff>
      <xdr:row>22</xdr:row>
      <xdr:rowOff>28209</xdr:rowOff>
    </xdr:to>
    <xdr:sp macro="" textlink="VENDAS_VENDEDOR!L2">
      <xdr:nvSpPr>
        <xdr:cNvPr id="44" name="CaixaDeTexto 43">
          <a:extLst>
            <a:ext uri="{FF2B5EF4-FFF2-40B4-BE49-F238E27FC236}">
              <a16:creationId xmlns:a16="http://schemas.microsoft.com/office/drawing/2014/main" id="{375080DD-3115-43FA-9CC4-ECBBC03A1D3C}"/>
            </a:ext>
          </a:extLst>
        </xdr:cNvPr>
        <xdr:cNvSpPr txBox="1"/>
      </xdr:nvSpPr>
      <xdr:spPr>
        <a:xfrm>
          <a:off x="220980" y="3857898"/>
          <a:ext cx="944880" cy="19367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38D04A7-B97B-40F8-983C-A38BFFDBBDBD}" type="TxLink">
            <a:rPr lang="en-US" sz="1100" b="1" i="0" u="none" strike="noStrike" kern="1200">
              <a:solidFill>
                <a:srgbClr val="FFFFFF"/>
              </a:solidFill>
              <a:latin typeface="Aptos Narrow"/>
              <a:ea typeface="+mn-ea"/>
              <a:cs typeface="+mn-cs"/>
            </a:rPr>
            <a:pPr marL="0" indent="0" algn="ctr"/>
            <a:t>TOP 2</a:t>
          </a:fld>
          <a:endParaRPr lang="pt-BR" sz="900" b="1" i="0" u="none" strike="noStrike" kern="1200">
            <a:solidFill>
              <a:srgbClr val="FFF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26</xdr:row>
      <xdr:rowOff>89265</xdr:rowOff>
    </xdr:from>
    <xdr:to>
      <xdr:col>1</xdr:col>
      <xdr:colOff>541020</xdr:colOff>
      <xdr:row>27</xdr:row>
      <xdr:rowOff>100056</xdr:rowOff>
    </xdr:to>
    <xdr:sp macro="" textlink="VENDAS_VENDEDOR!K3">
      <xdr:nvSpPr>
        <xdr:cNvPr id="50" name="CaixaDeTexto 49">
          <a:extLst>
            <a:ext uri="{FF2B5EF4-FFF2-40B4-BE49-F238E27FC236}">
              <a16:creationId xmlns:a16="http://schemas.microsoft.com/office/drawing/2014/main" id="{E3E1B997-CCEF-4B78-A492-3DB62DCFD76F}"/>
            </a:ext>
          </a:extLst>
        </xdr:cNvPr>
        <xdr:cNvSpPr txBox="1"/>
      </xdr:nvSpPr>
      <xdr:spPr>
        <a:xfrm>
          <a:off x="220980" y="4844145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B6B34B2-88BA-4389-ADD2-191FA395CEBD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R$ 16.666,67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30</xdr:row>
      <xdr:rowOff>15240</xdr:rowOff>
    </xdr:from>
    <xdr:to>
      <xdr:col>1</xdr:col>
      <xdr:colOff>541020</xdr:colOff>
      <xdr:row>31</xdr:row>
      <xdr:rowOff>26031</xdr:rowOff>
    </xdr:to>
    <xdr:sp macro="" textlink="VENDAS_VENDEDOR!J3">
      <xdr:nvSpPr>
        <xdr:cNvPr id="51" name="CaixaDeTexto 50">
          <a:extLst>
            <a:ext uri="{FF2B5EF4-FFF2-40B4-BE49-F238E27FC236}">
              <a16:creationId xmlns:a16="http://schemas.microsoft.com/office/drawing/2014/main" id="{B59AEDBA-9D9F-43BD-BDED-CB7660C2F409}"/>
            </a:ext>
          </a:extLst>
        </xdr:cNvPr>
        <xdr:cNvSpPr txBox="1"/>
      </xdr:nvSpPr>
      <xdr:spPr>
        <a:xfrm>
          <a:off x="220980" y="5501640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549772B-8103-4B26-A34E-90FAC4723CCF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R$ 13.333,33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28</xdr:row>
      <xdr:rowOff>52254</xdr:rowOff>
    </xdr:from>
    <xdr:to>
      <xdr:col>1</xdr:col>
      <xdr:colOff>541020</xdr:colOff>
      <xdr:row>29</xdr:row>
      <xdr:rowOff>63045</xdr:rowOff>
    </xdr:to>
    <xdr:sp macro="" textlink="VENDAS_VENDEDOR!J2">
      <xdr:nvSpPr>
        <xdr:cNvPr id="52" name="CaixaDeTexto 51">
          <a:extLst>
            <a:ext uri="{FF2B5EF4-FFF2-40B4-BE49-F238E27FC236}">
              <a16:creationId xmlns:a16="http://schemas.microsoft.com/office/drawing/2014/main" id="{0A86E819-A7DE-4721-B268-EDBF8A34C1A2}"/>
            </a:ext>
          </a:extLst>
        </xdr:cNvPr>
        <xdr:cNvSpPr txBox="1"/>
      </xdr:nvSpPr>
      <xdr:spPr>
        <a:xfrm>
          <a:off x="220980" y="5172894"/>
          <a:ext cx="944880" cy="19367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976CA2-7C02-45F6-97AF-E857FB0D0569}" type="TxLink">
            <a:rPr lang="en-US" sz="1100" b="1" i="0" u="none" strike="noStrike" kern="120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META MÍNIMA</a:t>
          </a:fld>
          <a:endParaRPr lang="pt-BR" sz="900" b="1" i="0" u="none" strike="noStrike" kern="1200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19</xdr:row>
      <xdr:rowOff>54429</xdr:rowOff>
    </xdr:from>
    <xdr:to>
      <xdr:col>1</xdr:col>
      <xdr:colOff>541020</xdr:colOff>
      <xdr:row>20</xdr:row>
      <xdr:rowOff>65220</xdr:rowOff>
    </xdr:to>
    <xdr:sp macro="" textlink="VENDAS_VENDEDOR!M3">
      <xdr:nvSpPr>
        <xdr:cNvPr id="53" name="CaixaDeTexto 52">
          <a:extLst>
            <a:ext uri="{FF2B5EF4-FFF2-40B4-BE49-F238E27FC236}">
              <a16:creationId xmlns:a16="http://schemas.microsoft.com/office/drawing/2014/main" id="{A971D569-11EF-4EF4-B06E-149CB8577E2B}"/>
            </a:ext>
          </a:extLst>
        </xdr:cNvPr>
        <xdr:cNvSpPr txBox="1"/>
      </xdr:nvSpPr>
      <xdr:spPr>
        <a:xfrm>
          <a:off x="220980" y="3529149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643519F-100A-4D37-8D06-6EC01C505CD2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R$ 26.666,67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24</xdr:row>
      <xdr:rowOff>126276</xdr:rowOff>
    </xdr:from>
    <xdr:to>
      <xdr:col>1</xdr:col>
      <xdr:colOff>541020</xdr:colOff>
      <xdr:row>25</xdr:row>
      <xdr:rowOff>137067</xdr:rowOff>
    </xdr:to>
    <xdr:sp macro="" textlink="VENDAS_VENDEDOR!K2">
      <xdr:nvSpPr>
        <xdr:cNvPr id="54" name="CaixaDeTexto 53">
          <a:extLst>
            <a:ext uri="{FF2B5EF4-FFF2-40B4-BE49-F238E27FC236}">
              <a16:creationId xmlns:a16="http://schemas.microsoft.com/office/drawing/2014/main" id="{7D8B3CC6-4DBD-4CB5-AED7-7281E77BDEA2}"/>
            </a:ext>
          </a:extLst>
        </xdr:cNvPr>
        <xdr:cNvSpPr txBox="1"/>
      </xdr:nvSpPr>
      <xdr:spPr>
        <a:xfrm>
          <a:off x="220980" y="4515396"/>
          <a:ext cx="944880" cy="19367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E5FCB57-D9E2-40CC-9AD6-A1181F88A292}" type="TxLink">
            <a:rPr lang="en-US" sz="1100" b="1" i="0" u="none" strike="noStrike" kern="1200">
              <a:solidFill>
                <a:srgbClr val="FFFFFF"/>
              </a:solidFill>
              <a:latin typeface="Aptos Narrow"/>
              <a:ea typeface="+mn-ea"/>
              <a:cs typeface="+mn-cs"/>
            </a:rPr>
            <a:pPr marL="0" indent="0" algn="ctr"/>
            <a:t>TOP 1</a:t>
          </a:fld>
          <a:endParaRPr lang="pt-BR" sz="900" b="1" i="0" u="none" strike="noStrike" kern="1200">
            <a:solidFill>
              <a:srgbClr val="FFF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220980</xdr:colOff>
      <xdr:row>22</xdr:row>
      <xdr:rowOff>163287</xdr:rowOff>
    </xdr:from>
    <xdr:to>
      <xdr:col>1</xdr:col>
      <xdr:colOff>541020</xdr:colOff>
      <xdr:row>23</xdr:row>
      <xdr:rowOff>174078</xdr:rowOff>
    </xdr:to>
    <xdr:sp macro="" textlink="VENDAS_VENDEDOR!L3">
      <xdr:nvSpPr>
        <xdr:cNvPr id="55" name="CaixaDeTexto 54">
          <a:extLst>
            <a:ext uri="{FF2B5EF4-FFF2-40B4-BE49-F238E27FC236}">
              <a16:creationId xmlns:a16="http://schemas.microsoft.com/office/drawing/2014/main" id="{8559E69D-3251-4E52-AAD2-02BD445A68EC}"/>
            </a:ext>
          </a:extLst>
        </xdr:cNvPr>
        <xdr:cNvSpPr txBox="1"/>
      </xdr:nvSpPr>
      <xdr:spPr>
        <a:xfrm>
          <a:off x="220980" y="4186647"/>
          <a:ext cx="944880" cy="193671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314D0AC-15A9-4335-BCC6-3129A49B3240}" type="TxLink">
            <a:rPr lang="en-US" sz="9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 R$ 20.000,00 </a:t>
          </a:fld>
          <a:endParaRPr lang="pt-BR" sz="9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7620</xdr:colOff>
      <xdr:row>4</xdr:row>
      <xdr:rowOff>91440</xdr:rowOff>
    </xdr:from>
    <xdr:to>
      <xdr:col>20</xdr:col>
      <xdr:colOff>533400</xdr:colOff>
      <xdr:row>14</xdr:row>
      <xdr:rowOff>106680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ACB44AD2-9A71-4736-BB2B-BBB49D1823AE}"/>
            </a:ext>
            <a:ext uri="{147F2762-F138-4A5C-976F-8EAC2B608ADB}">
              <a16:predDERef xmlns:a16="http://schemas.microsoft.com/office/drawing/2014/main" pred="{8559E69D-3251-4E52-AAD2-02BD445A6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516890</xdr:colOff>
      <xdr:row>19</xdr:row>
      <xdr:rowOff>93345</xdr:rowOff>
    </xdr:from>
    <xdr:to>
      <xdr:col>17</xdr:col>
      <xdr:colOff>278765</xdr:colOff>
      <xdr:row>30</xdr:row>
      <xdr:rowOff>83820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134FC0F6-3217-45E6-A240-17B7A42D3705}"/>
            </a:ext>
          </a:extLst>
        </xdr:cNvPr>
        <xdr:cNvSpPr/>
      </xdr:nvSpPr>
      <xdr:spPr>
        <a:xfrm>
          <a:off x="9660890" y="3712845"/>
          <a:ext cx="981075" cy="208597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456565</xdr:colOff>
      <xdr:row>22</xdr:row>
      <xdr:rowOff>74294</xdr:rowOff>
    </xdr:from>
    <xdr:to>
      <xdr:col>15</xdr:col>
      <xdr:colOff>218440</xdr:colOff>
      <xdr:row>30</xdr:row>
      <xdr:rowOff>102869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A8D75915-D85F-478B-B492-2738EFB3532C}"/>
            </a:ext>
          </a:extLst>
        </xdr:cNvPr>
        <xdr:cNvSpPr/>
      </xdr:nvSpPr>
      <xdr:spPr>
        <a:xfrm>
          <a:off x="8579485" y="4097654"/>
          <a:ext cx="1011555" cy="1491615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572733</xdr:colOff>
      <xdr:row>22</xdr:row>
      <xdr:rowOff>150494</xdr:rowOff>
    </xdr:from>
    <xdr:to>
      <xdr:col>17</xdr:col>
      <xdr:colOff>296508</xdr:colOff>
      <xdr:row>24</xdr:row>
      <xdr:rowOff>57149</xdr:rowOff>
    </xdr:to>
    <xdr:sp macro="" textlink="Planilha1!C3">
      <xdr:nvSpPr>
        <xdr:cNvPr id="62" name="CaixaDeTexto 61">
          <a:extLst>
            <a:ext uri="{FF2B5EF4-FFF2-40B4-BE49-F238E27FC236}">
              <a16:creationId xmlns:a16="http://schemas.microsoft.com/office/drawing/2014/main" id="{1B948CA2-0C55-4927-80AD-D36C6F72FE00}"/>
            </a:ext>
          </a:extLst>
        </xdr:cNvPr>
        <xdr:cNvSpPr txBox="1"/>
      </xdr:nvSpPr>
      <xdr:spPr>
        <a:xfrm>
          <a:off x="9649498" y="4341494"/>
          <a:ext cx="934010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F4983D4-4E0F-448C-9C8A-1C4F67CBF1EF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13</xdr:col>
      <xdr:colOff>491490</xdr:colOff>
      <xdr:row>24</xdr:row>
      <xdr:rowOff>11430</xdr:rowOff>
    </xdr:from>
    <xdr:to>
      <xdr:col>15</xdr:col>
      <xdr:colOff>240030</xdr:colOff>
      <xdr:row>26</xdr:row>
      <xdr:rowOff>11430</xdr:rowOff>
    </xdr:to>
    <xdr:sp macro="" textlink="Planilha1!C4">
      <xdr:nvSpPr>
        <xdr:cNvPr id="63" name="CaixaDeTexto 62">
          <a:extLst>
            <a:ext uri="{FF2B5EF4-FFF2-40B4-BE49-F238E27FC236}">
              <a16:creationId xmlns:a16="http://schemas.microsoft.com/office/drawing/2014/main" id="{F697D3AD-301B-47B3-BB18-C7F0D3716DB4}"/>
            </a:ext>
          </a:extLst>
        </xdr:cNvPr>
        <xdr:cNvSpPr txBox="1"/>
      </xdr:nvSpPr>
      <xdr:spPr>
        <a:xfrm>
          <a:off x="8614410" y="4400550"/>
          <a:ext cx="99822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35EAF67-86D0-4A35-A2C3-AF669EE64E51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13</xdr:col>
      <xdr:colOff>483870</xdr:colOff>
      <xdr:row>25</xdr:row>
      <xdr:rowOff>47624</xdr:rowOff>
    </xdr:from>
    <xdr:to>
      <xdr:col>15</xdr:col>
      <xdr:colOff>240030</xdr:colOff>
      <xdr:row>27</xdr:row>
      <xdr:rowOff>3809</xdr:rowOff>
    </xdr:to>
    <xdr:sp macro="" textlink="Planilha1!B4">
      <xdr:nvSpPr>
        <xdr:cNvPr id="131" name="CaixaDeTexto 130">
          <a:extLst>
            <a:ext uri="{FF2B5EF4-FFF2-40B4-BE49-F238E27FC236}">
              <a16:creationId xmlns:a16="http://schemas.microsoft.com/office/drawing/2014/main" id="{B272AF32-C08E-4C68-97FC-A0252F594F3E}"/>
            </a:ext>
          </a:extLst>
        </xdr:cNvPr>
        <xdr:cNvSpPr txBox="1"/>
      </xdr:nvSpPr>
      <xdr:spPr>
        <a:xfrm>
          <a:off x="8606790" y="4619624"/>
          <a:ext cx="1005840" cy="321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A4ACE72-C846-4D11-8FCD-0B2FBA6DF7F9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15</xdr:col>
      <xdr:colOff>529590</xdr:colOff>
      <xdr:row>23</xdr:row>
      <xdr:rowOff>121920</xdr:rowOff>
    </xdr:from>
    <xdr:to>
      <xdr:col>17</xdr:col>
      <xdr:colOff>270510</xdr:colOff>
      <xdr:row>25</xdr:row>
      <xdr:rowOff>80010</xdr:rowOff>
    </xdr:to>
    <xdr:sp macro="" textlink="Planilha1!B3">
      <xdr:nvSpPr>
        <xdr:cNvPr id="134" name="CaixaDeTexto 133">
          <a:extLst>
            <a:ext uri="{FF2B5EF4-FFF2-40B4-BE49-F238E27FC236}">
              <a16:creationId xmlns:a16="http://schemas.microsoft.com/office/drawing/2014/main" id="{DD897E98-1A70-4F2C-BC41-30498755A142}"/>
            </a:ext>
          </a:extLst>
        </xdr:cNvPr>
        <xdr:cNvSpPr txBox="1"/>
      </xdr:nvSpPr>
      <xdr:spPr>
        <a:xfrm>
          <a:off x="9902190" y="4328160"/>
          <a:ext cx="990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6E2CF45-F5FB-426F-BBE6-2E2D90C8C695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11</xdr:col>
      <xdr:colOff>313690</xdr:colOff>
      <xdr:row>24</xdr:row>
      <xdr:rowOff>95250</xdr:rowOff>
    </xdr:from>
    <xdr:to>
      <xdr:col>13</xdr:col>
      <xdr:colOff>75565</xdr:colOff>
      <xdr:row>30</xdr:row>
      <xdr:rowOff>93344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E914168-4514-F739-149F-8327924A7082}"/>
            </a:ext>
          </a:extLst>
        </xdr:cNvPr>
        <xdr:cNvSpPr/>
      </xdr:nvSpPr>
      <xdr:spPr>
        <a:xfrm>
          <a:off x="7019290" y="4667250"/>
          <a:ext cx="981075" cy="1141094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340995</xdr:colOff>
      <xdr:row>27</xdr:row>
      <xdr:rowOff>164642</xdr:rowOff>
    </xdr:from>
    <xdr:to>
      <xdr:col>13</xdr:col>
      <xdr:colOff>97155</xdr:colOff>
      <xdr:row>29</xdr:row>
      <xdr:rowOff>120827</xdr:rowOff>
    </xdr:to>
    <xdr:sp macro="" textlink="Planilha1!B5">
      <xdr:nvSpPr>
        <xdr:cNvPr id="5" name="CaixaDeTexto 4">
          <a:extLst>
            <a:ext uri="{FF2B5EF4-FFF2-40B4-BE49-F238E27FC236}">
              <a16:creationId xmlns:a16="http://schemas.microsoft.com/office/drawing/2014/main" id="{C92F53CB-8EEC-A5D0-76E4-9D7B6785E420}"/>
            </a:ext>
          </a:extLst>
        </xdr:cNvPr>
        <xdr:cNvSpPr txBox="1"/>
      </xdr:nvSpPr>
      <xdr:spPr>
        <a:xfrm>
          <a:off x="7076531" y="5308142"/>
          <a:ext cx="980803" cy="337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A7B84A-50B0-49EE-A863-D9C484DE6179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17</xdr:col>
      <xdr:colOff>551815</xdr:colOff>
      <xdr:row>25</xdr:row>
      <xdr:rowOff>38100</xdr:rowOff>
    </xdr:from>
    <xdr:to>
      <xdr:col>19</xdr:col>
      <xdr:colOff>313690</xdr:colOff>
      <xdr:row>30</xdr:row>
      <xdr:rowOff>74294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8C9AA4B6-C6C9-1F9D-CD54-43A7C4D09E5A}"/>
            </a:ext>
          </a:extLst>
        </xdr:cNvPr>
        <xdr:cNvSpPr/>
      </xdr:nvSpPr>
      <xdr:spPr>
        <a:xfrm>
          <a:off x="10915015" y="4800600"/>
          <a:ext cx="981075" cy="988694"/>
        </a:xfrm>
        <a:prstGeom prst="rect">
          <a:avLst/>
        </a:prstGeom>
        <a:gradFill flip="none" rotWithShape="1">
          <a:gsLst>
            <a:gs pos="0">
              <a:schemeClr val="accent3"/>
            </a:gs>
            <a:gs pos="100000">
              <a:schemeClr val="tx1"/>
            </a:gs>
          </a:gsLst>
          <a:lin ang="8100000" scaled="1"/>
          <a:tileRect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579120</xdr:colOff>
      <xdr:row>28</xdr:row>
      <xdr:rowOff>65312</xdr:rowOff>
    </xdr:from>
    <xdr:to>
      <xdr:col>19</xdr:col>
      <xdr:colOff>335280</xdr:colOff>
      <xdr:row>30</xdr:row>
      <xdr:rowOff>21497</xdr:rowOff>
    </xdr:to>
    <xdr:sp macro="" textlink="Planilha1!B6">
      <xdr:nvSpPr>
        <xdr:cNvPr id="46" name="CaixaDeTexto 45">
          <a:extLst>
            <a:ext uri="{FF2B5EF4-FFF2-40B4-BE49-F238E27FC236}">
              <a16:creationId xmlns:a16="http://schemas.microsoft.com/office/drawing/2014/main" id="{4AB55219-0279-1491-1461-757915924749}"/>
            </a:ext>
          </a:extLst>
        </xdr:cNvPr>
        <xdr:cNvSpPr txBox="1"/>
      </xdr:nvSpPr>
      <xdr:spPr>
        <a:xfrm>
          <a:off x="10988584" y="5399312"/>
          <a:ext cx="980803" cy="337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F8B4B4B-DA0F-425D-8D6F-2AC038D1D072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 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11</xdr:col>
      <xdr:colOff>401282</xdr:colOff>
      <xdr:row>26</xdr:row>
      <xdr:rowOff>99873</xdr:rowOff>
    </xdr:from>
    <xdr:to>
      <xdr:col>13</xdr:col>
      <xdr:colOff>149822</xdr:colOff>
      <xdr:row>28</xdr:row>
      <xdr:rowOff>99873</xdr:rowOff>
    </xdr:to>
    <xdr:sp macro="" textlink="Planilha1!C5">
      <xdr:nvSpPr>
        <xdr:cNvPr id="48" name="CaixaDeTexto 47">
          <a:extLst>
            <a:ext uri="{FF2B5EF4-FFF2-40B4-BE49-F238E27FC236}">
              <a16:creationId xmlns:a16="http://schemas.microsoft.com/office/drawing/2014/main" id="{30EF2710-0A47-0A3C-C26E-6E22E33B2B5F}"/>
            </a:ext>
          </a:extLst>
        </xdr:cNvPr>
        <xdr:cNvSpPr txBox="1"/>
      </xdr:nvSpPr>
      <xdr:spPr>
        <a:xfrm>
          <a:off x="7057576" y="5052873"/>
          <a:ext cx="9587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3642232-D7EC-4183-9A4A-B8624B905E51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#REF!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17</xdr:col>
      <xdr:colOff>596265</xdr:colOff>
      <xdr:row>27</xdr:row>
      <xdr:rowOff>19593</xdr:rowOff>
    </xdr:from>
    <xdr:to>
      <xdr:col>19</xdr:col>
      <xdr:colOff>344805</xdr:colOff>
      <xdr:row>29</xdr:row>
      <xdr:rowOff>19593</xdr:rowOff>
    </xdr:to>
    <xdr:sp macro="" textlink="Planilha1!C6">
      <xdr:nvSpPr>
        <xdr:cNvPr id="49" name="CaixaDeTexto 48">
          <a:extLst>
            <a:ext uri="{FF2B5EF4-FFF2-40B4-BE49-F238E27FC236}">
              <a16:creationId xmlns:a16="http://schemas.microsoft.com/office/drawing/2014/main" id="{4A3743D9-FA07-C69F-AACB-68418551992F}"/>
            </a:ext>
          </a:extLst>
        </xdr:cNvPr>
        <xdr:cNvSpPr txBox="1"/>
      </xdr:nvSpPr>
      <xdr:spPr>
        <a:xfrm>
          <a:off x="11005729" y="5163093"/>
          <a:ext cx="97318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3D59A89-BC33-4D17-8E23-21336A9654B0}" type="TxLink">
            <a:rPr lang="en-US" sz="1400">
              <a:solidFill>
                <a:schemeClr val="bg1"/>
              </a:solidFill>
              <a:latin typeface="Congenial Black" panose="020F0502020204030204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 </a:t>
          </a:fld>
          <a:endParaRPr lang="pt-BR" sz="1400">
            <a:solidFill>
              <a:schemeClr val="bg1"/>
            </a:solidFill>
            <a:latin typeface="Congenial Black" panose="020F0502020204030204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15</xdr:col>
      <xdr:colOff>390693</xdr:colOff>
      <xdr:row>16</xdr:row>
      <xdr:rowOff>4003</xdr:rowOff>
    </xdr:from>
    <xdr:to>
      <xdr:col>17</xdr:col>
      <xdr:colOff>376999</xdr:colOff>
      <xdr:row>22</xdr:row>
      <xdr:rowOff>58432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7DEF851D-23E5-360B-8AFB-A1296E592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8467" b="90847" l="6167" r="92000">
                      <a14:foregroundMark x1="14833" y1="9611" x2="6912" y2="15878"/>
                      <a14:foregroundMark x1="6145" y1="20768" x2="9500" y2="30664"/>
                      <a14:foregroundMark x1="9500" y1="30664" x2="16500" y2="37757"/>
                      <a14:foregroundMark x1="16500" y1="37757" x2="21472" y2="37169"/>
                      <a14:foregroundMark x1="26167" y1="36613" x2="29167" y2="25172"/>
                      <a14:foregroundMark x1="29167" y1="25172" x2="26500" y2="13272"/>
                      <a14:foregroundMark x1="26500" y1="13272" x2="17667" y2="8467"/>
                      <a14:foregroundMark x1="17667" y1="8467" x2="14333" y2="8467"/>
                      <a14:foregroundMark x1="6167" y1="22197" x2="6167" y2="22197"/>
                      <a14:foregroundMark x1="17667" y1="19908" x2="17667" y2="19908"/>
                      <a14:foregroundMark x1="49500" y1="9611" x2="39667" y2="19451"/>
                      <a14:foregroundMark x1="39667" y1="19451" x2="45000" y2="37300"/>
                      <a14:foregroundMark x1="45000" y1="37300" x2="56333" y2="36613"/>
                      <a14:foregroundMark x1="56333" y1="36613" x2="60833" y2="22883"/>
                      <a14:foregroundMark x1="60833" y1="22883" x2="55667" y2="11899"/>
                      <a14:foregroundMark x1="55667" y1="11899" x2="45667" y2="9153"/>
                      <a14:foregroundMark x1="19000" y1="19680" x2="19000" y2="19680"/>
                      <a14:foregroundMark x1="39333" y1="29519" x2="39333" y2="29519"/>
                      <a14:foregroundMark x1="38500" y1="28146" x2="38766" y2="31258"/>
                      <a14:foregroundMark x1="43500" y1="12586" x2="41500" y2="12815"/>
                      <a14:foregroundMark x1="54333" y1="13501" x2="59500" y2="18535"/>
                      <a14:foregroundMark x1="59500" y1="16705" x2="61167" y2="29291"/>
                      <a14:foregroundMark x1="61167" y1="29291" x2="56667" y2="36384"/>
                      <a14:foregroundMark x1="42500" y1="10526" x2="41262" y2="11376"/>
                      <a14:foregroundMark x1="42647" y1="10425" x2="42500" y2="10526"/>
                      <a14:foregroundMark x1="43833" y1="9611" x2="43500" y2="9840"/>
                      <a14:foregroundMark x1="52833" y1="29519" x2="52333" y2="18764"/>
                      <a14:foregroundMark x1="52333" y1="18764" x2="47667" y2="18307"/>
                      <a14:foregroundMark x1="49833" y1="27689" x2="49833" y2="27689"/>
                      <a14:foregroundMark x1="51500" y1="25172" x2="49333" y2="27460"/>
                      <a14:foregroundMark x1="50500" y1="25400" x2="52333" y2="23799"/>
                      <a14:foregroundMark x1="50667" y1="25400" x2="52833" y2="22654"/>
                      <a14:foregroundMark x1="51667" y1="30664" x2="54500" y2="30435"/>
                      <a14:foregroundMark x1="56833" y1="45767" x2="56833" y2="45767"/>
                      <a14:foregroundMark x1="27167" y1="44165" x2="27167" y2="44165"/>
                      <a14:foregroundMark x1="10500" y1="45995" x2="11500" y2="45767"/>
                      <a14:foregroundMark x1="10667" y1="40961" x2="15167" y2="42334"/>
                      <a14:foregroundMark x1="16000" y1="43249" x2="13833" y2="43021"/>
                      <a14:foregroundMark x1="14500" y1="42792" x2="16000" y2="42105"/>
                      <a14:foregroundMark x1="75500" y1="40503" x2="75500" y2="40503"/>
                      <a14:foregroundMark x1="74000" y1="41190" x2="79500" y2="44851"/>
                      <a14:foregroundMark x1="88833" y1="44165" x2="91833" y2="42792"/>
                      <a14:foregroundMark x1="86833" y1="37986" x2="92500" y2="25629"/>
                      <a14:foregroundMark x1="92500" y1="25629" x2="92000" y2="13272"/>
                      <a14:foregroundMark x1="92000" y1="13272" x2="83000" y2="10526"/>
                      <a14:foregroundMark x1="83000" y1="10526" x2="73500" y2="14416"/>
                      <a14:foregroundMark x1="73500" y1="14416" x2="71000" y2="27231"/>
                      <a14:foregroundMark x1="71000" y1="27231" x2="79333" y2="36842"/>
                      <a14:foregroundMark x1="79333" y1="36842" x2="87667" y2="37300"/>
                      <a14:foregroundMark x1="87667" y1="37300" x2="86667" y2="37300"/>
                      <a14:foregroundMark x1="76000" y1="14645" x2="74500" y2="27002"/>
                      <a14:foregroundMark x1="74500" y1="27002" x2="80833" y2="34783"/>
                      <a14:foregroundMark x1="80833" y1="34783" x2="88500" y2="30664"/>
                      <a14:foregroundMark x1="80500" y1="19680" x2="79833" y2="28146"/>
                      <a14:foregroundMark x1="80500" y1="19908" x2="81500" y2="22883"/>
                      <a14:foregroundMark x1="79500" y1="26545" x2="84333" y2="28604"/>
                      <a14:foregroundMark x1="18333" y1="18307" x2="18833" y2="25400"/>
                      <a14:foregroundMark x1="46000" y1="44394" x2="40667" y2="38902"/>
                      <a14:foregroundMark x1="34000" y1="55606" x2="26418" y2="61238"/>
                      <a14:foregroundMark x1="23981" y1="64144" x2="26167" y2="78719"/>
                      <a14:foregroundMark x1="26167" y1="78719" x2="33667" y2="84439"/>
                      <a14:foregroundMark x1="33667" y1="84439" x2="44500" y2="75973"/>
                      <a14:foregroundMark x1="44500" y1="75973" x2="45150" y2="65272"/>
                      <a14:foregroundMark x1="43405" y1="62955" x2="37833" y2="56522"/>
                      <a14:foregroundMark x1="37833" y1="56522" x2="34000" y2="55149"/>
                      <a14:foregroundMark x1="36000" y1="76659" x2="34000" y2="66590"/>
                      <a14:foregroundMark x1="34000" y1="66590" x2="37667" y2="70709"/>
                      <a14:foregroundMark x1="25667" y1="89016" x2="28833" y2="89931"/>
                      <a14:foregroundMark x1="40500" y1="90847" x2="42667" y2="89016"/>
                      <a14:foregroundMark x1="60667" y1="87414" x2="63333" y2="88101"/>
                      <a14:foregroundMark x1="72833" y1="89931" x2="74500" y2="88101"/>
                      <a14:foregroundMark x1="62667" y1="64989" x2="67333" y2="77346"/>
                      <a14:foregroundMark x1="67333" y1="77346" x2="76000" y2="67277"/>
                      <a14:foregroundMark x1="76000" y1="67277" x2="65833" y2="66819"/>
                      <a14:foregroundMark x1="65833" y1="66819" x2="63167" y2="70709"/>
                      <a14:foregroundMark x1="60000" y1="59725" x2="57000" y2="70709"/>
                      <a14:foregroundMark x1="57000" y1="70709" x2="61333" y2="80778"/>
                      <a14:foregroundMark x1="61333" y1="80778" x2="71909" y2="83400"/>
                      <a14:foregroundMark x1="74964" y1="80170" x2="78333" y2="72769"/>
                      <a14:foregroundMark x1="78333" y1="72769" x2="76167" y2="62700"/>
                      <a14:foregroundMark x1="76167" y1="62700" x2="67667" y2="56522"/>
                      <a14:foregroundMark x1="67667" y1="56522" x2="59500" y2="59954"/>
                      <a14:backgroundMark x1="23500" y1="39588" x2="23500" y2="39588"/>
                      <a14:backgroundMark x1="25167" y1="38902" x2="25167" y2="38902"/>
                      <a14:backgroundMark x1="24833" y1="38215" x2="24833" y2="38215"/>
                      <a14:backgroundMark x1="23167" y1="40503" x2="19833" y2="40503"/>
                      <a14:backgroundMark x1="15863" y1="42460" x2="17833" y2="42334"/>
                      <a14:backgroundMark x1="26167" y1="37529" x2="23333" y2="40046"/>
                      <a14:backgroundMark x1="26500" y1="36613" x2="26500" y2="36613"/>
                      <a14:backgroundMark x1="26167" y1="36613" x2="26167" y2="36613"/>
                      <a14:backgroundMark x1="5167" y1="17391" x2="5167" y2="17391"/>
                      <a14:backgroundMark x1="5167" y1="23570" x2="4833" y2="16934"/>
                      <a14:backgroundMark x1="6000" y1="15332" x2="4833" y2="18764"/>
                      <a14:backgroundMark x1="56552" y1="36613" x2="56899" y2="36613"/>
                      <a14:backgroundMark x1="39714" y1="31895" x2="39667" y2="33867"/>
                      <a14:backgroundMark x1="39667" y1="33867" x2="40983" y2="34111"/>
                      <a14:backgroundMark x1="35500" y1="17391" x2="35167" y2="11442"/>
                      <a14:backgroundMark x1="38167" y1="14645" x2="37167" y2="12128"/>
                      <a14:backgroundMark x1="37667" y1="15561" x2="41667" y2="10069"/>
                      <a14:backgroundMark x1="33333" y1="14874" x2="35667" y2="13501"/>
                      <a14:backgroundMark x1="32167" y1="19908" x2="38000" y2="11899"/>
                      <a14:backgroundMark x1="38000" y1="11899" x2="37667" y2="12586"/>
                      <a14:backgroundMark x1="39000" y1="10984" x2="35667" y2="15561"/>
                      <a14:backgroundMark x1="43167" y1="10526" x2="43167" y2="10526"/>
                      <a14:backgroundMark x1="43500" y1="9840" x2="42167" y2="9153"/>
                      <a14:backgroundMark x1="38333" y1="31579" x2="38833" y2="32723"/>
                      <a14:backgroundMark x1="71500" y1="84439" x2="71500" y2="84439"/>
                      <a14:backgroundMark x1="71500" y1="84439" x2="76667" y2="82380"/>
                      <a14:backgroundMark x1="42167" y1="48741" x2="41833" y2="46224"/>
                      <a14:backgroundMark x1="43833" y1="48970" x2="42833" y2="47140"/>
                      <a14:backgroundMark x1="40167" y1="40961" x2="41000" y2="37300"/>
                      <a14:backgroundMark x1="5000" y1="21281" x2="6500" y2="19680"/>
                      <a14:backgroundMark x1="21167" y1="65675" x2="21667" y2="61785"/>
                      <a14:backgroundMark x1="23167" y1="64531" x2="22333" y2="59497"/>
                      <a14:backgroundMark x1="22833" y1="60412" x2="25000" y2="62929"/>
                      <a14:backgroundMark x1="46500" y1="60870" x2="46000" y2="65446"/>
                    </a14:backgroundRemoval>
                  </a14:imgEffect>
                </a14:imgLayer>
              </a14:imgProps>
            </a:ext>
          </a:extLst>
        </a:blip>
        <a:srcRect l="3570" t="4477" r="67624" b="49255"/>
        <a:stretch>
          <a:fillRect/>
        </a:stretch>
      </xdr:blipFill>
      <xdr:spPr>
        <a:xfrm>
          <a:off x="9467458" y="3052003"/>
          <a:ext cx="1196541" cy="1197429"/>
        </a:xfrm>
        <a:prstGeom prst="rect">
          <a:avLst/>
        </a:prstGeom>
      </xdr:spPr>
    </xdr:pic>
    <xdr:clientData/>
  </xdr:twoCellAnchor>
  <xdr:twoCellAnchor editAs="oneCell">
    <xdr:from>
      <xdr:col>17</xdr:col>
      <xdr:colOff>534294</xdr:colOff>
      <xdr:row>21</xdr:row>
      <xdr:rowOff>13607</xdr:rowOff>
    </xdr:from>
    <xdr:to>
      <xdr:col>19</xdr:col>
      <xdr:colOff>340179</xdr:colOff>
      <xdr:row>27</xdr:row>
      <xdr:rowOff>68037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8484FD24-DF6A-B7A6-62DA-635C0ED94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8467" b="90847" l="6167" r="92000">
                      <a14:foregroundMark x1="14833" y1="9611" x2="6912" y2="15878"/>
                      <a14:foregroundMark x1="6145" y1="20768" x2="9500" y2="30664"/>
                      <a14:foregroundMark x1="9500" y1="30664" x2="16500" y2="37757"/>
                      <a14:foregroundMark x1="16500" y1="37757" x2="21472" y2="37169"/>
                      <a14:foregroundMark x1="26167" y1="36613" x2="29167" y2="25172"/>
                      <a14:foregroundMark x1="29167" y1="25172" x2="26500" y2="13272"/>
                      <a14:foregroundMark x1="26500" y1="13272" x2="17667" y2="8467"/>
                      <a14:foregroundMark x1="17667" y1="8467" x2="14333" y2="8467"/>
                      <a14:foregroundMark x1="6167" y1="22197" x2="6167" y2="22197"/>
                      <a14:foregroundMark x1="17667" y1="19908" x2="17667" y2="19908"/>
                      <a14:foregroundMark x1="49500" y1="9611" x2="39667" y2="19451"/>
                      <a14:foregroundMark x1="39667" y1="19451" x2="45000" y2="37300"/>
                      <a14:foregroundMark x1="45000" y1="37300" x2="56333" y2="36613"/>
                      <a14:foregroundMark x1="56333" y1="36613" x2="60833" y2="22883"/>
                      <a14:foregroundMark x1="60833" y1="22883" x2="55667" y2="11899"/>
                      <a14:foregroundMark x1="55667" y1="11899" x2="45667" y2="9153"/>
                      <a14:foregroundMark x1="19000" y1="19680" x2="19000" y2="19680"/>
                      <a14:foregroundMark x1="39333" y1="29519" x2="39333" y2="29519"/>
                      <a14:foregroundMark x1="38500" y1="28146" x2="38766" y2="31258"/>
                      <a14:foregroundMark x1="43500" y1="12586" x2="41500" y2="12815"/>
                      <a14:foregroundMark x1="54333" y1="13501" x2="59500" y2="18535"/>
                      <a14:foregroundMark x1="59500" y1="16705" x2="61167" y2="29291"/>
                      <a14:foregroundMark x1="61167" y1="29291" x2="56667" y2="36384"/>
                      <a14:foregroundMark x1="42500" y1="10526" x2="41262" y2="11376"/>
                      <a14:foregroundMark x1="42647" y1="10425" x2="42500" y2="10526"/>
                      <a14:foregroundMark x1="43833" y1="9611" x2="43500" y2="9840"/>
                      <a14:foregroundMark x1="52833" y1="29519" x2="52333" y2="18764"/>
                      <a14:foregroundMark x1="52333" y1="18764" x2="47667" y2="18307"/>
                      <a14:foregroundMark x1="49833" y1="27689" x2="49833" y2="27689"/>
                      <a14:foregroundMark x1="51500" y1="25172" x2="49333" y2="27460"/>
                      <a14:foregroundMark x1="50500" y1="25400" x2="52333" y2="23799"/>
                      <a14:foregroundMark x1="50667" y1="25400" x2="52833" y2="22654"/>
                      <a14:foregroundMark x1="51667" y1="30664" x2="54500" y2="30435"/>
                      <a14:foregroundMark x1="56833" y1="45767" x2="56833" y2="45767"/>
                      <a14:foregroundMark x1="27167" y1="44165" x2="27167" y2="44165"/>
                      <a14:foregroundMark x1="10500" y1="45995" x2="11500" y2="45767"/>
                      <a14:foregroundMark x1="10667" y1="40961" x2="15167" y2="42334"/>
                      <a14:foregroundMark x1="16000" y1="43249" x2="13833" y2="43021"/>
                      <a14:foregroundMark x1="14500" y1="42792" x2="16000" y2="42105"/>
                      <a14:foregroundMark x1="75500" y1="40503" x2="75500" y2="40503"/>
                      <a14:foregroundMark x1="74000" y1="41190" x2="79500" y2="44851"/>
                      <a14:foregroundMark x1="88833" y1="44165" x2="91833" y2="42792"/>
                      <a14:foregroundMark x1="86833" y1="37986" x2="92500" y2="25629"/>
                      <a14:foregroundMark x1="92500" y1="25629" x2="92000" y2="13272"/>
                      <a14:foregroundMark x1="92000" y1="13272" x2="83000" y2="10526"/>
                      <a14:foregroundMark x1="83000" y1="10526" x2="73500" y2="14416"/>
                      <a14:foregroundMark x1="73500" y1="14416" x2="71000" y2="27231"/>
                      <a14:foregroundMark x1="71000" y1="27231" x2="79333" y2="36842"/>
                      <a14:foregroundMark x1="79333" y1="36842" x2="87667" y2="37300"/>
                      <a14:foregroundMark x1="87667" y1="37300" x2="86667" y2="37300"/>
                      <a14:foregroundMark x1="76000" y1="14645" x2="74500" y2="27002"/>
                      <a14:foregroundMark x1="74500" y1="27002" x2="80833" y2="34783"/>
                      <a14:foregroundMark x1="80833" y1="34783" x2="88500" y2="30664"/>
                      <a14:foregroundMark x1="80500" y1="19680" x2="79833" y2="28146"/>
                      <a14:foregroundMark x1="80500" y1="19908" x2="81500" y2="22883"/>
                      <a14:foregroundMark x1="79500" y1="26545" x2="84333" y2="28604"/>
                      <a14:foregroundMark x1="18333" y1="18307" x2="18833" y2="25400"/>
                      <a14:foregroundMark x1="46000" y1="44394" x2="40667" y2="38902"/>
                      <a14:foregroundMark x1="34000" y1="55606" x2="26418" y2="61238"/>
                      <a14:foregroundMark x1="23981" y1="64144" x2="26167" y2="78719"/>
                      <a14:foregroundMark x1="26167" y1="78719" x2="33667" y2="84439"/>
                      <a14:foregroundMark x1="33667" y1="84439" x2="44500" y2="75973"/>
                      <a14:foregroundMark x1="44500" y1="75973" x2="45150" y2="65272"/>
                      <a14:foregroundMark x1="43405" y1="62955" x2="37833" y2="56522"/>
                      <a14:foregroundMark x1="37833" y1="56522" x2="34000" y2="55149"/>
                      <a14:foregroundMark x1="36000" y1="76659" x2="34000" y2="66590"/>
                      <a14:foregroundMark x1="34000" y1="66590" x2="37667" y2="70709"/>
                      <a14:foregroundMark x1="25667" y1="89016" x2="28833" y2="89931"/>
                      <a14:foregroundMark x1="40500" y1="90847" x2="42667" y2="89016"/>
                      <a14:foregroundMark x1="60667" y1="87414" x2="63333" y2="88101"/>
                      <a14:foregroundMark x1="72833" y1="89931" x2="74500" y2="88101"/>
                      <a14:foregroundMark x1="62667" y1="64989" x2="67333" y2="77346"/>
                      <a14:foregroundMark x1="67333" y1="77346" x2="76000" y2="67277"/>
                      <a14:foregroundMark x1="76000" y1="67277" x2="65833" y2="66819"/>
                      <a14:foregroundMark x1="65833" y1="66819" x2="63167" y2="70709"/>
                      <a14:foregroundMark x1="60000" y1="59725" x2="57000" y2="70709"/>
                      <a14:foregroundMark x1="57000" y1="70709" x2="61333" y2="80778"/>
                      <a14:foregroundMark x1="61333" y1="80778" x2="71909" y2="83400"/>
                      <a14:foregroundMark x1="74964" y1="80170" x2="78333" y2="72769"/>
                      <a14:foregroundMark x1="78333" y1="72769" x2="76167" y2="62700"/>
                      <a14:foregroundMark x1="76167" y1="62700" x2="67667" y2="56522"/>
                      <a14:foregroundMark x1="67667" y1="56522" x2="59500" y2="59954"/>
                      <a14:backgroundMark x1="23500" y1="39588" x2="23500" y2="39588"/>
                      <a14:backgroundMark x1="25167" y1="38902" x2="25167" y2="38902"/>
                      <a14:backgroundMark x1="24833" y1="38215" x2="24833" y2="38215"/>
                      <a14:backgroundMark x1="23167" y1="40503" x2="19833" y2="40503"/>
                      <a14:backgroundMark x1="15863" y1="42460" x2="17833" y2="42334"/>
                      <a14:backgroundMark x1="26167" y1="37529" x2="23333" y2="40046"/>
                      <a14:backgroundMark x1="26500" y1="36613" x2="26500" y2="36613"/>
                      <a14:backgroundMark x1="26167" y1="36613" x2="26167" y2="36613"/>
                      <a14:backgroundMark x1="5167" y1="17391" x2="5167" y2="17391"/>
                      <a14:backgroundMark x1="5167" y1="23570" x2="4833" y2="16934"/>
                      <a14:backgroundMark x1="6000" y1="15332" x2="4833" y2="18764"/>
                      <a14:backgroundMark x1="56552" y1="36613" x2="56899" y2="36613"/>
                      <a14:backgroundMark x1="39714" y1="31895" x2="39667" y2="33867"/>
                      <a14:backgroundMark x1="39667" y1="33867" x2="40983" y2="34111"/>
                      <a14:backgroundMark x1="35500" y1="17391" x2="35167" y2="11442"/>
                      <a14:backgroundMark x1="38167" y1="14645" x2="37167" y2="12128"/>
                      <a14:backgroundMark x1="37667" y1="15561" x2="41667" y2="10069"/>
                      <a14:backgroundMark x1="33333" y1="14874" x2="35667" y2="13501"/>
                      <a14:backgroundMark x1="32167" y1="19908" x2="38000" y2="11899"/>
                      <a14:backgroundMark x1="38000" y1="11899" x2="37667" y2="12586"/>
                      <a14:backgroundMark x1="39000" y1="10984" x2="35667" y2="15561"/>
                      <a14:backgroundMark x1="43167" y1="10526" x2="43167" y2="10526"/>
                      <a14:backgroundMark x1="43500" y1="9840" x2="42167" y2="9153"/>
                      <a14:backgroundMark x1="38333" y1="31579" x2="38833" y2="32723"/>
                      <a14:backgroundMark x1="71500" y1="84439" x2="71500" y2="84439"/>
                      <a14:backgroundMark x1="71500" y1="84439" x2="76667" y2="82380"/>
                      <a14:backgroundMark x1="42167" y1="48741" x2="41833" y2="46224"/>
                      <a14:backgroundMark x1="43833" y1="48970" x2="42833" y2="47140"/>
                      <a14:backgroundMark x1="40167" y1="40961" x2="41000" y2="37300"/>
                      <a14:backgroundMark x1="5000" y1="21281" x2="6500" y2="19680"/>
                      <a14:backgroundMark x1="21167" y1="65675" x2="21667" y2="61785"/>
                      <a14:backgroundMark x1="23167" y1="64531" x2="22333" y2="59497"/>
                      <a14:backgroundMark x1="22833" y1="60412" x2="25000" y2="62929"/>
                      <a14:backgroundMark x1="46500" y1="60870" x2="46000" y2="65446"/>
                    </a14:backgroundRemoval>
                  </a14:imgEffect>
                </a14:imgLayer>
              </a14:imgProps>
            </a:ext>
          </a:extLst>
        </a:blip>
        <a:srcRect l="20712" t="53433" r="52149" b="3881"/>
        <a:stretch>
          <a:fillRect/>
        </a:stretch>
      </xdr:blipFill>
      <xdr:spPr>
        <a:xfrm>
          <a:off x="10943758" y="4014107"/>
          <a:ext cx="1030528" cy="1197430"/>
        </a:xfrm>
        <a:prstGeom prst="rect">
          <a:avLst/>
        </a:prstGeom>
      </xdr:spPr>
    </xdr:pic>
    <xdr:clientData/>
  </xdr:twoCellAnchor>
  <xdr:twoCellAnchor editAs="oneCell">
    <xdr:from>
      <xdr:col>13</xdr:col>
      <xdr:colOff>258535</xdr:colOff>
      <xdr:row>17</xdr:row>
      <xdr:rowOff>172658</xdr:rowOff>
    </xdr:from>
    <xdr:to>
      <xdr:col>15</xdr:col>
      <xdr:colOff>340178</xdr:colOff>
      <xdr:row>24</xdr:row>
      <xdr:rowOff>88047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809AADA1-83BA-0C85-B673-E55E734A6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8467" b="90847" l="6167" r="92000">
                      <a14:foregroundMark x1="14833" y1="9611" x2="6912" y2="15878"/>
                      <a14:foregroundMark x1="6145" y1="20768" x2="9500" y2="30664"/>
                      <a14:foregroundMark x1="9500" y1="30664" x2="16500" y2="37757"/>
                      <a14:foregroundMark x1="16500" y1="37757" x2="21472" y2="37169"/>
                      <a14:foregroundMark x1="26167" y1="36613" x2="29167" y2="25172"/>
                      <a14:foregroundMark x1="29167" y1="25172" x2="26500" y2="13272"/>
                      <a14:foregroundMark x1="26500" y1="13272" x2="17667" y2="8467"/>
                      <a14:foregroundMark x1="17667" y1="8467" x2="14333" y2="8467"/>
                      <a14:foregroundMark x1="6167" y1="22197" x2="6167" y2="22197"/>
                      <a14:foregroundMark x1="17667" y1="19908" x2="17667" y2="19908"/>
                      <a14:foregroundMark x1="49500" y1="9611" x2="39667" y2="19451"/>
                      <a14:foregroundMark x1="39667" y1="19451" x2="45000" y2="37300"/>
                      <a14:foregroundMark x1="45000" y1="37300" x2="56333" y2="36613"/>
                      <a14:foregroundMark x1="56333" y1="36613" x2="60833" y2="22883"/>
                      <a14:foregroundMark x1="60833" y1="22883" x2="55667" y2="11899"/>
                      <a14:foregroundMark x1="55667" y1="11899" x2="45667" y2="9153"/>
                      <a14:foregroundMark x1="19000" y1="19680" x2="19000" y2="19680"/>
                      <a14:foregroundMark x1="39333" y1="29519" x2="39333" y2="29519"/>
                      <a14:foregroundMark x1="38500" y1="28146" x2="38766" y2="31258"/>
                      <a14:foregroundMark x1="43500" y1="12586" x2="41500" y2="12815"/>
                      <a14:foregroundMark x1="54333" y1="13501" x2="59500" y2="18535"/>
                      <a14:foregroundMark x1="59500" y1="16705" x2="61167" y2="29291"/>
                      <a14:foregroundMark x1="61167" y1="29291" x2="56667" y2="36384"/>
                      <a14:foregroundMark x1="42500" y1="10526" x2="41262" y2="11376"/>
                      <a14:foregroundMark x1="42647" y1="10425" x2="42500" y2="10526"/>
                      <a14:foregroundMark x1="43833" y1="9611" x2="43500" y2="9840"/>
                      <a14:foregroundMark x1="52833" y1="29519" x2="52333" y2="18764"/>
                      <a14:foregroundMark x1="52333" y1="18764" x2="47667" y2="18307"/>
                      <a14:foregroundMark x1="49833" y1="27689" x2="49833" y2="27689"/>
                      <a14:foregroundMark x1="51500" y1="25172" x2="49333" y2="27460"/>
                      <a14:foregroundMark x1="50500" y1="25400" x2="52333" y2="23799"/>
                      <a14:foregroundMark x1="50667" y1="25400" x2="52833" y2="22654"/>
                      <a14:foregroundMark x1="51667" y1="30664" x2="54500" y2="30435"/>
                      <a14:foregroundMark x1="56833" y1="45767" x2="56833" y2="45767"/>
                      <a14:foregroundMark x1="27167" y1="44165" x2="27167" y2="44165"/>
                      <a14:foregroundMark x1="10500" y1="45995" x2="11500" y2="45767"/>
                      <a14:foregroundMark x1="10667" y1="40961" x2="15167" y2="42334"/>
                      <a14:foregroundMark x1="16000" y1="43249" x2="13833" y2="43021"/>
                      <a14:foregroundMark x1="14500" y1="42792" x2="16000" y2="42105"/>
                      <a14:foregroundMark x1="75500" y1="40503" x2="75500" y2="40503"/>
                      <a14:foregroundMark x1="74000" y1="41190" x2="79500" y2="44851"/>
                      <a14:foregroundMark x1="88833" y1="44165" x2="91833" y2="42792"/>
                      <a14:foregroundMark x1="86833" y1="37986" x2="92500" y2="25629"/>
                      <a14:foregroundMark x1="92500" y1="25629" x2="92000" y2="13272"/>
                      <a14:foregroundMark x1="92000" y1="13272" x2="83000" y2="10526"/>
                      <a14:foregroundMark x1="83000" y1="10526" x2="73500" y2="14416"/>
                      <a14:foregroundMark x1="73500" y1="14416" x2="71000" y2="27231"/>
                      <a14:foregroundMark x1="71000" y1="27231" x2="79333" y2="36842"/>
                      <a14:foregroundMark x1="79333" y1="36842" x2="87667" y2="37300"/>
                      <a14:foregroundMark x1="87667" y1="37300" x2="86667" y2="37300"/>
                      <a14:foregroundMark x1="76000" y1="14645" x2="74500" y2="27002"/>
                      <a14:foregroundMark x1="74500" y1="27002" x2="80833" y2="34783"/>
                      <a14:foregroundMark x1="80833" y1="34783" x2="88500" y2="30664"/>
                      <a14:foregroundMark x1="80500" y1="19680" x2="79833" y2="28146"/>
                      <a14:foregroundMark x1="80500" y1="19908" x2="81500" y2="22883"/>
                      <a14:foregroundMark x1="79500" y1="26545" x2="84333" y2="28604"/>
                      <a14:foregroundMark x1="18333" y1="18307" x2="18833" y2="25400"/>
                      <a14:foregroundMark x1="46000" y1="44394" x2="40667" y2="38902"/>
                      <a14:foregroundMark x1="34000" y1="55606" x2="26418" y2="61238"/>
                      <a14:foregroundMark x1="23981" y1="64144" x2="26167" y2="78719"/>
                      <a14:foregroundMark x1="26167" y1="78719" x2="33667" y2="84439"/>
                      <a14:foregroundMark x1="33667" y1="84439" x2="44500" y2="75973"/>
                      <a14:foregroundMark x1="44500" y1="75973" x2="45150" y2="65272"/>
                      <a14:foregroundMark x1="43405" y1="62955" x2="37833" y2="56522"/>
                      <a14:foregroundMark x1="37833" y1="56522" x2="34000" y2="55149"/>
                      <a14:foregroundMark x1="36000" y1="76659" x2="34000" y2="66590"/>
                      <a14:foregroundMark x1="34000" y1="66590" x2="37667" y2="70709"/>
                      <a14:foregroundMark x1="25667" y1="89016" x2="28833" y2="89931"/>
                      <a14:foregroundMark x1="40500" y1="90847" x2="42667" y2="89016"/>
                      <a14:foregroundMark x1="60667" y1="87414" x2="63333" y2="88101"/>
                      <a14:foregroundMark x1="72833" y1="89931" x2="74500" y2="88101"/>
                      <a14:foregroundMark x1="62667" y1="64989" x2="67333" y2="77346"/>
                      <a14:foregroundMark x1="67333" y1="77346" x2="76000" y2="67277"/>
                      <a14:foregroundMark x1="76000" y1="67277" x2="65833" y2="66819"/>
                      <a14:foregroundMark x1="65833" y1="66819" x2="63167" y2="70709"/>
                      <a14:foregroundMark x1="60000" y1="59725" x2="57000" y2="70709"/>
                      <a14:foregroundMark x1="57000" y1="70709" x2="61333" y2="80778"/>
                      <a14:foregroundMark x1="61333" y1="80778" x2="71909" y2="83400"/>
                      <a14:foregroundMark x1="74964" y1="80170" x2="78333" y2="72769"/>
                      <a14:foregroundMark x1="78333" y1="72769" x2="76167" y2="62700"/>
                      <a14:foregroundMark x1="76167" y1="62700" x2="67667" y2="56522"/>
                      <a14:foregroundMark x1="67667" y1="56522" x2="59500" y2="59954"/>
                      <a14:backgroundMark x1="23500" y1="39588" x2="23500" y2="39588"/>
                      <a14:backgroundMark x1="25167" y1="38902" x2="25167" y2="38902"/>
                      <a14:backgroundMark x1="24833" y1="38215" x2="24833" y2="38215"/>
                      <a14:backgroundMark x1="23167" y1="40503" x2="19833" y2="40503"/>
                      <a14:backgroundMark x1="15863" y1="42460" x2="17833" y2="42334"/>
                      <a14:backgroundMark x1="26167" y1="37529" x2="23333" y2="40046"/>
                      <a14:backgroundMark x1="26500" y1="36613" x2="26500" y2="36613"/>
                      <a14:backgroundMark x1="26167" y1="36613" x2="26167" y2="36613"/>
                      <a14:backgroundMark x1="5167" y1="17391" x2="5167" y2="17391"/>
                      <a14:backgroundMark x1="5167" y1="23570" x2="4833" y2="16934"/>
                      <a14:backgroundMark x1="6000" y1="15332" x2="4833" y2="18764"/>
                      <a14:backgroundMark x1="56552" y1="36613" x2="56899" y2="36613"/>
                      <a14:backgroundMark x1="39714" y1="31895" x2="39667" y2="33867"/>
                      <a14:backgroundMark x1="39667" y1="33867" x2="40983" y2="34111"/>
                      <a14:backgroundMark x1="35500" y1="17391" x2="35167" y2="11442"/>
                      <a14:backgroundMark x1="38167" y1="14645" x2="37167" y2="12128"/>
                      <a14:backgroundMark x1="37667" y1="15561" x2="41667" y2="10069"/>
                      <a14:backgroundMark x1="33333" y1="14874" x2="35667" y2="13501"/>
                      <a14:backgroundMark x1="32167" y1="19908" x2="38000" y2="11899"/>
                      <a14:backgroundMark x1="38000" y1="11899" x2="37667" y2="12586"/>
                      <a14:backgroundMark x1="39000" y1="10984" x2="35667" y2="15561"/>
                      <a14:backgroundMark x1="43167" y1="10526" x2="43167" y2="10526"/>
                      <a14:backgroundMark x1="43500" y1="9840" x2="42167" y2="9153"/>
                      <a14:backgroundMark x1="38333" y1="31579" x2="38833" y2="32723"/>
                      <a14:backgroundMark x1="71500" y1="84439" x2="71500" y2="84439"/>
                      <a14:backgroundMark x1="71500" y1="84439" x2="76667" y2="82380"/>
                      <a14:backgroundMark x1="42167" y1="48741" x2="41833" y2="46224"/>
                      <a14:backgroundMark x1="43833" y1="48970" x2="42833" y2="47140"/>
                      <a14:backgroundMark x1="40167" y1="40961" x2="41000" y2="37300"/>
                      <a14:backgroundMark x1="5000" y1="21281" x2="6500" y2="19680"/>
                      <a14:backgroundMark x1="21167" y1="65675" x2="21667" y2="61785"/>
                      <a14:backgroundMark x1="23167" y1="64531" x2="22333" y2="59497"/>
                      <a14:backgroundMark x1="22833" y1="60412" x2="25000" y2="62929"/>
                      <a14:backgroundMark x1="46500" y1="60870" x2="46000" y2="65446"/>
                    </a14:backgroundRemoval>
                  </a14:imgEffect>
                </a14:imgLayer>
              </a14:imgProps>
            </a:ext>
          </a:extLst>
        </a:blip>
        <a:srcRect l="33329" t="4776" r="34771" b="48955"/>
        <a:stretch>
          <a:fillRect/>
        </a:stretch>
      </xdr:blipFill>
      <xdr:spPr>
        <a:xfrm>
          <a:off x="8125064" y="3411158"/>
          <a:ext cx="1291879" cy="1248889"/>
        </a:xfrm>
        <a:prstGeom prst="rect">
          <a:avLst/>
        </a:prstGeom>
      </xdr:spPr>
    </xdr:pic>
    <xdr:clientData/>
  </xdr:twoCellAnchor>
  <xdr:twoCellAnchor editAs="oneCell">
    <xdr:from>
      <xdr:col>11</xdr:col>
      <xdr:colOff>253225</xdr:colOff>
      <xdr:row>20</xdr:row>
      <xdr:rowOff>156881</xdr:rowOff>
    </xdr:from>
    <xdr:to>
      <xdr:col>13</xdr:col>
      <xdr:colOff>122464</xdr:colOff>
      <xdr:row>26</xdr:row>
      <xdr:rowOff>176890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D243907D-6ADC-0A9C-E370-2EB9F69AE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8467" b="90847" l="6167" r="92000">
                      <a14:foregroundMark x1="14833" y1="9611" x2="6912" y2="15878"/>
                      <a14:foregroundMark x1="6145" y1="20768" x2="9500" y2="30664"/>
                      <a14:foregroundMark x1="9500" y1="30664" x2="16500" y2="37757"/>
                      <a14:foregroundMark x1="16500" y1="37757" x2="21472" y2="37169"/>
                      <a14:foregroundMark x1="26167" y1="36613" x2="29167" y2="25172"/>
                      <a14:foregroundMark x1="29167" y1="25172" x2="26500" y2="13272"/>
                      <a14:foregroundMark x1="26500" y1="13272" x2="17667" y2="8467"/>
                      <a14:foregroundMark x1="17667" y1="8467" x2="14333" y2="8467"/>
                      <a14:foregroundMark x1="6167" y1="22197" x2="6167" y2="22197"/>
                      <a14:foregroundMark x1="17667" y1="19908" x2="17667" y2="19908"/>
                      <a14:foregroundMark x1="49500" y1="9611" x2="39667" y2="19451"/>
                      <a14:foregroundMark x1="39667" y1="19451" x2="45000" y2="37300"/>
                      <a14:foregroundMark x1="45000" y1="37300" x2="56333" y2="36613"/>
                      <a14:foregroundMark x1="56333" y1="36613" x2="60833" y2="22883"/>
                      <a14:foregroundMark x1="60833" y1="22883" x2="55667" y2="11899"/>
                      <a14:foregroundMark x1="55667" y1="11899" x2="45667" y2="9153"/>
                      <a14:foregroundMark x1="19000" y1="19680" x2="19000" y2="19680"/>
                      <a14:foregroundMark x1="39333" y1="29519" x2="39333" y2="29519"/>
                      <a14:foregroundMark x1="38500" y1="28146" x2="38766" y2="31258"/>
                      <a14:foregroundMark x1="43500" y1="12586" x2="41500" y2="12815"/>
                      <a14:foregroundMark x1="54333" y1="13501" x2="59500" y2="18535"/>
                      <a14:foregroundMark x1="59500" y1="16705" x2="61167" y2="29291"/>
                      <a14:foregroundMark x1="61167" y1="29291" x2="56667" y2="36384"/>
                      <a14:foregroundMark x1="42500" y1="10526" x2="41262" y2="11376"/>
                      <a14:foregroundMark x1="42647" y1="10425" x2="42500" y2="10526"/>
                      <a14:foregroundMark x1="43833" y1="9611" x2="43500" y2="9840"/>
                      <a14:foregroundMark x1="52833" y1="29519" x2="52333" y2="18764"/>
                      <a14:foregroundMark x1="52333" y1="18764" x2="47667" y2="18307"/>
                      <a14:foregroundMark x1="49833" y1="27689" x2="49833" y2="27689"/>
                      <a14:foregroundMark x1="51500" y1="25172" x2="49333" y2="27460"/>
                      <a14:foregroundMark x1="50500" y1="25400" x2="52333" y2="23799"/>
                      <a14:foregroundMark x1="50667" y1="25400" x2="52833" y2="22654"/>
                      <a14:foregroundMark x1="51667" y1="30664" x2="54500" y2="30435"/>
                      <a14:foregroundMark x1="56833" y1="45767" x2="56833" y2="45767"/>
                      <a14:foregroundMark x1="27167" y1="44165" x2="27167" y2="44165"/>
                      <a14:foregroundMark x1="10500" y1="45995" x2="11500" y2="45767"/>
                      <a14:foregroundMark x1="10667" y1="40961" x2="15167" y2="42334"/>
                      <a14:foregroundMark x1="16000" y1="43249" x2="13833" y2="43021"/>
                      <a14:foregroundMark x1="14500" y1="42792" x2="16000" y2="42105"/>
                      <a14:foregroundMark x1="75500" y1="40503" x2="75500" y2="40503"/>
                      <a14:foregroundMark x1="74000" y1="41190" x2="79500" y2="44851"/>
                      <a14:foregroundMark x1="88833" y1="44165" x2="91833" y2="42792"/>
                      <a14:foregroundMark x1="86833" y1="37986" x2="92500" y2="25629"/>
                      <a14:foregroundMark x1="92500" y1="25629" x2="92000" y2="13272"/>
                      <a14:foregroundMark x1="92000" y1="13272" x2="83000" y2="10526"/>
                      <a14:foregroundMark x1="83000" y1="10526" x2="73500" y2="14416"/>
                      <a14:foregroundMark x1="73500" y1="14416" x2="71000" y2="27231"/>
                      <a14:foregroundMark x1="71000" y1="27231" x2="79333" y2="36842"/>
                      <a14:foregroundMark x1="79333" y1="36842" x2="87667" y2="37300"/>
                      <a14:foregroundMark x1="87667" y1="37300" x2="86667" y2="37300"/>
                      <a14:foregroundMark x1="76000" y1="14645" x2="74500" y2="27002"/>
                      <a14:foregroundMark x1="74500" y1="27002" x2="80833" y2="34783"/>
                      <a14:foregroundMark x1="80833" y1="34783" x2="88500" y2="30664"/>
                      <a14:foregroundMark x1="80500" y1="19680" x2="79833" y2="28146"/>
                      <a14:foregroundMark x1="80500" y1="19908" x2="81500" y2="22883"/>
                      <a14:foregroundMark x1="79500" y1="26545" x2="84333" y2="28604"/>
                      <a14:foregroundMark x1="18333" y1="18307" x2="18833" y2="25400"/>
                      <a14:foregroundMark x1="46000" y1="44394" x2="40667" y2="38902"/>
                      <a14:foregroundMark x1="34000" y1="55606" x2="26418" y2="61238"/>
                      <a14:foregroundMark x1="23981" y1="64144" x2="26167" y2="78719"/>
                      <a14:foregroundMark x1="26167" y1="78719" x2="33667" y2="84439"/>
                      <a14:foregroundMark x1="33667" y1="84439" x2="44500" y2="75973"/>
                      <a14:foregroundMark x1="44500" y1="75973" x2="45150" y2="65272"/>
                      <a14:foregroundMark x1="43405" y1="62955" x2="37833" y2="56522"/>
                      <a14:foregroundMark x1="37833" y1="56522" x2="34000" y2="55149"/>
                      <a14:foregroundMark x1="36000" y1="76659" x2="34000" y2="66590"/>
                      <a14:foregroundMark x1="34000" y1="66590" x2="37667" y2="70709"/>
                      <a14:foregroundMark x1="25667" y1="89016" x2="28833" y2="89931"/>
                      <a14:foregroundMark x1="40500" y1="90847" x2="42667" y2="89016"/>
                      <a14:foregroundMark x1="60667" y1="87414" x2="63333" y2="88101"/>
                      <a14:foregroundMark x1="72833" y1="89931" x2="74500" y2="88101"/>
                      <a14:foregroundMark x1="62667" y1="64989" x2="67333" y2="77346"/>
                      <a14:foregroundMark x1="67333" y1="77346" x2="76000" y2="67277"/>
                      <a14:foregroundMark x1="76000" y1="67277" x2="65833" y2="66819"/>
                      <a14:foregroundMark x1="65833" y1="66819" x2="63167" y2="70709"/>
                      <a14:foregroundMark x1="60000" y1="59725" x2="57000" y2="70709"/>
                      <a14:foregroundMark x1="57000" y1="70709" x2="61333" y2="80778"/>
                      <a14:foregroundMark x1="61333" y1="80778" x2="71909" y2="83400"/>
                      <a14:foregroundMark x1="74964" y1="80170" x2="78333" y2="72769"/>
                      <a14:foregroundMark x1="78333" y1="72769" x2="76167" y2="62700"/>
                      <a14:foregroundMark x1="76167" y1="62700" x2="67667" y2="56522"/>
                      <a14:foregroundMark x1="67667" y1="56522" x2="59500" y2="59954"/>
                      <a14:backgroundMark x1="23500" y1="39588" x2="23500" y2="39588"/>
                      <a14:backgroundMark x1="25167" y1="38902" x2="25167" y2="38902"/>
                      <a14:backgroundMark x1="24833" y1="38215" x2="24833" y2="38215"/>
                      <a14:backgroundMark x1="23167" y1="40503" x2="19833" y2="40503"/>
                      <a14:backgroundMark x1="15863" y1="42460" x2="17833" y2="42334"/>
                      <a14:backgroundMark x1="26167" y1="37529" x2="23333" y2="40046"/>
                      <a14:backgroundMark x1="26500" y1="36613" x2="26500" y2="36613"/>
                      <a14:backgroundMark x1="26167" y1="36613" x2="26167" y2="36613"/>
                      <a14:backgroundMark x1="5167" y1="17391" x2="5167" y2="17391"/>
                      <a14:backgroundMark x1="5167" y1="23570" x2="4833" y2="16934"/>
                      <a14:backgroundMark x1="6000" y1="15332" x2="4833" y2="18764"/>
                      <a14:backgroundMark x1="56552" y1="36613" x2="56899" y2="36613"/>
                      <a14:backgroundMark x1="39714" y1="31895" x2="39667" y2="33867"/>
                      <a14:backgroundMark x1="39667" y1="33867" x2="40983" y2="34111"/>
                      <a14:backgroundMark x1="35500" y1="17391" x2="35167" y2="11442"/>
                      <a14:backgroundMark x1="38167" y1="14645" x2="37167" y2="12128"/>
                      <a14:backgroundMark x1="37667" y1="15561" x2="41667" y2="10069"/>
                      <a14:backgroundMark x1="33333" y1="14874" x2="35667" y2="13501"/>
                      <a14:backgroundMark x1="32167" y1="19908" x2="38000" y2="11899"/>
                      <a14:backgroundMark x1="38000" y1="11899" x2="37667" y2="12586"/>
                      <a14:backgroundMark x1="39000" y1="10984" x2="35667" y2="15561"/>
                      <a14:backgroundMark x1="43167" y1="10526" x2="43167" y2="10526"/>
                      <a14:backgroundMark x1="43500" y1="9840" x2="42167" y2="9153"/>
                      <a14:backgroundMark x1="38333" y1="31579" x2="38833" y2="32723"/>
                      <a14:backgroundMark x1="71500" y1="84439" x2="71500" y2="84439"/>
                      <a14:backgroundMark x1="71500" y1="84439" x2="76667" y2="82380"/>
                      <a14:backgroundMark x1="42167" y1="48741" x2="41833" y2="46224"/>
                      <a14:backgroundMark x1="43833" y1="48970" x2="42833" y2="47140"/>
                      <a14:backgroundMark x1="40167" y1="40961" x2="41000" y2="37300"/>
                      <a14:backgroundMark x1="5000" y1="21281" x2="6500" y2="19680"/>
                      <a14:backgroundMark x1="21167" y1="65675" x2="21667" y2="61785"/>
                      <a14:backgroundMark x1="23167" y1="64531" x2="22333" y2="59497"/>
                      <a14:backgroundMark x1="22833" y1="60412" x2="25000" y2="62929"/>
                      <a14:backgroundMark x1="46500" y1="60870" x2="46000" y2="65446"/>
                    </a14:backgroundRemoval>
                  </a14:imgEffect>
                </a14:imgLayer>
              </a14:imgProps>
            </a:ext>
          </a:extLst>
        </a:blip>
        <a:srcRect l="67372" t="4478" r="2156" b="46567"/>
        <a:stretch>
          <a:fillRect/>
        </a:stretch>
      </xdr:blipFill>
      <xdr:spPr>
        <a:xfrm>
          <a:off x="6909519" y="3966881"/>
          <a:ext cx="1079474" cy="11630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13</xdr:row>
      <xdr:rowOff>22860</xdr:rowOff>
    </xdr:from>
    <xdr:to>
      <xdr:col>2</xdr:col>
      <xdr:colOff>582930</xdr:colOff>
      <xdr:row>18</xdr:row>
      <xdr:rowOff>175260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11BB91A-E649-4904-AD76-3F77D7CB1041}"/>
            </a:ext>
          </a:extLst>
        </xdr:cNvPr>
        <xdr:cNvSpPr/>
      </xdr:nvSpPr>
      <xdr:spPr>
        <a:xfrm>
          <a:off x="735330" y="240030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6</xdr:row>
      <xdr:rowOff>125730</xdr:rowOff>
    </xdr:from>
    <xdr:to>
      <xdr:col>2</xdr:col>
      <xdr:colOff>582930</xdr:colOff>
      <xdr:row>12</xdr:row>
      <xdr:rowOff>95250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19813FB-B335-494C-BDB9-06CAA710F7FD}"/>
            </a:ext>
          </a:extLst>
        </xdr:cNvPr>
        <xdr:cNvSpPr/>
      </xdr:nvSpPr>
      <xdr:spPr>
        <a:xfrm>
          <a:off x="735330" y="122301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125730</xdr:colOff>
      <xdr:row>0</xdr:row>
      <xdr:rowOff>45720</xdr:rowOff>
    </xdr:from>
    <xdr:to>
      <xdr:col>2</xdr:col>
      <xdr:colOff>582930</xdr:colOff>
      <xdr:row>6</xdr:row>
      <xdr:rowOff>15240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4CDEFDB-337C-43AB-A780-900BA5E2F11C}"/>
            </a:ext>
          </a:extLst>
        </xdr:cNvPr>
        <xdr:cNvSpPr/>
      </xdr:nvSpPr>
      <xdr:spPr>
        <a:xfrm>
          <a:off x="735330" y="45720"/>
          <a:ext cx="1066800" cy="1066800"/>
        </a:xfrm>
        <a:prstGeom prst="ellipse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score/Desktop/Sistema%20Financeiro%20Vida%20Rica.xlsm" TargetMode="External"/><Relationship Id="rId2" Type="http://schemas.openxmlformats.org/officeDocument/2006/relationships/externalLinkPath" Target="file:///C:\Users\score\Desktop\Sistema%20Financeiro%20Vida%20Rica.xlsm" TargetMode="External"/><Relationship Id="rId1" Type="http://schemas.openxmlformats.org/officeDocument/2006/relationships/externalLinkPath" Target="/Users/score/Desktop/Sistema%20Financeiro%20Vida%20Ric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CORE%20CONTABILIDADE/RONALDO/Score.com.xlsm" TargetMode="External"/><Relationship Id="rId2" Type="http://schemas.openxmlformats.org/officeDocument/2006/relationships/externalLinkPath" Target="https://d.docs.live.net/32d9eb0d17a7ed3b/SCORE%20CONTABILIDADE/RONALDO/Score.com.xlsm" TargetMode="External"/><Relationship Id="rId1" Type="http://schemas.openxmlformats.org/officeDocument/2006/relationships/externalLinkPath" Target="/32d9eb0d17a7ed3b/SCORE%20CONTABILIDADE/RONALDO/Score.co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DASTROS"/>
      <sheetName val="BASE - DINÂMICA"/>
      <sheetName val="À RECEBER"/>
      <sheetName val="À PAGAR"/>
      <sheetName val="RESERVA"/>
      <sheetName val="GASTOS"/>
      <sheetName val="HOME"/>
      <sheetName val="LANÇAMENTOS"/>
      <sheetName val="RECEITAS"/>
      <sheetName val="DÍVIDAS"/>
      <sheetName val="METAS"/>
      <sheetName val="USUÁRIOS"/>
      <sheetName val="Sistema Financeiro Vida R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ANÁLISE"/>
      <sheetName val="APRESENTAÇÃO"/>
      <sheetName val="DASHBORAD DFC"/>
      <sheetName val="LIVRO"/>
      <sheetName val="LANÇAMENTOS"/>
      <sheetName val="PLANO DE CONTAS"/>
      <sheetName val="DINÂMICA"/>
      <sheetName val="BASE GRÁFICOS"/>
      <sheetName val="LIVRO DIARIO"/>
      <sheetName val="BAN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32d9eb0d17a7ed3b/Documents/SCORE%20CONTABILIDADE/03%20-%20CONSULTORIA/Maria%20Lima%20Brand/Financeiro/2024/Metas%20e%20Faturamento/Caixa%20Janeiro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23.464859375003" createdVersion="8" refreshedVersion="8" minRefreshableVersion="3" recordCount="31" xr:uid="{00000000-000A-0000-FFFF-FFFF00000000}">
  <cacheSource type="worksheet">
    <worksheetSource name="Tabela35" r:id="rId2"/>
  </cacheSource>
  <cacheFields count="3">
    <cacheField name="DATA" numFmtId="14">
      <sharedItems containsSemiMixedTypes="0" containsNonDate="0" containsDate="1" containsString="0" minDate="2024-01-01T00:00:00" maxDate="2024-02-01T00:00:00"/>
    </cacheField>
    <cacheField name="DIA DA SEMANA" numFmtId="14">
      <sharedItems count="7">
        <s v="SEGUNDA-FEIRA"/>
        <s v="TERÇA-FEIRA"/>
        <s v="QUARTA-FEIRA"/>
        <s v="QUINTA-FEIRA"/>
        <s v="SEXTA-FEIRA"/>
        <s v="SÁBADO"/>
        <s v="DOMINGO"/>
      </sharedItems>
    </cacheField>
    <cacheField name="FATURAMENTO" numFmtId="44">
      <sharedItems containsSemiMixedTypes="0" containsString="0" containsNumber="1" minValue="0" maxValue="4815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Sérgio" refreshedDate="46000.619610069443" createdVersion="8" refreshedVersion="8" minRefreshableVersion="3" recordCount="32" xr:uid="{14D077FD-3CE1-41CE-A84C-83ADACA547BA}">
  <cacheSource type="worksheet">
    <worksheetSource name="Tabela35"/>
  </cacheSource>
  <cacheFields count="3">
    <cacheField name="DATA" numFmtId="14">
      <sharedItems containsNonDate="0" containsDate="1" containsString="0" containsBlank="1" minDate="2025-02-01T00:00:00" maxDate="2025-03-01T00:00:00"/>
    </cacheField>
    <cacheField name="DIA DA SEMANA" numFmtId="14">
      <sharedItems containsBlank="1" count="8">
        <s v="SÁBADO"/>
        <s v="DOMINGO"/>
        <s v="SEGUNDA-FEIRA"/>
        <s v="TERÇA-FEIRA"/>
        <s v="QUARTA-FEIRA"/>
        <s v="QUINTA-FEIRA"/>
        <s v="SEXTA-FEIRA"/>
        <m/>
      </sharedItems>
    </cacheField>
    <cacheField name="VALOR" numFmtId="44">
      <sharedItems containsString="0" containsBlank="1" containsNumber="1" containsInteger="1" minValue="0" maxValue="3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Sérgio" refreshedDate="46000.619610416667" createdVersion="8" refreshedVersion="8" minRefreshableVersion="3" recordCount="124" xr:uid="{5D52CA3B-FF90-4511-8778-EE83E02A4230}">
  <cacheSource type="worksheet">
    <worksheetSource name="VENDAS_VENDEDOR"/>
  </cacheSource>
  <cacheFields count="4">
    <cacheField name="DATA" numFmtId="14">
      <sharedItems containsSemiMixedTypes="0" containsNonDate="0" containsDate="1" containsString="0" minDate="2025-12-01T00:00:00" maxDate="2026-01-01T00:00:00"/>
    </cacheField>
    <cacheField name="DIA DA SEMANA" numFmtId="14">
      <sharedItems/>
    </cacheField>
    <cacheField name="VALOR REALIZADO" numFmtId="44">
      <sharedItems containsString="0" containsBlank="1" containsNumber="1" containsInteger="1" minValue="923" maxValue="4036"/>
    </cacheField>
    <cacheField name="VENDEDOR" numFmtId="1">
      <sharedItems containsBlank="1" count="9">
        <s v="AIANE"/>
        <s v="BIANCA"/>
        <s v="LUCIJANE"/>
        <s v="ALINE"/>
        <s v="SHERON" u="1"/>
        <s v="CRIS" u="1"/>
        <s v="NARA" u="1"/>
        <s v="LOJA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1-01T00:00:00"/>
    <x v="0"/>
    <n v="0"/>
  </r>
  <r>
    <d v="2024-01-02T00:00:00"/>
    <x v="1"/>
    <n v="0"/>
  </r>
  <r>
    <d v="2024-01-03T00:00:00"/>
    <x v="2"/>
    <n v="0"/>
  </r>
  <r>
    <d v="2024-01-04T00:00:00"/>
    <x v="3"/>
    <n v="1855"/>
  </r>
  <r>
    <d v="2024-01-05T00:00:00"/>
    <x v="4"/>
    <n v="3842"/>
  </r>
  <r>
    <d v="2024-01-06T00:00:00"/>
    <x v="5"/>
    <n v="4815.3999999999996"/>
  </r>
  <r>
    <d v="2024-01-07T00:00:00"/>
    <x v="6"/>
    <n v="0"/>
  </r>
  <r>
    <d v="2024-01-08T00:00:00"/>
    <x v="0"/>
    <n v="1707"/>
  </r>
  <r>
    <d v="2024-01-09T00:00:00"/>
    <x v="1"/>
    <n v="2564"/>
  </r>
  <r>
    <d v="2024-01-10T00:00:00"/>
    <x v="2"/>
    <n v="1977"/>
  </r>
  <r>
    <d v="2024-01-11T00:00:00"/>
    <x v="3"/>
    <n v="3688"/>
  </r>
  <r>
    <d v="2024-01-12T00:00:00"/>
    <x v="4"/>
    <n v="3308"/>
  </r>
  <r>
    <d v="2024-01-13T00:00:00"/>
    <x v="5"/>
    <n v="3133"/>
  </r>
  <r>
    <d v="2024-01-14T00:00:00"/>
    <x v="6"/>
    <n v="0"/>
  </r>
  <r>
    <d v="2024-01-15T00:00:00"/>
    <x v="0"/>
    <n v="269"/>
  </r>
  <r>
    <d v="2024-01-16T00:00:00"/>
    <x v="1"/>
    <n v="1599"/>
  </r>
  <r>
    <d v="2024-01-17T00:00:00"/>
    <x v="2"/>
    <n v="943"/>
  </r>
  <r>
    <d v="2024-01-18T00:00:00"/>
    <x v="3"/>
    <n v="3994"/>
  </r>
  <r>
    <d v="2024-01-19T00:00:00"/>
    <x v="4"/>
    <n v="2110"/>
  </r>
  <r>
    <d v="2024-01-20T00:00:00"/>
    <x v="5"/>
    <n v="2782"/>
  </r>
  <r>
    <d v="2024-01-21T00:00:00"/>
    <x v="6"/>
    <n v="0"/>
  </r>
  <r>
    <d v="2024-01-22T00:00:00"/>
    <x v="0"/>
    <n v="784"/>
  </r>
  <r>
    <d v="2024-01-23T00:00:00"/>
    <x v="1"/>
    <n v="1073"/>
  </r>
  <r>
    <d v="2024-01-24T00:00:00"/>
    <x v="2"/>
    <n v="2281"/>
  </r>
  <r>
    <d v="2024-01-25T00:00:00"/>
    <x v="3"/>
    <n v="3291"/>
  </r>
  <r>
    <d v="2024-01-26T00:00:00"/>
    <x v="4"/>
    <n v="1831"/>
  </r>
  <r>
    <d v="2024-01-27T00:00:00"/>
    <x v="5"/>
    <n v="2075"/>
  </r>
  <r>
    <d v="2024-01-28T00:00:00"/>
    <x v="6"/>
    <n v="0"/>
  </r>
  <r>
    <d v="2024-01-29T00:00:00"/>
    <x v="0"/>
    <n v="1572"/>
  </r>
  <r>
    <d v="2024-01-30T00:00:00"/>
    <x v="1"/>
    <n v="2108"/>
  </r>
  <r>
    <d v="2024-01-31T00:00:00"/>
    <x v="2"/>
    <n v="28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5-02-01T00:00:00"/>
    <x v="0"/>
    <n v="1215"/>
  </r>
  <r>
    <d v="2025-02-02T00:00:00"/>
    <x v="1"/>
    <n v="0"/>
  </r>
  <r>
    <d v="2025-02-03T00:00:00"/>
    <x v="2"/>
    <n v="1529"/>
  </r>
  <r>
    <d v="2025-02-04T00:00:00"/>
    <x v="3"/>
    <n v="1219"/>
  </r>
  <r>
    <d v="2025-02-05T00:00:00"/>
    <x v="4"/>
    <n v="754"/>
  </r>
  <r>
    <d v="2025-02-06T00:00:00"/>
    <x v="5"/>
    <n v="2133"/>
  </r>
  <r>
    <d v="2025-02-07T00:00:00"/>
    <x v="6"/>
    <n v="2646"/>
  </r>
  <r>
    <d v="2025-02-08T00:00:00"/>
    <x v="0"/>
    <n v="1925"/>
  </r>
  <r>
    <d v="2025-02-09T00:00:00"/>
    <x v="1"/>
    <m/>
  </r>
  <r>
    <d v="2025-02-10T00:00:00"/>
    <x v="2"/>
    <n v="2398"/>
  </r>
  <r>
    <d v="2025-02-11T00:00:00"/>
    <x v="3"/>
    <n v="1096"/>
  </r>
  <r>
    <d v="2025-02-12T00:00:00"/>
    <x v="4"/>
    <n v="440"/>
  </r>
  <r>
    <d v="2025-02-13T00:00:00"/>
    <x v="5"/>
    <n v="2444"/>
  </r>
  <r>
    <d v="2025-02-14T00:00:00"/>
    <x v="6"/>
    <n v="2287"/>
  </r>
  <r>
    <d v="2025-02-15T00:00:00"/>
    <x v="0"/>
    <n v="840"/>
  </r>
  <r>
    <d v="2025-02-16T00:00:00"/>
    <x v="1"/>
    <m/>
  </r>
  <r>
    <d v="2025-02-17T00:00:00"/>
    <x v="2"/>
    <n v="688"/>
  </r>
  <r>
    <d v="2025-02-18T00:00:00"/>
    <x v="3"/>
    <n v="1161"/>
  </r>
  <r>
    <d v="2025-02-19T00:00:00"/>
    <x v="4"/>
    <n v="928"/>
  </r>
  <r>
    <d v="2025-02-20T00:00:00"/>
    <x v="5"/>
    <n v="1142"/>
  </r>
  <r>
    <d v="2025-02-21T00:00:00"/>
    <x v="6"/>
    <n v="1973"/>
  </r>
  <r>
    <d v="2025-02-22T00:00:00"/>
    <x v="0"/>
    <n v="1064"/>
  </r>
  <r>
    <d v="2025-02-23T00:00:00"/>
    <x v="1"/>
    <m/>
  </r>
  <r>
    <d v="2025-02-24T00:00:00"/>
    <x v="2"/>
    <n v="553"/>
  </r>
  <r>
    <d v="2025-02-25T00:00:00"/>
    <x v="3"/>
    <n v="1057"/>
  </r>
  <r>
    <d v="2025-02-26T00:00:00"/>
    <x v="4"/>
    <n v="1484"/>
  </r>
  <r>
    <d v="2025-02-27T00:00:00"/>
    <x v="5"/>
    <n v="1029"/>
  </r>
  <r>
    <d v="2025-02-28T00:00:00"/>
    <x v="6"/>
    <n v="3312"/>
  </r>
  <r>
    <m/>
    <x v="7"/>
    <m/>
  </r>
  <r>
    <m/>
    <x v="7"/>
    <m/>
  </r>
  <r>
    <m/>
    <x v="7"/>
    <m/>
  </r>
  <r>
    <m/>
    <x v="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5-12-01T00:00:00"/>
    <s v="SEGUNDA-FEIRA"/>
    <n v="1053"/>
    <x v="0"/>
  </r>
  <r>
    <d v="2025-12-02T00:00:00"/>
    <s v="TERÇA-FEIRA"/>
    <n v="1404"/>
    <x v="0"/>
  </r>
  <r>
    <d v="2025-12-03T00:00:00"/>
    <s v="QUARTA-FEIRA"/>
    <n v="2314"/>
    <x v="0"/>
  </r>
  <r>
    <d v="2025-12-04T00:00:00"/>
    <s v="QUINTA-FEIRA"/>
    <n v="2812"/>
    <x v="0"/>
  </r>
  <r>
    <d v="2025-12-05T00:00:00"/>
    <s v="SEXTA-FEIRA"/>
    <n v="3280"/>
    <x v="0"/>
  </r>
  <r>
    <d v="2025-12-06T00:00:00"/>
    <s v="SÁBADO"/>
    <n v="2829"/>
    <x v="0"/>
  </r>
  <r>
    <d v="2025-12-07T00:00:00"/>
    <s v="DOMINGO"/>
    <m/>
    <x v="0"/>
  </r>
  <r>
    <d v="2025-12-08T00:00:00"/>
    <s v="SEGUNDA-FEIRA"/>
    <n v="3189"/>
    <x v="0"/>
  </r>
  <r>
    <d v="2025-12-09T00:00:00"/>
    <s v="TERÇA-FEIRA"/>
    <m/>
    <x v="0"/>
  </r>
  <r>
    <d v="2025-12-10T00:00:00"/>
    <s v="QUARTA-FEIRA"/>
    <m/>
    <x v="0"/>
  </r>
  <r>
    <d v="2025-12-11T00:00:00"/>
    <s v="QUINTA-FEIRA"/>
    <m/>
    <x v="0"/>
  </r>
  <r>
    <d v="2025-12-12T00:00:00"/>
    <s v="SEXTA-FEIRA"/>
    <m/>
    <x v="0"/>
  </r>
  <r>
    <d v="2025-12-13T00:00:00"/>
    <s v="SÁBADO"/>
    <m/>
    <x v="0"/>
  </r>
  <r>
    <d v="2025-12-14T00:00:00"/>
    <s v="DOMINGO"/>
    <m/>
    <x v="0"/>
  </r>
  <r>
    <d v="2025-12-15T00:00:00"/>
    <s v="SEGUNDA-FEIRA"/>
    <m/>
    <x v="0"/>
  </r>
  <r>
    <d v="2025-12-16T00:00:00"/>
    <s v="TERÇA-FEIRA"/>
    <m/>
    <x v="0"/>
  </r>
  <r>
    <d v="2025-12-17T00:00:00"/>
    <s v="QUARTA-FEIRA"/>
    <m/>
    <x v="0"/>
  </r>
  <r>
    <d v="2025-12-18T00:00:00"/>
    <s v="QUINTA-FEIRA"/>
    <m/>
    <x v="0"/>
  </r>
  <r>
    <d v="2025-12-19T00:00:00"/>
    <s v="SEXTA-FEIRA"/>
    <m/>
    <x v="0"/>
  </r>
  <r>
    <d v="2025-12-20T00:00:00"/>
    <s v="SÁBADO"/>
    <m/>
    <x v="0"/>
  </r>
  <r>
    <d v="2025-12-21T00:00:00"/>
    <s v="DOMINGO"/>
    <m/>
    <x v="0"/>
  </r>
  <r>
    <d v="2025-12-22T00:00:00"/>
    <s v="SEGUNDA-FEIRA"/>
    <m/>
    <x v="0"/>
  </r>
  <r>
    <d v="2025-12-23T00:00:00"/>
    <s v="TERÇA-FEIRA"/>
    <m/>
    <x v="0"/>
  </r>
  <r>
    <d v="2025-12-24T00:00:00"/>
    <s v="QUARTA-FEIRA"/>
    <m/>
    <x v="0"/>
  </r>
  <r>
    <d v="2025-12-25T00:00:00"/>
    <s v="QUINTA-FEIRA"/>
    <m/>
    <x v="0"/>
  </r>
  <r>
    <d v="2025-12-26T00:00:00"/>
    <s v="SEXTA-FEIRA"/>
    <m/>
    <x v="0"/>
  </r>
  <r>
    <d v="2025-12-27T00:00:00"/>
    <s v="SÁBADO"/>
    <m/>
    <x v="0"/>
  </r>
  <r>
    <d v="2025-12-28T00:00:00"/>
    <s v="DOMINGO"/>
    <m/>
    <x v="0"/>
  </r>
  <r>
    <d v="2025-12-29T00:00:00"/>
    <s v="SEGUNDA-FEIRA"/>
    <m/>
    <x v="0"/>
  </r>
  <r>
    <d v="2025-12-30T00:00:00"/>
    <s v="TERÇA-FEIRA"/>
    <m/>
    <x v="0"/>
  </r>
  <r>
    <d v="2025-12-31T00:00:00"/>
    <s v="QUARTA-FEIRA"/>
    <m/>
    <x v="0"/>
  </r>
  <r>
    <d v="2025-12-01T00:00:00"/>
    <s v="SEGUNDA-FEIRA"/>
    <m/>
    <x v="1"/>
  </r>
  <r>
    <d v="2025-12-02T00:00:00"/>
    <s v="TERÇA-FEIRA"/>
    <m/>
    <x v="1"/>
  </r>
  <r>
    <d v="2025-12-03T00:00:00"/>
    <s v="QUARTA-FEIRA"/>
    <m/>
    <x v="1"/>
  </r>
  <r>
    <d v="2025-12-04T00:00:00"/>
    <s v="QUINTA-FEIRA"/>
    <m/>
    <x v="1"/>
  </r>
  <r>
    <d v="2025-12-05T00:00:00"/>
    <s v="SEXTA-FEIRA"/>
    <m/>
    <x v="1"/>
  </r>
  <r>
    <d v="2025-12-06T00:00:00"/>
    <s v="SÁBADO"/>
    <m/>
    <x v="1"/>
  </r>
  <r>
    <d v="2025-12-07T00:00:00"/>
    <s v="DOMINGO"/>
    <m/>
    <x v="1"/>
  </r>
  <r>
    <d v="2025-12-08T00:00:00"/>
    <s v="SEGUNDA-FEIRA"/>
    <m/>
    <x v="1"/>
  </r>
  <r>
    <d v="2025-12-09T00:00:00"/>
    <s v="TERÇA-FEIRA"/>
    <m/>
    <x v="1"/>
  </r>
  <r>
    <d v="2025-12-10T00:00:00"/>
    <s v="QUARTA-FEIRA"/>
    <m/>
    <x v="1"/>
  </r>
  <r>
    <d v="2025-12-11T00:00:00"/>
    <s v="QUINTA-FEIRA"/>
    <m/>
    <x v="1"/>
  </r>
  <r>
    <d v="2025-12-12T00:00:00"/>
    <s v="SEXTA-FEIRA"/>
    <m/>
    <x v="1"/>
  </r>
  <r>
    <d v="2025-12-13T00:00:00"/>
    <s v="SÁBADO"/>
    <m/>
    <x v="1"/>
  </r>
  <r>
    <d v="2025-12-14T00:00:00"/>
    <s v="DOMINGO"/>
    <m/>
    <x v="1"/>
  </r>
  <r>
    <d v="2025-12-15T00:00:00"/>
    <s v="SEGUNDA-FEIRA"/>
    <m/>
    <x v="1"/>
  </r>
  <r>
    <d v="2025-12-16T00:00:00"/>
    <s v="TERÇA-FEIRA"/>
    <m/>
    <x v="1"/>
  </r>
  <r>
    <d v="2025-12-17T00:00:00"/>
    <s v="QUARTA-FEIRA"/>
    <m/>
    <x v="1"/>
  </r>
  <r>
    <d v="2025-12-18T00:00:00"/>
    <s v="QUINTA-FEIRA"/>
    <m/>
    <x v="1"/>
  </r>
  <r>
    <d v="2025-12-19T00:00:00"/>
    <s v="SEXTA-FEIRA"/>
    <m/>
    <x v="1"/>
  </r>
  <r>
    <d v="2025-12-20T00:00:00"/>
    <s v="SÁBADO"/>
    <m/>
    <x v="1"/>
  </r>
  <r>
    <d v="2025-12-21T00:00:00"/>
    <s v="DOMINGO"/>
    <m/>
    <x v="1"/>
  </r>
  <r>
    <d v="2025-12-22T00:00:00"/>
    <s v="SEGUNDA-FEIRA"/>
    <m/>
    <x v="1"/>
  </r>
  <r>
    <d v="2025-12-23T00:00:00"/>
    <s v="TERÇA-FEIRA"/>
    <m/>
    <x v="1"/>
  </r>
  <r>
    <d v="2025-12-24T00:00:00"/>
    <s v="QUARTA-FEIRA"/>
    <m/>
    <x v="1"/>
  </r>
  <r>
    <d v="2025-12-25T00:00:00"/>
    <s v="QUINTA-FEIRA"/>
    <m/>
    <x v="1"/>
  </r>
  <r>
    <d v="2025-12-26T00:00:00"/>
    <s v="SEXTA-FEIRA"/>
    <m/>
    <x v="1"/>
  </r>
  <r>
    <d v="2025-12-27T00:00:00"/>
    <s v="SÁBADO"/>
    <m/>
    <x v="1"/>
  </r>
  <r>
    <d v="2025-12-28T00:00:00"/>
    <s v="DOMINGO"/>
    <m/>
    <x v="1"/>
  </r>
  <r>
    <d v="2025-12-29T00:00:00"/>
    <s v="SEGUNDA-FEIRA"/>
    <m/>
    <x v="1"/>
  </r>
  <r>
    <d v="2025-12-30T00:00:00"/>
    <s v="TERÇA-FEIRA"/>
    <m/>
    <x v="1"/>
  </r>
  <r>
    <d v="2025-12-31T00:00:00"/>
    <s v="QUARTA-FEIRA"/>
    <m/>
    <x v="1"/>
  </r>
  <r>
    <d v="2025-12-01T00:00:00"/>
    <s v="SEGUNDA-FEIRA"/>
    <n v="923"/>
    <x v="2"/>
  </r>
  <r>
    <d v="2025-12-02T00:00:00"/>
    <s v="TERÇA-FEIRA"/>
    <n v="1009"/>
    <x v="2"/>
  </r>
  <r>
    <d v="2025-12-03T00:00:00"/>
    <s v="QUARTA-FEIRA"/>
    <n v="1495"/>
    <x v="2"/>
  </r>
  <r>
    <d v="2025-12-04T00:00:00"/>
    <s v="QUINTA-FEIRA"/>
    <n v="1956"/>
    <x v="2"/>
  </r>
  <r>
    <d v="2025-12-05T00:00:00"/>
    <s v="SEXTA-FEIRA"/>
    <n v="1434"/>
    <x v="2"/>
  </r>
  <r>
    <d v="2025-12-06T00:00:00"/>
    <s v="SÁBADO"/>
    <n v="2528"/>
    <x v="2"/>
  </r>
  <r>
    <d v="2025-12-07T00:00:00"/>
    <s v="DOMINGO"/>
    <m/>
    <x v="2"/>
  </r>
  <r>
    <d v="2025-12-08T00:00:00"/>
    <s v="SEGUNDA-FEIRA"/>
    <n v="2989"/>
    <x v="2"/>
  </r>
  <r>
    <d v="2025-12-09T00:00:00"/>
    <s v="TERÇA-FEIRA"/>
    <m/>
    <x v="2"/>
  </r>
  <r>
    <d v="2025-12-10T00:00:00"/>
    <s v="QUARTA-FEIRA"/>
    <m/>
    <x v="2"/>
  </r>
  <r>
    <d v="2025-12-11T00:00:00"/>
    <s v="QUINTA-FEIRA"/>
    <m/>
    <x v="2"/>
  </r>
  <r>
    <d v="2025-12-12T00:00:00"/>
    <s v="SEXTA-FEIRA"/>
    <m/>
    <x v="2"/>
  </r>
  <r>
    <d v="2025-12-13T00:00:00"/>
    <s v="SÁBADO"/>
    <m/>
    <x v="2"/>
  </r>
  <r>
    <d v="2025-12-14T00:00:00"/>
    <s v="DOMINGO"/>
    <m/>
    <x v="2"/>
  </r>
  <r>
    <d v="2025-12-15T00:00:00"/>
    <s v="SEGUNDA-FEIRA"/>
    <m/>
    <x v="2"/>
  </r>
  <r>
    <d v="2025-12-16T00:00:00"/>
    <s v="TERÇA-FEIRA"/>
    <m/>
    <x v="2"/>
  </r>
  <r>
    <d v="2025-12-17T00:00:00"/>
    <s v="QUARTA-FEIRA"/>
    <m/>
    <x v="2"/>
  </r>
  <r>
    <d v="2025-12-18T00:00:00"/>
    <s v="QUINTA-FEIRA"/>
    <m/>
    <x v="2"/>
  </r>
  <r>
    <d v="2025-12-19T00:00:00"/>
    <s v="SEXTA-FEIRA"/>
    <m/>
    <x v="2"/>
  </r>
  <r>
    <d v="2025-12-20T00:00:00"/>
    <s v="SÁBADO"/>
    <m/>
    <x v="2"/>
  </r>
  <r>
    <d v="2025-12-21T00:00:00"/>
    <s v="DOMINGO"/>
    <m/>
    <x v="2"/>
  </r>
  <r>
    <d v="2025-12-22T00:00:00"/>
    <s v="SEGUNDA-FEIRA"/>
    <m/>
    <x v="2"/>
  </r>
  <r>
    <d v="2025-12-23T00:00:00"/>
    <s v="TERÇA-FEIRA"/>
    <m/>
    <x v="2"/>
  </r>
  <r>
    <d v="2025-12-24T00:00:00"/>
    <s v="QUARTA-FEIRA"/>
    <m/>
    <x v="2"/>
  </r>
  <r>
    <d v="2025-12-25T00:00:00"/>
    <s v="QUINTA-FEIRA"/>
    <m/>
    <x v="2"/>
  </r>
  <r>
    <d v="2025-12-26T00:00:00"/>
    <s v="SEXTA-FEIRA"/>
    <m/>
    <x v="2"/>
  </r>
  <r>
    <d v="2025-12-27T00:00:00"/>
    <s v="SÁBADO"/>
    <m/>
    <x v="2"/>
  </r>
  <r>
    <d v="2025-12-28T00:00:00"/>
    <s v="DOMINGO"/>
    <m/>
    <x v="2"/>
  </r>
  <r>
    <d v="2025-12-29T00:00:00"/>
    <s v="SEGUNDA-FEIRA"/>
    <m/>
    <x v="2"/>
  </r>
  <r>
    <d v="2025-12-30T00:00:00"/>
    <s v="TERÇA-FEIRA"/>
    <m/>
    <x v="2"/>
  </r>
  <r>
    <d v="2025-12-31T00:00:00"/>
    <s v="QUARTA-FEIRA"/>
    <m/>
    <x v="2"/>
  </r>
  <r>
    <d v="2025-12-01T00:00:00"/>
    <s v="SEGUNDA-FEIRA"/>
    <n v="1673"/>
    <x v="3"/>
  </r>
  <r>
    <d v="2025-12-02T00:00:00"/>
    <s v="TERÇA-FEIRA"/>
    <n v="1252"/>
    <x v="3"/>
  </r>
  <r>
    <d v="2025-12-03T00:00:00"/>
    <s v="QUARTA-FEIRA"/>
    <n v="1216"/>
    <x v="3"/>
  </r>
  <r>
    <d v="2025-12-04T00:00:00"/>
    <s v="QUINTA-FEIRA"/>
    <n v="2072"/>
    <x v="3"/>
  </r>
  <r>
    <d v="2025-12-05T00:00:00"/>
    <s v="SEXTA-FEIRA"/>
    <n v="3360"/>
    <x v="3"/>
  </r>
  <r>
    <d v="2025-12-06T00:00:00"/>
    <s v="SÁBADO"/>
    <n v="4036"/>
    <x v="3"/>
  </r>
  <r>
    <d v="2025-12-07T00:00:00"/>
    <s v="DOMINGO"/>
    <m/>
    <x v="3"/>
  </r>
  <r>
    <d v="2025-12-08T00:00:00"/>
    <s v="SEGUNDA-FEIRA"/>
    <n v="3093"/>
    <x v="3"/>
  </r>
  <r>
    <d v="2025-12-09T00:00:00"/>
    <s v="TERÇA-FEIRA"/>
    <m/>
    <x v="3"/>
  </r>
  <r>
    <d v="2025-12-10T00:00:00"/>
    <s v="QUARTA-FEIRA"/>
    <m/>
    <x v="3"/>
  </r>
  <r>
    <d v="2025-12-11T00:00:00"/>
    <s v="QUINTA-FEIRA"/>
    <m/>
    <x v="3"/>
  </r>
  <r>
    <d v="2025-12-12T00:00:00"/>
    <s v="SEXTA-FEIRA"/>
    <m/>
    <x v="3"/>
  </r>
  <r>
    <d v="2025-12-13T00:00:00"/>
    <s v="SÁBADO"/>
    <m/>
    <x v="3"/>
  </r>
  <r>
    <d v="2025-12-14T00:00:00"/>
    <s v="DOMINGO"/>
    <m/>
    <x v="3"/>
  </r>
  <r>
    <d v="2025-12-15T00:00:00"/>
    <s v="SEGUNDA-FEIRA"/>
    <m/>
    <x v="3"/>
  </r>
  <r>
    <d v="2025-12-16T00:00:00"/>
    <s v="TERÇA-FEIRA"/>
    <m/>
    <x v="3"/>
  </r>
  <r>
    <d v="2025-12-17T00:00:00"/>
    <s v="QUARTA-FEIRA"/>
    <m/>
    <x v="3"/>
  </r>
  <r>
    <d v="2025-12-18T00:00:00"/>
    <s v="QUINTA-FEIRA"/>
    <m/>
    <x v="3"/>
  </r>
  <r>
    <d v="2025-12-19T00:00:00"/>
    <s v="SEXTA-FEIRA"/>
    <m/>
    <x v="3"/>
  </r>
  <r>
    <d v="2025-12-20T00:00:00"/>
    <s v="SÁBADO"/>
    <m/>
    <x v="3"/>
  </r>
  <r>
    <d v="2025-12-21T00:00:00"/>
    <s v="DOMINGO"/>
    <m/>
    <x v="3"/>
  </r>
  <r>
    <d v="2025-12-22T00:00:00"/>
    <s v="SEGUNDA-FEIRA"/>
    <m/>
    <x v="3"/>
  </r>
  <r>
    <d v="2025-12-23T00:00:00"/>
    <s v="TERÇA-FEIRA"/>
    <m/>
    <x v="3"/>
  </r>
  <r>
    <d v="2025-12-24T00:00:00"/>
    <s v="QUARTA-FEIRA"/>
    <m/>
    <x v="3"/>
  </r>
  <r>
    <d v="2025-12-25T00:00:00"/>
    <s v="QUINTA-FEIRA"/>
    <m/>
    <x v="3"/>
  </r>
  <r>
    <d v="2025-12-26T00:00:00"/>
    <s v="SEXTA-FEIRA"/>
    <m/>
    <x v="3"/>
  </r>
  <r>
    <d v="2025-12-27T00:00:00"/>
    <s v="SÁBADO"/>
    <m/>
    <x v="3"/>
  </r>
  <r>
    <d v="2025-12-28T00:00:00"/>
    <s v="DOMINGO"/>
    <m/>
    <x v="3"/>
  </r>
  <r>
    <d v="2025-12-29T00:00:00"/>
    <s v="SEGUNDA-FEIRA"/>
    <m/>
    <x v="3"/>
  </r>
  <r>
    <d v="2025-12-30T00:00:00"/>
    <s v="TERÇA-FEIRA"/>
    <m/>
    <x v="3"/>
  </r>
  <r>
    <d v="2025-12-31T00:00:00"/>
    <s v="QUARTA-FEIRA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C303A-0585-4005-86A7-AF49E4E55872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 DA SEMANA">
  <location ref="D3:F11" firstHeaderRow="0" firstDataRow="1" firstDataCol="1"/>
  <pivotFields count="3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numFmtId="4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" fld="2" baseField="1" baseItem="0" numFmtId="44"/>
    <dataField name="%" fld="2" showDataAs="percentOfTotal" baseField="1" baseItem="2" numFmtId="10"/>
  </dataFields>
  <formats count="6">
    <format dxfId="1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4B0E2-209E-489E-A81E-3710D9A15A1C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:D4" firstHeaderRow="1" firstDataRow="1" firstDataCol="1"/>
  <pivotFields count="4">
    <pivotField showAll="0"/>
    <pivotField showAll="0"/>
    <pivotField dataField="1" showAll="0"/>
    <pivotField axis="axisRow" showAll="0">
      <items count="10">
        <item m="1" x="6"/>
        <item m="1" x="4"/>
        <item h="1" m="1" x="8"/>
        <item m="1" x="5"/>
        <item h="1" m="1" x="7"/>
        <item h="1" x="0"/>
        <item h="1" x="3"/>
        <item h="1" x="1"/>
        <item h="1" x="2"/>
        <item t="default"/>
      </items>
    </pivotField>
  </pivotFields>
  <rowFields count="1">
    <field x="3"/>
  </rowFields>
  <rowItems count="1">
    <i t="grand">
      <x/>
    </i>
  </rowItems>
  <colItems count="1">
    <i/>
  </colItems>
  <dataFields count="1">
    <dataField name="META INDIVIDUAL" fld="2" baseField="0" baseItem="0" numFmtId="44"/>
  </dataFields>
  <formats count="1">
    <format dxfId="13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1607B-0FED-4944-8528-7CB617941F34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 DA SEMANA">
  <location ref="F2:H11" firstHeaderRow="0" firstDataRow="1" firstDataCol="1"/>
  <pivotFields count="3">
    <pivotField numFmtId="14" showAll="0"/>
    <pivotField axis="axisRow" showAll="0">
      <items count="9">
        <item x="1"/>
        <item x="2"/>
        <item x="3"/>
        <item x="4"/>
        <item x="5"/>
        <item x="6"/>
        <item x="0"/>
        <item x="7"/>
        <item t="default"/>
      </items>
    </pivotField>
    <pivotField name="VALOR2"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2" fld="2" baseField="0" baseItem="0"/>
    <dataField name="%" fld="2" showDataAs="percentOfTotal" baseField="1" baseItem="0" numFmtId="1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37" displayName="Tabela37" ref="C4:J36" totalsRowCount="1" headerRowDxfId="158" dataDxfId="157">
  <autoFilter ref="C4:J35" xr:uid="{00000000-0009-0000-0100-000001000000}"/>
  <tableColumns count="8">
    <tableColumn id="1" xr3:uid="{00000000-0010-0000-0100-000001000000}" name="DATA" totalsRowLabel="Total" dataDxfId="156" totalsRowDxfId="155">
      <calculatedColumnFormula>DATE($J$2,$J$1,B5)</calculatedColumnFormula>
    </tableColumn>
    <tableColumn id="8" xr3:uid="{00000000-0010-0000-0100-000008000000}" name="DIA DA SEMANA" dataDxfId="154" totalsRowDxfId="153" dataCellStyle="Moeda">
      <calculatedColumnFormula>UPPER(TEXT(C5,"dddd"))</calculatedColumnFormula>
    </tableColumn>
    <tableColumn id="2" xr3:uid="{00000000-0010-0000-0100-000002000000}" name="VALOR REALIZADO" totalsRowFunction="sum" dataDxfId="152" totalsRowDxfId="151" dataCellStyle="Moeda"/>
    <tableColumn id="3" xr3:uid="{00000000-0010-0000-0100-000003000000}" name="SEMANA" dataDxfId="150" totalsRowDxfId="149" dataCellStyle="Moeda">
      <calculatedColumnFormula>"Semana " &amp; INT((DAY(C5)+WEEKDAY(DATE(YEAR(C5),MONTH(C5),1),1)-2)/7)+1</calculatedColumnFormula>
    </tableColumn>
    <tableColumn id="4" xr3:uid="{00000000-0010-0000-0100-000004000000}" name="META MÍNIMA" totalsRowFunction="sum" dataDxfId="148" totalsRowDxfId="147"/>
    <tableColumn id="5" xr3:uid="{00000000-0010-0000-0100-000005000000}" name="TOP 1" totalsRowFunction="sum" dataDxfId="146" totalsRowDxfId="145"/>
    <tableColumn id="6" xr3:uid="{00000000-0010-0000-0100-000006000000}" name="TOP 2" totalsRowFunction="sum" dataDxfId="144" totalsRowDxfId="143"/>
    <tableColumn id="7" xr3:uid="{00000000-0010-0000-0100-000007000000}" name="MASTER" totalsRowFunction="sum" dataDxfId="142" totalsRowDxfId="14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90D9FE-85B0-4B3B-8B3F-A8661C90034D}" name="Tabela44" displayName="Tabela44" ref="D3:E6" totalsRowShown="0" headerRowDxfId="133">
  <autoFilter ref="D3:E6" xr:uid="{02B9BAC3-B079-4297-95DC-3C06540DFD49}"/>
  <tableColumns count="2">
    <tableColumn id="1" xr3:uid="{D56DD498-29BF-4735-871A-F7AB2F93C040}" name="NOME" dataDxfId="132"/>
    <tableColumn id="2" xr3:uid="{833C3DBE-5413-44F7-A77A-CB96D0583CA6}" name="FO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4A878-E3FE-4DB5-9A2B-F8509BAB3F70}" name="VENDAS_VENDEDOR" displayName="VENDAS_VENDEDOR" ref="B4:E129" totalsRowCount="1" headerRowDxfId="131" dataDxfId="130">
  <autoFilter ref="B4:E128" xr:uid="{27EA8AAE-422F-4466-8AD7-559408C2A173}"/>
  <tableColumns count="4">
    <tableColumn id="1" xr3:uid="{8306251D-B0F7-4E8A-9DB6-8C8515C54073}" name="DATA" totalsRowLabel="Total" dataDxfId="129" totalsRowDxfId="128"/>
    <tableColumn id="8" xr3:uid="{38E4D3F8-D6BB-4F9D-B60C-1D826FBFF2BE}" name="DIA DA SEMANA" dataDxfId="127" totalsRowDxfId="126">
      <calculatedColumnFormula>UPPER(TEXT(B5,"dddd"))</calculatedColumnFormula>
    </tableColumn>
    <tableColumn id="2" xr3:uid="{F2572D8A-E683-46FC-9AB4-E48412B64F97}" name="VALOR REALIZADO" totalsRowFunction="sum" dataDxfId="125" totalsRowDxfId="124" dataCellStyle="Moeda"/>
    <tableColumn id="9" xr3:uid="{4A11E5D4-605C-4334-8E6A-02E0D152E368}" name="VENDEDOR" dataDxfId="123" totalsRowDxfId="122" dataCellStyle="Moe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D3:E6" totalsRowShown="0" headerRowDxfId="121">
  <autoFilter ref="D3:E6" xr:uid="{00000000-0009-0000-0100-000004000000}"/>
  <tableColumns count="2">
    <tableColumn id="1" xr3:uid="{00000000-0010-0000-0300-000001000000}" name="NOME" dataDxfId="120"/>
    <tableColumn id="2" xr3:uid="{00000000-0010-0000-0300-000002000000}" name="FO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86639C-F65A-43D6-935B-1D373BEFB885}" name="Tabela14" displayName="Tabela14" ref="A3:C7" totalsRowShown="0">
  <autoFilter ref="A3:C7" xr:uid="{4B86639C-F65A-43D6-935B-1D373BEFB885}"/>
  <tableColumns count="3">
    <tableColumn id="1" xr3:uid="{68C8E78A-0C82-4F62-99DA-904F47C4E06D}" name="DATA" dataDxfId="119"/>
    <tableColumn id="2" xr3:uid="{19898461-8578-46B1-B7C8-F959C9AE1510}" name="DIA DA SEMANA"/>
    <tableColumn id="3" xr3:uid="{BE4D6503-3E19-4AE1-9E3A-A022CE3230A1}" name="VAL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35" displayName="Tabela35" ref="B1:D33" totalsRowShown="0" headerRowDxfId="118">
  <autoFilter ref="B1:D33" xr:uid="{00000000-0009-0000-0100-000002000000}"/>
  <tableColumns count="3">
    <tableColumn id="1" xr3:uid="{00000000-0010-0000-0000-000001000000}" name="DATA" dataDxfId="117"/>
    <tableColumn id="2" xr3:uid="{00000000-0010-0000-0000-000002000000}" name="DIA DA SEMANA" dataDxfId="116">
      <calculatedColumnFormula>UPPER(TEXT(B2,"dddd"))</calculatedColumnFormula>
    </tableColumn>
    <tableColumn id="3" xr3:uid="{00000000-0010-0000-0000-000003000000}" name="VALOR" dataDxfId="115" dataCellStyle="Moeda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4EC0F2-9372-4F59-ABD4-4873CF70D193}" name="Tabela6" displayName="Tabela6" ref="M2:R10" totalsRowCount="1" headerRowDxfId="114">
  <autoFilter ref="M2:R9" xr:uid="{744EC0F2-9372-4F59-ABD4-4873CF70D193}"/>
  <tableColumns count="6">
    <tableColumn id="1" xr3:uid="{DC7E8603-E50A-48AD-A6E3-73354071B010}" name="MÊS" totalsRowLabel="Total" dataDxfId="113" totalsRowDxfId="112"/>
    <tableColumn id="2" xr3:uid="{5C3A1BBA-7911-499B-A39D-67711C51A556}" name="ANO" dataDxfId="111" totalsRowDxfId="110">
      <calculatedColumnFormula>$G$1</calculatedColumnFormula>
    </tableColumn>
    <tableColumn id="3" xr3:uid="{3C85FE64-287B-4005-91AC-215326CF0F7A}" name="META MENSAL" dataDxfId="109" totalsRowDxfId="108">
      <calculatedColumnFormula>$K$2</calculatedColumnFormula>
    </tableColumn>
    <tableColumn id="4" xr3:uid="{B1A45CB9-962D-4662-B6BA-2450088FC256}" name="DIA DA SEMANA" dataDxfId="107" totalsRowDxfId="106"/>
    <tableColumn id="5" xr3:uid="{85D5DCD8-2A18-45BF-A631-E920891E2E1E}" name="PERCENTUAL DE REPRESENTATIVIDADE" totalsRowFunction="sum" dataDxfId="105" totalsRowDxfId="104">
      <calculatedColumnFormula>H3</calculatedColumnFormula>
    </tableColumn>
    <tableColumn id="6" xr3:uid="{0E9AD6F2-56A0-4F45-99BD-5A3422AFA93B}" name="QUANTIDADE" totalsRowFunction="sum" dataDxfId="103" totalsRowDxfId="102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8C9BBE-2C4A-4FAB-B71B-6F8437478C7D}" name="Tabela68" displayName="Tabela68" ref="M13:R20" totalsRowShown="0" headerRowDxfId="101">
  <autoFilter ref="M13:R20" xr:uid="{F78C9BBE-2C4A-4FAB-B71B-6F8437478C7D}"/>
  <tableColumns count="6">
    <tableColumn id="1" xr3:uid="{66A39457-4984-4F71-ABED-BC3D612FA3D3}" name="MÊS" dataDxfId="100">
      <calculatedColumnFormula>M3</calculatedColumnFormula>
    </tableColumn>
    <tableColumn id="2" xr3:uid="{63B47441-F0D1-4F2F-8274-F9D48C5609F2}" name="ANO" dataDxfId="99">
      <calculatedColumnFormula>N3</calculatedColumnFormula>
    </tableColumn>
    <tableColumn id="3" xr3:uid="{BC9CF91A-FF03-4A05-8506-069DEAFC1F7B}" name="META MENSAL" dataDxfId="98">
      <calculatedColumnFormula>O3</calculatedColumnFormula>
    </tableColumn>
    <tableColumn id="4" xr3:uid="{A729F591-C979-49C0-B880-C86A472079B0}" name="DIA DA SEMANA" dataDxfId="97"/>
    <tableColumn id="5" xr3:uid="{7BACC290-6404-4D61-90B7-E44CFB81A660}" name="VALOR DO DIA DA SEMANA" dataDxfId="96">
      <calculatedColumnFormula>(O3*Q3)/Tabela68[[#This Row],[QUANTIDADE]]</calculatedColumnFormula>
    </tableColumn>
    <tableColumn id="6" xr3:uid="{C5DB084D-1604-43EA-8E27-2F190813A174}" name="QUANTIDADE" dataDxfId="95">
      <calculatedColumnFormula>R3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4A21B0-3556-4E08-BDBF-C5E882EA8EA0}" name="Tabela69" displayName="Tabela69" ref="W2:AB10" totalsRowCount="1" headerRowDxfId="94">
  <autoFilter ref="W2:AB9" xr:uid="{8F4A21B0-3556-4E08-BDBF-C5E882EA8EA0}"/>
  <tableColumns count="6">
    <tableColumn id="1" xr3:uid="{1A1ED27B-4F61-4E0C-BEB2-18A43A9CF10B}" name="MÊS" totalsRowLabel="Total" dataDxfId="93" totalsRowDxfId="92">
      <calculatedColumnFormula>Tabela6[[#This Row],[MÊS]]</calculatedColumnFormula>
    </tableColumn>
    <tableColumn id="2" xr3:uid="{158E1EE5-9D57-4C4E-A10B-0EA27A55EE19}" name="ANO" dataDxfId="91" totalsRowDxfId="90">
      <calculatedColumnFormula>Tabela6[[#This Row],[ANO]]</calculatedColumnFormula>
    </tableColumn>
    <tableColumn id="3" xr3:uid="{3B32A839-CA0A-4DE1-8CE8-904879F004AF}" name="META MENSAL" dataDxfId="89" totalsRowDxfId="88">
      <calculatedColumnFormula>$K$7</calculatedColumnFormula>
    </tableColumn>
    <tableColumn id="4" xr3:uid="{DE06D5CA-D252-481F-8810-4998CC0AD6DA}" name="DIA DA SEMANA" dataDxfId="87" totalsRowDxfId="86"/>
    <tableColumn id="5" xr3:uid="{ED33051C-3767-4E7F-B9EC-D098E930A882}" name="PERCENTUAL DE REPRESENTATIVIDADE" totalsRowFunction="sum" dataDxfId="85" totalsRowDxfId="84"/>
    <tableColumn id="6" xr3:uid="{8624F00E-1F70-4792-A231-B8715BDC9888}" name="QUANTIDADE" totalsRowFunction="sum" dataDxfId="83" totalsRowDxfId="82">
      <calculatedColumnFormula>Tabela6[[#This Row],[QUANTIDADE]]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76675F-6C59-4F1F-A89B-F1B3755A8CE3}" name="Tabela6810" displayName="Tabela6810" ref="W13:AB20" totalsRowShown="0" headerRowDxfId="81">
  <autoFilter ref="W13:AB20" xr:uid="{D976675F-6C59-4F1F-A89B-F1B3755A8CE3}"/>
  <tableColumns count="6">
    <tableColumn id="1" xr3:uid="{0565AB3B-FED4-41A8-A436-2E58E073073B}" name="MÊS" dataDxfId="80">
      <calculatedColumnFormula>W3</calculatedColumnFormula>
    </tableColumn>
    <tableColumn id="2" xr3:uid="{C3FCAFB5-B979-4C9E-8A4B-3814A8A0E39D}" name="ANO" dataDxfId="79">
      <calculatedColumnFormula>X3</calculatedColumnFormula>
    </tableColumn>
    <tableColumn id="3" xr3:uid="{CAF55F7A-28F4-48C3-A971-BFF910651B41}" name="META MENSAL" dataDxfId="78">
      <calculatedColumnFormula>Y3</calculatedColumnFormula>
    </tableColumn>
    <tableColumn id="4" xr3:uid="{B12ED85D-8ACA-4C37-B9C7-58C513A2174D}" name="DIA DA SEMANA" dataDxfId="77"/>
    <tableColumn id="5" xr3:uid="{14030F25-D5EB-4DB0-BBC1-F2091DE47CF6}" name="VALOR DO DIA DA SEMANA" dataDxfId="76">
      <calculatedColumnFormula>(Y3*AA3)/Tabela6810[[#This Row],[QUANTIDADE]]</calculatedColumnFormula>
    </tableColumn>
    <tableColumn id="6" xr3:uid="{72479836-9521-412F-80E5-23D4A270D3CA}" name="QUANTIDADE" dataDxfId="75">
      <calculatedColumnFormula>AB3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FAFA01-2819-4046-845A-CB255A54CE1B}" name="Tabela6911" displayName="Tabela6911" ref="AG2:AL10" totalsRowCount="1" headerRowDxfId="74">
  <autoFilter ref="AG2:AL9" xr:uid="{D3FAFA01-2819-4046-845A-CB255A54CE1B}"/>
  <tableColumns count="6">
    <tableColumn id="1" xr3:uid="{CBFEEED9-342B-4CF5-A263-6EC0AB2ADDC7}" name="MÊS" totalsRowLabel="Total" dataDxfId="73" totalsRowDxfId="72">
      <calculatedColumnFormula>Tabela69[[#This Row],[MÊS]]</calculatedColumnFormula>
    </tableColumn>
    <tableColumn id="2" xr3:uid="{A2DDD482-30EA-41BF-B63E-A1274E3E5360}" name="ANO" dataDxfId="71" totalsRowDxfId="70">
      <calculatedColumnFormula>Tabela6[[#This Row],[ANO]]</calculatedColumnFormula>
    </tableColumn>
    <tableColumn id="3" xr3:uid="{DA0970CB-857C-47AC-B81C-80C6F60CB6D4}" name="META MENSAL" dataDxfId="69" totalsRowDxfId="68">
      <calculatedColumnFormula>$K$13</calculatedColumnFormula>
    </tableColumn>
    <tableColumn id="4" xr3:uid="{2301F852-BEF8-4577-8299-E07A6458280D}" name="DIA DA SEMANA" dataDxfId="67" totalsRowDxfId="66"/>
    <tableColumn id="5" xr3:uid="{7E6839E9-9BED-412B-96B0-C01BC41B91C9}" name="PERCENTUAL DE REPRESENTATIVIDADE" totalsRowFunction="sum" dataDxfId="65" totalsRowDxfId="64"/>
    <tableColumn id="6" xr3:uid="{2D25A8E6-AC12-4C19-93D8-619EFFB55F3E}" name="QUANTIDADE" totalsRowFunction="sum" dataDxfId="63" totalsRowDxfId="62">
      <calculatedColumnFormula>Tabela69[[#This Row],[QUANTIDADE]]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C9C07C-CF0D-41E7-9BD8-9ADB4CAF90B5}" name="Tabela681012" displayName="Tabela681012" ref="AG13:AL20" totalsRowShown="0" headerRowDxfId="61">
  <autoFilter ref="AG13:AL20" xr:uid="{55C9C07C-CF0D-41E7-9BD8-9ADB4CAF90B5}"/>
  <tableColumns count="6">
    <tableColumn id="1" xr3:uid="{F9993341-48C9-4AB0-90AE-C8C472EF4F1B}" name="MÊS" dataDxfId="60">
      <calculatedColumnFormula>AG3</calculatedColumnFormula>
    </tableColumn>
    <tableColumn id="2" xr3:uid="{8E72D5D5-86FA-46A9-BA62-9BA5B5D65E57}" name="ANO" dataDxfId="59">
      <calculatedColumnFormula>AH3</calculatedColumnFormula>
    </tableColumn>
    <tableColumn id="3" xr3:uid="{14F8E2AC-F772-4997-91EE-7E90C36D0DFC}" name="META MENSAL" dataDxfId="58">
      <calculatedColumnFormula>AI3</calculatedColumnFormula>
    </tableColumn>
    <tableColumn id="4" xr3:uid="{F545D542-A4E6-491E-BE83-5BCD110C00E4}" name="DIA DA SEMANA" dataDxfId="57"/>
    <tableColumn id="5" xr3:uid="{C5318451-E322-4E68-BD7F-456B5F31826A}" name="VALOR DO DIA DA SEMANA" dataDxfId="56">
      <calculatedColumnFormula>(AI3*AK3)/Tabela681012[[#This Row],[QUANTIDADE]]</calculatedColumnFormula>
    </tableColumn>
    <tableColumn id="6" xr3:uid="{FD10B648-4E13-400C-AC68-E05EFADDE6F2}" name="QUANTIDADE" dataDxfId="55">
      <calculatedColumnFormula>AL3</calculatedColumnFormula>
    </tableColumn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CF3584-1C32-4AD1-8496-410604A3A076}" name="Tabela691113" displayName="Tabela691113" ref="AQ2:AV10" totalsRowCount="1" headerRowDxfId="54">
  <autoFilter ref="AQ2:AV9" xr:uid="{F2CF3584-1C32-4AD1-8496-410604A3A076}"/>
  <tableColumns count="6">
    <tableColumn id="1" xr3:uid="{131BE99E-6AA6-49B8-9721-599520EF34CA}" name="MÊS" totalsRowLabel="Total" dataDxfId="53" totalsRowDxfId="52">
      <calculatedColumnFormula>Tabela6911[[#This Row],[MÊS]]</calculatedColumnFormula>
    </tableColumn>
    <tableColumn id="2" xr3:uid="{3A457118-25E7-4A9B-A0AF-EBAB0F5ADEA8}" name="ANO" dataDxfId="51" totalsRowDxfId="50">
      <calculatedColumnFormula>Tabela6911[[#This Row],[ANO]]</calculatedColumnFormula>
    </tableColumn>
    <tableColumn id="3" xr3:uid="{50268208-D9E3-4103-87CE-E96B172DF503}" name="META MENSAL" dataDxfId="49" totalsRowDxfId="48">
      <calculatedColumnFormula>$K$19</calculatedColumnFormula>
    </tableColumn>
    <tableColumn id="4" xr3:uid="{DE201FBB-8C1B-494A-B433-9CAD549B8621}" name="DIA DA SEMANA" dataDxfId="47" totalsRowDxfId="46"/>
    <tableColumn id="5" xr3:uid="{D754BBBE-37FD-4708-8BC8-F62A0BE879EF}" name="PERCENTUAL DE REPRESENTATIVIDADE" totalsRowFunction="sum" dataDxfId="45" totalsRowDxfId="44"/>
    <tableColumn id="6" xr3:uid="{A90D7DD4-C41F-4EEF-87C0-5D785362B722}" name="QUANTIDADE" totalsRowFunction="sum" dataDxfId="43" totalsRowDxfId="42">
      <calculatedColumnFormula>Tabela6911[[#This Row],[QUANTIDADE]]</calculatedColumnFormula>
    </tableColumn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973E7D-AAC7-4907-B297-E084FD7F815C}" name="Tabela68101214" displayName="Tabela68101214" ref="AQ13:AV20" totalsRowShown="0" headerRowDxfId="41">
  <autoFilter ref="AQ13:AV20" xr:uid="{9E973E7D-AAC7-4907-B297-E084FD7F815C}"/>
  <tableColumns count="6">
    <tableColumn id="1" xr3:uid="{8A9B7CAE-1650-4311-AE5B-28724760F431}" name="MÊS" dataDxfId="40">
      <calculatedColumnFormula>AQ3</calculatedColumnFormula>
    </tableColumn>
    <tableColumn id="2" xr3:uid="{E77E22F0-DC80-46A2-B380-F87264A5793F}" name="ANO" dataDxfId="39">
      <calculatedColumnFormula>AR3</calculatedColumnFormula>
    </tableColumn>
    <tableColumn id="3" xr3:uid="{4927390A-F896-4665-AB42-E149535072B9}" name="META MENSAL" dataDxfId="38">
      <calculatedColumnFormula>AS3</calculatedColumnFormula>
    </tableColumn>
    <tableColumn id="4" xr3:uid="{E290E0AC-E2F9-43C4-A382-F19DF1B0C410}" name="DIA DA SEMANA" dataDxfId="37"/>
    <tableColumn id="5" xr3:uid="{8C1C96AB-CCD9-477C-8D04-E0D3574D1588}" name="VALOR DO DIA DA SEMANA" dataDxfId="36">
      <calculatedColumnFormula>(AS3*AU3)/Tabela68101214[[#This Row],[QUANTIDADE]]</calculatedColumnFormula>
    </tableColumn>
    <tableColumn id="6" xr3:uid="{518D1DBE-E025-4973-B9CF-936428EDD07C}" name="QUANTIDADE" dataDxfId="35">
      <calculatedColumnFormula>AV3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BDC6-822F-44C5-951F-36ADFDF031F6}">
  <dimension ref="C2:V28"/>
  <sheetViews>
    <sheetView showGridLines="0" zoomScale="110" zoomScaleNormal="110" workbookViewId="0">
      <selection activeCell="G8" sqref="G8"/>
    </sheetView>
  </sheetViews>
  <sheetFormatPr defaultColWidth="8.85546875" defaultRowHeight="15" x14ac:dyDescent="0.25"/>
  <cols>
    <col min="3" max="3" width="37.7109375" style="1" bestFit="1" customWidth="1"/>
    <col min="4" max="8" width="12.85546875" bestFit="1" customWidth="1"/>
    <col min="9" max="10" width="14" bestFit="1" customWidth="1"/>
    <col min="11" max="11" width="14.42578125" bestFit="1" customWidth="1"/>
    <col min="12" max="12" width="15.7109375" bestFit="1" customWidth="1"/>
    <col min="13" max="14" width="14.28515625" bestFit="1" customWidth="1"/>
    <col min="15" max="15" width="14.42578125" bestFit="1" customWidth="1"/>
    <col min="16" max="16" width="15.85546875" bestFit="1" customWidth="1"/>
    <col min="17" max="18" width="14" bestFit="1" customWidth="1"/>
    <col min="19" max="19" width="12.85546875" bestFit="1" customWidth="1"/>
    <col min="20" max="20" width="20" bestFit="1" customWidth="1"/>
    <col min="21" max="21" width="11.42578125" bestFit="1" customWidth="1"/>
    <col min="22" max="22" width="20.7109375" bestFit="1" customWidth="1"/>
  </cols>
  <sheetData>
    <row r="2" spans="3:22" ht="26.25" x14ac:dyDescent="0.4">
      <c r="C2" s="154" t="s">
        <v>91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 t="s">
        <v>121</v>
      </c>
      <c r="R2" s="154"/>
      <c r="S2" s="154"/>
      <c r="T2" s="154"/>
      <c r="U2" s="154"/>
      <c r="V2" s="154"/>
    </row>
    <row r="3" spans="3:22" x14ac:dyDescent="0.25">
      <c r="C3" s="121"/>
      <c r="D3" s="122" t="s">
        <v>92</v>
      </c>
      <c r="E3" s="122" t="s">
        <v>93</v>
      </c>
      <c r="F3" s="122" t="s">
        <v>94</v>
      </c>
      <c r="G3" s="122" t="s">
        <v>95</v>
      </c>
      <c r="H3" s="122" t="s">
        <v>96</v>
      </c>
      <c r="I3" s="122" t="s">
        <v>97</v>
      </c>
      <c r="J3" s="122" t="s">
        <v>98</v>
      </c>
      <c r="K3" s="122" t="s">
        <v>99</v>
      </c>
      <c r="L3" s="122" t="s">
        <v>100</v>
      </c>
      <c r="M3" s="122" t="s">
        <v>101</v>
      </c>
      <c r="N3" s="122" t="s">
        <v>102</v>
      </c>
      <c r="O3" s="122" t="s">
        <v>103</v>
      </c>
      <c r="P3" s="122" t="s">
        <v>18</v>
      </c>
      <c r="Q3" s="122" t="s">
        <v>115</v>
      </c>
      <c r="R3" s="122" t="s">
        <v>116</v>
      </c>
      <c r="S3" s="122" t="s">
        <v>117</v>
      </c>
      <c r="T3" s="122" t="s">
        <v>118</v>
      </c>
      <c r="U3" s="122" t="s">
        <v>119</v>
      </c>
      <c r="V3" s="122" t="s">
        <v>120</v>
      </c>
    </row>
    <row r="4" spans="3:22" x14ac:dyDescent="0.25">
      <c r="C4" s="109">
        <v>2023</v>
      </c>
      <c r="D4" s="118">
        <v>19874</v>
      </c>
      <c r="E4" s="118">
        <v>14184.94</v>
      </c>
      <c r="F4" s="118">
        <v>31306.95</v>
      </c>
      <c r="G4" s="118">
        <v>24315</v>
      </c>
      <c r="H4" s="118">
        <v>61782.5</v>
      </c>
      <c r="I4" s="118">
        <v>42011</v>
      </c>
      <c r="J4" s="118">
        <v>33355</v>
      </c>
      <c r="K4" s="118">
        <v>41895</v>
      </c>
      <c r="L4" s="118">
        <v>33729.1</v>
      </c>
      <c r="M4" s="118">
        <v>32190</v>
      </c>
      <c r="N4" s="118">
        <v>66009</v>
      </c>
      <c r="O4" s="118">
        <v>93436</v>
      </c>
      <c r="P4" s="29">
        <f>SUM(D4:O4)</f>
        <v>494088.49</v>
      </c>
      <c r="Q4" s="138">
        <v>2023</v>
      </c>
      <c r="R4" s="29">
        <f>MAX(D4:O4)</f>
        <v>93436</v>
      </c>
      <c r="S4" s="29">
        <f>MIN(D4:O4)</f>
        <v>14184.94</v>
      </c>
      <c r="T4" s="29">
        <f>AVERAGE(D4:O4)</f>
        <v>41174.040833333333</v>
      </c>
      <c r="U4" s="139"/>
      <c r="V4" s="139"/>
    </row>
    <row r="5" spans="3:22" x14ac:dyDescent="0.25">
      <c r="C5" s="109">
        <v>2024</v>
      </c>
      <c r="D5" s="118">
        <v>18528</v>
      </c>
      <c r="E5" s="118">
        <v>25658.7</v>
      </c>
      <c r="F5" s="118">
        <v>48575.6</v>
      </c>
      <c r="G5" s="118">
        <v>66407.899999999994</v>
      </c>
      <c r="H5" s="118">
        <v>68016.899999999994</v>
      </c>
      <c r="I5" s="118">
        <v>53766.9</v>
      </c>
      <c r="J5" s="118">
        <v>76693</v>
      </c>
      <c r="K5" s="118">
        <v>55215.5</v>
      </c>
      <c r="L5" s="118">
        <f>104015.6-60621</f>
        <v>43394.600000000006</v>
      </c>
      <c r="M5" s="118">
        <v>30796</v>
      </c>
      <c r="N5" s="118">
        <v>69122.2</v>
      </c>
      <c r="O5" s="118">
        <v>108361.60000000001</v>
      </c>
      <c r="P5" s="29">
        <f>SUM(D5:O5)</f>
        <v>664536.89999999991</v>
      </c>
      <c r="Q5" s="138">
        <v>2024</v>
      </c>
      <c r="R5" s="29">
        <f>MAX(D5:O5)</f>
        <v>108361.60000000001</v>
      </c>
      <c r="S5" s="29">
        <f>MIN(D5:O5)</f>
        <v>18528</v>
      </c>
      <c r="T5" s="29">
        <f>AVERAGE(D5:O5)</f>
        <v>55378.07499999999</v>
      </c>
      <c r="U5" s="139"/>
      <c r="V5" s="139"/>
    </row>
    <row r="6" spans="3:22" x14ac:dyDescent="0.25">
      <c r="C6" s="109" t="s">
        <v>104</v>
      </c>
      <c r="D6" s="119">
        <f>D5/D4-1</f>
        <v>-6.772667807185262E-2</v>
      </c>
      <c r="E6" s="119">
        <f t="shared" ref="E6:P6" si="0">E5/E4-1</f>
        <v>0.80886912457860238</v>
      </c>
      <c r="F6" s="119">
        <f t="shared" si="0"/>
        <v>0.55159157950550908</v>
      </c>
      <c r="G6" s="119">
        <f t="shared" si="0"/>
        <v>1.7311494961957639</v>
      </c>
      <c r="H6" s="119">
        <f t="shared" si="0"/>
        <v>0.10090883340751811</v>
      </c>
      <c r="I6" s="119">
        <f t="shared" si="0"/>
        <v>0.27982909238056708</v>
      </c>
      <c r="J6" s="119">
        <f t="shared" si="0"/>
        <v>1.299295457952331</v>
      </c>
      <c r="K6" s="119">
        <f t="shared" si="0"/>
        <v>0.31794963599474868</v>
      </c>
      <c r="L6" s="119">
        <f t="shared" si="0"/>
        <v>0.28656264175444957</v>
      </c>
      <c r="M6" s="119">
        <f t="shared" si="0"/>
        <v>-4.330537433985715E-2</v>
      </c>
      <c r="N6" s="119">
        <f t="shared" si="0"/>
        <v>4.7163265615294936E-2</v>
      </c>
      <c r="O6" s="119">
        <f t="shared" si="0"/>
        <v>0.15974142728712715</v>
      </c>
      <c r="P6" s="119">
        <f t="shared" si="0"/>
        <v>0.34497547190382827</v>
      </c>
      <c r="Q6" s="138">
        <v>2025</v>
      </c>
      <c r="R6" s="29">
        <f>MAX(D9:O9)</f>
        <v>215342.03</v>
      </c>
      <c r="S6" s="29">
        <f>MIN(D9:O9)</f>
        <v>19820</v>
      </c>
      <c r="T6" s="29">
        <f>AVERAGE(D9:K9)</f>
        <v>64475.349999999991</v>
      </c>
      <c r="U6" s="118">
        <v>288.94</v>
      </c>
      <c r="V6" s="140">
        <v>1.9910000000000001</v>
      </c>
    </row>
    <row r="7" spans="3:22" x14ac:dyDescent="0.25">
      <c r="C7" s="109" t="s">
        <v>105</v>
      </c>
      <c r="D7" s="123">
        <v>0.2</v>
      </c>
      <c r="E7" s="123">
        <v>0.2</v>
      </c>
      <c r="F7" s="123">
        <v>0.2</v>
      </c>
      <c r="G7" s="123">
        <v>0.2</v>
      </c>
      <c r="H7" s="123">
        <v>0.2</v>
      </c>
      <c r="I7" s="123">
        <v>0.2</v>
      </c>
      <c r="J7" s="123">
        <v>0.2</v>
      </c>
      <c r="K7" s="123">
        <v>0.2</v>
      </c>
      <c r="L7" s="123">
        <v>0.2</v>
      </c>
      <c r="M7" s="123">
        <v>0.2</v>
      </c>
      <c r="N7" s="123">
        <v>0.2</v>
      </c>
      <c r="O7" s="123">
        <v>0.2</v>
      </c>
      <c r="P7" s="123">
        <v>0.2</v>
      </c>
    </row>
    <row r="8" spans="3:22" x14ac:dyDescent="0.25">
      <c r="C8" s="109" t="s">
        <v>106</v>
      </c>
      <c r="D8" s="29">
        <f>D5*(100%+D7)</f>
        <v>22233.599999999999</v>
      </c>
      <c r="E8" s="29">
        <f t="shared" ref="E8:P8" si="1">E5*(100%+E7)</f>
        <v>30790.44</v>
      </c>
      <c r="F8" s="29">
        <f t="shared" si="1"/>
        <v>58290.719999999994</v>
      </c>
      <c r="G8" s="29">
        <f t="shared" si="1"/>
        <v>79689.48</v>
      </c>
      <c r="H8" s="29">
        <f t="shared" si="1"/>
        <v>81620.279999999984</v>
      </c>
      <c r="I8" s="29">
        <f t="shared" si="1"/>
        <v>64520.28</v>
      </c>
      <c r="J8" s="29">
        <f t="shared" si="1"/>
        <v>92031.599999999991</v>
      </c>
      <c r="K8" s="29">
        <f t="shared" si="1"/>
        <v>66258.599999999991</v>
      </c>
      <c r="L8" s="29">
        <f t="shared" si="1"/>
        <v>52073.520000000004</v>
      </c>
      <c r="M8" s="29">
        <f t="shared" si="1"/>
        <v>36955.199999999997</v>
      </c>
      <c r="N8" s="29">
        <f t="shared" si="1"/>
        <v>82946.64</v>
      </c>
      <c r="O8" s="29">
        <f t="shared" si="1"/>
        <v>130033.92</v>
      </c>
      <c r="P8" s="29">
        <f t="shared" si="1"/>
        <v>797444.27999999991</v>
      </c>
    </row>
    <row r="9" spans="3:22" x14ac:dyDescent="0.25">
      <c r="C9" s="109" t="s">
        <v>107</v>
      </c>
      <c r="D9" s="118">
        <v>19820</v>
      </c>
      <c r="E9" s="118">
        <v>35317</v>
      </c>
      <c r="F9" s="118">
        <v>38451.9</v>
      </c>
      <c r="G9" s="118">
        <v>82472.899999999994</v>
      </c>
      <c r="H9" s="118">
        <v>99000</v>
      </c>
      <c r="I9" s="118">
        <v>62464</v>
      </c>
      <c r="J9" s="118">
        <v>101707.4</v>
      </c>
      <c r="K9" s="142">
        <v>76569.600000000006</v>
      </c>
      <c r="L9" s="142">
        <v>37405.699999999997</v>
      </c>
      <c r="M9" s="142">
        <v>77294</v>
      </c>
      <c r="N9" s="142">
        <v>109996.8</v>
      </c>
      <c r="O9" s="118">
        <v>215342.03</v>
      </c>
      <c r="P9" s="29">
        <f>SUM(D9:O9)+Q10</f>
        <v>1222683.33</v>
      </c>
      <c r="Q9" s="151">
        <f>P9/P5-1</f>
        <v>0.8399028406097544</v>
      </c>
      <c r="R9" s="44"/>
    </row>
    <row r="10" spans="3:22" x14ac:dyDescent="0.25">
      <c r="C10" s="109" t="s">
        <v>108</v>
      </c>
      <c r="D10" s="119">
        <f>D9/D8-1</f>
        <v>-0.10855641911341385</v>
      </c>
      <c r="E10" s="119">
        <f t="shared" ref="E10:P10" si="2">E9/E8-1</f>
        <v>0.1470118647216474</v>
      </c>
      <c r="F10" s="119">
        <f t="shared" si="2"/>
        <v>-0.34034268233434062</v>
      </c>
      <c r="G10" s="119">
        <f t="shared" si="2"/>
        <v>3.4928324290734558E-2</v>
      </c>
      <c r="H10" s="119">
        <f t="shared" si="2"/>
        <v>0.21293384438279328</v>
      </c>
      <c r="I10" s="119">
        <f t="shared" si="2"/>
        <v>-3.1870289465575796E-2</v>
      </c>
      <c r="J10" s="119">
        <f t="shared" si="2"/>
        <v>0.10513562732800485</v>
      </c>
      <c r="K10" s="119">
        <f t="shared" si="2"/>
        <v>0.15561753493131492</v>
      </c>
      <c r="L10" s="119">
        <f t="shared" si="2"/>
        <v>-0.28167521611752011</v>
      </c>
      <c r="M10" s="119">
        <f t="shared" si="2"/>
        <v>1.0915595098930599</v>
      </c>
      <c r="N10" s="119">
        <f t="shared" si="2"/>
        <v>0.32611519887966534</v>
      </c>
      <c r="O10" s="119">
        <f t="shared" si="2"/>
        <v>0.65604505347527775</v>
      </c>
      <c r="P10" s="119">
        <f t="shared" si="2"/>
        <v>0.53325236717479529</v>
      </c>
      <c r="Q10" s="48">
        <v>266842</v>
      </c>
    </row>
    <row r="11" spans="3:22" x14ac:dyDescent="0.25">
      <c r="C11" s="54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3:22" x14ac:dyDescent="0.25">
      <c r="C12" s="54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R12">
        <v>2024</v>
      </c>
      <c r="S12" t="s">
        <v>123</v>
      </c>
      <c r="T12" s="44">
        <f>SUM(D5:K5)</f>
        <v>412862.5</v>
      </c>
    </row>
    <row r="13" spans="3:22" x14ac:dyDescent="0.25">
      <c r="D13" s="122" t="s">
        <v>92</v>
      </c>
      <c r="E13" s="122" t="s">
        <v>93</v>
      </c>
      <c r="F13" s="122" t="s">
        <v>94</v>
      </c>
      <c r="G13" s="122" t="s">
        <v>95</v>
      </c>
      <c r="H13" s="122" t="s">
        <v>96</v>
      </c>
      <c r="I13" s="122" t="s">
        <v>97</v>
      </c>
      <c r="J13" s="122" t="s">
        <v>98</v>
      </c>
      <c r="K13" s="122" t="s">
        <v>99</v>
      </c>
      <c r="L13" s="122" t="s">
        <v>100</v>
      </c>
      <c r="M13" s="122" t="s">
        <v>101</v>
      </c>
      <c r="N13" s="122" t="s">
        <v>102</v>
      </c>
      <c r="O13" s="122" t="s">
        <v>103</v>
      </c>
      <c r="R13">
        <v>2025</v>
      </c>
      <c r="S13" t="s">
        <v>123</v>
      </c>
      <c r="T13" s="44">
        <f>P9</f>
        <v>1222683.33</v>
      </c>
      <c r="U13" s="141">
        <f>T13/T12</f>
        <v>2.9614782887765299</v>
      </c>
    </row>
    <row r="14" spans="3:22" x14ac:dyDescent="0.25">
      <c r="C14" s="122" t="s">
        <v>7</v>
      </c>
      <c r="D14" s="47">
        <v>15000</v>
      </c>
      <c r="E14" s="47">
        <v>25000</v>
      </c>
      <c r="F14" s="47">
        <v>45000</v>
      </c>
      <c r="G14" s="47">
        <v>30000</v>
      </c>
      <c r="H14" s="47">
        <v>40000</v>
      </c>
      <c r="I14" s="47">
        <v>40000</v>
      </c>
      <c r="J14" s="47">
        <v>40000</v>
      </c>
      <c r="K14" s="47">
        <v>30000</v>
      </c>
      <c r="L14" s="47">
        <v>30000</v>
      </c>
      <c r="M14" s="47">
        <v>30000</v>
      </c>
      <c r="N14" s="47">
        <v>30000</v>
      </c>
      <c r="O14" s="47">
        <v>50000</v>
      </c>
      <c r="P14" s="82"/>
    </row>
    <row r="15" spans="3:22" x14ac:dyDescent="0.25">
      <c r="C15" s="122" t="s">
        <v>2</v>
      </c>
      <c r="D15" s="47">
        <v>20000</v>
      </c>
      <c r="E15" s="47">
        <v>35000</v>
      </c>
      <c r="F15" s="47">
        <v>55000</v>
      </c>
      <c r="G15" s="47">
        <v>40000</v>
      </c>
      <c r="H15" s="47">
        <v>50000</v>
      </c>
      <c r="I15" s="47">
        <v>60000</v>
      </c>
      <c r="J15" s="47">
        <v>50000</v>
      </c>
      <c r="K15" s="47">
        <v>40000</v>
      </c>
      <c r="L15" s="47">
        <v>40000</v>
      </c>
      <c r="M15" s="47">
        <v>40000</v>
      </c>
      <c r="N15" s="47">
        <v>50000</v>
      </c>
      <c r="O15" s="47">
        <v>80000</v>
      </c>
      <c r="P15" s="82"/>
      <c r="R15">
        <v>2025</v>
      </c>
      <c r="S15" t="s">
        <v>123</v>
      </c>
      <c r="T15" s="44">
        <f>SUM(D8:K8)</f>
        <v>495434.99999999988</v>
      </c>
      <c r="U15" s="141">
        <f>T13/T15</f>
        <v>2.4678985739804422</v>
      </c>
    </row>
    <row r="16" spans="3:22" x14ac:dyDescent="0.25">
      <c r="C16" s="122" t="s">
        <v>3</v>
      </c>
      <c r="D16" s="47">
        <v>25000</v>
      </c>
      <c r="E16" s="47">
        <v>45000</v>
      </c>
      <c r="F16" s="47">
        <v>65000</v>
      </c>
      <c r="G16" s="47">
        <v>50000</v>
      </c>
      <c r="H16" s="47">
        <v>60000</v>
      </c>
      <c r="I16" s="47">
        <v>80000</v>
      </c>
      <c r="J16" s="47">
        <v>60000</v>
      </c>
      <c r="K16" s="47">
        <v>50000</v>
      </c>
      <c r="L16" s="47">
        <v>50000</v>
      </c>
      <c r="M16" s="47">
        <v>50000</v>
      </c>
      <c r="N16" s="47">
        <v>70000</v>
      </c>
      <c r="O16" s="47">
        <v>130000</v>
      </c>
      <c r="P16" s="82"/>
      <c r="T16" s="44"/>
    </row>
    <row r="17" spans="3:20" x14ac:dyDescent="0.25">
      <c r="C17" s="122" t="s">
        <v>4</v>
      </c>
      <c r="D17" s="47">
        <v>30000</v>
      </c>
      <c r="E17" s="47">
        <v>50000</v>
      </c>
      <c r="F17" s="47">
        <v>80000</v>
      </c>
      <c r="G17" s="47">
        <v>60000</v>
      </c>
      <c r="H17" s="47">
        <v>80000</v>
      </c>
      <c r="I17" s="47">
        <v>100000</v>
      </c>
      <c r="J17" s="47">
        <v>80000</v>
      </c>
      <c r="K17" s="47">
        <v>60000</v>
      </c>
      <c r="L17" s="47">
        <v>60000</v>
      </c>
      <c r="M17" s="47">
        <v>70000</v>
      </c>
      <c r="N17" s="47">
        <v>90000</v>
      </c>
      <c r="O17" s="47">
        <v>180000</v>
      </c>
      <c r="P17" s="82"/>
      <c r="T17" s="44"/>
    </row>
    <row r="19" spans="3:20" x14ac:dyDescent="0.25">
      <c r="C19" s="122" t="s">
        <v>7</v>
      </c>
      <c r="D19" s="10" t="str">
        <f>IF($D$9&gt;D14,"BATEU","NÃO BATEU")</f>
        <v>BATEU</v>
      </c>
      <c r="E19" s="10" t="str">
        <f>IF($E$9&gt;E14,"BATEU","NÃO BATEU")</f>
        <v>BATEU</v>
      </c>
      <c r="F19" s="10" t="str">
        <f>IF($F$9&gt;F14,"BATEU","NÃO BATEU")</f>
        <v>NÃO BATEU</v>
      </c>
      <c r="G19" s="10" t="str">
        <f>IF($G$9&gt;G14,"BATEU","NÃO BATEU")</f>
        <v>BATEU</v>
      </c>
      <c r="H19" s="10" t="str">
        <f>IF($H$9&gt;H14,"BATEU","NÃO BATEU")</f>
        <v>BATEU</v>
      </c>
      <c r="I19" s="10" t="str">
        <f>IF($I$9&gt;I14,"BATEU","NÃO BATEU")</f>
        <v>BATEU</v>
      </c>
      <c r="J19" s="10" t="str">
        <f>IF($J$9&gt;J14,"BATEU","NÃO BATEU")</f>
        <v>BATEU</v>
      </c>
      <c r="K19" s="10" t="str">
        <f>IF($K$9&gt;K14,"BATEU","NÃO BATEU")</f>
        <v>BATEU</v>
      </c>
      <c r="L19" s="10" t="str">
        <f>IF($L$9&gt;L14,"BATEU","NÃO BATEU")</f>
        <v>BATEU</v>
      </c>
      <c r="M19" s="10" t="str">
        <f>IF($M$9&gt;M14,"BATEU","NÃO BATEU")</f>
        <v>BATEU</v>
      </c>
      <c r="N19" s="10" t="str">
        <f>IF($N$9&gt;N14,"BATEU","NÃO BATEU")</f>
        <v>BATEU</v>
      </c>
      <c r="O19" s="10" t="str">
        <f>IF($O$9&gt;O14,"BATEU","NÃO BATEU")</f>
        <v>BATEU</v>
      </c>
      <c r="P19" s="124"/>
    </row>
    <row r="20" spans="3:20" x14ac:dyDescent="0.25">
      <c r="C20" s="122" t="s">
        <v>2</v>
      </c>
      <c r="D20" s="10" t="str">
        <f>IF($D$9&gt;D15,"BATEU","NÃO BATEU")</f>
        <v>NÃO BATEU</v>
      </c>
      <c r="E20" s="10" t="str">
        <f t="shared" ref="E20:E22" si="3">IF($E$9&gt;E15,"BATEU","NÃO BATEU")</f>
        <v>BATEU</v>
      </c>
      <c r="F20" s="10" t="str">
        <f t="shared" ref="F20:F22" si="4">IF($F$9&gt;F15,"BATEU","NÃO BATEU")</f>
        <v>NÃO BATEU</v>
      </c>
      <c r="G20" s="10" t="str">
        <f t="shared" ref="G20:G22" si="5">IF($G$9&gt;G15,"BATEU","NÃO BATEU")</f>
        <v>BATEU</v>
      </c>
      <c r="H20" s="10" t="str">
        <f t="shared" ref="H20:H22" si="6">IF($H$9&gt;H15,"BATEU","NÃO BATEU")</f>
        <v>BATEU</v>
      </c>
      <c r="I20" s="10" t="str">
        <f t="shared" ref="I20:I22" si="7">IF($I$9&gt;I15,"BATEU","NÃO BATEU")</f>
        <v>BATEU</v>
      </c>
      <c r="J20" s="10" t="str">
        <f t="shared" ref="J20:J22" si="8">IF($J$9&gt;J15,"BATEU","NÃO BATEU")</f>
        <v>BATEU</v>
      </c>
      <c r="K20" s="10" t="str">
        <f t="shared" ref="K20:K22" si="9">IF($K$9&gt;K15,"BATEU","NÃO BATEU")</f>
        <v>BATEU</v>
      </c>
      <c r="L20" s="10" t="str">
        <f t="shared" ref="L20:L22" si="10">IF($L$9&gt;L15,"BATEU","NÃO BATEU")</f>
        <v>NÃO BATEU</v>
      </c>
      <c r="M20" s="10" t="str">
        <f t="shared" ref="M20:M22" si="11">IF($M$9&gt;M15,"BATEU","NÃO BATEU")</f>
        <v>BATEU</v>
      </c>
      <c r="N20" s="10" t="str">
        <f t="shared" ref="N20:N22" si="12">IF($N$9&gt;N15,"BATEU","NÃO BATEU")</f>
        <v>BATEU</v>
      </c>
      <c r="O20" s="10" t="str">
        <f t="shared" ref="O20:O22" si="13">IF($O$9&gt;O15,"BATEU","NÃO BATEU")</f>
        <v>BATEU</v>
      </c>
      <c r="P20" s="124"/>
    </row>
    <row r="21" spans="3:20" x14ac:dyDescent="0.25">
      <c r="C21" s="122" t="s">
        <v>3</v>
      </c>
      <c r="D21" s="10" t="str">
        <f t="shared" ref="D21:D22" si="14">IF($D$9&gt;D16,"BATEU","NÃO BATEU")</f>
        <v>NÃO BATEU</v>
      </c>
      <c r="E21" s="10" t="str">
        <f t="shared" si="3"/>
        <v>NÃO BATEU</v>
      </c>
      <c r="F21" s="10" t="str">
        <f t="shared" si="4"/>
        <v>NÃO BATEU</v>
      </c>
      <c r="G21" s="10" t="str">
        <f t="shared" si="5"/>
        <v>BATEU</v>
      </c>
      <c r="H21" s="10" t="str">
        <f t="shared" si="6"/>
        <v>BATEU</v>
      </c>
      <c r="I21" s="10" t="str">
        <f t="shared" si="7"/>
        <v>NÃO BATEU</v>
      </c>
      <c r="J21" s="10" t="str">
        <f t="shared" si="8"/>
        <v>BATEU</v>
      </c>
      <c r="K21" s="10" t="str">
        <f t="shared" si="9"/>
        <v>BATEU</v>
      </c>
      <c r="L21" s="10" t="str">
        <f t="shared" si="10"/>
        <v>NÃO BATEU</v>
      </c>
      <c r="M21" s="10" t="str">
        <f t="shared" si="11"/>
        <v>BATEU</v>
      </c>
      <c r="N21" s="10" t="str">
        <f t="shared" si="12"/>
        <v>BATEU</v>
      </c>
      <c r="O21" s="10" t="str">
        <f t="shared" si="13"/>
        <v>BATEU</v>
      </c>
      <c r="P21" s="124"/>
    </row>
    <row r="22" spans="3:20" x14ac:dyDescent="0.25">
      <c r="C22" s="122" t="s">
        <v>4</v>
      </c>
      <c r="D22" s="10" t="str">
        <f t="shared" si="14"/>
        <v>NÃO BATEU</v>
      </c>
      <c r="E22" s="10" t="str">
        <f t="shared" si="3"/>
        <v>NÃO BATEU</v>
      </c>
      <c r="F22" s="10" t="str">
        <f t="shared" si="4"/>
        <v>NÃO BATEU</v>
      </c>
      <c r="G22" s="10" t="str">
        <f t="shared" si="5"/>
        <v>BATEU</v>
      </c>
      <c r="H22" s="10" t="str">
        <f t="shared" si="6"/>
        <v>BATEU</v>
      </c>
      <c r="I22" s="10" t="str">
        <f t="shared" si="7"/>
        <v>NÃO BATEU</v>
      </c>
      <c r="J22" s="10" t="str">
        <f t="shared" si="8"/>
        <v>BATEU</v>
      </c>
      <c r="K22" s="10" t="str">
        <f t="shared" si="9"/>
        <v>BATEU</v>
      </c>
      <c r="L22" s="10" t="str">
        <f t="shared" si="10"/>
        <v>NÃO BATEU</v>
      </c>
      <c r="M22" s="10" t="str">
        <f t="shared" si="11"/>
        <v>BATEU</v>
      </c>
      <c r="N22" s="10" t="str">
        <f t="shared" si="12"/>
        <v>BATEU</v>
      </c>
      <c r="O22" s="10" t="str">
        <f t="shared" si="13"/>
        <v>BATEU</v>
      </c>
      <c r="P22" s="124"/>
    </row>
    <row r="24" spans="3:20" x14ac:dyDescent="0.25">
      <c r="D24" s="1"/>
      <c r="E24" s="1"/>
      <c r="N24" s="122" t="s">
        <v>102</v>
      </c>
      <c r="O24" s="122" t="s">
        <v>126</v>
      </c>
      <c r="P24" s="122" t="s">
        <v>127</v>
      </c>
    </row>
    <row r="25" spans="3:20" x14ac:dyDescent="0.25">
      <c r="N25" s="47">
        <f>N14/3</f>
        <v>10000</v>
      </c>
      <c r="O25" s="47">
        <v>16700</v>
      </c>
      <c r="P25" s="47">
        <v>50000</v>
      </c>
    </row>
    <row r="26" spans="3:20" x14ac:dyDescent="0.25">
      <c r="N26" s="47">
        <v>17000</v>
      </c>
      <c r="O26" s="47">
        <v>26700</v>
      </c>
      <c r="P26" s="47">
        <v>80000</v>
      </c>
    </row>
    <row r="27" spans="3:20" x14ac:dyDescent="0.25">
      <c r="N27" s="47">
        <v>23500</v>
      </c>
      <c r="O27" s="47">
        <v>43400</v>
      </c>
      <c r="P27" s="47">
        <v>130000</v>
      </c>
    </row>
    <row r="28" spans="3:20" x14ac:dyDescent="0.25">
      <c r="N28" s="47">
        <f t="shared" ref="N28" si="15">N17/3</f>
        <v>30000</v>
      </c>
      <c r="O28" s="47">
        <f t="shared" ref="O28" si="16">O17/3</f>
        <v>60000</v>
      </c>
      <c r="P28" s="47">
        <v>180000</v>
      </c>
    </row>
  </sheetData>
  <mergeCells count="2">
    <mergeCell ref="C2:P2"/>
    <mergeCell ref="Q2:V2"/>
  </mergeCells>
  <phoneticPr fontId="11" type="noConversion"/>
  <conditionalFormatting sqref="D6:P6">
    <cfRule type="cellIs" dxfId="34" priority="4" operator="greaterThan">
      <formula>0</formula>
    </cfRule>
    <cfRule type="cellIs" dxfId="33" priority="5" operator="lessThan">
      <formula>0</formula>
    </cfRule>
  </conditionalFormatting>
  <conditionalFormatting sqref="D10:P12">
    <cfRule type="cellIs" dxfId="32" priority="2" operator="greaterThan">
      <formula>0</formula>
    </cfRule>
    <cfRule type="cellIs" dxfId="31" priority="3" operator="lessThan">
      <formula>0</formula>
    </cfRule>
  </conditionalFormatting>
  <conditionalFormatting sqref="D19:P22">
    <cfRule type="containsText" dxfId="30" priority="1" operator="containsText" text="NÃO BATEU">
      <formula>NOT(ISERROR(SEARCH("NÃO BATEU",D19)))</formula>
    </cfRule>
  </conditionalFormatting>
  <pageMargins left="0.511811024" right="0.511811024" top="0.78740157499999996" bottom="0.78740157499999996" header="0.31496062000000002" footer="0.31496062000000002"/>
  <ignoredErrors>
    <ignoredError sqref="P5 T4:T5 S4:S5 R4:R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B1:I107"/>
  <sheetViews>
    <sheetView showGridLines="0" topLeftCell="A77" zoomScaleNormal="100" workbookViewId="0">
      <selection activeCell="F74" sqref="F74"/>
    </sheetView>
  </sheetViews>
  <sheetFormatPr defaultColWidth="8.7109375" defaultRowHeight="15" x14ac:dyDescent="0.25"/>
  <cols>
    <col min="1" max="1" width="3.42578125" customWidth="1"/>
    <col min="2" max="2" width="15.85546875" bestFit="1" customWidth="1"/>
    <col min="3" max="3" width="15.140625" bestFit="1" customWidth="1"/>
    <col min="4" max="4" width="13.85546875" bestFit="1" customWidth="1"/>
    <col min="5" max="5" width="15.85546875" bestFit="1" customWidth="1"/>
    <col min="6" max="6" width="13.85546875" bestFit="1" customWidth="1"/>
    <col min="8" max="8" width="17.42578125" bestFit="1" customWidth="1"/>
    <col min="9" max="9" width="13.85546875" bestFit="1" customWidth="1"/>
  </cols>
  <sheetData>
    <row r="1" spans="2:9" ht="15.75" thickBot="1" x14ac:dyDescent="0.3"/>
    <row r="2" spans="2:9" ht="15.75" thickBot="1" x14ac:dyDescent="0.3">
      <c r="B2" s="157" t="s">
        <v>0</v>
      </c>
      <c r="C2" s="158"/>
      <c r="D2" s="158"/>
      <c r="E2" s="158"/>
    </row>
    <row r="3" spans="2:9" x14ac:dyDescent="0.25">
      <c r="B3" s="85" t="s">
        <v>1</v>
      </c>
      <c r="C3" s="86" t="s">
        <v>2</v>
      </c>
      <c r="D3" s="87" t="s">
        <v>3</v>
      </c>
      <c r="E3" s="88" t="s">
        <v>4</v>
      </c>
    </row>
    <row r="4" spans="2:9" x14ac:dyDescent="0.25">
      <c r="B4" s="47">
        <f>VENDAS_VENDEDOR!J3</f>
        <v>13333.333333333334</v>
      </c>
      <c r="C4" s="47">
        <f>VENDAS_VENDEDOR!K3</f>
        <v>16666.666666666668</v>
      </c>
      <c r="D4" s="47">
        <f>VENDAS_VENDEDOR!L3</f>
        <v>20000</v>
      </c>
      <c r="E4" s="47">
        <f>VENDAS_VENDEDOR!M3</f>
        <v>26666.666666666668</v>
      </c>
    </row>
    <row r="5" spans="2:9" ht="15.75" thickBot="1" x14ac:dyDescent="0.3"/>
    <row r="6" spans="2:9" ht="15.75" thickBot="1" x14ac:dyDescent="0.3">
      <c r="B6" s="157" t="s">
        <v>5</v>
      </c>
      <c r="C6" s="158"/>
      <c r="D6" s="158"/>
      <c r="E6" s="158"/>
    </row>
    <row r="7" spans="2:9" x14ac:dyDescent="0.25">
      <c r="B7" s="85" t="s">
        <v>1</v>
      </c>
      <c r="C7" s="86" t="s">
        <v>2</v>
      </c>
      <c r="D7" s="87" t="s">
        <v>3</v>
      </c>
      <c r="E7" s="88" t="s">
        <v>4</v>
      </c>
    </row>
    <row r="8" spans="2:9" x14ac:dyDescent="0.25">
      <c r="B8" s="47">
        <f>VENDAS_VENDEDOR!O3</f>
        <v>0</v>
      </c>
      <c r="C8" s="47">
        <f>VENDAS_VENDEDOR!P3</f>
        <v>0</v>
      </c>
      <c r="D8" s="47">
        <f>VENDAS_VENDEDOR!Q3</f>
        <v>0</v>
      </c>
      <c r="E8" s="47">
        <f>VENDAS_VENDEDOR!R3</f>
        <v>0</v>
      </c>
    </row>
    <row r="10" spans="2:9" ht="21" x14ac:dyDescent="0.35">
      <c r="B10" s="156" t="s">
        <v>6</v>
      </c>
      <c r="C10" s="156"/>
      <c r="D10" s="156"/>
      <c r="E10" s="156"/>
      <c r="F10" s="156"/>
      <c r="G10" s="156"/>
      <c r="H10" s="156"/>
      <c r="I10" s="156"/>
    </row>
    <row r="11" spans="2:9" x14ac:dyDescent="0.25">
      <c r="B11" s="49" t="s">
        <v>7</v>
      </c>
      <c r="C11" s="50" t="str">
        <f>H32</f>
        <v>TOTAL</v>
      </c>
    </row>
    <row r="12" spans="2:9" x14ac:dyDescent="0.25">
      <c r="B12" s="155" t="s">
        <v>8</v>
      </c>
      <c r="C12" s="155"/>
      <c r="E12" s="155" t="s">
        <v>9</v>
      </c>
      <c r="F12" s="155"/>
      <c r="H12" s="155" t="s">
        <v>10</v>
      </c>
      <c r="I12" s="155"/>
    </row>
    <row r="13" spans="2:9" x14ac:dyDescent="0.25">
      <c r="B13" t="s">
        <v>11</v>
      </c>
      <c r="C13" s="59" t="str">
        <f>ITAPIPOCA!O36</f>
        <v/>
      </c>
      <c r="E13" t="s">
        <v>11</v>
      </c>
      <c r="F13" s="40" t="str">
        <f>ITAPIPOCA!R36</f>
        <v/>
      </c>
      <c r="H13" t="s">
        <v>11</v>
      </c>
      <c r="I13" s="40">
        <f>ITAPIPOCA!U36</f>
        <v>0</v>
      </c>
    </row>
    <row r="14" spans="2:9" x14ac:dyDescent="0.25">
      <c r="B14" t="s">
        <v>12</v>
      </c>
      <c r="C14" s="59" t="str">
        <f>ITAPIPOCA!O37</f>
        <v/>
      </c>
      <c r="E14" t="s">
        <v>12</v>
      </c>
      <c r="F14" s="40">
        <f>ITAPIPOCA!R37</f>
        <v>1463.3179488631538</v>
      </c>
      <c r="G14" s="44"/>
      <c r="H14" t="s">
        <v>12</v>
      </c>
      <c r="I14" s="40">
        <f>ITAPIPOCA!U37</f>
        <v>1463.3179488631538</v>
      </c>
    </row>
    <row r="15" spans="2:9" x14ac:dyDescent="0.25">
      <c r="B15" t="s">
        <v>13</v>
      </c>
      <c r="C15" s="59" t="str">
        <f>ITAPIPOCA!O38</f>
        <v/>
      </c>
      <c r="E15" t="s">
        <v>13</v>
      </c>
      <c r="F15" s="40">
        <f>ITAPIPOCA!R38</f>
        <v>1283.5178525922361</v>
      </c>
      <c r="G15" s="44"/>
      <c r="H15" t="s">
        <v>13</v>
      </c>
      <c r="I15" s="40">
        <f>ITAPIPOCA!U38</f>
        <v>1283.5178525922361</v>
      </c>
    </row>
    <row r="16" spans="2:9" x14ac:dyDescent="0.25">
      <c r="B16" t="s">
        <v>14</v>
      </c>
      <c r="C16" s="59">
        <f>ITAPIPOCA!O39</f>
        <v>816.83042160998957</v>
      </c>
      <c r="E16" t="s">
        <v>14</v>
      </c>
      <c r="F16" s="40">
        <f>ITAPIPOCA!R39</f>
        <v>816.83042160998957</v>
      </c>
      <c r="G16" s="44"/>
      <c r="H16" t="s">
        <v>14</v>
      </c>
      <c r="I16" s="40">
        <f>ITAPIPOCA!U39</f>
        <v>816.83042160998957</v>
      </c>
    </row>
    <row r="17" spans="2:9" x14ac:dyDescent="0.25">
      <c r="B17" t="s">
        <v>15</v>
      </c>
      <c r="C17" s="59">
        <f>ITAPIPOCA!O40</f>
        <v>1528.5556530849167</v>
      </c>
      <c r="E17" t="s">
        <v>15</v>
      </c>
      <c r="F17" s="40">
        <f>ITAPIPOCA!R40</f>
        <v>1528.5556530849167</v>
      </c>
      <c r="G17" s="44"/>
      <c r="H17" t="s">
        <v>15</v>
      </c>
      <c r="I17" s="40">
        <f>ITAPIPOCA!U40</f>
        <v>1528.5556530849167</v>
      </c>
    </row>
    <row r="18" spans="2:9" x14ac:dyDescent="0.25">
      <c r="B18" t="s">
        <v>16</v>
      </c>
      <c r="C18" s="59">
        <f>ITAPIPOCA!O41</f>
        <v>2893.2242262932868</v>
      </c>
      <c r="E18" t="s">
        <v>16</v>
      </c>
      <c r="F18" s="40">
        <f>ITAPIPOCA!R41</f>
        <v>2893.2242262932868</v>
      </c>
      <c r="G18" s="44"/>
      <c r="H18" t="s">
        <v>16</v>
      </c>
      <c r="I18" s="40">
        <f>ITAPIPOCA!U41</f>
        <v>2893.2242262932868</v>
      </c>
    </row>
    <row r="19" spans="2:9" x14ac:dyDescent="0.25">
      <c r="B19" s="51" t="s">
        <v>17</v>
      </c>
      <c r="C19" s="113">
        <f>ITAPIPOCA!O42</f>
        <v>1428.207378882691</v>
      </c>
      <c r="E19" s="51" t="s">
        <v>17</v>
      </c>
      <c r="F19" s="113">
        <f>ITAPIPOCA!R42</f>
        <v>1428.207378882691</v>
      </c>
      <c r="G19" s="44"/>
      <c r="H19" s="51" t="s">
        <v>17</v>
      </c>
      <c r="I19" s="113">
        <f>ITAPIPOCA!U42</f>
        <v>1428.207378882691</v>
      </c>
    </row>
    <row r="21" spans="2:9" x14ac:dyDescent="0.25">
      <c r="B21" s="25" t="s">
        <v>18</v>
      </c>
      <c r="C21" s="53">
        <f>SUM(C14:C19)</f>
        <v>6666.8176798708846</v>
      </c>
      <c r="E21" s="25" t="s">
        <v>18</v>
      </c>
      <c r="F21" s="53">
        <f>SUM(F14:F19)</f>
        <v>9413.6534813262733</v>
      </c>
      <c r="H21" s="25" t="s">
        <v>18</v>
      </c>
      <c r="I21" s="53">
        <f>SUM(I14:I19)</f>
        <v>9413.6534813262733</v>
      </c>
    </row>
    <row r="23" spans="2:9" x14ac:dyDescent="0.25">
      <c r="B23" s="155" t="s">
        <v>19</v>
      </c>
      <c r="C23" s="155"/>
      <c r="E23" s="155" t="s">
        <v>20</v>
      </c>
      <c r="F23" s="155"/>
      <c r="H23" s="155" t="s">
        <v>113</v>
      </c>
      <c r="I23" s="155"/>
    </row>
    <row r="24" spans="2:9" x14ac:dyDescent="0.25">
      <c r="B24" t="s">
        <v>11</v>
      </c>
      <c r="C24" s="44">
        <f>ITAPIPOCA!O47</f>
        <v>0</v>
      </c>
      <c r="E24" t="s">
        <v>11</v>
      </c>
      <c r="F24" s="44">
        <f>ITAPIPOCA!R47</f>
        <v>0</v>
      </c>
      <c r="H24" t="s">
        <v>11</v>
      </c>
      <c r="I24" s="40">
        <f>ITAPIPOCA!U47</f>
        <v>0</v>
      </c>
    </row>
    <row r="25" spans="2:9" x14ac:dyDescent="0.25">
      <c r="B25" t="s">
        <v>12</v>
      </c>
      <c r="C25" s="44">
        <f>ITAPIPOCA!O48</f>
        <v>1463.3179488631538</v>
      </c>
      <c r="E25" t="s">
        <v>12</v>
      </c>
      <c r="F25" s="44">
        <f>ITAPIPOCA!R48</f>
        <v>1463.3179488631538</v>
      </c>
      <c r="H25" t="s">
        <v>12</v>
      </c>
      <c r="I25" s="40" t="str">
        <f>ITAPIPOCA!U48</f>
        <v/>
      </c>
    </row>
    <row r="26" spans="2:9" x14ac:dyDescent="0.25">
      <c r="B26" t="s">
        <v>13</v>
      </c>
      <c r="C26" s="44">
        <f>ITAPIPOCA!O49</f>
        <v>1283.5178525922361</v>
      </c>
      <c r="E26" t="s">
        <v>13</v>
      </c>
      <c r="F26" s="44">
        <f>ITAPIPOCA!R49</f>
        <v>1283.5178525922361</v>
      </c>
      <c r="H26" t="s">
        <v>13</v>
      </c>
      <c r="I26" s="40" t="str">
        <f>ITAPIPOCA!U49</f>
        <v/>
      </c>
    </row>
    <row r="27" spans="2:9" x14ac:dyDescent="0.25">
      <c r="B27" t="s">
        <v>14</v>
      </c>
      <c r="C27" s="44">
        <f>ITAPIPOCA!O50</f>
        <v>816.83042160998957</v>
      </c>
      <c r="E27" t="s">
        <v>14</v>
      </c>
      <c r="F27" s="44">
        <f>ITAPIPOCA!R50</f>
        <v>816.83042160998957</v>
      </c>
      <c r="H27" t="s">
        <v>14</v>
      </c>
      <c r="I27" s="40" t="str">
        <f>ITAPIPOCA!U50</f>
        <v/>
      </c>
    </row>
    <row r="28" spans="2:9" x14ac:dyDescent="0.25">
      <c r="B28" t="s">
        <v>15</v>
      </c>
      <c r="C28" s="44">
        <f>ITAPIPOCA!O51</f>
        <v>1528.5556530849167</v>
      </c>
      <c r="E28" t="s">
        <v>15</v>
      </c>
      <c r="F28" s="44">
        <f>ITAPIPOCA!R51</f>
        <v>1528.5556530849167</v>
      </c>
      <c r="H28" t="s">
        <v>15</v>
      </c>
      <c r="I28" s="40" t="str">
        <f>ITAPIPOCA!U51</f>
        <v/>
      </c>
    </row>
    <row r="29" spans="2:9" x14ac:dyDescent="0.25">
      <c r="B29" t="s">
        <v>16</v>
      </c>
      <c r="C29" s="44">
        <f>ITAPIPOCA!O52</f>
        <v>2893.2242262932868</v>
      </c>
      <c r="E29" t="s">
        <v>16</v>
      </c>
      <c r="F29" s="44" t="str">
        <f>ITAPIPOCA!R52</f>
        <v/>
      </c>
      <c r="H29" t="s">
        <v>16</v>
      </c>
      <c r="I29" s="40" t="str">
        <f>ITAPIPOCA!U52</f>
        <v/>
      </c>
    </row>
    <row r="30" spans="2:9" x14ac:dyDescent="0.25">
      <c r="B30" s="51" t="s">
        <v>17</v>
      </c>
      <c r="C30" s="114">
        <f>ITAPIPOCA!O53</f>
        <v>1428.207378882691</v>
      </c>
      <c r="E30" s="51" t="s">
        <v>17</v>
      </c>
      <c r="F30" s="114" t="str">
        <f>ITAPIPOCA!R53</f>
        <v/>
      </c>
      <c r="H30" s="51" t="s">
        <v>17</v>
      </c>
      <c r="I30" s="113" t="str">
        <f>ITAPIPOCA!U53</f>
        <v/>
      </c>
    </row>
    <row r="32" spans="2:9" x14ac:dyDescent="0.25">
      <c r="B32" s="25" t="s">
        <v>18</v>
      </c>
      <c r="C32" s="53">
        <f>SUM(C25:C30)</f>
        <v>9413.6534813262733</v>
      </c>
      <c r="E32" s="25" t="s">
        <v>18</v>
      </c>
      <c r="F32" s="53">
        <f>SUM(F25:F30)</f>
        <v>5092.2218761502954</v>
      </c>
      <c r="H32" s="25" t="s">
        <v>18</v>
      </c>
      <c r="I32" s="53">
        <f>SUM(I25:I30)</f>
        <v>0</v>
      </c>
    </row>
    <row r="33" spans="2:9" x14ac:dyDescent="0.25">
      <c r="B33" s="25"/>
      <c r="C33" s="53"/>
      <c r="E33" s="25"/>
      <c r="F33" s="53"/>
      <c r="H33" s="25" t="s">
        <v>21</v>
      </c>
      <c r="I33" s="53">
        <f>C21+F21+I21+C32+F32+I32</f>
        <v>40000</v>
      </c>
    </row>
    <row r="35" spans="2:9" ht="21" x14ac:dyDescent="0.35">
      <c r="B35" s="156" t="s">
        <v>2</v>
      </c>
      <c r="C35" s="156"/>
      <c r="D35" s="156"/>
      <c r="E35" s="156"/>
      <c r="F35" s="156"/>
      <c r="G35" s="156"/>
      <c r="H35" s="156"/>
      <c r="I35" s="156"/>
    </row>
    <row r="36" spans="2:9" x14ac:dyDescent="0.25">
      <c r="B36" s="49" t="s">
        <v>2</v>
      </c>
      <c r="C36" s="50" t="str">
        <f>H57</f>
        <v>TOTAL</v>
      </c>
    </row>
    <row r="37" spans="2:9" x14ac:dyDescent="0.25">
      <c r="B37" s="155" t="s">
        <v>8</v>
      </c>
      <c r="C37" s="155"/>
      <c r="E37" s="155" t="s">
        <v>9</v>
      </c>
      <c r="F37" s="155"/>
      <c r="H37" s="155" t="s">
        <v>10</v>
      </c>
      <c r="I37" s="155"/>
    </row>
    <row r="38" spans="2:9" x14ac:dyDescent="0.25">
      <c r="B38" t="s">
        <v>11</v>
      </c>
      <c r="C38" s="44" t="str">
        <f>ITAPIPOCA!Y36</f>
        <v/>
      </c>
      <c r="E38" t="s">
        <v>11</v>
      </c>
      <c r="F38" s="44" t="str">
        <f>ITAPIPOCA!AB36</f>
        <v/>
      </c>
      <c r="H38" t="s">
        <v>11</v>
      </c>
      <c r="I38" s="44">
        <f>ITAPIPOCA!AE36</f>
        <v>0</v>
      </c>
    </row>
    <row r="39" spans="2:9" x14ac:dyDescent="0.25">
      <c r="B39" t="s">
        <v>12</v>
      </c>
      <c r="C39" s="44" t="str">
        <f>ITAPIPOCA!Y37</f>
        <v/>
      </c>
      <c r="E39" t="s">
        <v>12</v>
      </c>
      <c r="F39" s="44">
        <f>ITAPIPOCA!AB37</f>
        <v>1829.1474360789421</v>
      </c>
      <c r="G39" s="44"/>
      <c r="H39" t="s">
        <v>12</v>
      </c>
      <c r="I39" s="44">
        <f>ITAPIPOCA!AE37</f>
        <v>1829.1474360789421</v>
      </c>
    </row>
    <row r="40" spans="2:9" x14ac:dyDescent="0.25">
      <c r="B40" t="s">
        <v>13</v>
      </c>
      <c r="C40" s="44" t="str">
        <f>ITAPIPOCA!Y38</f>
        <v/>
      </c>
      <c r="E40" t="s">
        <v>13</v>
      </c>
      <c r="F40" s="44">
        <f>ITAPIPOCA!AB38</f>
        <v>1604.3973157402952</v>
      </c>
      <c r="G40" s="44"/>
      <c r="H40" t="s">
        <v>13</v>
      </c>
      <c r="I40" s="44">
        <f>ITAPIPOCA!AE38</f>
        <v>1604.3973157402952</v>
      </c>
    </row>
    <row r="41" spans="2:9" x14ac:dyDescent="0.25">
      <c r="B41" t="s">
        <v>14</v>
      </c>
      <c r="C41" s="44">
        <f>ITAPIPOCA!Y39</f>
        <v>1021.038027012487</v>
      </c>
      <c r="E41" t="s">
        <v>14</v>
      </c>
      <c r="F41" s="44">
        <f>ITAPIPOCA!AB39</f>
        <v>1021.038027012487</v>
      </c>
      <c r="G41" s="44"/>
      <c r="H41" t="s">
        <v>14</v>
      </c>
      <c r="I41" s="44">
        <f>ITAPIPOCA!AE39</f>
        <v>1021.038027012487</v>
      </c>
    </row>
    <row r="42" spans="2:9" x14ac:dyDescent="0.25">
      <c r="B42" t="s">
        <v>15</v>
      </c>
      <c r="C42" s="44">
        <f>ITAPIPOCA!Y40</f>
        <v>1910.694566356146</v>
      </c>
      <c r="E42" t="s">
        <v>15</v>
      </c>
      <c r="F42" s="44">
        <f>ITAPIPOCA!AB40</f>
        <v>1910.694566356146</v>
      </c>
      <c r="G42" s="44"/>
      <c r="H42" t="s">
        <v>15</v>
      </c>
      <c r="I42" s="44">
        <f>ITAPIPOCA!AE40</f>
        <v>1910.694566356146</v>
      </c>
    </row>
    <row r="43" spans="2:9" x14ac:dyDescent="0.25">
      <c r="B43" t="s">
        <v>16</v>
      </c>
      <c r="C43" s="44">
        <f>ITAPIPOCA!Y41</f>
        <v>3616.5302828666086</v>
      </c>
      <c r="E43" t="s">
        <v>16</v>
      </c>
      <c r="F43" s="44">
        <f>ITAPIPOCA!AB41</f>
        <v>3616.5302828666086</v>
      </c>
      <c r="G43" s="44"/>
      <c r="H43" t="s">
        <v>16</v>
      </c>
      <c r="I43" s="44">
        <f>ITAPIPOCA!AE41</f>
        <v>3616.5302828666086</v>
      </c>
    </row>
    <row r="44" spans="2:9" x14ac:dyDescent="0.25">
      <c r="B44" s="51" t="s">
        <v>17</v>
      </c>
      <c r="C44" s="114">
        <f>ITAPIPOCA!Y42</f>
        <v>1785.2592236033638</v>
      </c>
      <c r="E44" s="51" t="s">
        <v>17</v>
      </c>
      <c r="F44" s="114">
        <f>ITAPIPOCA!AB42</f>
        <v>1785.2592236033638</v>
      </c>
      <c r="G44" s="44"/>
      <c r="H44" s="51" t="s">
        <v>17</v>
      </c>
      <c r="I44" s="114">
        <f>ITAPIPOCA!AE42</f>
        <v>1785.2592236033638</v>
      </c>
    </row>
    <row r="46" spans="2:9" x14ac:dyDescent="0.25">
      <c r="B46" s="25" t="s">
        <v>18</v>
      </c>
      <c r="C46" s="53">
        <f>SUM(C39:C44)</f>
        <v>8333.5220998386048</v>
      </c>
      <c r="E46" s="25" t="s">
        <v>18</v>
      </c>
      <c r="F46" s="53">
        <f>SUM(F39:F44)</f>
        <v>11767.066851657841</v>
      </c>
      <c r="H46" s="25" t="s">
        <v>18</v>
      </c>
      <c r="I46" s="53">
        <f>SUM(I39:I44)</f>
        <v>11767.066851657841</v>
      </c>
    </row>
    <row r="48" spans="2:9" x14ac:dyDescent="0.25">
      <c r="B48" s="155" t="s">
        <v>19</v>
      </c>
      <c r="C48" s="155"/>
      <c r="E48" s="155" t="s">
        <v>20</v>
      </c>
      <c r="F48" s="155"/>
      <c r="H48" s="155" t="s">
        <v>113</v>
      </c>
      <c r="I48" s="155"/>
    </row>
    <row r="49" spans="2:9" x14ac:dyDescent="0.25">
      <c r="B49" t="s">
        <v>11</v>
      </c>
      <c r="C49" s="44">
        <f>ITAPIPOCA!Y47</f>
        <v>0</v>
      </c>
      <c r="E49" t="s">
        <v>11</v>
      </c>
      <c r="F49" s="44" t="str">
        <f>ITAPIPOCA!AB47</f>
        <v/>
      </c>
      <c r="H49" t="s">
        <v>11</v>
      </c>
      <c r="I49" s="40" t="str">
        <f>ITAPIPOCA!AE47</f>
        <v/>
      </c>
    </row>
    <row r="50" spans="2:9" x14ac:dyDescent="0.25">
      <c r="B50" t="s">
        <v>12</v>
      </c>
      <c r="C50" s="44">
        <f>ITAPIPOCA!Y48</f>
        <v>1829.1474360789421</v>
      </c>
      <c r="E50" t="s">
        <v>12</v>
      </c>
      <c r="F50" s="44">
        <f>ITAPIPOCA!AB48</f>
        <v>1829.1474360789421</v>
      </c>
      <c r="H50" t="s">
        <v>12</v>
      </c>
      <c r="I50" s="40" t="str">
        <f>ITAPIPOCA!AE48</f>
        <v/>
      </c>
    </row>
    <row r="51" spans="2:9" x14ac:dyDescent="0.25">
      <c r="B51" t="s">
        <v>13</v>
      </c>
      <c r="C51" s="44">
        <f>ITAPIPOCA!Y49</f>
        <v>1604.3973157402952</v>
      </c>
      <c r="E51" t="s">
        <v>13</v>
      </c>
      <c r="F51" s="44">
        <f>ITAPIPOCA!AB49</f>
        <v>1604.3973157402952</v>
      </c>
      <c r="H51" t="s">
        <v>13</v>
      </c>
      <c r="I51" s="40" t="str">
        <f>ITAPIPOCA!AE49</f>
        <v/>
      </c>
    </row>
    <row r="52" spans="2:9" x14ac:dyDescent="0.25">
      <c r="B52" t="s">
        <v>14</v>
      </c>
      <c r="C52" s="44">
        <f>ITAPIPOCA!Y50</f>
        <v>1021.038027012487</v>
      </c>
      <c r="E52" t="s">
        <v>14</v>
      </c>
      <c r="F52" s="44">
        <f>ITAPIPOCA!AB50</f>
        <v>1021.038027012487</v>
      </c>
      <c r="H52" t="s">
        <v>14</v>
      </c>
      <c r="I52" s="40" t="str">
        <f>ITAPIPOCA!AE50</f>
        <v/>
      </c>
    </row>
    <row r="53" spans="2:9" x14ac:dyDescent="0.25">
      <c r="B53" t="s">
        <v>15</v>
      </c>
      <c r="C53" s="44">
        <f>ITAPIPOCA!Y51</f>
        <v>1910.694566356146</v>
      </c>
      <c r="E53" t="s">
        <v>15</v>
      </c>
      <c r="F53" s="44">
        <f>ITAPIPOCA!AB51</f>
        <v>1910.694566356146</v>
      </c>
      <c r="H53" t="s">
        <v>15</v>
      </c>
      <c r="I53" s="40" t="str">
        <f>ITAPIPOCA!AE51</f>
        <v/>
      </c>
    </row>
    <row r="54" spans="2:9" x14ac:dyDescent="0.25">
      <c r="B54" t="s">
        <v>16</v>
      </c>
      <c r="C54" s="44">
        <f>ITAPIPOCA!Y52</f>
        <v>3616.5302828666086</v>
      </c>
      <c r="E54" t="s">
        <v>16</v>
      </c>
      <c r="F54" s="44" t="str">
        <f>ITAPIPOCA!AB52</f>
        <v/>
      </c>
      <c r="H54" t="s">
        <v>16</v>
      </c>
      <c r="I54" s="40" t="str">
        <f>ITAPIPOCA!AE52</f>
        <v/>
      </c>
    </row>
    <row r="55" spans="2:9" x14ac:dyDescent="0.25">
      <c r="B55" s="51" t="s">
        <v>17</v>
      </c>
      <c r="C55" s="114">
        <f>ITAPIPOCA!Y53</f>
        <v>1785.2592236033638</v>
      </c>
      <c r="E55" s="51" t="s">
        <v>17</v>
      </c>
      <c r="F55" s="114" t="str">
        <f>ITAPIPOCA!AB53</f>
        <v/>
      </c>
      <c r="H55" s="51" t="s">
        <v>17</v>
      </c>
      <c r="I55" s="113" t="str">
        <f>ITAPIPOCA!AE53</f>
        <v/>
      </c>
    </row>
    <row r="57" spans="2:9" x14ac:dyDescent="0.25">
      <c r="B57" s="25" t="s">
        <v>18</v>
      </c>
      <c r="C57" s="53">
        <f>SUM(C50:C55)</f>
        <v>11767.066851657841</v>
      </c>
      <c r="E57" s="25" t="s">
        <v>18</v>
      </c>
      <c r="F57" s="53">
        <f>SUM(F50:F55)</f>
        <v>6365.2773451878693</v>
      </c>
      <c r="H57" s="25" t="s">
        <v>18</v>
      </c>
      <c r="I57" s="53">
        <f>SUM(I50:I55)</f>
        <v>0</v>
      </c>
    </row>
    <row r="58" spans="2:9" x14ac:dyDescent="0.25">
      <c r="H58" s="25" t="s">
        <v>21</v>
      </c>
      <c r="I58" s="53">
        <f>C46+F46+I46+C57+F57+I57</f>
        <v>49999.999999999993</v>
      </c>
    </row>
    <row r="59" spans="2:9" x14ac:dyDescent="0.25">
      <c r="H59" s="25"/>
      <c r="I59" s="53"/>
    </row>
    <row r="60" spans="2:9" ht="21" x14ac:dyDescent="0.35">
      <c r="B60" s="156" t="s">
        <v>3</v>
      </c>
      <c r="C60" s="156"/>
      <c r="D60" s="156"/>
      <c r="E60" s="156"/>
      <c r="F60" s="156"/>
      <c r="G60" s="156"/>
      <c r="H60" s="156"/>
      <c r="I60" s="156"/>
    </row>
    <row r="61" spans="2:9" x14ac:dyDescent="0.25">
      <c r="B61" s="49" t="s">
        <v>3</v>
      </c>
      <c r="C61" s="50" t="str">
        <f>H82</f>
        <v>TOTAL</v>
      </c>
    </row>
    <row r="62" spans="2:9" x14ac:dyDescent="0.25">
      <c r="B62" s="155" t="s">
        <v>8</v>
      </c>
      <c r="C62" s="155"/>
      <c r="E62" s="155" t="s">
        <v>9</v>
      </c>
      <c r="F62" s="155"/>
      <c r="H62" s="155" t="s">
        <v>10</v>
      </c>
      <c r="I62" s="155"/>
    </row>
    <row r="63" spans="2:9" x14ac:dyDescent="0.25">
      <c r="B63" t="s">
        <v>11</v>
      </c>
      <c r="C63" s="44" t="str">
        <f>ITAPIPOCA!AI36</f>
        <v/>
      </c>
      <c r="E63" t="s">
        <v>11</v>
      </c>
      <c r="F63" s="44" t="str">
        <f>ITAPIPOCA!AL36</f>
        <v/>
      </c>
      <c r="H63" t="s">
        <v>11</v>
      </c>
      <c r="I63" s="44">
        <f>ITAPIPOCA!AO36</f>
        <v>0</v>
      </c>
    </row>
    <row r="64" spans="2:9" x14ac:dyDescent="0.25">
      <c r="B64" t="s">
        <v>12</v>
      </c>
      <c r="C64" s="44" t="str">
        <f>ITAPIPOCA!AI37</f>
        <v/>
      </c>
      <c r="E64" t="s">
        <v>12</v>
      </c>
      <c r="F64" s="44">
        <f>ITAPIPOCA!AL37</f>
        <v>2194.9769232947306</v>
      </c>
      <c r="G64" s="44"/>
      <c r="H64" t="s">
        <v>12</v>
      </c>
      <c r="I64" s="44">
        <f>ITAPIPOCA!AO37</f>
        <v>2194.9769232947306</v>
      </c>
    </row>
    <row r="65" spans="2:9" x14ac:dyDescent="0.25">
      <c r="B65" t="s">
        <v>13</v>
      </c>
      <c r="C65" s="44" t="str">
        <f>ITAPIPOCA!AI38</f>
        <v/>
      </c>
      <c r="E65" t="s">
        <v>13</v>
      </c>
      <c r="F65" s="44">
        <f>ITAPIPOCA!AL38</f>
        <v>1925.2767788883541</v>
      </c>
      <c r="G65" s="44"/>
      <c r="H65" t="s">
        <v>13</v>
      </c>
      <c r="I65" s="44">
        <f>ITAPIPOCA!AO38</f>
        <v>1925.2767788883541</v>
      </c>
    </row>
    <row r="66" spans="2:9" x14ac:dyDescent="0.25">
      <c r="B66" t="s">
        <v>14</v>
      </c>
      <c r="C66" s="44">
        <f>ITAPIPOCA!AI39</f>
        <v>1225.2456324149844</v>
      </c>
      <c r="E66" t="s">
        <v>14</v>
      </c>
      <c r="F66" s="44">
        <f>ITAPIPOCA!AL39</f>
        <v>1225.2456324149844</v>
      </c>
      <c r="G66" s="44"/>
      <c r="H66" t="s">
        <v>14</v>
      </c>
      <c r="I66" s="44">
        <f>ITAPIPOCA!AO39</f>
        <v>1225.2456324149844</v>
      </c>
    </row>
    <row r="67" spans="2:9" x14ac:dyDescent="0.25">
      <c r="B67" t="s">
        <v>15</v>
      </c>
      <c r="C67" s="44">
        <f>ITAPIPOCA!AI40</f>
        <v>2292.8334796273748</v>
      </c>
      <c r="E67" t="s">
        <v>15</v>
      </c>
      <c r="F67" s="44">
        <f>ITAPIPOCA!AL40</f>
        <v>2292.8334796273748</v>
      </c>
      <c r="G67" s="44"/>
      <c r="H67" t="s">
        <v>15</v>
      </c>
      <c r="I67" s="44">
        <f>ITAPIPOCA!AO40</f>
        <v>2292.8334796273748</v>
      </c>
    </row>
    <row r="68" spans="2:9" x14ac:dyDescent="0.25">
      <c r="B68" t="s">
        <v>16</v>
      </c>
      <c r="C68" s="44">
        <f>ITAPIPOCA!AI41</f>
        <v>4339.8363394399303</v>
      </c>
      <c r="E68" t="s">
        <v>16</v>
      </c>
      <c r="F68" s="44">
        <f>ITAPIPOCA!AL41</f>
        <v>4339.8363394399303</v>
      </c>
      <c r="G68" s="44"/>
      <c r="H68" t="s">
        <v>16</v>
      </c>
      <c r="I68" s="44">
        <f>ITAPIPOCA!AO41</f>
        <v>4339.8363394399303</v>
      </c>
    </row>
    <row r="69" spans="2:9" x14ac:dyDescent="0.25">
      <c r="B69" s="51" t="s">
        <v>17</v>
      </c>
      <c r="C69" s="114">
        <f>ITAPIPOCA!AI42</f>
        <v>2142.3110683240366</v>
      </c>
      <c r="E69" s="51" t="s">
        <v>17</v>
      </c>
      <c r="F69" s="114">
        <f>ITAPIPOCA!AL42</f>
        <v>2142.3110683240366</v>
      </c>
      <c r="G69" s="44"/>
      <c r="H69" s="51" t="s">
        <v>17</v>
      </c>
      <c r="I69" s="114">
        <f>ITAPIPOCA!AO42</f>
        <v>2142.3110683240366</v>
      </c>
    </row>
    <row r="71" spans="2:9" x14ac:dyDescent="0.25">
      <c r="B71" s="25" t="s">
        <v>18</v>
      </c>
      <c r="C71" s="53">
        <f>SUM(C64:C69)</f>
        <v>10000.226519806325</v>
      </c>
      <c r="E71" s="25" t="s">
        <v>18</v>
      </c>
      <c r="F71" s="53">
        <f>SUM(F64:F69)</f>
        <v>14120.480221989412</v>
      </c>
      <c r="H71" s="25" t="s">
        <v>18</v>
      </c>
      <c r="I71" s="53">
        <f>SUM(I64:I69)</f>
        <v>14120.480221989412</v>
      </c>
    </row>
    <row r="73" spans="2:9" x14ac:dyDescent="0.25">
      <c r="B73" s="155" t="s">
        <v>19</v>
      </c>
      <c r="C73" s="155"/>
      <c r="E73" s="155" t="s">
        <v>20</v>
      </c>
      <c r="F73" s="155"/>
      <c r="H73" s="155" t="s">
        <v>113</v>
      </c>
      <c r="I73" s="155"/>
    </row>
    <row r="74" spans="2:9" x14ac:dyDescent="0.25">
      <c r="B74" t="s">
        <v>11</v>
      </c>
      <c r="C74" s="44">
        <f>ITAPIPOCA!AI47</f>
        <v>0</v>
      </c>
      <c r="E74" t="s">
        <v>11</v>
      </c>
      <c r="F74" s="44" t="str">
        <f>ITAPIPOCA!AL47</f>
        <v/>
      </c>
      <c r="H74" t="s">
        <v>11</v>
      </c>
      <c r="I74" s="40" t="str">
        <f>ITAPIPOCA!AO47</f>
        <v/>
      </c>
    </row>
    <row r="75" spans="2:9" x14ac:dyDescent="0.25">
      <c r="B75" t="s">
        <v>12</v>
      </c>
      <c r="C75" s="44">
        <f>ITAPIPOCA!AI48</f>
        <v>2194.9769232947306</v>
      </c>
      <c r="E75" t="s">
        <v>12</v>
      </c>
      <c r="F75" s="44">
        <f>ITAPIPOCA!AL48</f>
        <v>2194.9769232947306</v>
      </c>
      <c r="H75" t="s">
        <v>12</v>
      </c>
      <c r="I75" s="40" t="str">
        <f>ITAPIPOCA!AO48</f>
        <v/>
      </c>
    </row>
    <row r="76" spans="2:9" x14ac:dyDescent="0.25">
      <c r="B76" t="s">
        <v>13</v>
      </c>
      <c r="C76" s="44">
        <f>ITAPIPOCA!AI49</f>
        <v>1925.2767788883541</v>
      </c>
      <c r="E76" t="s">
        <v>13</v>
      </c>
      <c r="F76" s="44">
        <f>ITAPIPOCA!AL49</f>
        <v>1925.2767788883541</v>
      </c>
      <c r="H76" t="s">
        <v>13</v>
      </c>
      <c r="I76" s="40" t="str">
        <f>ITAPIPOCA!AO49</f>
        <v/>
      </c>
    </row>
    <row r="77" spans="2:9" x14ac:dyDescent="0.25">
      <c r="B77" t="s">
        <v>14</v>
      </c>
      <c r="C77" s="44">
        <f>ITAPIPOCA!AI50</f>
        <v>1225.2456324149844</v>
      </c>
      <c r="E77" t="s">
        <v>14</v>
      </c>
      <c r="F77" s="44">
        <f>ITAPIPOCA!AL50</f>
        <v>1225.2456324149844</v>
      </c>
      <c r="H77" t="s">
        <v>14</v>
      </c>
      <c r="I77" s="40" t="str">
        <f>ITAPIPOCA!AO50</f>
        <v/>
      </c>
    </row>
    <row r="78" spans="2:9" x14ac:dyDescent="0.25">
      <c r="B78" t="s">
        <v>15</v>
      </c>
      <c r="C78" s="44">
        <f>ITAPIPOCA!AI51</f>
        <v>2292.8334796273748</v>
      </c>
      <c r="E78" t="s">
        <v>15</v>
      </c>
      <c r="F78" s="44">
        <f>ITAPIPOCA!AL51</f>
        <v>2292.8334796273748</v>
      </c>
      <c r="H78" t="s">
        <v>15</v>
      </c>
      <c r="I78" s="40" t="str">
        <f>ITAPIPOCA!AO51</f>
        <v/>
      </c>
    </row>
    <row r="79" spans="2:9" x14ac:dyDescent="0.25">
      <c r="B79" t="s">
        <v>16</v>
      </c>
      <c r="C79" s="44">
        <f>ITAPIPOCA!AI52</f>
        <v>4339.8363394399303</v>
      </c>
      <c r="E79" t="s">
        <v>16</v>
      </c>
      <c r="F79" s="44" t="str">
        <f>ITAPIPOCA!AL52</f>
        <v/>
      </c>
      <c r="H79" t="s">
        <v>16</v>
      </c>
      <c r="I79" s="40" t="str">
        <f>ITAPIPOCA!AO52</f>
        <v/>
      </c>
    </row>
    <row r="80" spans="2:9" x14ac:dyDescent="0.25">
      <c r="B80" s="51" t="s">
        <v>17</v>
      </c>
      <c r="C80" s="114">
        <f>ITAPIPOCA!AI53</f>
        <v>2142.3110683240366</v>
      </c>
      <c r="E80" s="51" t="s">
        <v>17</v>
      </c>
      <c r="F80" s="114" t="str">
        <f>ITAPIPOCA!AL53</f>
        <v/>
      </c>
      <c r="H80" s="51" t="s">
        <v>17</v>
      </c>
      <c r="I80" s="113" t="str">
        <f>ITAPIPOCA!AO53</f>
        <v/>
      </c>
    </row>
    <row r="82" spans="2:9" x14ac:dyDescent="0.25">
      <c r="B82" s="25" t="s">
        <v>18</v>
      </c>
      <c r="C82" s="53">
        <f>SUM(C75:C80)</f>
        <v>14120.480221989412</v>
      </c>
      <c r="E82" s="25" t="s">
        <v>18</v>
      </c>
      <c r="F82" s="53">
        <f>SUM(F75:F80)</f>
        <v>7638.3328142254441</v>
      </c>
      <c r="H82" s="25" t="s">
        <v>18</v>
      </c>
      <c r="I82" s="53">
        <f>SUM(I75:I80)</f>
        <v>0</v>
      </c>
    </row>
    <row r="83" spans="2:9" x14ac:dyDescent="0.25">
      <c r="H83" s="25" t="s">
        <v>21</v>
      </c>
      <c r="I83" s="53">
        <f>C71+F71+I71+C82+F82+I82</f>
        <v>60000.000000000007</v>
      </c>
    </row>
    <row r="84" spans="2:9" ht="21" x14ac:dyDescent="0.35">
      <c r="B84" s="156" t="s">
        <v>4</v>
      </c>
      <c r="C84" s="156"/>
      <c r="D84" s="156"/>
      <c r="E84" s="156"/>
      <c r="F84" s="156"/>
      <c r="G84" s="156"/>
      <c r="H84" s="156"/>
      <c r="I84" s="156"/>
    </row>
    <row r="85" spans="2:9" x14ac:dyDescent="0.25">
      <c r="B85" s="49" t="s">
        <v>4</v>
      </c>
      <c r="C85" s="50" t="str">
        <f>H106</f>
        <v>TOTAL</v>
      </c>
    </row>
    <row r="86" spans="2:9" x14ac:dyDescent="0.25">
      <c r="B86" s="155" t="s">
        <v>8</v>
      </c>
      <c r="C86" s="155"/>
      <c r="E86" s="155" t="s">
        <v>9</v>
      </c>
      <c r="F86" s="155"/>
      <c r="H86" s="155" t="s">
        <v>10</v>
      </c>
      <c r="I86" s="155"/>
    </row>
    <row r="87" spans="2:9" x14ac:dyDescent="0.25">
      <c r="B87" t="s">
        <v>11</v>
      </c>
      <c r="C87" s="44" t="str">
        <f>ITAPIPOCA!AS36</f>
        <v/>
      </c>
      <c r="E87" t="s">
        <v>11</v>
      </c>
      <c r="F87" s="44" t="str">
        <f>ITAPIPOCA!AV36</f>
        <v/>
      </c>
      <c r="H87" t="s">
        <v>11</v>
      </c>
      <c r="I87" s="44">
        <f>ITAPIPOCA!AY36</f>
        <v>0</v>
      </c>
    </row>
    <row r="88" spans="2:9" x14ac:dyDescent="0.25">
      <c r="B88" t="s">
        <v>12</v>
      </c>
      <c r="C88" s="44" t="str">
        <f>ITAPIPOCA!AS37</f>
        <v/>
      </c>
      <c r="E88" t="s">
        <v>12</v>
      </c>
      <c r="F88" s="44">
        <f>ITAPIPOCA!AV37</f>
        <v>2926.6358977263076</v>
      </c>
      <c r="G88" s="44"/>
      <c r="H88" t="s">
        <v>12</v>
      </c>
      <c r="I88" s="44">
        <f>ITAPIPOCA!AY37</f>
        <v>2926.6358977263076</v>
      </c>
    </row>
    <row r="89" spans="2:9" x14ac:dyDescent="0.25">
      <c r="B89" t="s">
        <v>13</v>
      </c>
      <c r="C89" s="44" t="str">
        <f>ITAPIPOCA!AS38</f>
        <v/>
      </c>
      <c r="E89" t="s">
        <v>13</v>
      </c>
      <c r="F89" s="44">
        <f>ITAPIPOCA!AV38</f>
        <v>2567.0357051844721</v>
      </c>
      <c r="G89" s="44"/>
      <c r="H89" t="s">
        <v>13</v>
      </c>
      <c r="I89" s="44">
        <f>ITAPIPOCA!AY38</f>
        <v>2567.0357051844721</v>
      </c>
    </row>
    <row r="90" spans="2:9" x14ac:dyDescent="0.25">
      <c r="B90" t="s">
        <v>14</v>
      </c>
      <c r="C90" s="44">
        <f>ITAPIPOCA!AS39</f>
        <v>1633.6608432199791</v>
      </c>
      <c r="E90" t="s">
        <v>14</v>
      </c>
      <c r="F90" s="44">
        <f>ITAPIPOCA!AV39</f>
        <v>1633.6608432199791</v>
      </c>
      <c r="G90" s="44"/>
      <c r="H90" t="s">
        <v>14</v>
      </c>
      <c r="I90" s="44">
        <f>ITAPIPOCA!AY39</f>
        <v>1633.6608432199791</v>
      </c>
    </row>
    <row r="91" spans="2:9" x14ac:dyDescent="0.25">
      <c r="B91" t="s">
        <v>15</v>
      </c>
      <c r="C91" s="44">
        <f>ITAPIPOCA!AS40</f>
        <v>3057.1113061698334</v>
      </c>
      <c r="E91" t="s">
        <v>15</v>
      </c>
      <c r="F91" s="44">
        <f>ITAPIPOCA!AV40</f>
        <v>3057.1113061698334</v>
      </c>
      <c r="G91" s="44"/>
      <c r="H91" t="s">
        <v>15</v>
      </c>
      <c r="I91" s="44">
        <f>ITAPIPOCA!AY40</f>
        <v>3057.1113061698334</v>
      </c>
    </row>
    <row r="92" spans="2:9" x14ac:dyDescent="0.25">
      <c r="B92" t="s">
        <v>16</v>
      </c>
      <c r="C92" s="44">
        <f>ITAPIPOCA!AS41</f>
        <v>5786.4484525865737</v>
      </c>
      <c r="E92" t="s">
        <v>16</v>
      </c>
      <c r="F92" s="44">
        <f>ITAPIPOCA!AV41</f>
        <v>5786.4484525865737</v>
      </c>
      <c r="G92" s="44"/>
      <c r="H92" t="s">
        <v>16</v>
      </c>
      <c r="I92" s="44">
        <f>ITAPIPOCA!AY41</f>
        <v>5786.4484525865737</v>
      </c>
    </row>
    <row r="93" spans="2:9" x14ac:dyDescent="0.25">
      <c r="B93" s="51" t="s">
        <v>17</v>
      </c>
      <c r="C93" s="114">
        <f>ITAPIPOCA!AS42</f>
        <v>2856.4147577653821</v>
      </c>
      <c r="E93" s="51" t="s">
        <v>17</v>
      </c>
      <c r="F93" s="114">
        <f>ITAPIPOCA!AV42</f>
        <v>2856.4147577653821</v>
      </c>
      <c r="G93" s="44"/>
      <c r="H93" s="51" t="s">
        <v>17</v>
      </c>
      <c r="I93" s="114">
        <f>ITAPIPOCA!AY42</f>
        <v>2856.4147577653821</v>
      </c>
    </row>
    <row r="95" spans="2:9" x14ac:dyDescent="0.25">
      <c r="B95" s="25" t="s">
        <v>18</v>
      </c>
      <c r="C95" s="53">
        <f>SUM(C88:C93)</f>
        <v>13333.635359741769</v>
      </c>
      <c r="E95" s="25" t="s">
        <v>18</v>
      </c>
      <c r="F95" s="53">
        <f>SUM(F88:F93)</f>
        <v>18827.306962652547</v>
      </c>
      <c r="H95" s="25" t="s">
        <v>18</v>
      </c>
      <c r="I95" s="53">
        <f>SUM(I88:I93)</f>
        <v>18827.306962652547</v>
      </c>
    </row>
    <row r="97" spans="2:9" x14ac:dyDescent="0.25">
      <c r="B97" s="155" t="s">
        <v>19</v>
      </c>
      <c r="C97" s="155"/>
      <c r="E97" s="155" t="s">
        <v>20</v>
      </c>
      <c r="F97" s="155"/>
      <c r="H97" s="155" t="s">
        <v>113</v>
      </c>
      <c r="I97" s="155"/>
    </row>
    <row r="98" spans="2:9" x14ac:dyDescent="0.25">
      <c r="B98" t="s">
        <v>11</v>
      </c>
      <c r="C98" s="44">
        <f>ITAPIPOCA!AS47</f>
        <v>0</v>
      </c>
      <c r="E98" t="s">
        <v>11</v>
      </c>
      <c r="F98" s="44" t="str">
        <f>ITAPIPOCA!AV47</f>
        <v/>
      </c>
      <c r="H98" t="s">
        <v>11</v>
      </c>
      <c r="I98" s="40" t="str">
        <f>ITAPIPOCA!AY47</f>
        <v/>
      </c>
    </row>
    <row r="99" spans="2:9" x14ac:dyDescent="0.25">
      <c r="B99" t="s">
        <v>12</v>
      </c>
      <c r="C99" s="44">
        <f>ITAPIPOCA!AS48</f>
        <v>2926.6358977263076</v>
      </c>
      <c r="E99" t="s">
        <v>12</v>
      </c>
      <c r="F99" s="44">
        <f>ITAPIPOCA!AV48</f>
        <v>2926.6358977263076</v>
      </c>
      <c r="H99" t="s">
        <v>12</v>
      </c>
      <c r="I99" s="40" t="str">
        <f>ITAPIPOCA!AY48</f>
        <v/>
      </c>
    </row>
    <row r="100" spans="2:9" x14ac:dyDescent="0.25">
      <c r="B100" t="s">
        <v>13</v>
      </c>
      <c r="C100" s="44">
        <f>ITAPIPOCA!AS49</f>
        <v>2567.0357051844721</v>
      </c>
      <c r="E100" t="s">
        <v>13</v>
      </c>
      <c r="F100" s="44">
        <f>ITAPIPOCA!AV49</f>
        <v>2567.0357051844721</v>
      </c>
      <c r="H100" t="s">
        <v>13</v>
      </c>
      <c r="I100" s="40" t="str">
        <f>ITAPIPOCA!AY49</f>
        <v/>
      </c>
    </row>
    <row r="101" spans="2:9" x14ac:dyDescent="0.25">
      <c r="B101" t="s">
        <v>14</v>
      </c>
      <c r="C101" s="44">
        <f>ITAPIPOCA!AS50</f>
        <v>1633.6608432199791</v>
      </c>
      <c r="E101" t="s">
        <v>14</v>
      </c>
      <c r="F101" s="44">
        <f>ITAPIPOCA!AV50</f>
        <v>1633.6608432199791</v>
      </c>
      <c r="H101" t="s">
        <v>14</v>
      </c>
      <c r="I101" s="40" t="str">
        <f>ITAPIPOCA!AY50</f>
        <v/>
      </c>
    </row>
    <row r="102" spans="2:9" x14ac:dyDescent="0.25">
      <c r="B102" t="s">
        <v>15</v>
      </c>
      <c r="C102" s="44">
        <f>ITAPIPOCA!AS51</f>
        <v>3057.1113061698334</v>
      </c>
      <c r="E102" t="s">
        <v>15</v>
      </c>
      <c r="F102" s="44">
        <f>ITAPIPOCA!AV51</f>
        <v>3057.1113061698334</v>
      </c>
      <c r="H102" t="s">
        <v>15</v>
      </c>
      <c r="I102" s="40" t="str">
        <f>ITAPIPOCA!AY51</f>
        <v/>
      </c>
    </row>
    <row r="103" spans="2:9" x14ac:dyDescent="0.25">
      <c r="B103" t="s">
        <v>16</v>
      </c>
      <c r="C103" s="44">
        <f>ITAPIPOCA!AS52</f>
        <v>5786.4484525865737</v>
      </c>
      <c r="E103" t="s">
        <v>16</v>
      </c>
      <c r="F103" s="44" t="str">
        <f>ITAPIPOCA!AV52</f>
        <v/>
      </c>
      <c r="H103" t="s">
        <v>16</v>
      </c>
      <c r="I103" s="40" t="str">
        <f>ITAPIPOCA!AY52</f>
        <v/>
      </c>
    </row>
    <row r="104" spans="2:9" x14ac:dyDescent="0.25">
      <c r="B104" s="51" t="s">
        <v>17</v>
      </c>
      <c r="C104" s="114">
        <f>ITAPIPOCA!AS53</f>
        <v>2856.4147577653821</v>
      </c>
      <c r="E104" s="51" t="s">
        <v>17</v>
      </c>
      <c r="F104" s="114" t="str">
        <f>ITAPIPOCA!AV53</f>
        <v/>
      </c>
      <c r="H104" s="51" t="s">
        <v>17</v>
      </c>
      <c r="I104" s="113" t="str">
        <f>ITAPIPOCA!AY53</f>
        <v/>
      </c>
    </row>
    <row r="106" spans="2:9" x14ac:dyDescent="0.25">
      <c r="B106" s="25" t="s">
        <v>18</v>
      </c>
      <c r="C106" s="53">
        <f>SUM(C99:C104)</f>
        <v>18827.306962652547</v>
      </c>
      <c r="E106" s="25" t="s">
        <v>18</v>
      </c>
      <c r="F106" s="53">
        <f>SUM(F99:F104)</f>
        <v>10184.443752300591</v>
      </c>
      <c r="H106" s="25" t="s">
        <v>18</v>
      </c>
      <c r="I106" s="53">
        <f>SUM(I99:I104)</f>
        <v>0</v>
      </c>
    </row>
    <row r="107" spans="2:9" x14ac:dyDescent="0.25">
      <c r="H107" s="25" t="s">
        <v>21</v>
      </c>
      <c r="I107" s="53">
        <f>C95+F95+I95+C106+F106+I106</f>
        <v>80000</v>
      </c>
    </row>
  </sheetData>
  <mergeCells count="30">
    <mergeCell ref="B2:E2"/>
    <mergeCell ref="B6:E6"/>
    <mergeCell ref="B10:I10"/>
    <mergeCell ref="B12:C12"/>
    <mergeCell ref="E12:F12"/>
    <mergeCell ref="H12:I12"/>
    <mergeCell ref="B23:C23"/>
    <mergeCell ref="E23:F23"/>
    <mergeCell ref="B35:I35"/>
    <mergeCell ref="B37:C37"/>
    <mergeCell ref="E37:F37"/>
    <mergeCell ref="H37:I37"/>
    <mergeCell ref="H23:I23"/>
    <mergeCell ref="B48:C48"/>
    <mergeCell ref="E48:F48"/>
    <mergeCell ref="B60:I60"/>
    <mergeCell ref="B62:C62"/>
    <mergeCell ref="E62:F62"/>
    <mergeCell ref="H62:I62"/>
    <mergeCell ref="H48:I48"/>
    <mergeCell ref="B97:C97"/>
    <mergeCell ref="E97:F97"/>
    <mergeCell ref="B73:C73"/>
    <mergeCell ref="E73:F73"/>
    <mergeCell ref="B84:I84"/>
    <mergeCell ref="B86:C86"/>
    <mergeCell ref="E86:F86"/>
    <mergeCell ref="H86:I86"/>
    <mergeCell ref="H73:I73"/>
    <mergeCell ref="H97:I97"/>
  </mergeCells>
  <pageMargins left="0.25" right="0.25" top="0.75" bottom="0.75" header="0.3" footer="0.3"/>
  <pageSetup paperSize="9" scale="73" orientation="portrait" r:id="rId1"/>
  <rowBreaks count="1" manualBreakCount="1">
    <brk id="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FFFF00"/>
  </sheetPr>
  <dimension ref="B2:I88"/>
  <sheetViews>
    <sheetView showGridLines="0" topLeftCell="A71" zoomScale="80" zoomScaleNormal="80" workbookViewId="0">
      <selection activeCell="C31" sqref="C31"/>
    </sheetView>
  </sheetViews>
  <sheetFormatPr defaultColWidth="8.7109375" defaultRowHeight="15" x14ac:dyDescent="0.25"/>
  <cols>
    <col min="1" max="1" width="3.42578125" customWidth="1"/>
    <col min="2" max="2" width="14.42578125" bestFit="1" customWidth="1"/>
    <col min="3" max="3" width="15.140625" bestFit="1" customWidth="1"/>
    <col min="5" max="5" width="14.42578125" bestFit="1" customWidth="1"/>
    <col min="6" max="6" width="13.85546875" bestFit="1" customWidth="1"/>
    <col min="8" max="8" width="17.42578125" bestFit="1" customWidth="1"/>
    <col min="9" max="9" width="14" bestFit="1" customWidth="1"/>
  </cols>
  <sheetData>
    <row r="2" spans="2:9" ht="21" x14ac:dyDescent="0.35">
      <c r="B2" s="156" t="s">
        <v>22</v>
      </c>
      <c r="C2" s="156"/>
      <c r="D2" s="156"/>
      <c r="E2" s="156"/>
      <c r="F2" s="156"/>
      <c r="G2" s="156"/>
      <c r="H2" s="156"/>
      <c r="I2" s="156"/>
    </row>
    <row r="3" spans="2:9" x14ac:dyDescent="0.25">
      <c r="B3" s="49" t="s">
        <v>7</v>
      </c>
      <c r="C3" s="50">
        <f>H22</f>
        <v>110000.00344513505</v>
      </c>
    </row>
    <row r="4" spans="2:9" x14ac:dyDescent="0.25">
      <c r="B4" s="155" t="s">
        <v>8</v>
      </c>
      <c r="C4" s="155"/>
      <c r="E4" s="155" t="s">
        <v>9</v>
      </c>
      <c r="F4" s="155"/>
      <c r="H4" s="155" t="s">
        <v>10</v>
      </c>
      <c r="I4" s="155"/>
    </row>
    <row r="5" spans="2:9" x14ac:dyDescent="0.25">
      <c r="B5" t="s">
        <v>12</v>
      </c>
      <c r="C5" s="48"/>
      <c r="E5" t="s">
        <v>12</v>
      </c>
      <c r="F5" s="48">
        <v>1996.5956497675916</v>
      </c>
      <c r="G5" s="44"/>
      <c r="H5" t="s">
        <v>12</v>
      </c>
      <c r="I5" s="48">
        <v>1996.5956497675916</v>
      </c>
    </row>
    <row r="6" spans="2:9" x14ac:dyDescent="0.25">
      <c r="B6" t="s">
        <v>13</v>
      </c>
      <c r="C6" s="48"/>
      <c r="E6" t="s">
        <v>13</v>
      </c>
      <c r="F6" s="48">
        <v>3171.293483816527</v>
      </c>
      <c r="G6" s="44"/>
      <c r="H6" t="s">
        <v>13</v>
      </c>
      <c r="I6" s="48">
        <v>3171.293483816527</v>
      </c>
    </row>
    <row r="7" spans="2:9" x14ac:dyDescent="0.25">
      <c r="B7" t="s">
        <v>14</v>
      </c>
      <c r="C7" s="48"/>
      <c r="E7" t="s">
        <v>14</v>
      </c>
      <c r="F7" s="48">
        <v>3430.6474212808507</v>
      </c>
      <c r="G7" s="44"/>
      <c r="H7" t="s">
        <v>14</v>
      </c>
      <c r="I7" s="48">
        <v>3430.6474212808507</v>
      </c>
    </row>
    <row r="8" spans="2:9" x14ac:dyDescent="0.25">
      <c r="B8" t="s">
        <v>15</v>
      </c>
      <c r="C8" s="48">
        <v>5310.0859545749472</v>
      </c>
      <c r="E8" t="s">
        <v>15</v>
      </c>
      <c r="F8" s="48">
        <v>5310.0859545749472</v>
      </c>
      <c r="G8" s="44"/>
      <c r="H8" t="s">
        <v>15</v>
      </c>
      <c r="I8" s="48">
        <v>5310.0859545749472</v>
      </c>
    </row>
    <row r="9" spans="2:9" x14ac:dyDescent="0.25">
      <c r="B9" t="s">
        <v>16</v>
      </c>
      <c r="C9" s="48">
        <v>4632.6456697997146</v>
      </c>
      <c r="E9" t="s">
        <v>16</v>
      </c>
      <c r="F9" s="48">
        <v>4632.6456697997146</v>
      </c>
      <c r="G9" s="44"/>
      <c r="H9" t="s">
        <v>16</v>
      </c>
      <c r="I9" s="48">
        <v>4632.6456697997146</v>
      </c>
    </row>
    <row r="10" spans="2:9" x14ac:dyDescent="0.25">
      <c r="B10" s="51" t="s">
        <v>17</v>
      </c>
      <c r="C10" s="52">
        <v>5301.2718207603693</v>
      </c>
      <c r="E10" s="51" t="s">
        <v>17</v>
      </c>
      <c r="F10" s="52">
        <v>5301.2718207603693</v>
      </c>
      <c r="G10" s="44"/>
      <c r="H10" s="51" t="s">
        <v>17</v>
      </c>
      <c r="I10" s="52">
        <v>5301.2718207603693</v>
      </c>
    </row>
    <row r="12" spans="2:9" x14ac:dyDescent="0.25">
      <c r="B12" s="25" t="s">
        <v>18</v>
      </c>
      <c r="C12" s="53">
        <f>SUM(C5:C10)</f>
        <v>15244.003445135029</v>
      </c>
      <c r="E12" s="25" t="s">
        <v>18</v>
      </c>
      <c r="F12" s="53">
        <f>SUM(F5:F10)</f>
        <v>23842.54</v>
      </c>
      <c r="H12" s="25" t="s">
        <v>18</v>
      </c>
      <c r="I12" s="53">
        <f>SUM(I5:I10)</f>
        <v>23842.54</v>
      </c>
    </row>
    <row r="14" spans="2:9" x14ac:dyDescent="0.25">
      <c r="B14" s="155" t="s">
        <v>19</v>
      </c>
      <c r="C14" s="155"/>
      <c r="E14" s="155" t="s">
        <v>20</v>
      </c>
      <c r="F14" s="155"/>
    </row>
    <row r="15" spans="2:9" x14ac:dyDescent="0.25">
      <c r="B15" t="s">
        <v>12</v>
      </c>
      <c r="C15" s="48">
        <v>1996.5956497675916</v>
      </c>
      <c r="E15" t="s">
        <v>12</v>
      </c>
      <c r="F15" s="48">
        <v>1996.5956497675916</v>
      </c>
    </row>
    <row r="16" spans="2:9" x14ac:dyDescent="0.25">
      <c r="B16" t="s">
        <v>13</v>
      </c>
      <c r="C16" s="48">
        <v>3171.293483816527</v>
      </c>
      <c r="E16" t="s">
        <v>13</v>
      </c>
      <c r="F16" s="48">
        <v>3171.293483816527</v>
      </c>
    </row>
    <row r="17" spans="2:9" x14ac:dyDescent="0.25">
      <c r="B17" t="s">
        <v>14</v>
      </c>
      <c r="C17" s="48">
        <v>3430.6474212808507</v>
      </c>
      <c r="E17" t="s">
        <v>14</v>
      </c>
      <c r="F17" s="48">
        <v>3430.6474212808507</v>
      </c>
    </row>
    <row r="18" spans="2:9" x14ac:dyDescent="0.25">
      <c r="B18" t="s">
        <v>15</v>
      </c>
      <c r="C18" s="48">
        <v>5310.0859545749472</v>
      </c>
      <c r="E18" t="s">
        <v>15</v>
      </c>
      <c r="F18" s="48">
        <v>5310.0859545749472</v>
      </c>
    </row>
    <row r="19" spans="2:9" x14ac:dyDescent="0.25">
      <c r="B19" t="s">
        <v>16</v>
      </c>
      <c r="C19" s="48">
        <v>4632.6456697997146</v>
      </c>
      <c r="E19" t="s">
        <v>16</v>
      </c>
      <c r="F19" s="48">
        <v>4632.6456697997146</v>
      </c>
    </row>
    <row r="20" spans="2:9" x14ac:dyDescent="0.25">
      <c r="B20" s="51" t="s">
        <v>17</v>
      </c>
      <c r="C20" s="52">
        <v>5301.2718207603693</v>
      </c>
      <c r="E20" s="51" t="s">
        <v>17</v>
      </c>
      <c r="F20" s="52">
        <f>5301.27182076037-614.16</f>
        <v>4687.1118207603704</v>
      </c>
    </row>
    <row r="21" spans="2:9" x14ac:dyDescent="0.25">
      <c r="H21" s="54" t="s">
        <v>21</v>
      </c>
    </row>
    <row r="22" spans="2:9" x14ac:dyDescent="0.25">
      <c r="B22" s="25" t="s">
        <v>18</v>
      </c>
      <c r="C22" s="53">
        <f>SUM(C15:C20)</f>
        <v>23842.54</v>
      </c>
      <c r="E22" s="25" t="s">
        <v>18</v>
      </c>
      <c r="F22" s="53">
        <f>SUM(F15:F20)</f>
        <v>23228.380000000005</v>
      </c>
      <c r="H22" s="53">
        <f>F22+C22+C12+F12+I12</f>
        <v>110000.00344513505</v>
      </c>
    </row>
    <row r="24" spans="2:9" ht="21" x14ac:dyDescent="0.35">
      <c r="B24" s="156" t="s">
        <v>23</v>
      </c>
      <c r="C24" s="156"/>
      <c r="D24" s="156"/>
      <c r="E24" s="156"/>
      <c r="F24" s="156"/>
      <c r="G24" s="156"/>
      <c r="H24" s="156"/>
      <c r="I24" s="156"/>
    </row>
    <row r="25" spans="2:9" x14ac:dyDescent="0.25">
      <c r="B25" s="49" t="s">
        <v>2</v>
      </c>
      <c r="C25" s="50" t="e">
        <f>H44*3</f>
        <v>#VALUE!</v>
      </c>
    </row>
    <row r="26" spans="2:9" x14ac:dyDescent="0.25">
      <c r="B26" s="155" t="s">
        <v>8</v>
      </c>
      <c r="C26" s="155"/>
      <c r="E26" s="155" t="s">
        <v>9</v>
      </c>
      <c r="F26" s="155"/>
      <c r="H26" s="155" t="s">
        <v>10</v>
      </c>
      <c r="I26" s="155"/>
    </row>
    <row r="27" spans="2:9" x14ac:dyDescent="0.25">
      <c r="B27" t="s">
        <v>12</v>
      </c>
      <c r="C27" s="48" t="e">
        <f>'METAS - ITAPIPOCA'!C39/2</f>
        <v>#VALUE!</v>
      </c>
      <c r="E27" t="s">
        <v>12</v>
      </c>
      <c r="F27" s="48">
        <f>'METAS - ITAPIPOCA'!F39/3</f>
        <v>609.71581202631398</v>
      </c>
      <c r="G27" s="44"/>
      <c r="H27" t="s">
        <v>12</v>
      </c>
      <c r="I27" s="48">
        <f>'METAS - ITAPIPOCA'!I39/3</f>
        <v>609.71581202631398</v>
      </c>
    </row>
    <row r="28" spans="2:9" x14ac:dyDescent="0.25">
      <c r="B28" t="s">
        <v>13</v>
      </c>
      <c r="C28" s="48" t="e">
        <f>'METAS - ITAPIPOCA'!C40/2</f>
        <v>#VALUE!</v>
      </c>
      <c r="E28" t="s">
        <v>13</v>
      </c>
      <c r="F28" s="48">
        <f>'METAS - ITAPIPOCA'!F40/3</f>
        <v>534.79910524676507</v>
      </c>
      <c r="G28" s="44"/>
      <c r="H28" t="s">
        <v>13</v>
      </c>
      <c r="I28" s="48">
        <f>'METAS - ITAPIPOCA'!I40/3</f>
        <v>534.79910524676507</v>
      </c>
    </row>
    <row r="29" spans="2:9" x14ac:dyDescent="0.25">
      <c r="B29" t="s">
        <v>14</v>
      </c>
      <c r="C29" s="48">
        <f>'METAS - ITAPIPOCA'!C41/2</f>
        <v>510.51901350624348</v>
      </c>
      <c r="E29" t="s">
        <v>14</v>
      </c>
      <c r="F29" s="48">
        <f>'METAS - ITAPIPOCA'!F41/3</f>
        <v>340.34600900416234</v>
      </c>
      <c r="G29" s="44"/>
      <c r="H29" t="s">
        <v>14</v>
      </c>
      <c r="I29" s="48">
        <f>'METAS - ITAPIPOCA'!I41/3</f>
        <v>340.34600900416234</v>
      </c>
    </row>
    <row r="30" spans="2:9" x14ac:dyDescent="0.25">
      <c r="B30" t="s">
        <v>15</v>
      </c>
      <c r="C30" s="48">
        <f>'METAS - ITAPIPOCA'!C42/3</f>
        <v>636.89818878538199</v>
      </c>
      <c r="E30" t="s">
        <v>15</v>
      </c>
      <c r="F30" s="48">
        <f>'METAS - ITAPIPOCA'!F42/3</f>
        <v>636.89818878538199</v>
      </c>
      <c r="G30" s="44"/>
      <c r="H30" t="s">
        <v>15</v>
      </c>
      <c r="I30" s="48">
        <f>'METAS - ITAPIPOCA'!I42/3</f>
        <v>636.89818878538199</v>
      </c>
    </row>
    <row r="31" spans="2:9" x14ac:dyDescent="0.25">
      <c r="B31" t="s">
        <v>16</v>
      </c>
      <c r="C31" s="48">
        <f>'METAS - ITAPIPOCA'!C43/3</f>
        <v>1205.5100942888696</v>
      </c>
      <c r="E31" t="s">
        <v>16</v>
      </c>
      <c r="F31" s="48">
        <f>'METAS - ITAPIPOCA'!F43/3</f>
        <v>1205.5100942888696</v>
      </c>
      <c r="G31" s="44"/>
      <c r="H31" t="s">
        <v>16</v>
      </c>
      <c r="I31" s="48">
        <f>'METAS - ITAPIPOCA'!I43/3</f>
        <v>1205.5100942888696</v>
      </c>
    </row>
    <row r="32" spans="2:9" x14ac:dyDescent="0.25">
      <c r="B32" s="51" t="s">
        <v>17</v>
      </c>
      <c r="C32" s="52">
        <f>'METAS - ITAPIPOCA'!C44/3</f>
        <v>595.0864078677879</v>
      </c>
      <c r="E32" s="51" t="s">
        <v>17</v>
      </c>
      <c r="F32" s="52">
        <f>'METAS - ITAPIPOCA'!F44/3</f>
        <v>595.0864078677879</v>
      </c>
      <c r="G32" s="44"/>
      <c r="H32" s="51" t="s">
        <v>17</v>
      </c>
      <c r="I32" s="52">
        <f>'METAS - ITAPIPOCA'!I44/3</f>
        <v>595.0864078677879</v>
      </c>
    </row>
    <row r="34" spans="2:9" x14ac:dyDescent="0.25">
      <c r="B34" s="25" t="s">
        <v>18</v>
      </c>
      <c r="C34" s="53" t="e">
        <f>SUM(C27:C32)</f>
        <v>#VALUE!</v>
      </c>
      <c r="E34" s="25" t="s">
        <v>18</v>
      </c>
      <c r="F34" s="53">
        <f>SUM(F27:F32)</f>
        <v>3922.3556172192802</v>
      </c>
      <c r="H34" s="25" t="s">
        <v>18</v>
      </c>
      <c r="I34" s="53">
        <f>SUM(I27:I32)</f>
        <v>3922.3556172192802</v>
      </c>
    </row>
    <row r="36" spans="2:9" x14ac:dyDescent="0.25">
      <c r="B36" s="155" t="s">
        <v>19</v>
      </c>
      <c r="C36" s="155"/>
      <c r="E36" s="155" t="s">
        <v>20</v>
      </c>
      <c r="F36" s="155"/>
    </row>
    <row r="37" spans="2:9" x14ac:dyDescent="0.25">
      <c r="B37" t="s">
        <v>12</v>
      </c>
      <c r="C37" s="48">
        <f>'METAS - ITAPIPOCA'!C50/3</f>
        <v>609.71581202631398</v>
      </c>
      <c r="E37" t="s">
        <v>12</v>
      </c>
      <c r="F37" s="48">
        <f>'METAS - ITAPIPOCA'!F50/3</f>
        <v>609.71581202631398</v>
      </c>
    </row>
    <row r="38" spans="2:9" x14ac:dyDescent="0.25">
      <c r="B38" t="s">
        <v>13</v>
      </c>
      <c r="C38" s="48">
        <f>'METAS - ITAPIPOCA'!C51/3</f>
        <v>534.79910524676507</v>
      </c>
      <c r="E38" t="s">
        <v>13</v>
      </c>
      <c r="F38" s="48">
        <f>'METAS - ITAPIPOCA'!F51/3</f>
        <v>534.79910524676507</v>
      </c>
    </row>
    <row r="39" spans="2:9" x14ac:dyDescent="0.25">
      <c r="B39" t="s">
        <v>14</v>
      </c>
      <c r="C39" s="48">
        <f>'METAS - ITAPIPOCA'!C52/3</f>
        <v>340.34600900416234</v>
      </c>
      <c r="E39" t="s">
        <v>14</v>
      </c>
      <c r="F39" s="48">
        <f>'METAS - ITAPIPOCA'!F52/3</f>
        <v>340.34600900416234</v>
      </c>
    </row>
    <row r="40" spans="2:9" x14ac:dyDescent="0.25">
      <c r="B40" t="s">
        <v>15</v>
      </c>
      <c r="C40" s="48">
        <f>'METAS - ITAPIPOCA'!C53/3</f>
        <v>636.89818878538199</v>
      </c>
      <c r="E40" t="s">
        <v>15</v>
      </c>
      <c r="F40" s="48">
        <f>'METAS - ITAPIPOCA'!F53/3</f>
        <v>636.89818878538199</v>
      </c>
    </row>
    <row r="41" spans="2:9" x14ac:dyDescent="0.25">
      <c r="B41" t="s">
        <v>16</v>
      </c>
      <c r="C41" s="48">
        <f>'METAS - ITAPIPOCA'!C54/3</f>
        <v>1205.5100942888696</v>
      </c>
      <c r="E41" t="s">
        <v>16</v>
      </c>
      <c r="F41" s="48" t="e">
        <f>'METAS - ITAPIPOCA'!F54/3</f>
        <v>#VALUE!</v>
      </c>
    </row>
    <row r="42" spans="2:9" x14ac:dyDescent="0.25">
      <c r="B42" s="51" t="s">
        <v>17</v>
      </c>
      <c r="C42" s="52">
        <f>'METAS - ITAPIPOCA'!C55/3</f>
        <v>595.0864078677879</v>
      </c>
      <c r="E42" s="51" t="s">
        <v>17</v>
      </c>
      <c r="F42" s="48" t="e">
        <f>'METAS - ITAPIPOCA'!F55/3</f>
        <v>#VALUE!</v>
      </c>
    </row>
    <row r="43" spans="2:9" x14ac:dyDescent="0.25">
      <c r="H43" s="54" t="s">
        <v>21</v>
      </c>
    </row>
    <row r="44" spans="2:9" x14ac:dyDescent="0.25">
      <c r="B44" s="25" t="s">
        <v>18</v>
      </c>
      <c r="C44" s="53">
        <f>SUM(C37:C42)</f>
        <v>3922.3556172192802</v>
      </c>
      <c r="E44" s="25" t="s">
        <v>18</v>
      </c>
      <c r="F44" s="53" t="e">
        <f>SUM(F37:F42)</f>
        <v>#VALUE!</v>
      </c>
      <c r="H44" s="53" t="e">
        <f>F44+C44+C34+F34+I34</f>
        <v>#VALUE!</v>
      </c>
      <c r="I44" s="44"/>
    </row>
    <row r="46" spans="2:9" ht="21" x14ac:dyDescent="0.35">
      <c r="B46" s="156" t="s">
        <v>24</v>
      </c>
      <c r="C46" s="156"/>
      <c r="D46" s="156"/>
      <c r="E46" s="156"/>
      <c r="F46" s="156"/>
      <c r="G46" s="156"/>
      <c r="H46" s="156"/>
      <c r="I46" s="156"/>
    </row>
    <row r="47" spans="2:9" x14ac:dyDescent="0.25">
      <c r="B47" s="49" t="s">
        <v>3</v>
      </c>
      <c r="C47" s="50" t="e">
        <f>H66*3</f>
        <v>#VALUE!</v>
      </c>
    </row>
    <row r="48" spans="2:9" x14ac:dyDescent="0.25">
      <c r="B48" s="155" t="s">
        <v>8</v>
      </c>
      <c r="C48" s="155"/>
      <c r="E48" s="155" t="s">
        <v>9</v>
      </c>
      <c r="F48" s="155"/>
      <c r="H48" s="155" t="s">
        <v>10</v>
      </c>
      <c r="I48" s="155"/>
    </row>
    <row r="49" spans="2:9" x14ac:dyDescent="0.25">
      <c r="B49" t="s">
        <v>12</v>
      </c>
      <c r="C49" s="48" t="e">
        <f>'METAS - ITAPIPOCA'!C64/2</f>
        <v>#VALUE!</v>
      </c>
      <c r="E49" t="s">
        <v>12</v>
      </c>
      <c r="F49" s="48">
        <f>'METAS - ITAPIPOCA'!F64/3</f>
        <v>731.65897443157689</v>
      </c>
      <c r="G49" s="44"/>
      <c r="H49" t="s">
        <v>12</v>
      </c>
      <c r="I49" s="48">
        <f>'METAS - ITAPIPOCA'!I64/3</f>
        <v>731.65897443157689</v>
      </c>
    </row>
    <row r="50" spans="2:9" x14ac:dyDescent="0.25">
      <c r="B50" t="s">
        <v>13</v>
      </c>
      <c r="C50" s="48" t="e">
        <f>'METAS - ITAPIPOCA'!C65/2</f>
        <v>#VALUE!</v>
      </c>
      <c r="E50" t="s">
        <v>13</v>
      </c>
      <c r="F50" s="48">
        <f>'METAS - ITAPIPOCA'!F65/3</f>
        <v>641.75892629611803</v>
      </c>
      <c r="G50" s="44"/>
      <c r="H50" t="s">
        <v>13</v>
      </c>
      <c r="I50" s="48">
        <f>'METAS - ITAPIPOCA'!I65/3</f>
        <v>641.75892629611803</v>
      </c>
    </row>
    <row r="51" spans="2:9" x14ac:dyDescent="0.25">
      <c r="B51" t="s">
        <v>14</v>
      </c>
      <c r="C51" s="48">
        <f>'METAS - ITAPIPOCA'!C66/2</f>
        <v>612.62281620749218</v>
      </c>
      <c r="E51" t="s">
        <v>14</v>
      </c>
      <c r="F51" s="48">
        <f>'METAS - ITAPIPOCA'!F66/3</f>
        <v>408.41521080499479</v>
      </c>
      <c r="G51" s="44"/>
      <c r="H51" t="s">
        <v>14</v>
      </c>
      <c r="I51" s="48">
        <f>'METAS - ITAPIPOCA'!I66/3</f>
        <v>408.41521080499479</v>
      </c>
    </row>
    <row r="52" spans="2:9" x14ac:dyDescent="0.25">
      <c r="B52" t="s">
        <v>15</v>
      </c>
      <c r="C52" s="48">
        <f>'METAS - ITAPIPOCA'!C67/3</f>
        <v>764.27782654245823</v>
      </c>
      <c r="E52" t="s">
        <v>15</v>
      </c>
      <c r="F52" s="48">
        <f>'METAS - ITAPIPOCA'!F67/3</f>
        <v>764.27782654245823</v>
      </c>
      <c r="G52" s="44"/>
      <c r="H52" t="s">
        <v>15</v>
      </c>
      <c r="I52" s="48">
        <f>'METAS - ITAPIPOCA'!I67/3</f>
        <v>764.27782654245823</v>
      </c>
    </row>
    <row r="53" spans="2:9" x14ac:dyDescent="0.25">
      <c r="B53" t="s">
        <v>16</v>
      </c>
      <c r="C53" s="48">
        <f>'METAS - ITAPIPOCA'!C68/3</f>
        <v>1446.6121131466434</v>
      </c>
      <c r="E53" t="s">
        <v>16</v>
      </c>
      <c r="F53" s="48">
        <f>'METAS - ITAPIPOCA'!F68/3</f>
        <v>1446.6121131466434</v>
      </c>
      <c r="G53" s="44"/>
      <c r="H53" t="s">
        <v>16</v>
      </c>
      <c r="I53" s="48">
        <f>'METAS - ITAPIPOCA'!I68/3</f>
        <v>1446.6121131466434</v>
      </c>
    </row>
    <row r="54" spans="2:9" x14ac:dyDescent="0.25">
      <c r="B54" s="51" t="s">
        <v>17</v>
      </c>
      <c r="C54" s="52">
        <f>'METAS - ITAPIPOCA'!C69/3</f>
        <v>714.10368944134552</v>
      </c>
      <c r="E54" s="51" t="s">
        <v>17</v>
      </c>
      <c r="F54" s="52">
        <f>'METAS - ITAPIPOCA'!F69/3</f>
        <v>714.10368944134552</v>
      </c>
      <c r="G54" s="44"/>
      <c r="H54" s="51" t="s">
        <v>17</v>
      </c>
      <c r="I54" s="52">
        <f>'METAS - ITAPIPOCA'!I69/3</f>
        <v>714.10368944134552</v>
      </c>
    </row>
    <row r="56" spans="2:9" x14ac:dyDescent="0.25">
      <c r="B56" s="25" t="s">
        <v>18</v>
      </c>
      <c r="C56" s="53" t="e">
        <f>SUM(C49:C54)</f>
        <v>#VALUE!</v>
      </c>
      <c r="E56" s="25" t="s">
        <v>18</v>
      </c>
      <c r="F56" s="53">
        <f>SUM(F49:F54)</f>
        <v>4706.8267406631367</v>
      </c>
      <c r="H56" s="25" t="s">
        <v>18</v>
      </c>
      <c r="I56" s="53">
        <f>SUM(I49:I54)</f>
        <v>4706.8267406631367</v>
      </c>
    </row>
    <row r="58" spans="2:9" x14ac:dyDescent="0.25">
      <c r="B58" s="155" t="s">
        <v>19</v>
      </c>
      <c r="C58" s="155"/>
      <c r="E58" s="155" t="s">
        <v>20</v>
      </c>
      <c r="F58" s="155"/>
    </row>
    <row r="59" spans="2:9" x14ac:dyDescent="0.25">
      <c r="B59" t="s">
        <v>12</v>
      </c>
      <c r="C59" s="48">
        <f>'METAS - ITAPIPOCA'!C75/3</f>
        <v>731.65897443157689</v>
      </c>
      <c r="E59" t="s">
        <v>12</v>
      </c>
      <c r="F59" s="48">
        <f>'METAS - ITAPIPOCA'!F75/3</f>
        <v>731.65897443157689</v>
      </c>
    </row>
    <row r="60" spans="2:9" x14ac:dyDescent="0.25">
      <c r="B60" t="s">
        <v>13</v>
      </c>
      <c r="C60" s="48">
        <f>'METAS - ITAPIPOCA'!C76/3</f>
        <v>641.75892629611803</v>
      </c>
      <c r="E60" t="s">
        <v>13</v>
      </c>
      <c r="F60" s="48">
        <f>'METAS - ITAPIPOCA'!F76/3</f>
        <v>641.75892629611803</v>
      </c>
    </row>
    <row r="61" spans="2:9" x14ac:dyDescent="0.25">
      <c r="B61" t="s">
        <v>14</v>
      </c>
      <c r="C61" s="48">
        <f>'METAS - ITAPIPOCA'!C77/3</f>
        <v>408.41521080499479</v>
      </c>
      <c r="E61" t="s">
        <v>14</v>
      </c>
      <c r="F61" s="48">
        <f>'METAS - ITAPIPOCA'!F77/3</f>
        <v>408.41521080499479</v>
      </c>
    </row>
    <row r="62" spans="2:9" x14ac:dyDescent="0.25">
      <c r="B62" t="s">
        <v>15</v>
      </c>
      <c r="C62" s="48">
        <f>'METAS - ITAPIPOCA'!C78/3</f>
        <v>764.27782654245823</v>
      </c>
      <c r="E62" t="s">
        <v>15</v>
      </c>
      <c r="F62" s="48">
        <f>'METAS - ITAPIPOCA'!F78/3</f>
        <v>764.27782654245823</v>
      </c>
    </row>
    <row r="63" spans="2:9" x14ac:dyDescent="0.25">
      <c r="B63" t="s">
        <v>16</v>
      </c>
      <c r="C63" s="48">
        <f>'METAS - ITAPIPOCA'!C79/3</f>
        <v>1446.6121131466434</v>
      </c>
      <c r="E63" t="s">
        <v>16</v>
      </c>
      <c r="F63" s="48" t="e">
        <f>'METAS - ITAPIPOCA'!F79/3</f>
        <v>#VALUE!</v>
      </c>
    </row>
    <row r="64" spans="2:9" x14ac:dyDescent="0.25">
      <c r="B64" s="51" t="s">
        <v>17</v>
      </c>
      <c r="C64" s="52">
        <f>'METAS - ITAPIPOCA'!C80/3</f>
        <v>714.10368944134552</v>
      </c>
      <c r="E64" s="51" t="s">
        <v>17</v>
      </c>
      <c r="F64" s="52" t="e">
        <f>'METAS - ITAPIPOCA'!F80/3</f>
        <v>#VALUE!</v>
      </c>
    </row>
    <row r="65" spans="2:9" x14ac:dyDescent="0.25">
      <c r="H65" s="54" t="s">
        <v>21</v>
      </c>
    </row>
    <row r="66" spans="2:9" x14ac:dyDescent="0.25">
      <c r="B66" s="25" t="s">
        <v>18</v>
      </c>
      <c r="C66" s="53">
        <f>SUM(C59:C64)</f>
        <v>4706.8267406631367</v>
      </c>
      <c r="E66" s="25" t="s">
        <v>18</v>
      </c>
      <c r="F66" s="53" t="e">
        <f>SUM(F59:F64)</f>
        <v>#VALUE!</v>
      </c>
      <c r="H66" s="53" t="e">
        <f>F66+C66+C56+F56+I56</f>
        <v>#VALUE!</v>
      </c>
      <c r="I66" s="44"/>
    </row>
    <row r="68" spans="2:9" ht="21" x14ac:dyDescent="0.35">
      <c r="B68" s="156" t="s">
        <v>25</v>
      </c>
      <c r="C68" s="156"/>
      <c r="D68" s="156"/>
      <c r="E68" s="156"/>
      <c r="F68" s="156"/>
      <c r="G68" s="156"/>
      <c r="H68" s="156"/>
      <c r="I68" s="156"/>
    </row>
    <row r="69" spans="2:9" x14ac:dyDescent="0.25">
      <c r="B69" s="49" t="s">
        <v>4</v>
      </c>
      <c r="C69" s="50" t="e">
        <f>H88*3</f>
        <v>#VALUE!</v>
      </c>
    </row>
    <row r="70" spans="2:9" x14ac:dyDescent="0.25">
      <c r="B70" s="159" t="s">
        <v>8</v>
      </c>
      <c r="C70" s="159"/>
      <c r="E70" s="155" t="s">
        <v>9</v>
      </c>
      <c r="F70" s="155"/>
      <c r="H70" s="155" t="s">
        <v>10</v>
      </c>
      <c r="I70" s="155"/>
    </row>
    <row r="71" spans="2:9" x14ac:dyDescent="0.25">
      <c r="B71" t="s">
        <v>12</v>
      </c>
      <c r="C71" s="48" t="e">
        <f>'METAS - ITAPIPOCA'!C88/2</f>
        <v>#VALUE!</v>
      </c>
      <c r="E71" t="s">
        <v>12</v>
      </c>
      <c r="F71" s="48">
        <f>'METAS - ITAPIPOCA'!F88/3</f>
        <v>975.54529924210249</v>
      </c>
      <c r="G71" s="44"/>
      <c r="H71" t="s">
        <v>12</v>
      </c>
      <c r="I71" s="48">
        <f>'METAS - ITAPIPOCA'!I88/3</f>
        <v>975.54529924210249</v>
      </c>
    </row>
    <row r="72" spans="2:9" x14ac:dyDescent="0.25">
      <c r="B72" t="s">
        <v>13</v>
      </c>
      <c r="C72" s="48" t="e">
        <f>'METAS - ITAPIPOCA'!C89/2</f>
        <v>#VALUE!</v>
      </c>
      <c r="E72" t="s">
        <v>13</v>
      </c>
      <c r="F72" s="48">
        <f>'METAS - ITAPIPOCA'!F89/3</f>
        <v>855.67856839482408</v>
      </c>
      <c r="G72" s="44"/>
      <c r="H72" t="s">
        <v>13</v>
      </c>
      <c r="I72" s="48">
        <f>'METAS - ITAPIPOCA'!I89/3</f>
        <v>855.67856839482408</v>
      </c>
    </row>
    <row r="73" spans="2:9" x14ac:dyDescent="0.25">
      <c r="B73" t="s">
        <v>14</v>
      </c>
      <c r="C73" s="48">
        <f>'METAS - ITAPIPOCA'!C90/2</f>
        <v>816.83042160998957</v>
      </c>
      <c r="E73" t="s">
        <v>14</v>
      </c>
      <c r="F73" s="48">
        <f>'METAS - ITAPIPOCA'!F90/3</f>
        <v>544.55361440665968</v>
      </c>
      <c r="G73" s="44"/>
      <c r="H73" t="s">
        <v>14</v>
      </c>
      <c r="I73" s="48">
        <f>'METAS - ITAPIPOCA'!I90/3</f>
        <v>544.55361440665968</v>
      </c>
    </row>
    <row r="74" spans="2:9" x14ac:dyDescent="0.25">
      <c r="B74" t="s">
        <v>15</v>
      </c>
      <c r="C74" s="48">
        <f>'METAS - ITAPIPOCA'!C91/3</f>
        <v>1019.0371020566112</v>
      </c>
      <c r="E74" t="s">
        <v>15</v>
      </c>
      <c r="F74" s="48">
        <f>'METAS - ITAPIPOCA'!F91/3</f>
        <v>1019.0371020566112</v>
      </c>
      <c r="G74" s="44"/>
      <c r="H74" t="s">
        <v>15</v>
      </c>
      <c r="I74" s="48">
        <f>'METAS - ITAPIPOCA'!I91/3</f>
        <v>1019.0371020566112</v>
      </c>
    </row>
    <row r="75" spans="2:9" x14ac:dyDescent="0.25">
      <c r="B75" t="s">
        <v>16</v>
      </c>
      <c r="C75" s="48">
        <f>'METAS - ITAPIPOCA'!C92/3</f>
        <v>1928.8161508621913</v>
      </c>
      <c r="E75" t="s">
        <v>16</v>
      </c>
      <c r="F75" s="48">
        <f>'METAS - ITAPIPOCA'!F92/3</f>
        <v>1928.8161508621913</v>
      </c>
      <c r="G75" s="44"/>
      <c r="H75" t="s">
        <v>16</v>
      </c>
      <c r="I75" s="48">
        <f>'METAS - ITAPIPOCA'!I92/3</f>
        <v>1928.8161508621913</v>
      </c>
    </row>
    <row r="76" spans="2:9" x14ac:dyDescent="0.25">
      <c r="B76" s="51" t="s">
        <v>17</v>
      </c>
      <c r="C76" s="52">
        <f>'METAS - ITAPIPOCA'!C93/3</f>
        <v>952.13825258846066</v>
      </c>
      <c r="E76" s="51" t="s">
        <v>17</v>
      </c>
      <c r="F76" s="48">
        <f>'METAS - ITAPIPOCA'!F93/3</f>
        <v>952.13825258846066</v>
      </c>
      <c r="G76" s="44"/>
      <c r="H76" s="51" t="s">
        <v>17</v>
      </c>
      <c r="I76" s="52">
        <f>'METAS - ITAPIPOCA'!I93/3</f>
        <v>952.13825258846066</v>
      </c>
    </row>
    <row r="78" spans="2:9" x14ac:dyDescent="0.25">
      <c r="B78" s="25" t="s">
        <v>18</v>
      </c>
      <c r="C78" s="53" t="e">
        <f>SUM(C71:C76)</f>
        <v>#VALUE!</v>
      </c>
      <c r="E78" s="25" t="s">
        <v>18</v>
      </c>
      <c r="F78" s="53">
        <f>SUM(F71:F76)</f>
        <v>6275.7689875508495</v>
      </c>
      <c r="H78" s="25" t="s">
        <v>18</v>
      </c>
      <c r="I78" s="53">
        <f>SUM(I71:I76)</f>
        <v>6275.7689875508495</v>
      </c>
    </row>
    <row r="80" spans="2:9" x14ac:dyDescent="0.25">
      <c r="B80" s="155" t="s">
        <v>19</v>
      </c>
      <c r="C80" s="155"/>
      <c r="E80" s="155" t="s">
        <v>20</v>
      </c>
      <c r="F80" s="155"/>
    </row>
    <row r="81" spans="2:9" x14ac:dyDescent="0.25">
      <c r="B81" t="s">
        <v>12</v>
      </c>
      <c r="C81" s="48">
        <f>'METAS - ITAPIPOCA'!C99/3</f>
        <v>975.54529924210249</v>
      </c>
      <c r="E81" t="s">
        <v>12</v>
      </c>
      <c r="F81" s="48">
        <f>'METAS - ITAPIPOCA'!F99/3</f>
        <v>975.54529924210249</v>
      </c>
    </row>
    <row r="82" spans="2:9" x14ac:dyDescent="0.25">
      <c r="B82" t="s">
        <v>13</v>
      </c>
      <c r="C82" s="48">
        <f>'METAS - ITAPIPOCA'!C100/3</f>
        <v>855.67856839482408</v>
      </c>
      <c r="E82" t="s">
        <v>13</v>
      </c>
      <c r="F82" s="48">
        <f>'METAS - ITAPIPOCA'!F100/3</f>
        <v>855.67856839482408</v>
      </c>
    </row>
    <row r="83" spans="2:9" x14ac:dyDescent="0.25">
      <c r="B83" t="s">
        <v>14</v>
      </c>
      <c r="C83" s="48">
        <f>'METAS - ITAPIPOCA'!C101/3</f>
        <v>544.55361440665968</v>
      </c>
      <c r="E83" t="s">
        <v>14</v>
      </c>
      <c r="F83" s="48">
        <f>'METAS - ITAPIPOCA'!F101/3</f>
        <v>544.55361440665968</v>
      </c>
    </row>
    <row r="84" spans="2:9" x14ac:dyDescent="0.25">
      <c r="B84" t="s">
        <v>15</v>
      </c>
      <c r="C84" s="48">
        <f>'METAS - ITAPIPOCA'!C102/3</f>
        <v>1019.0371020566112</v>
      </c>
      <c r="E84" t="s">
        <v>15</v>
      </c>
      <c r="F84" s="48">
        <f>'METAS - ITAPIPOCA'!F102/3</f>
        <v>1019.0371020566112</v>
      </c>
    </row>
    <row r="85" spans="2:9" x14ac:dyDescent="0.25">
      <c r="B85" t="s">
        <v>16</v>
      </c>
      <c r="C85" s="48">
        <f>'METAS - ITAPIPOCA'!C103/3</f>
        <v>1928.8161508621913</v>
      </c>
      <c r="E85" t="s">
        <v>16</v>
      </c>
      <c r="F85" s="48" t="e">
        <f>'METAS - ITAPIPOCA'!F103/3</f>
        <v>#VALUE!</v>
      </c>
    </row>
    <row r="86" spans="2:9" x14ac:dyDescent="0.25">
      <c r="B86" s="51" t="s">
        <v>17</v>
      </c>
      <c r="C86" s="52">
        <f>'METAS - ITAPIPOCA'!C104/3</f>
        <v>952.13825258846066</v>
      </c>
      <c r="E86" s="51" t="s">
        <v>17</v>
      </c>
      <c r="F86" s="52" t="e">
        <f>'METAS - ITAPIPOCA'!F104/3</f>
        <v>#VALUE!</v>
      </c>
    </row>
    <row r="87" spans="2:9" x14ac:dyDescent="0.25">
      <c r="H87" s="54" t="s">
        <v>21</v>
      </c>
    </row>
    <row r="88" spans="2:9" x14ac:dyDescent="0.25">
      <c r="B88" s="25" t="s">
        <v>18</v>
      </c>
      <c r="C88" s="53">
        <f>SUM(C81:C86)</f>
        <v>6275.7689875508495</v>
      </c>
      <c r="E88" s="25" t="s">
        <v>18</v>
      </c>
      <c r="F88" s="53" t="e">
        <f>SUM(F81:F86)</f>
        <v>#VALUE!</v>
      </c>
      <c r="H88" s="53" t="e">
        <f>F88+C88+C78+F78+I78</f>
        <v>#VALUE!</v>
      </c>
      <c r="I88" s="44"/>
    </row>
  </sheetData>
  <mergeCells count="24">
    <mergeCell ref="B2:I2"/>
    <mergeCell ref="B4:C4"/>
    <mergeCell ref="E4:F4"/>
    <mergeCell ref="H4:I4"/>
    <mergeCell ref="B14:C14"/>
    <mergeCell ref="E14:F14"/>
    <mergeCell ref="B24:I24"/>
    <mergeCell ref="B26:C26"/>
    <mergeCell ref="E26:F26"/>
    <mergeCell ref="H26:I26"/>
    <mergeCell ref="B36:C36"/>
    <mergeCell ref="E36:F36"/>
    <mergeCell ref="B46:I46"/>
    <mergeCell ref="B48:C48"/>
    <mergeCell ref="E48:F48"/>
    <mergeCell ref="H48:I48"/>
    <mergeCell ref="B58:C58"/>
    <mergeCell ref="E58:F58"/>
    <mergeCell ref="B68:I68"/>
    <mergeCell ref="B70:C70"/>
    <mergeCell ref="E70:F70"/>
    <mergeCell ref="H70:I70"/>
    <mergeCell ref="B80:C80"/>
    <mergeCell ref="E80:F80"/>
  </mergeCells>
  <pageMargins left="0.25" right="0.25" top="0.75" bottom="0.75" header="0.3" footer="0.3"/>
  <pageSetup paperSize="9" scale="73" orientation="portrait" r:id="rId1"/>
  <rowBreaks count="1" manualBreakCount="1"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tabColor rgb="FFFFFF00"/>
  </sheetPr>
  <dimension ref="B1:AG36"/>
  <sheetViews>
    <sheetView showGridLines="0" topLeftCell="B1" zoomScale="80" zoomScaleNormal="80" workbookViewId="0">
      <selection activeCell="B1" sqref="B1"/>
    </sheetView>
  </sheetViews>
  <sheetFormatPr defaultColWidth="8.7109375" defaultRowHeight="15" x14ac:dyDescent="0.25"/>
  <cols>
    <col min="1" max="1" width="12" bestFit="1" customWidth="1"/>
    <col min="2" max="2" width="11.42578125" style="20" bestFit="1" customWidth="1"/>
    <col min="3" max="3" width="14.42578125" style="1" bestFit="1" customWidth="1"/>
    <col min="4" max="4" width="26.7109375" style="1" bestFit="1" customWidth="1"/>
    <col min="5" max="5" width="33.42578125" style="2" bestFit="1" customWidth="1"/>
    <col min="6" max="6" width="18.140625" style="3" bestFit="1" customWidth="1"/>
    <col min="7" max="7" width="23.42578125" style="1" bestFit="1" customWidth="1"/>
    <col min="8" max="10" width="20.7109375" style="1" bestFit="1" customWidth="1"/>
    <col min="11" max="11" width="3.42578125" customWidth="1"/>
    <col min="12" max="12" width="12.42578125" bestFit="1" customWidth="1"/>
    <col min="13" max="13" width="17.140625" bestFit="1" customWidth="1"/>
    <col min="14" max="14" width="15.85546875" bestFit="1" customWidth="1"/>
    <col min="15" max="16" width="15" bestFit="1" customWidth="1"/>
    <col min="17" max="17" width="3.42578125" customWidth="1"/>
    <col min="18" max="18" width="14" bestFit="1" customWidth="1"/>
    <col min="19" max="19" width="26.85546875" bestFit="1" customWidth="1"/>
    <col min="20" max="20" width="17.140625" bestFit="1" customWidth="1"/>
    <col min="21" max="23" width="16.42578125" bestFit="1" customWidth="1"/>
    <col min="24" max="24" width="4.42578125" customWidth="1"/>
    <col min="25" max="25" width="14" bestFit="1" customWidth="1"/>
    <col min="26" max="26" width="26.85546875" bestFit="1" customWidth="1"/>
    <col min="27" max="27" width="17.140625" bestFit="1" customWidth="1"/>
    <col min="28" max="30" width="15.28515625" bestFit="1" customWidth="1"/>
    <col min="31" max="31" width="4.42578125" customWidth="1"/>
    <col min="32" max="32" width="14.42578125" bestFit="1" customWidth="1"/>
    <col min="33" max="33" width="47.7109375" bestFit="1" customWidth="1"/>
  </cols>
  <sheetData>
    <row r="1" spans="2:33" x14ac:dyDescent="0.25">
      <c r="I1" s="109" t="s">
        <v>32</v>
      </c>
      <c r="J1" s="109">
        <v>4</v>
      </c>
      <c r="K1" s="1"/>
    </row>
    <row r="2" spans="2:33" ht="15.75" thickBot="1" x14ac:dyDescent="0.3">
      <c r="I2" s="109" t="s">
        <v>29</v>
      </c>
      <c r="J2" s="109">
        <v>2026</v>
      </c>
    </row>
    <row r="3" spans="2:33" ht="45.75" thickBot="1" x14ac:dyDescent="0.3">
      <c r="B3" s="161" t="s">
        <v>45</v>
      </c>
      <c r="C3" s="161"/>
      <c r="D3" s="161"/>
      <c r="E3" s="161"/>
      <c r="F3" s="161"/>
      <c r="G3" s="161"/>
      <c r="H3" s="161"/>
      <c r="I3" s="161"/>
      <c r="J3" s="161"/>
      <c r="L3" s="157" t="s">
        <v>46</v>
      </c>
      <c r="M3" s="158"/>
      <c r="N3" s="158"/>
      <c r="O3" s="158"/>
      <c r="P3" s="158"/>
      <c r="R3" s="157" t="s">
        <v>47</v>
      </c>
      <c r="S3" s="158"/>
      <c r="T3" s="158"/>
      <c r="U3" s="158"/>
      <c r="V3" s="158"/>
      <c r="W3" s="160"/>
      <c r="X3" s="17"/>
      <c r="Y3" s="157" t="s">
        <v>128</v>
      </c>
      <c r="Z3" s="158"/>
      <c r="AA3" s="158"/>
      <c r="AB3" s="158"/>
      <c r="AC3" s="158"/>
      <c r="AD3" s="160"/>
      <c r="AF3" s="18" t="s">
        <v>48</v>
      </c>
      <c r="AG3" s="19" t="s">
        <v>49</v>
      </c>
    </row>
    <row r="4" spans="2:33" ht="15.75" thickBot="1" x14ac:dyDescent="0.3">
      <c r="B4" s="94" t="s">
        <v>50</v>
      </c>
      <c r="C4" s="20" t="s">
        <v>26</v>
      </c>
      <c r="D4" s="20" t="s">
        <v>27</v>
      </c>
      <c r="E4" s="21" t="s">
        <v>51</v>
      </c>
      <c r="F4" s="22" t="s">
        <v>52</v>
      </c>
      <c r="G4" s="8" t="s">
        <v>1</v>
      </c>
      <c r="H4" s="14" t="s">
        <v>2</v>
      </c>
      <c r="I4" s="15" t="s">
        <v>3</v>
      </c>
      <c r="J4" s="16" t="s">
        <v>4</v>
      </c>
      <c r="K4" s="22"/>
      <c r="L4" s="23" t="s">
        <v>26</v>
      </c>
      <c r="M4" s="8" t="s">
        <v>1</v>
      </c>
      <c r="N4" s="14" t="s">
        <v>2</v>
      </c>
      <c r="O4" s="15" t="s">
        <v>53</v>
      </c>
      <c r="P4" s="16" t="s">
        <v>4</v>
      </c>
      <c r="R4" s="24" t="s">
        <v>52</v>
      </c>
      <c r="S4" s="24" t="s">
        <v>51</v>
      </c>
      <c r="T4" s="8" t="s">
        <v>1</v>
      </c>
      <c r="U4" s="14" t="s">
        <v>2</v>
      </c>
      <c r="V4" s="15" t="s">
        <v>53</v>
      </c>
      <c r="W4" s="16" t="s">
        <v>4</v>
      </c>
      <c r="Y4" s="24" t="s">
        <v>52</v>
      </c>
      <c r="Z4" s="24" t="s">
        <v>51</v>
      </c>
      <c r="AA4" s="8" t="s">
        <v>1</v>
      </c>
      <c r="AB4" s="14" t="s">
        <v>2</v>
      </c>
      <c r="AC4" s="15" t="s">
        <v>53</v>
      </c>
      <c r="AD4" s="16" t="s">
        <v>4</v>
      </c>
      <c r="AF4" s="25"/>
      <c r="AG4" s="25"/>
    </row>
    <row r="5" spans="2:33" ht="45.75" thickBot="1" x14ac:dyDescent="0.3">
      <c r="B5" s="95">
        <v>1</v>
      </c>
      <c r="C5" s="26">
        <f>DATE($J$2,$J$1,B5)</f>
        <v>46113</v>
      </c>
      <c r="D5" s="21" t="str">
        <f t="shared" ref="D5:D24" si="0">UPPER(TEXT(C5,"dddd"))</f>
        <v>QUARTA-FEIRA</v>
      </c>
      <c r="E5" s="21">
        <v>3532</v>
      </c>
      <c r="F5" s="22" t="str">
        <f t="shared" ref="F5:F35" si="1">"Semana " &amp; INT((DAY(C5)+WEEKDAY(DATE(YEAR(C5),MONTH(C5),1),1)-2)/7)+1</f>
        <v>Semana 1</v>
      </c>
      <c r="G5" s="21">
        <f>'METAS - ITAPIPOCA'!C16</f>
        <v>816.83042160998957</v>
      </c>
      <c r="H5" s="21">
        <f>'METAS - ITAPIPOCA'!C41</f>
        <v>1021.038027012487</v>
      </c>
      <c r="I5" s="21">
        <f>'METAS - ITAPIPOCA'!C66</f>
        <v>1225.2456324149844</v>
      </c>
      <c r="J5" s="21">
        <f>'METAS - ITAPIPOCA'!C90</f>
        <v>1633.6608432199791</v>
      </c>
      <c r="L5" s="28">
        <f>C5</f>
        <v>46113</v>
      </c>
      <c r="M5" s="29">
        <f>$E$5-G5</f>
        <v>2715.1695783900104</v>
      </c>
      <c r="N5" s="29">
        <f>$E$5-H5</f>
        <v>2510.961972987513</v>
      </c>
      <c r="O5" s="29">
        <f>$E$5-I5</f>
        <v>2306.7543675850156</v>
      </c>
      <c r="P5" s="29">
        <f>$E$5-J5</f>
        <v>1898.3391567800209</v>
      </c>
      <c r="R5" s="30" t="s">
        <v>54</v>
      </c>
      <c r="S5" s="31">
        <f>SUMIF($F$5:$F$43,R5,$E$5:$E$43)</f>
        <v>15437</v>
      </c>
      <c r="T5" s="32">
        <f>SUM('METAS - ITAPIPOCA'!C14:C19)</f>
        <v>6666.8176798708846</v>
      </c>
      <c r="U5" s="32">
        <f>SUM('METAS - ITAPIPOCA'!C39:C44)</f>
        <v>8333.5220998386048</v>
      </c>
      <c r="V5" s="32">
        <f>SUM('METAS - ITAPIPOCA'!C64:C69)</f>
        <v>10000.226519806325</v>
      </c>
      <c r="W5" s="32">
        <f>SUM('METAS - ITAPIPOCA'!C88:C93)</f>
        <v>13333.635359741769</v>
      </c>
      <c r="Y5" s="30">
        <v>1</v>
      </c>
      <c r="Z5" s="31">
        <f>S5</f>
        <v>15437</v>
      </c>
      <c r="AA5" s="33">
        <f>$S$5-T5</f>
        <v>8770.1823201291154</v>
      </c>
      <c r="AB5" s="33">
        <f>$S$5-U5</f>
        <v>7103.4779001613952</v>
      </c>
      <c r="AC5" s="33">
        <f>$S$5-V5</f>
        <v>5436.7734801936749</v>
      </c>
      <c r="AD5" s="33">
        <f>$S$5-W5</f>
        <v>2103.3646402582308</v>
      </c>
      <c r="AF5" s="34" t="s">
        <v>55</v>
      </c>
      <c r="AG5" s="19" t="s">
        <v>56</v>
      </c>
    </row>
    <row r="6" spans="2:33" x14ac:dyDescent="0.25">
      <c r="B6" s="95">
        <v>2</v>
      </c>
      <c r="C6" s="26">
        <f t="shared" ref="C6:C35" si="2">DATE($J$2,$J$1,B6)</f>
        <v>46114</v>
      </c>
      <c r="D6" s="21" t="str">
        <f t="shared" si="0"/>
        <v>QUINTA-FEIRA</v>
      </c>
      <c r="E6" s="21">
        <v>7946</v>
      </c>
      <c r="F6" s="22" t="str">
        <f t="shared" si="1"/>
        <v>Semana 1</v>
      </c>
      <c r="G6" s="21">
        <f>'METAS - ITAPIPOCA'!C17</f>
        <v>1528.5556530849167</v>
      </c>
      <c r="H6" s="21">
        <f>'METAS - ITAPIPOCA'!C42</f>
        <v>1910.694566356146</v>
      </c>
      <c r="I6" s="21">
        <f>'METAS - ITAPIPOCA'!C67</f>
        <v>2292.8334796273748</v>
      </c>
      <c r="J6" s="21">
        <f>'METAS - ITAPIPOCA'!C91</f>
        <v>3057.1113061698334</v>
      </c>
      <c r="L6" s="28">
        <f t="shared" ref="L6:L35" si="3">C6</f>
        <v>46114</v>
      </c>
      <c r="M6" s="29">
        <f>$E$6-G6</f>
        <v>6417.4443469150829</v>
      </c>
      <c r="N6" s="29">
        <f>$E$6-H6</f>
        <v>6035.3054336438545</v>
      </c>
      <c r="O6" s="29">
        <f>$E$6-I6</f>
        <v>5653.1665203726252</v>
      </c>
      <c r="P6" s="29">
        <f>$E$6-J6</f>
        <v>4888.8886938301666</v>
      </c>
      <c r="R6" s="30" t="s">
        <v>57</v>
      </c>
      <c r="S6" s="36">
        <f>SUMIF($F$5:$F$43,R6,$E$5:$E$43)</f>
        <v>38229</v>
      </c>
      <c r="T6" s="37">
        <f>SUM('METAS - ITAPIPOCA'!F14:F19)</f>
        <v>9413.6534813262733</v>
      </c>
      <c r="U6" s="37">
        <f>SUM('METAS - ITAPIPOCA'!F39:F44)</f>
        <v>11767.066851657841</v>
      </c>
      <c r="V6" s="37">
        <f>SUM('METAS - ITAPIPOCA'!F64:F69)</f>
        <v>14120.480221989412</v>
      </c>
      <c r="W6" s="37">
        <f>SUM('METAS - ITAPIPOCA'!F88:F93)</f>
        <v>18827.306962652547</v>
      </c>
      <c r="Y6" s="35">
        <v>2</v>
      </c>
      <c r="Z6" s="31">
        <f>S6</f>
        <v>38229</v>
      </c>
      <c r="AA6" s="38">
        <f>IF(Z6="","",$S$6-T6)</f>
        <v>28815.346518673727</v>
      </c>
      <c r="AB6" s="38">
        <f>IF(AA6="","",$S$6-U6)</f>
        <v>26461.933148342159</v>
      </c>
      <c r="AC6" s="38">
        <f>IF(AB6="","",$S$6-V6)</f>
        <v>24108.519778010588</v>
      </c>
      <c r="AD6" s="38">
        <f>IF(AC6="","",$S$6-W6)</f>
        <v>19401.693037347453</v>
      </c>
    </row>
    <row r="7" spans="2:33" x14ac:dyDescent="0.25">
      <c r="B7" s="95">
        <v>3</v>
      </c>
      <c r="C7" s="26">
        <f t="shared" si="2"/>
        <v>46115</v>
      </c>
      <c r="D7" s="21" t="str">
        <f t="shared" si="0"/>
        <v>SEXTA-FEIRA</v>
      </c>
      <c r="E7" s="21"/>
      <c r="F7" s="22" t="str">
        <f t="shared" si="1"/>
        <v>Semana 1</v>
      </c>
      <c r="G7" s="21">
        <f>'METAS - ITAPIPOCA'!C18</f>
        <v>2893.2242262932868</v>
      </c>
      <c r="H7" s="21">
        <f>'METAS - ITAPIPOCA'!C43</f>
        <v>3616.5302828666086</v>
      </c>
      <c r="I7" s="21">
        <f>'METAS - ITAPIPOCA'!C68</f>
        <v>4339.8363394399303</v>
      </c>
      <c r="J7" s="21">
        <f>'METAS - ITAPIPOCA'!C92</f>
        <v>5786.4484525865737</v>
      </c>
      <c r="L7" s="28">
        <f t="shared" si="3"/>
        <v>46115</v>
      </c>
      <c r="M7" s="29">
        <f>$E$7-G7</f>
        <v>-2893.2242262932868</v>
      </c>
      <c r="N7" s="29">
        <f>$E$7-H7</f>
        <v>-3616.5302828666086</v>
      </c>
      <c r="O7" s="29">
        <f>$E$7-I7</f>
        <v>-4339.8363394399303</v>
      </c>
      <c r="P7" s="29">
        <f>$E$7-J7</f>
        <v>-5786.4484525865737</v>
      </c>
      <c r="R7" s="30" t="s">
        <v>58</v>
      </c>
      <c r="S7" s="36">
        <f>SUMIF($F$5:$F$43,R7,$E$5:$E$43)</f>
        <v>23982</v>
      </c>
      <c r="T7" s="32">
        <f>SUM('METAS - ITAPIPOCA'!I14:I19)</f>
        <v>9413.6534813262733</v>
      </c>
      <c r="U7" s="32">
        <f>SUM('METAS - ITAPIPOCA'!I39:I44)</f>
        <v>11767.066851657841</v>
      </c>
      <c r="V7" s="32">
        <f>SUM('METAS - ITAPIPOCA'!I64:I69)</f>
        <v>14120.480221989412</v>
      </c>
      <c r="W7" s="32">
        <f>SUM('METAS - ITAPIPOCA'!I88:I93)</f>
        <v>18827.306962652547</v>
      </c>
      <c r="Y7" s="35">
        <v>3</v>
      </c>
      <c r="Z7" s="31">
        <f>S7</f>
        <v>23982</v>
      </c>
      <c r="AA7" s="38">
        <f>IF(Z7="","",$S$7-T7)</f>
        <v>14568.346518673727</v>
      </c>
      <c r="AB7" s="38">
        <f>IF(AA7="","",$S$7-U7)</f>
        <v>12214.933148342159</v>
      </c>
      <c r="AC7" s="38">
        <f>IF(AB7="","",$S$7-V7)</f>
        <v>9861.5197780105882</v>
      </c>
      <c r="AD7" s="38">
        <f>IF(AC7="","",$S$7-W7)</f>
        <v>5154.6930373474534</v>
      </c>
    </row>
    <row r="8" spans="2:33" x14ac:dyDescent="0.25">
      <c r="B8" s="95">
        <v>4</v>
      </c>
      <c r="C8" s="39">
        <f t="shared" si="2"/>
        <v>46116</v>
      </c>
      <c r="D8" s="2" t="str">
        <f t="shared" si="0"/>
        <v>SÁBADO</v>
      </c>
      <c r="E8" s="2">
        <v>3959</v>
      </c>
      <c r="F8" s="22" t="str">
        <f t="shared" si="1"/>
        <v>Semana 1</v>
      </c>
      <c r="G8" s="21">
        <f>'METAS - ITAPIPOCA'!C19</f>
        <v>1428.207378882691</v>
      </c>
      <c r="H8" s="21">
        <f>'METAS - ITAPIPOCA'!C44</f>
        <v>1785.2592236033638</v>
      </c>
      <c r="I8" s="21">
        <f>'METAS - ITAPIPOCA'!C69</f>
        <v>2142.3110683240366</v>
      </c>
      <c r="J8" s="21">
        <f>'METAS - ITAPIPOCA'!C93</f>
        <v>2856.4147577653821</v>
      </c>
      <c r="L8" s="28">
        <f t="shared" si="3"/>
        <v>46116</v>
      </c>
      <c r="M8" s="29">
        <f>$E$8-G8</f>
        <v>2530.792621117309</v>
      </c>
      <c r="N8" s="29">
        <f>$E$8-H8</f>
        <v>2173.7407763966362</v>
      </c>
      <c r="O8" s="29">
        <f>$E$8-I8</f>
        <v>1816.6889316759634</v>
      </c>
      <c r="P8" s="29">
        <f>$E$8-J8</f>
        <v>1102.5852422346179</v>
      </c>
      <c r="R8" s="30" t="s">
        <v>59</v>
      </c>
      <c r="S8" s="36">
        <f>SUMIF($F$5:$F$43,R8,$E$5:$E$43)</f>
        <v>15441</v>
      </c>
      <c r="T8" s="41">
        <f>SUM('METAS - ITAPIPOCA'!C25:C30)</f>
        <v>9413.6534813262733</v>
      </c>
      <c r="U8" s="41">
        <f>SUM('METAS - ITAPIPOCA'!C50:C55)</f>
        <v>11767.066851657841</v>
      </c>
      <c r="V8" s="41">
        <f>SUM('METAS - ITAPIPOCA'!C75:C80)</f>
        <v>14120.480221989412</v>
      </c>
      <c r="W8" s="41">
        <f>SUM('METAS - ITAPIPOCA'!C99:C104)</f>
        <v>18827.306962652547</v>
      </c>
      <c r="Y8" s="35">
        <v>4</v>
      </c>
      <c r="Z8" s="31">
        <f>S8</f>
        <v>15441</v>
      </c>
      <c r="AA8" s="38">
        <f>IF(Z8="","",$S$8-T8)</f>
        <v>6027.3465186737267</v>
      </c>
      <c r="AB8" s="38">
        <f>IF(AA8="","",$S$8-U8)</f>
        <v>3673.9331483421593</v>
      </c>
      <c r="AC8" s="38">
        <f>IF(AB8="","",$S$8-V8)</f>
        <v>1320.5197780105882</v>
      </c>
      <c r="AD8" s="38">
        <f>IF(AC8="","",$S$8-W8)</f>
        <v>-3386.3069626525466</v>
      </c>
    </row>
    <row r="9" spans="2:33" ht="15.75" thickBot="1" x14ac:dyDescent="0.3">
      <c r="B9" s="95">
        <v>5</v>
      </c>
      <c r="C9" s="39">
        <f t="shared" si="2"/>
        <v>46117</v>
      </c>
      <c r="D9" s="2" t="str">
        <f t="shared" si="0"/>
        <v>DOMINGO</v>
      </c>
      <c r="F9" s="22" t="str">
        <f t="shared" si="1"/>
        <v>Semana 2</v>
      </c>
      <c r="G9" s="21" t="str">
        <f>'METAS - ITAPIPOCA'!F13</f>
        <v/>
      </c>
      <c r="H9" s="27" t="str">
        <f>'METAS - ITAPIPOCA'!F38</f>
        <v/>
      </c>
      <c r="I9" s="21" t="str">
        <f>'METAS - ITAPIPOCA'!F63</f>
        <v/>
      </c>
      <c r="J9" s="21" t="str">
        <f>'METAS - ITAPIPOCA'!F87</f>
        <v/>
      </c>
      <c r="L9" s="28">
        <f t="shared" si="3"/>
        <v>46117</v>
      </c>
      <c r="M9" s="29" t="e">
        <f>$E$9-G9</f>
        <v>#VALUE!</v>
      </c>
      <c r="N9" s="29" t="e">
        <f>$E$9-H9</f>
        <v>#VALUE!</v>
      </c>
      <c r="O9" s="29" t="e">
        <f>$E$9-I9</f>
        <v>#VALUE!</v>
      </c>
      <c r="P9" s="29" t="e">
        <f>$E$9-J9</f>
        <v>#VALUE!</v>
      </c>
      <c r="R9" s="30" t="s">
        <v>60</v>
      </c>
      <c r="S9" s="36">
        <f>SUMIF($F$5:$F$43,R9,$E$5:$E$43)</f>
        <v>8040</v>
      </c>
      <c r="T9" s="42">
        <f>SUM('METAS - ITAPIPOCA'!F25:F30)</f>
        <v>5092.2218761502954</v>
      </c>
      <c r="U9" s="42">
        <f>SUM('METAS - ITAPIPOCA'!F50:F55)</f>
        <v>6365.2773451878693</v>
      </c>
      <c r="V9" s="42">
        <f>SUM('METAS - ITAPIPOCA'!F75:F80)</f>
        <v>7638.3328142254441</v>
      </c>
      <c r="W9" s="42">
        <f>SUM('METAS - ITAPIPOCA'!F99:F104)</f>
        <v>10184.443752300591</v>
      </c>
      <c r="Y9" s="35">
        <v>5</v>
      </c>
      <c r="Z9" s="31">
        <f>S9</f>
        <v>8040</v>
      </c>
      <c r="AA9" s="38">
        <f>IF(Z9="","",$S$9-T9)</f>
        <v>2947.7781238497046</v>
      </c>
      <c r="AB9" s="38">
        <f>IF(AA9="","",$S$9-U9)</f>
        <v>1674.7226548121307</v>
      </c>
      <c r="AC9" s="38">
        <f>IF(AB9="","",$S$9-V9)</f>
        <v>401.66718577455595</v>
      </c>
      <c r="AD9" s="38">
        <f>IF(AC9="","",$S$9-W9)</f>
        <v>-2144.4437523005909</v>
      </c>
    </row>
    <row r="10" spans="2:33" ht="15.75" thickBot="1" x14ac:dyDescent="0.3">
      <c r="B10" s="95">
        <v>6</v>
      </c>
      <c r="C10" s="39">
        <f t="shared" si="2"/>
        <v>46118</v>
      </c>
      <c r="D10" s="2" t="str">
        <f t="shared" si="0"/>
        <v>SEGUNDA-FEIRA</v>
      </c>
      <c r="E10" s="2">
        <v>4814</v>
      </c>
      <c r="F10" s="22" t="str">
        <f t="shared" si="1"/>
        <v>Semana 2</v>
      </c>
      <c r="G10" s="21">
        <f>'METAS - ITAPIPOCA'!F14</f>
        <v>1463.3179488631538</v>
      </c>
      <c r="H10" s="27">
        <f>'METAS - ITAPIPOCA'!F39</f>
        <v>1829.1474360789421</v>
      </c>
      <c r="I10" s="21">
        <f>'METAS - ITAPIPOCA'!F64</f>
        <v>2194.9769232947306</v>
      </c>
      <c r="J10" s="21">
        <f>'METAS - ITAPIPOCA'!F88</f>
        <v>2926.6358977263076</v>
      </c>
      <c r="L10" s="28">
        <f t="shared" si="3"/>
        <v>46118</v>
      </c>
      <c r="M10" s="29">
        <f>E10-G10</f>
        <v>3350.682051136846</v>
      </c>
      <c r="N10" s="29">
        <f>$E$10-H10</f>
        <v>2984.8525639210579</v>
      </c>
      <c r="O10" s="29">
        <f>$E$10-I10</f>
        <v>2619.0230767052694</v>
      </c>
      <c r="P10" s="29">
        <f>$E$10-J10</f>
        <v>1887.3641022736924</v>
      </c>
      <c r="AG10" s="43"/>
    </row>
    <row r="11" spans="2:33" x14ac:dyDescent="0.25">
      <c r="B11" s="95">
        <v>7</v>
      </c>
      <c r="C11" s="39">
        <f t="shared" si="2"/>
        <v>46119</v>
      </c>
      <c r="D11" s="2" t="str">
        <f t="shared" si="0"/>
        <v>TERÇA-FEIRA</v>
      </c>
      <c r="E11" s="2">
        <v>3787</v>
      </c>
      <c r="F11" s="22" t="str">
        <f t="shared" si="1"/>
        <v>Semana 2</v>
      </c>
      <c r="G11" s="21">
        <f>'METAS - ITAPIPOCA'!F15</f>
        <v>1283.5178525922361</v>
      </c>
      <c r="H11" s="27">
        <f>'METAS - ITAPIPOCA'!F40</f>
        <v>1604.3973157402952</v>
      </c>
      <c r="I11" s="21">
        <f>'METAS - ITAPIPOCA'!F65</f>
        <v>1925.2767788883541</v>
      </c>
      <c r="J11" s="21">
        <f>'METAS - ITAPIPOCA'!F89</f>
        <v>2567.0357051844721</v>
      </c>
      <c r="L11" s="28">
        <f t="shared" si="3"/>
        <v>46119</v>
      </c>
      <c r="M11" s="29">
        <f>$E$11-G11</f>
        <v>2503.4821474077639</v>
      </c>
      <c r="N11" s="29">
        <f t="shared" ref="N11:P11" si="4">$E$11-H11</f>
        <v>2182.6026842597048</v>
      </c>
      <c r="O11" s="29">
        <f t="shared" si="4"/>
        <v>1861.7232211116459</v>
      </c>
      <c r="P11" s="29">
        <f t="shared" si="4"/>
        <v>1219.9642948155279</v>
      </c>
    </row>
    <row r="12" spans="2:33" x14ac:dyDescent="0.25">
      <c r="B12" s="95">
        <v>8</v>
      </c>
      <c r="C12" s="39">
        <f t="shared" si="2"/>
        <v>46120</v>
      </c>
      <c r="D12" s="2" t="str">
        <f t="shared" si="0"/>
        <v>QUARTA-FEIRA</v>
      </c>
      <c r="E12" s="2">
        <v>4045</v>
      </c>
      <c r="F12" s="22" t="str">
        <f t="shared" si="1"/>
        <v>Semana 2</v>
      </c>
      <c r="G12" s="21">
        <f>'METAS - ITAPIPOCA'!F16</f>
        <v>816.83042160998957</v>
      </c>
      <c r="H12" s="27">
        <f>'METAS - ITAPIPOCA'!F41</f>
        <v>1021.038027012487</v>
      </c>
      <c r="I12" s="21">
        <f>'METAS - ITAPIPOCA'!F66</f>
        <v>1225.2456324149844</v>
      </c>
      <c r="J12" s="21">
        <f>'METAS - ITAPIPOCA'!F90</f>
        <v>1633.6608432199791</v>
      </c>
      <c r="L12" s="28">
        <f t="shared" si="3"/>
        <v>46120</v>
      </c>
      <c r="M12" s="29">
        <f t="shared" ref="M12:M17" si="5">E12-G12</f>
        <v>3228.1695783900104</v>
      </c>
      <c r="N12" s="29">
        <f t="shared" ref="N12:P12" si="6">$E$12-H12</f>
        <v>3023.961972987513</v>
      </c>
      <c r="O12" s="29">
        <f t="shared" si="6"/>
        <v>2819.7543675850156</v>
      </c>
      <c r="P12" s="29">
        <f t="shared" si="6"/>
        <v>2411.3391567800209</v>
      </c>
    </row>
    <row r="13" spans="2:33" x14ac:dyDescent="0.25">
      <c r="B13" s="95">
        <v>9</v>
      </c>
      <c r="C13" s="39">
        <f t="shared" si="2"/>
        <v>46121</v>
      </c>
      <c r="D13" s="2" t="str">
        <f>UPPER(TEXT(C13,"dddd"))</f>
        <v>QUINTA-FEIRA</v>
      </c>
      <c r="E13" s="2">
        <v>10087</v>
      </c>
      <c r="F13" s="22" t="str">
        <f t="shared" si="1"/>
        <v>Semana 2</v>
      </c>
      <c r="G13" s="21">
        <f>'METAS - ITAPIPOCA'!F17</f>
        <v>1528.5556530849167</v>
      </c>
      <c r="H13" s="27">
        <f>'METAS - ITAPIPOCA'!F42</f>
        <v>1910.694566356146</v>
      </c>
      <c r="I13" s="21">
        <f>'METAS - ITAPIPOCA'!F67</f>
        <v>2292.8334796273748</v>
      </c>
      <c r="J13" s="21">
        <f>'METAS - ITAPIPOCA'!F91</f>
        <v>3057.1113061698334</v>
      </c>
      <c r="L13" s="28">
        <f t="shared" si="3"/>
        <v>46121</v>
      </c>
      <c r="M13" s="29">
        <f>E13-G13</f>
        <v>8558.4443469150829</v>
      </c>
      <c r="N13" s="29">
        <f>$E$13-H13</f>
        <v>8176.3054336438545</v>
      </c>
      <c r="O13" s="29">
        <f>$E$13-I13</f>
        <v>7794.1665203726252</v>
      </c>
      <c r="P13" s="29">
        <f>$E$13-J13</f>
        <v>7029.8886938301666</v>
      </c>
    </row>
    <row r="14" spans="2:33" x14ac:dyDescent="0.25">
      <c r="B14" s="95">
        <v>10</v>
      </c>
      <c r="C14" s="39">
        <f t="shared" si="2"/>
        <v>46122</v>
      </c>
      <c r="D14" s="2" t="str">
        <f t="shared" si="0"/>
        <v>SEXTA-FEIRA</v>
      </c>
      <c r="E14" s="2">
        <v>8347</v>
      </c>
      <c r="F14" s="22" t="str">
        <f t="shared" si="1"/>
        <v>Semana 2</v>
      </c>
      <c r="G14" s="21">
        <f>'METAS - ITAPIPOCA'!F18</f>
        <v>2893.2242262932868</v>
      </c>
      <c r="H14" s="27">
        <f>'METAS - ITAPIPOCA'!F43</f>
        <v>3616.5302828666086</v>
      </c>
      <c r="I14" s="21">
        <f>'METAS - ITAPIPOCA'!F68</f>
        <v>4339.8363394399303</v>
      </c>
      <c r="J14" s="21">
        <f>'METAS - ITAPIPOCA'!F92</f>
        <v>5786.4484525865737</v>
      </c>
      <c r="L14" s="28">
        <f t="shared" si="3"/>
        <v>46122</v>
      </c>
      <c r="M14" s="29">
        <f>E14-G14</f>
        <v>5453.7757737067132</v>
      </c>
      <c r="N14" s="29">
        <f>$E$14-H14</f>
        <v>4730.4697171333919</v>
      </c>
      <c r="O14" s="29">
        <f>$E$14-I14</f>
        <v>4007.1636605600697</v>
      </c>
      <c r="P14" s="29">
        <f>$E$14-J14</f>
        <v>2560.5515474134263</v>
      </c>
      <c r="W14" t="s">
        <v>45</v>
      </c>
    </row>
    <row r="15" spans="2:33" x14ac:dyDescent="0.25">
      <c r="B15" s="95">
        <v>11</v>
      </c>
      <c r="C15" s="39">
        <f t="shared" si="2"/>
        <v>46123</v>
      </c>
      <c r="D15" s="2" t="str">
        <f t="shared" si="0"/>
        <v>SÁBADO</v>
      </c>
      <c r="E15" s="2">
        <v>7149</v>
      </c>
      <c r="F15" s="22" t="str">
        <f t="shared" si="1"/>
        <v>Semana 2</v>
      </c>
      <c r="G15" s="21">
        <f>'METAS - ITAPIPOCA'!F19</f>
        <v>1428.207378882691</v>
      </c>
      <c r="H15" s="27">
        <f>'METAS - ITAPIPOCA'!F44</f>
        <v>1785.2592236033638</v>
      </c>
      <c r="I15" s="21">
        <f>'METAS - ITAPIPOCA'!F69</f>
        <v>2142.3110683240366</v>
      </c>
      <c r="J15" s="21">
        <f>'METAS - ITAPIPOCA'!F93</f>
        <v>2856.4147577653821</v>
      </c>
      <c r="L15" s="28">
        <f t="shared" si="3"/>
        <v>46123</v>
      </c>
      <c r="M15" s="29">
        <f t="shared" si="5"/>
        <v>5720.792621117309</v>
      </c>
      <c r="N15" s="29">
        <f t="shared" ref="N15:P15" si="7">$E$15-H15</f>
        <v>5363.7407763966366</v>
      </c>
      <c r="O15" s="29">
        <f t="shared" si="7"/>
        <v>5006.6889316759634</v>
      </c>
      <c r="P15" s="29">
        <f t="shared" si="7"/>
        <v>4292.5852422346179</v>
      </c>
    </row>
    <row r="16" spans="2:33" x14ac:dyDescent="0.25">
      <c r="B16" s="95">
        <v>12</v>
      </c>
      <c r="C16" s="39">
        <f t="shared" si="2"/>
        <v>46124</v>
      </c>
      <c r="D16" s="2" t="str">
        <f t="shared" si="0"/>
        <v>DOMINGO</v>
      </c>
      <c r="F16" s="22" t="str">
        <f t="shared" si="1"/>
        <v>Semana 3</v>
      </c>
      <c r="G16" s="27">
        <f>'METAS - ITAPIPOCA'!I13</f>
        <v>0</v>
      </c>
      <c r="H16" s="27">
        <f>'METAS - ITAPIPOCA'!I38</f>
        <v>0</v>
      </c>
      <c r="I16" s="27">
        <f>'METAS - ITAPIPOCA'!I63</f>
        <v>0</v>
      </c>
      <c r="J16" s="27">
        <f>'METAS - ITAPIPOCA'!I87</f>
        <v>0</v>
      </c>
      <c r="L16" s="28">
        <f t="shared" si="3"/>
        <v>46124</v>
      </c>
      <c r="M16" s="29">
        <f t="shared" si="5"/>
        <v>0</v>
      </c>
      <c r="N16" s="29">
        <f t="shared" ref="N16:P16" si="8">$E$16-H16</f>
        <v>0</v>
      </c>
      <c r="O16" s="29">
        <f t="shared" si="8"/>
        <v>0</v>
      </c>
      <c r="P16" s="29">
        <f t="shared" si="8"/>
        <v>0</v>
      </c>
    </row>
    <row r="17" spans="2:16" x14ac:dyDescent="0.25">
      <c r="B17" s="95">
        <v>13</v>
      </c>
      <c r="C17" s="39">
        <f t="shared" si="2"/>
        <v>46125</v>
      </c>
      <c r="D17" s="2" t="str">
        <f t="shared" si="0"/>
        <v>SEGUNDA-FEIRA</v>
      </c>
      <c r="E17" s="2">
        <v>3039</v>
      </c>
      <c r="F17" s="22" t="str">
        <f t="shared" si="1"/>
        <v>Semana 3</v>
      </c>
      <c r="G17" s="27">
        <f>'METAS - ITAPIPOCA'!I14</f>
        <v>1463.3179488631538</v>
      </c>
      <c r="H17" s="27">
        <f>'METAS - ITAPIPOCA'!I39</f>
        <v>1829.1474360789421</v>
      </c>
      <c r="I17" s="27">
        <f>'METAS - ITAPIPOCA'!I64</f>
        <v>2194.9769232947306</v>
      </c>
      <c r="J17" s="27">
        <f>'METAS - ITAPIPOCA'!I88</f>
        <v>2926.6358977263076</v>
      </c>
      <c r="L17" s="28">
        <f t="shared" si="3"/>
        <v>46125</v>
      </c>
      <c r="M17" s="29">
        <f t="shared" si="5"/>
        <v>1575.6820511368462</v>
      </c>
      <c r="N17" s="29">
        <f t="shared" ref="N17:P17" si="9">$E$17-H17</f>
        <v>1209.8525639210579</v>
      </c>
      <c r="O17" s="29">
        <f t="shared" si="9"/>
        <v>844.02307670526943</v>
      </c>
      <c r="P17" s="29">
        <f t="shared" si="9"/>
        <v>112.36410227369242</v>
      </c>
    </row>
    <row r="18" spans="2:16" x14ac:dyDescent="0.25">
      <c r="B18" s="95">
        <v>14</v>
      </c>
      <c r="C18" s="39">
        <f t="shared" si="2"/>
        <v>46126</v>
      </c>
      <c r="D18" s="2" t="str">
        <f t="shared" si="0"/>
        <v>TERÇA-FEIRA</v>
      </c>
      <c r="E18" s="2">
        <v>1122</v>
      </c>
      <c r="F18" s="22" t="str">
        <f t="shared" si="1"/>
        <v>Semana 3</v>
      </c>
      <c r="G18" s="27">
        <f>'METAS - ITAPIPOCA'!I15</f>
        <v>1283.5178525922361</v>
      </c>
      <c r="H18" s="27">
        <f>'METAS - ITAPIPOCA'!I40</f>
        <v>1604.3973157402952</v>
      </c>
      <c r="I18" s="27">
        <f>'METAS - ITAPIPOCA'!I65</f>
        <v>1925.2767788883541</v>
      </c>
      <c r="J18" s="27">
        <f>'METAS - ITAPIPOCA'!I89</f>
        <v>2567.0357051844721</v>
      </c>
      <c r="L18" s="28">
        <f t="shared" si="3"/>
        <v>46126</v>
      </c>
      <c r="M18" s="29">
        <f>$E$18-G18</f>
        <v>-161.51785259223607</v>
      </c>
      <c r="N18" s="29">
        <f t="shared" ref="N18:P18" si="10">$E$18-H18</f>
        <v>-482.3973157402952</v>
      </c>
      <c r="O18" s="29">
        <f t="shared" si="10"/>
        <v>-803.2767788883541</v>
      </c>
      <c r="P18" s="29">
        <f t="shared" si="10"/>
        <v>-1445.0357051844721</v>
      </c>
    </row>
    <row r="19" spans="2:16" x14ac:dyDescent="0.25">
      <c r="B19" s="95">
        <v>15</v>
      </c>
      <c r="C19" s="39">
        <f t="shared" si="2"/>
        <v>46127</v>
      </c>
      <c r="D19" s="2" t="str">
        <f t="shared" si="0"/>
        <v>QUARTA-FEIRA</v>
      </c>
      <c r="E19" s="2">
        <v>3872</v>
      </c>
      <c r="F19" s="22" t="str">
        <f t="shared" si="1"/>
        <v>Semana 3</v>
      </c>
      <c r="G19" s="27">
        <f>'METAS - ITAPIPOCA'!I16</f>
        <v>816.83042160998957</v>
      </c>
      <c r="H19" s="27">
        <f>'METAS - ITAPIPOCA'!I41</f>
        <v>1021.038027012487</v>
      </c>
      <c r="I19" s="27">
        <f>'METAS - ITAPIPOCA'!I66</f>
        <v>1225.2456324149844</v>
      </c>
      <c r="J19" s="27">
        <f>'METAS - ITAPIPOCA'!I90</f>
        <v>1633.6608432199791</v>
      </c>
      <c r="L19" s="28">
        <f t="shared" si="3"/>
        <v>46127</v>
      </c>
      <c r="M19" s="29">
        <f t="shared" ref="M19:M23" si="11">E19-G19</f>
        <v>3055.1695783900104</v>
      </c>
      <c r="N19" s="29">
        <f t="shared" ref="N19:P19" si="12">$E$19-H19</f>
        <v>2850.961972987513</v>
      </c>
      <c r="O19" s="29">
        <f t="shared" si="12"/>
        <v>2646.7543675850156</v>
      </c>
      <c r="P19" s="29">
        <f t="shared" si="12"/>
        <v>2238.3391567800209</v>
      </c>
    </row>
    <row r="20" spans="2:16" x14ac:dyDescent="0.25">
      <c r="B20" s="95">
        <v>16</v>
      </c>
      <c r="C20" s="39">
        <f t="shared" si="2"/>
        <v>46128</v>
      </c>
      <c r="D20" s="2" t="str">
        <f t="shared" si="0"/>
        <v>QUINTA-FEIRA</v>
      </c>
      <c r="E20" s="2">
        <v>4792</v>
      </c>
      <c r="F20" s="22" t="str">
        <f t="shared" si="1"/>
        <v>Semana 3</v>
      </c>
      <c r="G20" s="27">
        <f>'METAS - ITAPIPOCA'!I17</f>
        <v>1528.5556530849167</v>
      </c>
      <c r="H20" s="27">
        <f>'METAS - ITAPIPOCA'!I42</f>
        <v>1910.694566356146</v>
      </c>
      <c r="I20" s="27">
        <f>'METAS - ITAPIPOCA'!I67</f>
        <v>2292.8334796273748</v>
      </c>
      <c r="J20" s="27">
        <f>'METAS - ITAPIPOCA'!I91</f>
        <v>3057.1113061698334</v>
      </c>
      <c r="L20" s="28">
        <f t="shared" si="3"/>
        <v>46128</v>
      </c>
      <c r="M20" s="29">
        <f t="shared" si="11"/>
        <v>3263.4443469150833</v>
      </c>
      <c r="N20" s="29">
        <f t="shared" ref="N20:P20" si="13">$E$20-H20</f>
        <v>2881.305433643854</v>
      </c>
      <c r="O20" s="29">
        <f t="shared" si="13"/>
        <v>2499.1665203726252</v>
      </c>
      <c r="P20" s="29">
        <f t="shared" si="13"/>
        <v>1734.8886938301666</v>
      </c>
    </row>
    <row r="21" spans="2:16" x14ac:dyDescent="0.25">
      <c r="B21" s="95">
        <v>17</v>
      </c>
      <c r="C21" s="39">
        <f t="shared" si="2"/>
        <v>46129</v>
      </c>
      <c r="D21" s="2" t="str">
        <f t="shared" si="0"/>
        <v>SEXTA-FEIRA</v>
      </c>
      <c r="E21" s="2">
        <v>6008</v>
      </c>
      <c r="F21" s="22" t="str">
        <f t="shared" si="1"/>
        <v>Semana 3</v>
      </c>
      <c r="G21" s="27">
        <f>'METAS - ITAPIPOCA'!I18</f>
        <v>2893.2242262932868</v>
      </c>
      <c r="H21" s="27">
        <f>'METAS - ITAPIPOCA'!I43</f>
        <v>3616.5302828666086</v>
      </c>
      <c r="I21" s="27">
        <f>'METAS - ITAPIPOCA'!I68</f>
        <v>4339.8363394399303</v>
      </c>
      <c r="J21" s="27">
        <f>'METAS - ITAPIPOCA'!I92</f>
        <v>5786.4484525865737</v>
      </c>
      <c r="L21" s="28">
        <f t="shared" si="3"/>
        <v>46129</v>
      </c>
      <c r="M21" s="29">
        <f t="shared" si="11"/>
        <v>3114.7757737067132</v>
      </c>
      <c r="N21" s="29">
        <f t="shared" ref="N21:P21" si="14">$E$21-H21</f>
        <v>2391.4697171333914</v>
      </c>
      <c r="O21" s="29">
        <f t="shared" si="14"/>
        <v>1668.1636605600697</v>
      </c>
      <c r="P21" s="29">
        <f t="shared" si="14"/>
        <v>221.55154741342631</v>
      </c>
    </row>
    <row r="22" spans="2:16" x14ac:dyDescent="0.25">
      <c r="B22" s="95">
        <v>18</v>
      </c>
      <c r="C22" s="39">
        <f t="shared" si="2"/>
        <v>46130</v>
      </c>
      <c r="D22" s="2" t="str">
        <f t="shared" si="0"/>
        <v>SÁBADO</v>
      </c>
      <c r="E22" s="2">
        <v>5149</v>
      </c>
      <c r="F22" s="22" t="str">
        <f t="shared" si="1"/>
        <v>Semana 3</v>
      </c>
      <c r="G22" s="27">
        <f>'METAS - ITAPIPOCA'!I19</f>
        <v>1428.207378882691</v>
      </c>
      <c r="H22" s="27">
        <f>'METAS - ITAPIPOCA'!I44</f>
        <v>1785.2592236033638</v>
      </c>
      <c r="I22" s="27">
        <f>'METAS - ITAPIPOCA'!I69</f>
        <v>2142.3110683240366</v>
      </c>
      <c r="J22" s="27">
        <f>'METAS - ITAPIPOCA'!I93</f>
        <v>2856.4147577653821</v>
      </c>
      <c r="L22" s="28">
        <f t="shared" si="3"/>
        <v>46130</v>
      </c>
      <c r="M22" s="29">
        <f t="shared" si="11"/>
        <v>3720.792621117309</v>
      </c>
      <c r="N22" s="29">
        <f t="shared" ref="N22:P22" si="15">$E$22-H22</f>
        <v>3363.7407763966362</v>
      </c>
      <c r="O22" s="29">
        <f t="shared" si="15"/>
        <v>3006.6889316759634</v>
      </c>
      <c r="P22" s="29">
        <f t="shared" si="15"/>
        <v>2292.5852422346179</v>
      </c>
    </row>
    <row r="23" spans="2:16" x14ac:dyDescent="0.25">
      <c r="B23" s="95">
        <v>19</v>
      </c>
      <c r="C23" s="39">
        <f t="shared" si="2"/>
        <v>46131</v>
      </c>
      <c r="D23" s="2" t="str">
        <f t="shared" si="0"/>
        <v>DOMINGO</v>
      </c>
      <c r="F23" s="22" t="str">
        <f t="shared" si="1"/>
        <v>Semana 4</v>
      </c>
      <c r="G23" s="27">
        <f>'METAS - ITAPIPOCA'!C24</f>
        <v>0</v>
      </c>
      <c r="H23" s="27">
        <f>'METAS - ITAPIPOCA'!C49</f>
        <v>0</v>
      </c>
      <c r="I23" s="27">
        <f>'METAS - ITAPIPOCA'!C74</f>
        <v>0</v>
      </c>
      <c r="J23" s="27">
        <f>'METAS - ITAPIPOCA'!C98</f>
        <v>0</v>
      </c>
      <c r="L23" s="28">
        <f t="shared" si="3"/>
        <v>46131</v>
      </c>
      <c r="M23" s="29">
        <f t="shared" si="11"/>
        <v>0</v>
      </c>
      <c r="N23" s="29">
        <f t="shared" ref="N23:P23" si="16">$E$23-H23</f>
        <v>0</v>
      </c>
      <c r="O23" s="29">
        <f t="shared" si="16"/>
        <v>0</v>
      </c>
      <c r="P23" s="29">
        <f t="shared" si="16"/>
        <v>0</v>
      </c>
    </row>
    <row r="24" spans="2:16" x14ac:dyDescent="0.25">
      <c r="B24" s="95">
        <v>20</v>
      </c>
      <c r="C24" s="39">
        <f t="shared" si="2"/>
        <v>46132</v>
      </c>
      <c r="D24" s="2" t="str">
        <f t="shared" si="0"/>
        <v>SEGUNDA-FEIRA</v>
      </c>
      <c r="E24" s="2">
        <v>3058</v>
      </c>
      <c r="F24" s="22" t="str">
        <f t="shared" si="1"/>
        <v>Semana 4</v>
      </c>
      <c r="G24" s="27">
        <f>'METAS - ITAPIPOCA'!C25</f>
        <v>1463.3179488631538</v>
      </c>
      <c r="H24" s="27">
        <f>'METAS - ITAPIPOCA'!C50</f>
        <v>1829.1474360789421</v>
      </c>
      <c r="I24" s="27">
        <f>'METAS - ITAPIPOCA'!C75</f>
        <v>2194.9769232947306</v>
      </c>
      <c r="J24" s="27">
        <f>'METAS - ITAPIPOCA'!C99</f>
        <v>2926.6358977263076</v>
      </c>
      <c r="L24" s="28">
        <f t="shared" si="3"/>
        <v>46132</v>
      </c>
      <c r="M24" s="29">
        <f>E24-G24</f>
        <v>1594.6820511368462</v>
      </c>
      <c r="N24" s="29">
        <f>$E$24-H24</f>
        <v>1228.8525639210579</v>
      </c>
      <c r="O24" s="29">
        <f>$E$24-I24</f>
        <v>863.02307670526943</v>
      </c>
      <c r="P24" s="29">
        <f>$E$24-J24</f>
        <v>131.36410227369242</v>
      </c>
    </row>
    <row r="25" spans="2:16" x14ac:dyDescent="0.25">
      <c r="B25" s="95">
        <v>21</v>
      </c>
      <c r="C25" s="39">
        <f t="shared" si="2"/>
        <v>46133</v>
      </c>
      <c r="D25" s="2" t="str">
        <f t="shared" ref="D25:D27" si="17">UPPER(TEXT(C25,"dddd"))</f>
        <v>TERÇA-FEIRA</v>
      </c>
      <c r="F25" s="22" t="str">
        <f t="shared" si="1"/>
        <v>Semana 4</v>
      </c>
      <c r="G25" s="27">
        <f>'METAS - ITAPIPOCA'!C26</f>
        <v>1283.5178525922361</v>
      </c>
      <c r="H25" s="27">
        <f>'METAS - ITAPIPOCA'!C51</f>
        <v>1604.3973157402952</v>
      </c>
      <c r="I25" s="27">
        <f>'METAS - ITAPIPOCA'!C76</f>
        <v>1925.2767788883541</v>
      </c>
      <c r="J25" s="27">
        <f>'METAS - ITAPIPOCA'!C100</f>
        <v>2567.0357051844721</v>
      </c>
      <c r="L25" s="28">
        <f t="shared" si="3"/>
        <v>46133</v>
      </c>
      <c r="M25" s="29">
        <f>$E$25-G25</f>
        <v>-1283.5178525922361</v>
      </c>
      <c r="N25" s="29">
        <f>$E$25-H25</f>
        <v>-1604.3973157402952</v>
      </c>
      <c r="O25" s="29">
        <f>$E$25-I25</f>
        <v>-1925.2767788883541</v>
      </c>
      <c r="P25" s="29">
        <f>$E$25-J25</f>
        <v>-2567.0357051844721</v>
      </c>
    </row>
    <row r="26" spans="2:16" x14ac:dyDescent="0.25">
      <c r="B26" s="95">
        <v>22</v>
      </c>
      <c r="C26" s="39">
        <f t="shared" si="2"/>
        <v>46134</v>
      </c>
      <c r="D26" s="2" t="str">
        <f t="shared" si="17"/>
        <v>QUARTA-FEIRA</v>
      </c>
      <c r="E26" s="2">
        <v>3068</v>
      </c>
      <c r="F26" s="22" t="str">
        <f t="shared" si="1"/>
        <v>Semana 4</v>
      </c>
      <c r="G26" s="27">
        <f>'METAS - ITAPIPOCA'!C27</f>
        <v>816.83042160998957</v>
      </c>
      <c r="H26" s="27">
        <f>'METAS - ITAPIPOCA'!C52</f>
        <v>1021.038027012487</v>
      </c>
      <c r="I26" s="27">
        <f>'METAS - ITAPIPOCA'!C77</f>
        <v>1225.2456324149844</v>
      </c>
      <c r="J26" s="27">
        <f>'METAS - ITAPIPOCA'!C101</f>
        <v>1633.6608432199791</v>
      </c>
      <c r="L26" s="28">
        <f t="shared" si="3"/>
        <v>46134</v>
      </c>
      <c r="M26" s="29">
        <f t="shared" ref="M26:M31" si="18">E26-G26</f>
        <v>2251.1695783900104</v>
      </c>
      <c r="N26" s="29">
        <f t="shared" ref="N26:P26" si="19">$E$26-H26</f>
        <v>2046.961972987513</v>
      </c>
      <c r="O26" s="29">
        <f t="shared" si="19"/>
        <v>1842.7543675850156</v>
      </c>
      <c r="P26" s="29">
        <f t="shared" si="19"/>
        <v>1434.3391567800209</v>
      </c>
    </row>
    <row r="27" spans="2:16" x14ac:dyDescent="0.25">
      <c r="B27" s="95">
        <v>23</v>
      </c>
      <c r="C27" s="39">
        <f t="shared" si="2"/>
        <v>46135</v>
      </c>
      <c r="D27" s="2" t="str">
        <f t="shared" si="17"/>
        <v>QUINTA-FEIRA</v>
      </c>
      <c r="E27" s="2">
        <v>3403</v>
      </c>
      <c r="F27" s="22" t="str">
        <f t="shared" si="1"/>
        <v>Semana 4</v>
      </c>
      <c r="G27" s="27">
        <f>'METAS - ITAPIPOCA'!C28</f>
        <v>1528.5556530849167</v>
      </c>
      <c r="H27" s="27">
        <f>'METAS - ITAPIPOCA'!C53</f>
        <v>1910.694566356146</v>
      </c>
      <c r="I27" s="27">
        <f>'METAS - ITAPIPOCA'!C78</f>
        <v>2292.8334796273748</v>
      </c>
      <c r="J27" s="27">
        <f>'METAS - ITAPIPOCA'!C102</f>
        <v>3057.1113061698334</v>
      </c>
      <c r="L27" s="28">
        <f t="shared" si="3"/>
        <v>46135</v>
      </c>
      <c r="M27" s="29">
        <f t="shared" si="18"/>
        <v>1874.4443469150833</v>
      </c>
      <c r="N27" s="29">
        <f t="shared" ref="N27:P27" si="20">$E$27-H27</f>
        <v>1492.305433643854</v>
      </c>
      <c r="O27" s="29">
        <f t="shared" si="20"/>
        <v>1110.1665203726252</v>
      </c>
      <c r="P27" s="29">
        <f t="shared" si="20"/>
        <v>345.88869383016663</v>
      </c>
    </row>
    <row r="28" spans="2:16" x14ac:dyDescent="0.25">
      <c r="B28" s="95">
        <v>24</v>
      </c>
      <c r="C28" s="39">
        <f t="shared" si="2"/>
        <v>46136</v>
      </c>
      <c r="D28" s="134" t="str">
        <f t="shared" ref="D28:D30" si="21">UPPER(TEXT(C28,"dddd"))</f>
        <v>SEXTA-FEIRA</v>
      </c>
      <c r="E28" s="134">
        <v>2895</v>
      </c>
      <c r="F28" s="22" t="str">
        <f t="shared" si="1"/>
        <v>Semana 4</v>
      </c>
      <c r="G28" s="27">
        <f>'METAS - ITAPIPOCA'!C29</f>
        <v>2893.2242262932868</v>
      </c>
      <c r="H28" s="27">
        <f>'METAS - ITAPIPOCA'!C54</f>
        <v>3616.5302828666086</v>
      </c>
      <c r="I28" s="27">
        <f>'METAS - ITAPIPOCA'!C79</f>
        <v>4339.8363394399303</v>
      </c>
      <c r="J28" s="27">
        <f>'METAS - ITAPIPOCA'!C103</f>
        <v>5786.4484525865737</v>
      </c>
      <c r="L28" s="28">
        <f t="shared" si="3"/>
        <v>46136</v>
      </c>
      <c r="M28" s="29">
        <f t="shared" si="18"/>
        <v>1.7757737067131529</v>
      </c>
      <c r="N28" s="29">
        <f t="shared" ref="N28:P28" si="22">$E$28-H28</f>
        <v>-721.53028286660856</v>
      </c>
      <c r="O28" s="29">
        <f t="shared" si="22"/>
        <v>-1444.8363394399303</v>
      </c>
      <c r="P28" s="29">
        <f t="shared" si="22"/>
        <v>-2891.4484525865737</v>
      </c>
    </row>
    <row r="29" spans="2:16" x14ac:dyDescent="0.25">
      <c r="B29" s="95">
        <v>25</v>
      </c>
      <c r="C29" s="39">
        <f t="shared" si="2"/>
        <v>46137</v>
      </c>
      <c r="D29" s="134" t="str">
        <f t="shared" si="21"/>
        <v>SÁBADO</v>
      </c>
      <c r="E29" s="134">
        <v>3017</v>
      </c>
      <c r="F29" s="22" t="str">
        <f t="shared" si="1"/>
        <v>Semana 4</v>
      </c>
      <c r="G29" s="27">
        <f>'METAS - ITAPIPOCA'!C30</f>
        <v>1428.207378882691</v>
      </c>
      <c r="H29" s="27">
        <f>'METAS - ITAPIPOCA'!C55</f>
        <v>1785.2592236033638</v>
      </c>
      <c r="I29" s="27">
        <f>'METAS - ITAPIPOCA'!C80</f>
        <v>2142.3110683240366</v>
      </c>
      <c r="J29" s="27">
        <f>'METAS - ITAPIPOCA'!C104</f>
        <v>2856.4147577653821</v>
      </c>
      <c r="L29" s="28">
        <f t="shared" si="3"/>
        <v>46137</v>
      </c>
      <c r="M29" s="29">
        <f t="shared" si="18"/>
        <v>1588.792621117309</v>
      </c>
      <c r="N29" s="29">
        <f>E29-H29</f>
        <v>1231.7407763966362</v>
      </c>
      <c r="O29" s="29">
        <f>E29-I29</f>
        <v>874.68893167596343</v>
      </c>
      <c r="P29" s="29">
        <f>E29-J29</f>
        <v>160.58524223461791</v>
      </c>
    </row>
    <row r="30" spans="2:16" x14ac:dyDescent="0.25">
      <c r="B30" s="95">
        <v>26</v>
      </c>
      <c r="C30" s="39">
        <f t="shared" si="2"/>
        <v>46138</v>
      </c>
      <c r="D30" s="134" t="str">
        <f t="shared" si="21"/>
        <v>DOMINGO</v>
      </c>
      <c r="E30" s="134"/>
      <c r="F30" s="22" t="str">
        <f t="shared" si="1"/>
        <v>Semana 5</v>
      </c>
      <c r="G30" s="27">
        <f>'METAS - ITAPIPOCA'!F24</f>
        <v>0</v>
      </c>
      <c r="H30" s="27" t="str">
        <f>'METAS - ITAPIPOCA'!F49</f>
        <v/>
      </c>
      <c r="I30" s="27" t="str">
        <f>'METAS - ITAPIPOCA'!F74</f>
        <v/>
      </c>
      <c r="J30" s="27" t="str">
        <f>'METAS - ITAPIPOCA'!F98</f>
        <v/>
      </c>
      <c r="L30" s="28">
        <f t="shared" si="3"/>
        <v>46138</v>
      </c>
      <c r="M30" s="29">
        <f t="shared" si="18"/>
        <v>0</v>
      </c>
      <c r="N30" s="29" t="e">
        <f t="shared" ref="N30:N32" si="23">E30-H30</f>
        <v>#VALUE!</v>
      </c>
      <c r="O30" s="29" t="e">
        <f t="shared" ref="O30:O32" si="24">E30-I30</f>
        <v>#VALUE!</v>
      </c>
      <c r="P30" s="29" t="e">
        <f t="shared" ref="P30:P32" si="25">E30-J30</f>
        <v>#VALUE!</v>
      </c>
    </row>
    <row r="31" spans="2:16" x14ac:dyDescent="0.25">
      <c r="B31" s="95">
        <v>27</v>
      </c>
      <c r="C31" s="39">
        <f t="shared" si="2"/>
        <v>46139</v>
      </c>
      <c r="D31" s="134" t="str">
        <f t="shared" ref="D31:D34" si="26">UPPER(TEXT(C31,"dddd"))</f>
        <v>SEGUNDA-FEIRA</v>
      </c>
      <c r="E31" s="134">
        <v>2053</v>
      </c>
      <c r="F31" s="22" t="str">
        <f t="shared" si="1"/>
        <v>Semana 5</v>
      </c>
      <c r="G31" s="27">
        <f>'METAS - ITAPIPOCA'!F25</f>
        <v>1463.3179488631538</v>
      </c>
      <c r="H31" s="27">
        <f>'METAS - ITAPIPOCA'!F50</f>
        <v>1829.1474360789421</v>
      </c>
      <c r="I31" s="27">
        <f>'METAS - ITAPIPOCA'!F75</f>
        <v>2194.9769232947306</v>
      </c>
      <c r="J31" s="27">
        <f>'METAS - ITAPIPOCA'!F99</f>
        <v>2926.6358977263076</v>
      </c>
      <c r="L31" s="28">
        <f t="shared" si="3"/>
        <v>46139</v>
      </c>
      <c r="M31" s="29">
        <f t="shared" si="18"/>
        <v>589.68205113684621</v>
      </c>
      <c r="N31" s="29">
        <f>E31-H31</f>
        <v>223.85256392105794</v>
      </c>
      <c r="O31" s="29">
        <f t="shared" si="24"/>
        <v>-141.97692329473057</v>
      </c>
      <c r="P31" s="29">
        <f t="shared" si="25"/>
        <v>-873.63589772630758</v>
      </c>
    </row>
    <row r="32" spans="2:16" x14ac:dyDescent="0.25">
      <c r="B32" s="95">
        <v>28</v>
      </c>
      <c r="C32" s="39">
        <f t="shared" si="2"/>
        <v>46140</v>
      </c>
      <c r="D32" s="134" t="str">
        <f t="shared" si="26"/>
        <v>TERÇA-FEIRA</v>
      </c>
      <c r="E32" s="134">
        <v>1289</v>
      </c>
      <c r="F32" s="22" t="str">
        <f t="shared" si="1"/>
        <v>Semana 5</v>
      </c>
      <c r="G32" s="27">
        <f>'METAS - ITAPIPOCA'!F26</f>
        <v>1283.5178525922361</v>
      </c>
      <c r="H32" s="27">
        <f>'METAS - ITAPIPOCA'!F51</f>
        <v>1604.3973157402952</v>
      </c>
      <c r="I32" s="27">
        <f>'METAS - ITAPIPOCA'!F76</f>
        <v>1925.2767788883541</v>
      </c>
      <c r="J32" s="27">
        <f>'METAS - ITAPIPOCA'!F100</f>
        <v>2567.0357051844721</v>
      </c>
      <c r="L32" s="28">
        <f t="shared" si="3"/>
        <v>46140</v>
      </c>
      <c r="M32" s="29">
        <f t="shared" ref="M32:M33" si="27">E32-G32</f>
        <v>5.4821474077639323</v>
      </c>
      <c r="N32" s="29">
        <f t="shared" si="23"/>
        <v>-315.3973157402952</v>
      </c>
      <c r="O32" s="29">
        <f t="shared" si="24"/>
        <v>-636.2767788883541</v>
      </c>
      <c r="P32" s="29">
        <f t="shared" si="25"/>
        <v>-1278.0357051844721</v>
      </c>
    </row>
    <row r="33" spans="2:16" x14ac:dyDescent="0.25">
      <c r="B33" s="95">
        <v>29</v>
      </c>
      <c r="C33" s="39">
        <f t="shared" si="2"/>
        <v>46141</v>
      </c>
      <c r="D33" s="134" t="str">
        <f t="shared" si="26"/>
        <v>QUARTA-FEIRA</v>
      </c>
      <c r="E33" s="134">
        <v>1597</v>
      </c>
      <c r="F33" s="22" t="str">
        <f t="shared" si="1"/>
        <v>Semana 5</v>
      </c>
      <c r="G33" s="27">
        <f>'METAS - ITAPIPOCA'!F27</f>
        <v>816.83042160998957</v>
      </c>
      <c r="H33" s="27">
        <f>'METAS - ITAPIPOCA'!F52</f>
        <v>1021.038027012487</v>
      </c>
      <c r="I33" s="27">
        <f>'METAS - ITAPIPOCA'!F77</f>
        <v>1225.2456324149844</v>
      </c>
      <c r="J33" s="27">
        <f>'METAS - ITAPIPOCA'!F101</f>
        <v>1633.6608432199791</v>
      </c>
      <c r="L33" s="28">
        <f t="shared" si="3"/>
        <v>46141</v>
      </c>
      <c r="M33" s="29">
        <f t="shared" si="27"/>
        <v>780.16957839001043</v>
      </c>
      <c r="N33" s="29">
        <f t="shared" ref="N33" si="28">E33-H33</f>
        <v>575.96197298751304</v>
      </c>
      <c r="O33" s="29">
        <f t="shared" ref="O33" si="29">E33-I33</f>
        <v>371.75436758501564</v>
      </c>
      <c r="P33" s="29">
        <f t="shared" ref="P33" si="30">E33-J33</f>
        <v>-36.660843219979142</v>
      </c>
    </row>
    <row r="34" spans="2:16" x14ac:dyDescent="0.25">
      <c r="B34" s="95">
        <v>30</v>
      </c>
      <c r="C34" s="39">
        <f t="shared" si="2"/>
        <v>46142</v>
      </c>
      <c r="D34" s="134" t="str">
        <f t="shared" si="26"/>
        <v>QUINTA-FEIRA</v>
      </c>
      <c r="E34" s="134">
        <v>3101</v>
      </c>
      <c r="F34" s="22" t="str">
        <f t="shared" si="1"/>
        <v>Semana 5</v>
      </c>
      <c r="G34" s="27">
        <f>'METAS - ITAPIPOCA'!F28</f>
        <v>1528.5556530849167</v>
      </c>
      <c r="H34" s="27">
        <f>'METAS - ITAPIPOCA'!F53</f>
        <v>1910.694566356146</v>
      </c>
      <c r="I34" s="27">
        <f>'METAS - ITAPIPOCA'!F78</f>
        <v>2292.8334796273748</v>
      </c>
      <c r="J34" s="27">
        <f>'METAS - ITAPIPOCA'!F102</f>
        <v>3057.1113061698334</v>
      </c>
      <c r="L34" s="28">
        <f t="shared" si="3"/>
        <v>46142</v>
      </c>
      <c r="M34" s="29">
        <f>E34-G34</f>
        <v>1572.4443469150833</v>
      </c>
      <c r="N34" s="29">
        <f>E34-H34</f>
        <v>1190.305433643854</v>
      </c>
      <c r="O34" s="29">
        <f>E34-I34</f>
        <v>808.1665203726252</v>
      </c>
      <c r="P34" s="29">
        <f>E34-J34</f>
        <v>43.888693830166631</v>
      </c>
    </row>
    <row r="35" spans="2:16" x14ac:dyDescent="0.25">
      <c r="B35" s="95">
        <v>31</v>
      </c>
      <c r="C35" s="39">
        <f t="shared" si="2"/>
        <v>46143</v>
      </c>
      <c r="D35" s="134" t="str">
        <f>UPPER(TEXT(C35,"dddd"))</f>
        <v>SEXTA-FEIRA</v>
      </c>
      <c r="E35" s="134"/>
      <c r="F35" s="22" t="str">
        <f t="shared" si="1"/>
        <v>Semana 1</v>
      </c>
      <c r="G35" s="27"/>
      <c r="H35" s="27"/>
      <c r="I35" s="27"/>
      <c r="J35" s="27"/>
      <c r="L35" s="28">
        <f t="shared" si="3"/>
        <v>46143</v>
      </c>
      <c r="M35" s="29">
        <f>E35-G35</f>
        <v>0</v>
      </c>
      <c r="N35" s="29">
        <f>E35-H35</f>
        <v>0</v>
      </c>
      <c r="O35" s="29">
        <f>E35-I35</f>
        <v>0</v>
      </c>
      <c r="P35" s="29">
        <f>E35-J35</f>
        <v>0</v>
      </c>
    </row>
    <row r="36" spans="2:16" x14ac:dyDescent="0.25">
      <c r="C36" s="1" t="s">
        <v>40</v>
      </c>
      <c r="E36" s="40">
        <f>SUBTOTAL(109,Tabela37[VALOR REALIZADO])</f>
        <v>101129</v>
      </c>
      <c r="F36" s="1"/>
      <c r="G36" s="40">
        <f>SUBTOTAL(109,Tabela37[META MÍNIMA])</f>
        <v>39999.999999999985</v>
      </c>
      <c r="H36" s="40">
        <f>SUBTOTAL(109,Tabela37[TOP 1])</f>
        <v>50000.000000000015</v>
      </c>
      <c r="I36" s="40">
        <f>SUBTOTAL(109,Tabela37[TOP 2])</f>
        <v>60000.000000000007</v>
      </c>
      <c r="J36" s="40">
        <f>SUBTOTAL(109,Tabela37[MASTER])</f>
        <v>79999.999999999971</v>
      </c>
    </row>
  </sheetData>
  <mergeCells count="4">
    <mergeCell ref="L3:P3"/>
    <mergeCell ref="R3:W3"/>
    <mergeCell ref="Y3:AD3"/>
    <mergeCell ref="B3:J3"/>
  </mergeCells>
  <phoneticPr fontId="11" type="noConversion"/>
  <conditionalFormatting sqref="M5:P35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AA5:AD9">
    <cfRule type="cellIs" dxfId="27" priority="7" operator="greaterThan">
      <formula>0</formula>
    </cfRule>
    <cfRule type="cellIs" dxfId="26" priority="8" operator="lessThan">
      <formula>0</formula>
    </cfRule>
  </conditionalFormatting>
  <conditionalFormatting sqref="AF3">
    <cfRule type="cellIs" dxfId="25" priority="3" operator="greaterThan">
      <formula>0</formula>
    </cfRule>
    <cfRule type="cellIs" dxfId="24" priority="4" operator="lessThan">
      <formula>0</formula>
    </cfRule>
  </conditionalFormatting>
  <dataValidations disablePrompts="1" count="1">
    <dataValidation type="list" allowBlank="1" showInputMessage="1" showErrorMessage="1" sqref="J1" xr:uid="{DFDF67A0-C524-4BE4-96F3-A2141640BEEA}">
      <formula1>"1,2,3,4,5,6,7,8,9,10,11,12"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M25" formula="1"/>
    <ignoredError sqref="M5 N33:P33" evalError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3B74-6DC2-43C5-A3F2-0024951B7773}">
  <sheetPr>
    <tabColor rgb="FFFFFF00"/>
  </sheetPr>
  <dimension ref="D3:F11"/>
  <sheetViews>
    <sheetView workbookViewId="0">
      <selection activeCell="K13" sqref="K13"/>
    </sheetView>
  </sheetViews>
  <sheetFormatPr defaultColWidth="8.85546875" defaultRowHeight="15" x14ac:dyDescent="0.25"/>
  <cols>
    <col min="4" max="4" width="17.42578125" bestFit="1" customWidth="1"/>
    <col min="5" max="5" width="13.42578125" bestFit="1" customWidth="1"/>
  </cols>
  <sheetData>
    <row r="3" spans="4:6" x14ac:dyDescent="0.25">
      <c r="D3" s="64" t="s">
        <v>27</v>
      </c>
      <c r="E3" s="133" t="s">
        <v>28</v>
      </c>
      <c r="F3" s="20" t="s">
        <v>30</v>
      </c>
    </row>
    <row r="4" spans="4:6" x14ac:dyDescent="0.25">
      <c r="D4" s="56" t="s">
        <v>11</v>
      </c>
      <c r="E4" s="40">
        <v>0</v>
      </c>
      <c r="F4" s="98">
        <v>0</v>
      </c>
    </row>
    <row r="5" spans="4:6" x14ac:dyDescent="0.25">
      <c r="D5" s="56" t="s">
        <v>12</v>
      </c>
      <c r="E5" s="40">
        <v>4332</v>
      </c>
      <c r="F5" s="98">
        <v>7.6795711353072352E-2</v>
      </c>
    </row>
    <row r="6" spans="4:6" x14ac:dyDescent="0.25">
      <c r="D6" s="56" t="s">
        <v>13</v>
      </c>
      <c r="E6" s="40">
        <v>7344</v>
      </c>
      <c r="F6" s="98">
        <v>0.13019106744620576</v>
      </c>
    </row>
    <row r="7" spans="4:6" x14ac:dyDescent="0.25">
      <c r="D7" s="56" t="s">
        <v>14</v>
      </c>
      <c r="E7" s="40">
        <v>8009</v>
      </c>
      <c r="F7" s="98">
        <v>0.1419798827854932</v>
      </c>
    </row>
    <row r="8" spans="4:6" x14ac:dyDescent="0.25">
      <c r="D8" s="56" t="s">
        <v>15</v>
      </c>
      <c r="E8" s="40">
        <v>12828</v>
      </c>
      <c r="F8" s="98">
        <v>0.22740890702613395</v>
      </c>
    </row>
    <row r="9" spans="4:6" x14ac:dyDescent="0.25">
      <c r="D9" s="56" t="s">
        <v>16</v>
      </c>
      <c r="E9" s="40">
        <v>11091</v>
      </c>
      <c r="F9" s="98">
        <v>0.19661616680907792</v>
      </c>
    </row>
    <row r="10" spans="4:6" x14ac:dyDescent="0.25">
      <c r="D10" s="56" t="s">
        <v>17</v>
      </c>
      <c r="E10" s="40">
        <v>12805.4</v>
      </c>
      <c r="F10" s="98">
        <v>0.2270082645800168</v>
      </c>
    </row>
    <row r="11" spans="4:6" x14ac:dyDescent="0.25">
      <c r="D11" s="56" t="s">
        <v>39</v>
      </c>
      <c r="E11" s="40">
        <v>56409.4</v>
      </c>
      <c r="F11" s="98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4E3A-6994-4500-8A7D-EE923F1B2462}">
  <sheetPr codeName="Planilha7"/>
  <dimension ref="A1"/>
  <sheetViews>
    <sheetView workbookViewId="0">
      <selection activeCell="J26" sqref="J26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4">
    <tabColor theme="1" tint="4.9989318521683403E-2"/>
  </sheetPr>
  <dimension ref="B17:E35"/>
  <sheetViews>
    <sheetView showGridLines="0" zoomScale="80" zoomScaleNormal="80" workbookViewId="0">
      <selection activeCell="D23" sqref="D23"/>
    </sheetView>
  </sheetViews>
  <sheetFormatPr defaultColWidth="8.7109375" defaultRowHeight="15" x14ac:dyDescent="0.25"/>
  <cols>
    <col min="2" max="2" width="22.28515625" bestFit="1" customWidth="1"/>
    <col min="3" max="3" width="15.7109375" customWidth="1"/>
    <col min="4" max="4" width="17.42578125" customWidth="1"/>
    <col min="5" max="5" width="19.7109375" bestFit="1" customWidth="1"/>
  </cols>
  <sheetData>
    <row r="17" spans="2:5" ht="15.75" thickBot="1" x14ac:dyDescent="0.3"/>
    <row r="18" spans="2:5" x14ac:dyDescent="0.25">
      <c r="B18" s="45" t="s">
        <v>27</v>
      </c>
      <c r="C18" s="45" t="s">
        <v>61</v>
      </c>
      <c r="D18" s="45" t="s">
        <v>30</v>
      </c>
    </row>
    <row r="19" spans="2:5" x14ac:dyDescent="0.25">
      <c r="B19" s="46" t="s">
        <v>12</v>
      </c>
      <c r="C19" s="47">
        <f>SUMIF(Tabela37[DIA DA SEMANA],RESUMO!B19,Tabela37[VALOR REALIZADO])</f>
        <v>12964</v>
      </c>
      <c r="D19" s="11">
        <f t="shared" ref="D19:D25" si="0">C19/$C$25</f>
        <v>0.12819270436768879</v>
      </c>
    </row>
    <row r="20" spans="2:5" x14ac:dyDescent="0.25">
      <c r="B20" s="46" t="s">
        <v>13</v>
      </c>
      <c r="C20" s="47">
        <f>SUMIF(Tabela37[DIA DA SEMANA],RESUMO!B20,Tabela37[VALOR REALIZADO])</f>
        <v>6198</v>
      </c>
      <c r="D20" s="11">
        <f t="shared" si="0"/>
        <v>6.1288057827131683E-2</v>
      </c>
    </row>
    <row r="21" spans="2:5" x14ac:dyDescent="0.25">
      <c r="B21" s="46" t="s">
        <v>14</v>
      </c>
      <c r="C21" s="47">
        <f>SUMIF(Tabela37[DIA DA SEMANA],RESUMO!B21,Tabela37[VALOR REALIZADO])</f>
        <v>16114</v>
      </c>
      <c r="D21" s="11">
        <f t="shared" si="0"/>
        <v>0.15934103966221361</v>
      </c>
    </row>
    <row r="22" spans="2:5" x14ac:dyDescent="0.25">
      <c r="B22" s="46" t="s">
        <v>15</v>
      </c>
      <c r="C22" s="47">
        <f>SUMIF(Tabela37[DIA DA SEMANA],RESUMO!B22,Tabela37[VALOR REALIZADO])</f>
        <v>29329</v>
      </c>
      <c r="D22" s="11">
        <f t="shared" si="0"/>
        <v>0.29001572249305341</v>
      </c>
    </row>
    <row r="23" spans="2:5" x14ac:dyDescent="0.25">
      <c r="B23" s="46" t="s">
        <v>16</v>
      </c>
      <c r="C23" s="47">
        <f>SUMIF(Tabela37[DIA DA SEMANA],RESUMO!B23,Tabela37[VALOR REALIZADO])</f>
        <v>17250</v>
      </c>
      <c r="D23" s="11">
        <f t="shared" si="0"/>
        <v>0.17057421708906445</v>
      </c>
    </row>
    <row r="24" spans="2:5" x14ac:dyDescent="0.25">
      <c r="B24" s="46" t="s">
        <v>17</v>
      </c>
      <c r="C24" s="47">
        <f>SUMIF(Tabela37[DIA DA SEMANA],RESUMO!B24,Tabela37[VALOR REALIZADO])</f>
        <v>19274</v>
      </c>
      <c r="D24" s="11">
        <f t="shared" si="0"/>
        <v>0.19058825856084802</v>
      </c>
    </row>
    <row r="25" spans="2:5" x14ac:dyDescent="0.25">
      <c r="B25" s="60" t="s">
        <v>18</v>
      </c>
      <c r="C25" s="61">
        <f>SUM(C19:C24)</f>
        <v>101129</v>
      </c>
      <c r="D25" s="11">
        <f t="shared" si="0"/>
        <v>1</v>
      </c>
    </row>
    <row r="27" spans="2:5" ht="15.75" thickBot="1" x14ac:dyDescent="0.3">
      <c r="B27" s="62" t="s">
        <v>62</v>
      </c>
      <c r="C27" s="63">
        <f>Tabela37[[#Totals],[VALOR REALIZADO]]</f>
        <v>101129</v>
      </c>
      <c r="D27" s="1"/>
      <c r="E27" s="4"/>
    </row>
    <row r="28" spans="2:5" ht="15.75" thickBot="1" x14ac:dyDescent="0.3">
      <c r="B28" s="5" t="s">
        <v>63</v>
      </c>
      <c r="C28" s="5" t="s">
        <v>28</v>
      </c>
      <c r="D28" s="5" t="s">
        <v>64</v>
      </c>
      <c r="E28" s="5" t="s">
        <v>65</v>
      </c>
    </row>
    <row r="29" spans="2:5" x14ac:dyDescent="0.25">
      <c r="B29" s="8" t="s">
        <v>1</v>
      </c>
      <c r="C29" s="9">
        <f>Tabela37[[#Totals],[META MÍNIMA]]</f>
        <v>39999.999999999985</v>
      </c>
      <c r="D29" s="10">
        <f>$C$27-C29</f>
        <v>61129.000000000015</v>
      </c>
      <c r="E29" s="11">
        <f>$C$27/C29</f>
        <v>2.5282250000000008</v>
      </c>
    </row>
    <row r="30" spans="2:5" x14ac:dyDescent="0.25">
      <c r="B30" s="14" t="s">
        <v>2</v>
      </c>
      <c r="C30" s="9">
        <f>Tabela37[[#Totals],[TOP 1]]</f>
        <v>50000.000000000015</v>
      </c>
      <c r="D30" s="10">
        <f>$C$27-C30</f>
        <v>51128.999999999985</v>
      </c>
      <c r="E30" s="11">
        <f>$C$27/C30</f>
        <v>2.0225799999999996</v>
      </c>
    </row>
    <row r="31" spans="2:5" x14ac:dyDescent="0.25">
      <c r="B31" s="15" t="s">
        <v>53</v>
      </c>
      <c r="C31" s="9">
        <f>Tabela37[[#Totals],[TOP 2]]</f>
        <v>60000.000000000007</v>
      </c>
      <c r="D31" s="10">
        <f>$C$27-C31</f>
        <v>41128.999999999993</v>
      </c>
      <c r="E31" s="11">
        <f>$C$27/C31</f>
        <v>1.6854833333333332</v>
      </c>
    </row>
    <row r="32" spans="2:5" x14ac:dyDescent="0.25">
      <c r="B32" s="16" t="s">
        <v>4</v>
      </c>
      <c r="C32" s="9">
        <f>Tabela37[[#Totals],[MASTER]]</f>
        <v>79999.999999999971</v>
      </c>
      <c r="D32" s="10">
        <f>$C$27-C32</f>
        <v>21129.000000000029</v>
      </c>
      <c r="E32" s="11">
        <f>$C$27/C32</f>
        <v>1.2641125000000004</v>
      </c>
    </row>
    <row r="33" spans="2:3" ht="15.75" thickBot="1" x14ac:dyDescent="0.3"/>
    <row r="34" spans="2:3" ht="15.75" thickBot="1" x14ac:dyDescent="0.3">
      <c r="B34" s="6" t="s">
        <v>66</v>
      </c>
      <c r="C34" s="7">
        <f>MAX(Tabela37[VALOR REALIZADO])</f>
        <v>10087</v>
      </c>
    </row>
    <row r="35" spans="2:3" ht="15.75" thickBot="1" x14ac:dyDescent="0.3">
      <c r="B35" s="12" t="s">
        <v>67</v>
      </c>
      <c r="C35" s="13">
        <f>MAX(VENDAS!S5:S9)</f>
        <v>38229</v>
      </c>
    </row>
  </sheetData>
  <conditionalFormatting sqref="D19:D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{D1E75516-E4F1-4622-B499-14D9AB0B0E2D}</x14:id>
        </ext>
      </extLst>
    </cfRule>
  </conditionalFormatting>
  <conditionalFormatting sqref="D29:D32">
    <cfRule type="cellIs" dxfId="23" priority="2" operator="lessThan">
      <formula>0</formula>
    </cfRule>
  </conditionalFormatting>
  <conditionalFormatting sqref="E29:E32 E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{9D8F1B7C-564C-42C2-84E9-4D8068EF9D26}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E75516-E4F1-4622-B499-14D9AB0B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D19:D25</xm:sqref>
        </x14:conditionalFormatting>
        <x14:conditionalFormatting xmlns:xm="http://schemas.microsoft.com/office/excel/2006/main">
          <x14:cfRule type="dataBar" id="{9D8F1B7C-564C-42C2-84E9-4D8068EF9D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E29:E32 E27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84CA-4182-43E5-9AD4-2AF4ED8B592B}">
  <sheetPr codeName="Planilha8"/>
  <dimension ref="C2:G7"/>
  <sheetViews>
    <sheetView showGridLines="0" workbookViewId="0">
      <selection activeCell="I17" sqref="I17"/>
    </sheetView>
  </sheetViews>
  <sheetFormatPr defaultColWidth="8.7109375" defaultRowHeight="15" x14ac:dyDescent="0.25"/>
  <cols>
    <col min="3" max="3" width="18" bestFit="1" customWidth="1"/>
    <col min="4" max="4" width="16.42578125" bestFit="1" customWidth="1"/>
    <col min="5" max="5" width="9.7109375" bestFit="1" customWidth="1"/>
    <col min="6" max="6" width="10.28515625" bestFit="1" customWidth="1"/>
    <col min="7" max="7" width="15.28515625" bestFit="1" customWidth="1"/>
  </cols>
  <sheetData>
    <row r="2" spans="3:7" ht="21" x14ac:dyDescent="0.35">
      <c r="C2" s="162" t="s">
        <v>68</v>
      </c>
      <c r="D2" s="162"/>
    </row>
    <row r="3" spans="3:7" x14ac:dyDescent="0.25">
      <c r="C3" s="64" t="s">
        <v>69</v>
      </c>
      <c r="D3" t="s">
        <v>70</v>
      </c>
      <c r="F3" s="67" t="s">
        <v>71</v>
      </c>
      <c r="G3" s="67" t="s">
        <v>70</v>
      </c>
    </row>
    <row r="4" spans="3:7" x14ac:dyDescent="0.25">
      <c r="C4" s="56" t="s">
        <v>39</v>
      </c>
      <c r="D4" s="44"/>
      <c r="F4" s="71" t="s">
        <v>72</v>
      </c>
      <c r="G4" s="72">
        <f ca="1">SUMIF(VENDAS_VENDEDOR[[#Data],[#Totals],[VENDEDOR]],AUXILIAR!F4,VENDAS_VENDEDOR[VALOR REALIZADO])</f>
        <v>0</v>
      </c>
    </row>
    <row r="5" spans="3:7" x14ac:dyDescent="0.25">
      <c r="F5" s="71" t="s">
        <v>73</v>
      </c>
      <c r="G5" s="72">
        <f ca="1">SUMIF(VENDAS_VENDEDOR[[#Data],[#Totals],[VENDEDOR]],AUXILIAR!F5,VENDAS_VENDEDOR[VALOR REALIZADO])</f>
        <v>0</v>
      </c>
    </row>
    <row r="6" spans="3:7" x14ac:dyDescent="0.25">
      <c r="F6" s="71" t="s">
        <v>74</v>
      </c>
      <c r="G6" s="72">
        <f ca="1">SUMIF(VENDAS_VENDEDOR[[#Data],[#Totals],[VENDEDOR]],AUXILIAR!F6,VENDAS_VENDEDOR[VALOR REALIZADO])</f>
        <v>0</v>
      </c>
    </row>
    <row r="7" spans="3:7" x14ac:dyDescent="0.25">
      <c r="F7" s="71" t="s">
        <v>75</v>
      </c>
      <c r="G7" s="72">
        <f ca="1">SUMIF(VENDAS_VENDEDOR[[#Data],[#Totals],[VENDEDOR]],AUXILIAR!F7,VENDAS_VENDEDOR[VALOR REALIZADO])</f>
        <v>0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4F5-ECF3-4426-960E-4B199680FB04}">
  <sheetPr codeName="Planilha9"/>
  <dimension ref="A1"/>
  <sheetViews>
    <sheetView showGridLines="0" workbookViewId="0">
      <selection activeCell="L7" sqref="L7"/>
    </sheetView>
  </sheetViews>
  <sheetFormatPr defaultColWidth="8.71093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FFC8-E256-4373-B790-32965244F10B}">
  <sheetPr codeName="Planilha10"/>
  <dimension ref="D3:I6"/>
  <sheetViews>
    <sheetView workbookViewId="0">
      <selection activeCell="K7" sqref="K7"/>
    </sheetView>
  </sheetViews>
  <sheetFormatPr defaultColWidth="8.7109375" defaultRowHeight="15" x14ac:dyDescent="0.25"/>
  <cols>
    <col min="4" max="4" width="25.7109375" customWidth="1"/>
    <col min="5" max="5" width="10.140625" customWidth="1"/>
    <col min="8" max="8" width="18.42578125" style="20" customWidth="1"/>
    <col min="9" max="9" width="19.7109375" style="1" customWidth="1"/>
  </cols>
  <sheetData>
    <row r="3" spans="4:9" s="68" customFormat="1" ht="50.85" customHeight="1" x14ac:dyDescent="0.25">
      <c r="D3" s="68" t="s">
        <v>76</v>
      </c>
      <c r="E3" s="68" t="s">
        <v>77</v>
      </c>
      <c r="H3" s="68" t="s">
        <v>76</v>
      </c>
      <c r="I3" s="68" t="s">
        <v>77</v>
      </c>
    </row>
    <row r="4" spans="4:9" ht="84" customHeight="1" x14ac:dyDescent="0.25">
      <c r="D4" s="69" t="s">
        <v>75</v>
      </c>
      <c r="E4" t="e" vm="1">
        <v>#VALUE!</v>
      </c>
      <c r="H4" s="20" t="s">
        <v>75</v>
      </c>
      <c r="I4" s="1" t="e" vm="1">
        <v>#VALUE!</v>
      </c>
    </row>
    <row r="5" spans="4:9" ht="84" customHeight="1" x14ac:dyDescent="0.25">
      <c r="D5" s="69" t="s">
        <v>72</v>
      </c>
      <c r="E5" t="e" vm="2">
        <v>#VALUE!</v>
      </c>
      <c r="H5" s="20" t="s">
        <v>72</v>
      </c>
      <c r="I5" s="1" t="e" vm="2">
        <v>#VALUE!</v>
      </c>
    </row>
    <row r="6" spans="4:9" ht="84" customHeight="1" x14ac:dyDescent="0.25">
      <c r="D6" s="69" t="s">
        <v>74</v>
      </c>
      <c r="E6" t="e" vm="3">
        <v>#VALUE!</v>
      </c>
      <c r="H6" s="20" t="s">
        <v>74</v>
      </c>
      <c r="I6" s="1" t="e" vm="3">
        <v>#VALUE!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939D-05A5-4C48-ACDB-06C67B574DE6}">
  <sheetPr codeName="Planilha11">
    <tabColor theme="9" tint="-0.499984740745262"/>
  </sheetPr>
  <dimension ref="A1:Q25"/>
  <sheetViews>
    <sheetView showGridLines="0" workbookViewId="0">
      <selection activeCell="N14" sqref="N14"/>
    </sheetView>
  </sheetViews>
  <sheetFormatPr defaultColWidth="0" defaultRowHeight="15" zeroHeight="1" x14ac:dyDescent="0.25"/>
  <cols>
    <col min="1" max="3" width="8.7109375" customWidth="1"/>
    <col min="4" max="4" width="14.28515625" bestFit="1" customWidth="1"/>
    <col min="5" max="17" width="8.7109375" customWidth="1"/>
    <col min="18" max="18" width="8.7109375" hidden="1" customWidth="1"/>
    <col min="19" max="16384" width="8.7109375" hidden="1"/>
  </cols>
  <sheetData>
    <row r="1" spans="1:17" ht="31.35" customHeight="1" x14ac:dyDescent="0.25">
      <c r="A1" s="163" t="s">
        <v>78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</row>
    <row r="2" spans="1:17" ht="26.1" customHeight="1" x14ac:dyDescent="0.25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</row>
    <row r="3" spans="1:17" ht="26.25" x14ac:dyDescent="0.4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17" ht="26.25" x14ac:dyDescent="0.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pans="1:17" x14ac:dyDescent="0.25"/>
    <row r="6" spans="1:17" x14ac:dyDescent="0.25"/>
    <row r="7" spans="1:17" x14ac:dyDescent="0.25">
      <c r="H7" s="164"/>
      <c r="I7" s="165"/>
    </row>
    <row r="8" spans="1:17" x14ac:dyDescent="0.25">
      <c r="H8" s="166"/>
      <c r="I8" s="167"/>
    </row>
    <row r="9" spans="1:17" x14ac:dyDescent="0.25">
      <c r="H9" s="168"/>
      <c r="I9" s="169"/>
    </row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</row>
    <row r="25" spans="1:17" x14ac:dyDescent="0.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</row>
  </sheetData>
  <mergeCells count="3">
    <mergeCell ref="A1:Q2"/>
    <mergeCell ref="H7:I9"/>
    <mergeCell ref="A24:Q25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6313-D17A-4BF3-8977-311E54F83448}">
  <sheetPr>
    <pageSetUpPr fitToPage="1"/>
  </sheetPr>
  <dimension ref="B2:O30"/>
  <sheetViews>
    <sheetView topLeftCell="E6" zoomScaleNormal="100" workbookViewId="0">
      <selection activeCell="K24" sqref="K24"/>
    </sheetView>
  </sheetViews>
  <sheetFormatPr defaultColWidth="8.85546875" defaultRowHeight="15" x14ac:dyDescent="0.25"/>
  <cols>
    <col min="2" max="2" width="34.42578125" bestFit="1" customWidth="1"/>
    <col min="3" max="3" width="14.85546875" bestFit="1" customWidth="1"/>
    <col min="4" max="4" width="15.7109375" bestFit="1" customWidth="1"/>
    <col min="5" max="5" width="16" bestFit="1" customWidth="1"/>
    <col min="6" max="6" width="15.7109375" bestFit="1" customWidth="1"/>
    <col min="7" max="14" width="16" bestFit="1" customWidth="1"/>
    <col min="15" max="15" width="17.7109375" bestFit="1" customWidth="1"/>
  </cols>
  <sheetData>
    <row r="2" spans="2:15" ht="26.25" x14ac:dyDescent="0.4">
      <c r="B2" s="154" t="s">
        <v>91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2:15" x14ac:dyDescent="0.25">
      <c r="B3" s="121"/>
      <c r="C3" s="122" t="s">
        <v>92</v>
      </c>
      <c r="D3" s="122" t="s">
        <v>93</v>
      </c>
      <c r="E3" s="122" t="s">
        <v>94</v>
      </c>
      <c r="F3" s="122" t="s">
        <v>95</v>
      </c>
      <c r="G3" s="122" t="s">
        <v>96</v>
      </c>
      <c r="H3" s="122" t="s">
        <v>97</v>
      </c>
      <c r="I3" s="122" t="s">
        <v>98</v>
      </c>
      <c r="J3" s="122" t="s">
        <v>99</v>
      </c>
      <c r="K3" s="122" t="s">
        <v>100</v>
      </c>
      <c r="L3" s="122" t="s">
        <v>101</v>
      </c>
      <c r="M3" s="122" t="s">
        <v>102</v>
      </c>
      <c r="N3" s="122" t="s">
        <v>103</v>
      </c>
      <c r="O3" s="122" t="s">
        <v>18</v>
      </c>
    </row>
    <row r="4" spans="2:15" x14ac:dyDescent="0.25">
      <c r="B4" s="109">
        <v>2023</v>
      </c>
      <c r="C4" s="118">
        <v>19874</v>
      </c>
      <c r="D4" s="118">
        <v>14184.94</v>
      </c>
      <c r="E4" s="118">
        <v>31306.95</v>
      </c>
      <c r="F4" s="118">
        <v>24315</v>
      </c>
      <c r="G4" s="118">
        <v>61782.5</v>
      </c>
      <c r="H4" s="118">
        <v>42011</v>
      </c>
      <c r="I4" s="118">
        <v>33355</v>
      </c>
      <c r="J4" s="118">
        <v>41895</v>
      </c>
      <c r="K4" s="118">
        <v>33729.1</v>
      </c>
      <c r="L4" s="118">
        <v>32190</v>
      </c>
      <c r="M4" s="118">
        <v>66009</v>
      </c>
      <c r="N4" s="118">
        <v>93436</v>
      </c>
      <c r="O4" s="29">
        <f>SUM(C4:N4)</f>
        <v>494088.49</v>
      </c>
    </row>
    <row r="5" spans="2:15" x14ac:dyDescent="0.25">
      <c r="B5" s="109">
        <v>2024</v>
      </c>
      <c r="C5" s="118">
        <v>18528</v>
      </c>
      <c r="D5" s="118">
        <v>25658.7</v>
      </c>
      <c r="E5" s="118">
        <v>48575.6</v>
      </c>
      <c r="F5" s="118">
        <v>66407.899999999994</v>
      </c>
      <c r="G5" s="118">
        <v>68016.899999999994</v>
      </c>
      <c r="H5" s="118">
        <v>53766.9</v>
      </c>
      <c r="I5" s="118">
        <v>76693</v>
      </c>
      <c r="J5" s="118">
        <v>55215.5</v>
      </c>
      <c r="K5" s="118">
        <v>104015.6</v>
      </c>
      <c r="L5" s="118">
        <v>30796</v>
      </c>
      <c r="M5" s="118">
        <v>69122.2</v>
      </c>
      <c r="N5" s="118">
        <v>108361.60000000001</v>
      </c>
      <c r="O5" s="29">
        <f>SUM(C5:N5)</f>
        <v>725157.89999999991</v>
      </c>
    </row>
    <row r="6" spans="2:15" x14ac:dyDescent="0.25">
      <c r="B6" s="109" t="s">
        <v>104</v>
      </c>
      <c r="C6" s="119">
        <f>C5/C4-1</f>
        <v>-6.772667807185262E-2</v>
      </c>
      <c r="D6" s="119">
        <f t="shared" ref="D6:O6" si="0">D5/D4-1</f>
        <v>0.80886912457860238</v>
      </c>
      <c r="E6" s="119">
        <f t="shared" si="0"/>
        <v>0.55159157950550908</v>
      </c>
      <c r="F6" s="119">
        <f t="shared" si="0"/>
        <v>1.7311494961957639</v>
      </c>
      <c r="G6" s="119">
        <f t="shared" si="0"/>
        <v>0.10090883340751811</v>
      </c>
      <c r="H6" s="119">
        <f t="shared" si="0"/>
        <v>0.27982909238056708</v>
      </c>
      <c r="I6" s="119">
        <f t="shared" si="0"/>
        <v>1.299295457952331</v>
      </c>
      <c r="J6" s="119">
        <f t="shared" si="0"/>
        <v>0.31794963599474868</v>
      </c>
      <c r="K6" s="119">
        <f t="shared" si="0"/>
        <v>2.083853408481104</v>
      </c>
      <c r="L6" s="119">
        <f t="shared" si="0"/>
        <v>-4.330537433985715E-2</v>
      </c>
      <c r="M6" s="119">
        <f t="shared" si="0"/>
        <v>4.7163265615294936E-2</v>
      </c>
      <c r="N6" s="119">
        <f t="shared" si="0"/>
        <v>0.15974142728712715</v>
      </c>
      <c r="O6" s="119">
        <f t="shared" si="0"/>
        <v>0.46766806893234847</v>
      </c>
    </row>
    <row r="7" spans="2:15" x14ac:dyDescent="0.25">
      <c r="B7" s="109" t="s">
        <v>105</v>
      </c>
      <c r="C7" s="123">
        <v>0.2</v>
      </c>
      <c r="D7" s="123">
        <v>0.2</v>
      </c>
      <c r="E7" s="123">
        <v>0.2</v>
      </c>
      <c r="F7" s="123">
        <v>0.2</v>
      </c>
      <c r="G7" s="123">
        <v>0.2</v>
      </c>
      <c r="H7" s="123">
        <v>0.2</v>
      </c>
      <c r="I7" s="123">
        <v>0.2</v>
      </c>
      <c r="J7" s="123">
        <v>0.2</v>
      </c>
      <c r="K7" s="123">
        <v>0.2</v>
      </c>
      <c r="L7" s="123">
        <v>0.2</v>
      </c>
      <c r="M7" s="123">
        <v>0.2</v>
      </c>
      <c r="N7" s="123">
        <v>0.2</v>
      </c>
      <c r="O7" s="123">
        <v>0.2</v>
      </c>
    </row>
    <row r="8" spans="2:15" x14ac:dyDescent="0.25">
      <c r="B8" s="109" t="s">
        <v>106</v>
      </c>
      <c r="C8" s="29">
        <f>C5*(100%+C7)</f>
        <v>22233.599999999999</v>
      </c>
      <c r="D8" s="29">
        <f t="shared" ref="D8:N8" si="1">D5*(100%+D7)</f>
        <v>30790.44</v>
      </c>
      <c r="E8" s="29">
        <f t="shared" si="1"/>
        <v>58290.719999999994</v>
      </c>
      <c r="F8" s="29">
        <f t="shared" si="1"/>
        <v>79689.48</v>
      </c>
      <c r="G8" s="29">
        <f t="shared" si="1"/>
        <v>81620.279999999984</v>
      </c>
      <c r="H8" s="29">
        <f t="shared" si="1"/>
        <v>64520.28</v>
      </c>
      <c r="I8" s="29">
        <f t="shared" si="1"/>
        <v>92031.599999999991</v>
      </c>
      <c r="J8" s="29">
        <f t="shared" si="1"/>
        <v>66258.599999999991</v>
      </c>
      <c r="K8" s="29">
        <f t="shared" si="1"/>
        <v>124818.72</v>
      </c>
      <c r="L8" s="29">
        <f t="shared" si="1"/>
        <v>36955.199999999997</v>
      </c>
      <c r="M8" s="29">
        <f t="shared" si="1"/>
        <v>82946.64</v>
      </c>
      <c r="N8" s="29">
        <f t="shared" si="1"/>
        <v>130033.92</v>
      </c>
      <c r="O8" s="29">
        <f>SUM(C8:N8)</f>
        <v>870189.47999999986</v>
      </c>
    </row>
    <row r="9" spans="2:15" x14ac:dyDescent="0.25">
      <c r="B9" s="109" t="s">
        <v>107</v>
      </c>
      <c r="C9" s="118">
        <v>19820</v>
      </c>
      <c r="D9" s="118">
        <v>35317</v>
      </c>
      <c r="E9" s="118">
        <v>38451.9</v>
      </c>
      <c r="F9" s="118">
        <v>82472.899999999994</v>
      </c>
      <c r="G9" s="118">
        <v>99000</v>
      </c>
      <c r="H9" s="118">
        <v>62464</v>
      </c>
      <c r="I9" s="118">
        <v>101707.4</v>
      </c>
      <c r="J9" s="118">
        <v>76569.600000000006</v>
      </c>
      <c r="K9" s="120"/>
      <c r="L9" s="120"/>
      <c r="M9" s="120"/>
      <c r="N9" s="120"/>
      <c r="O9" s="29">
        <f>SUM(C9:N9)</f>
        <v>515802.79999999993</v>
      </c>
    </row>
    <row r="10" spans="2:15" x14ac:dyDescent="0.25">
      <c r="B10" s="109" t="s">
        <v>108</v>
      </c>
      <c r="C10" s="119">
        <f>C9/C8-1</f>
        <v>-0.10855641911341385</v>
      </c>
      <c r="D10" s="119">
        <f t="shared" ref="D10:O10" si="2">D9/D8-1</f>
        <v>0.1470118647216474</v>
      </c>
      <c r="E10" s="119">
        <f t="shared" si="2"/>
        <v>-0.34034268233434062</v>
      </c>
      <c r="F10" s="119">
        <f t="shared" si="2"/>
        <v>3.4928324290734558E-2</v>
      </c>
      <c r="G10" s="119">
        <f t="shared" si="2"/>
        <v>0.21293384438279328</v>
      </c>
      <c r="H10" s="119">
        <f t="shared" si="2"/>
        <v>-3.1870289465575796E-2</v>
      </c>
      <c r="I10" s="119">
        <f t="shared" si="2"/>
        <v>0.10513562732800485</v>
      </c>
      <c r="J10" s="119">
        <f t="shared" si="2"/>
        <v>0.15561753493131492</v>
      </c>
      <c r="K10" s="119">
        <f t="shared" si="2"/>
        <v>-1</v>
      </c>
      <c r="L10" s="119">
        <f t="shared" si="2"/>
        <v>-1</v>
      </c>
      <c r="M10" s="119">
        <f t="shared" si="2"/>
        <v>-1</v>
      </c>
      <c r="N10" s="119">
        <f t="shared" si="2"/>
        <v>-1</v>
      </c>
      <c r="O10" s="119">
        <f t="shared" si="2"/>
        <v>-0.40725231474873724</v>
      </c>
    </row>
    <row r="12" spans="2:15" ht="26.25" x14ac:dyDescent="0.4">
      <c r="B12" s="154" t="s">
        <v>114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</row>
    <row r="13" spans="2:15" x14ac:dyDescent="0.25">
      <c r="B13" s="121"/>
      <c r="C13" s="122" t="s">
        <v>92</v>
      </c>
      <c r="D13" s="122" t="s">
        <v>93</v>
      </c>
      <c r="E13" s="122" t="s">
        <v>94</v>
      </c>
      <c r="F13" s="122" t="s">
        <v>95</v>
      </c>
      <c r="G13" s="122" t="s">
        <v>96</v>
      </c>
      <c r="H13" s="122" t="s">
        <v>97</v>
      </c>
      <c r="I13" s="122" t="s">
        <v>98</v>
      </c>
      <c r="J13" s="122" t="s">
        <v>99</v>
      </c>
      <c r="K13" s="122" t="s">
        <v>100</v>
      </c>
      <c r="L13" s="122" t="s">
        <v>101</v>
      </c>
      <c r="M13" s="122" t="s">
        <v>102</v>
      </c>
      <c r="N13" s="122" t="s">
        <v>103</v>
      </c>
      <c r="O13" s="122" t="s">
        <v>18</v>
      </c>
    </row>
    <row r="14" spans="2:15" x14ac:dyDescent="0.25">
      <c r="B14" s="109">
        <v>2023</v>
      </c>
      <c r="C14" s="118">
        <v>69665</v>
      </c>
      <c r="D14" s="118">
        <v>66339.899999999994</v>
      </c>
      <c r="E14" s="118">
        <v>112868.2</v>
      </c>
      <c r="F14" s="118">
        <v>110771</v>
      </c>
      <c r="G14" s="118">
        <v>76196</v>
      </c>
      <c r="H14" s="118">
        <v>124891</v>
      </c>
      <c r="I14" s="118">
        <v>97317.4</v>
      </c>
      <c r="J14" s="118">
        <v>95136</v>
      </c>
      <c r="K14" s="118">
        <v>116125</v>
      </c>
      <c r="L14" s="118">
        <v>144644.09999999998</v>
      </c>
      <c r="M14" s="118">
        <v>228425.88</v>
      </c>
      <c r="N14" s="118">
        <v>278369.21999999997</v>
      </c>
      <c r="O14" s="29">
        <f>SUM(C14:N14)</f>
        <v>1520748.7</v>
      </c>
    </row>
    <row r="15" spans="2:15" x14ac:dyDescent="0.25">
      <c r="B15" s="109">
        <v>2024</v>
      </c>
      <c r="C15" s="118">
        <v>56409.4</v>
      </c>
      <c r="D15" s="118">
        <v>119124.91</v>
      </c>
      <c r="E15" s="118">
        <v>152166.95000000001</v>
      </c>
      <c r="F15" s="118">
        <v>86346</v>
      </c>
      <c r="G15" s="118">
        <v>175012.98</v>
      </c>
      <c r="H15" s="118">
        <v>151309.9</v>
      </c>
      <c r="I15" s="118">
        <v>266098.3</v>
      </c>
      <c r="J15" s="118">
        <v>188534.8</v>
      </c>
      <c r="K15" s="118">
        <v>142266.70000000001</v>
      </c>
      <c r="L15" s="118">
        <v>232186.56</v>
      </c>
      <c r="M15" s="118">
        <v>185973.04</v>
      </c>
      <c r="N15" s="118">
        <v>273769.09999999998</v>
      </c>
      <c r="O15" s="29">
        <f>SUM(C15:N15)</f>
        <v>2029198.6400000001</v>
      </c>
    </row>
    <row r="16" spans="2:15" x14ac:dyDescent="0.25">
      <c r="B16" s="109" t="s">
        <v>104</v>
      </c>
      <c r="C16" s="119">
        <f>C15/C14-1</f>
        <v>-0.19027632240005743</v>
      </c>
      <c r="D16" s="119">
        <f>D15/D14-1</f>
        <v>0.79567515175633385</v>
      </c>
      <c r="E16" s="119">
        <f t="shared" ref="E16:O16" si="3">E15/E14-1</f>
        <v>0.34818265906606127</v>
      </c>
      <c r="F16" s="119">
        <f t="shared" si="3"/>
        <v>-0.22049995034801528</v>
      </c>
      <c r="G16" s="119">
        <f t="shared" si="3"/>
        <v>1.2968788387841883</v>
      </c>
      <c r="H16" s="119">
        <f t="shared" si="3"/>
        <v>0.2115356590947306</v>
      </c>
      <c r="I16" s="119">
        <f t="shared" si="3"/>
        <v>1.7343342506067776</v>
      </c>
      <c r="J16" s="119">
        <f t="shared" si="3"/>
        <v>0.98173982509249913</v>
      </c>
      <c r="K16" s="119">
        <f t="shared" si="3"/>
        <v>0.22511689989235739</v>
      </c>
      <c r="L16" s="119">
        <f t="shared" si="3"/>
        <v>0.60522662175643549</v>
      </c>
      <c r="M16" s="119">
        <f t="shared" si="3"/>
        <v>-0.18584951932766991</v>
      </c>
      <c r="N16" s="119">
        <f t="shared" si="3"/>
        <v>-1.6525246577189789E-2</v>
      </c>
      <c r="O16" s="119">
        <f t="shared" si="3"/>
        <v>0.33434185411435835</v>
      </c>
    </row>
    <row r="17" spans="2:15" x14ac:dyDescent="0.25">
      <c r="B17" s="109" t="s">
        <v>105</v>
      </c>
      <c r="C17" s="123">
        <v>0.2</v>
      </c>
      <c r="D17" s="123">
        <v>0.2</v>
      </c>
      <c r="E17" s="123">
        <v>0.2</v>
      </c>
      <c r="F17" s="123">
        <v>0.2</v>
      </c>
      <c r="G17" s="123">
        <v>0.2</v>
      </c>
      <c r="H17" s="123">
        <v>0.2</v>
      </c>
      <c r="I17" s="123">
        <v>0.2</v>
      </c>
      <c r="J17" s="123">
        <v>0.2</v>
      </c>
      <c r="K17" s="123">
        <v>0.2</v>
      </c>
      <c r="L17" s="123">
        <v>0.2</v>
      </c>
      <c r="M17" s="123">
        <v>0.2</v>
      </c>
      <c r="N17" s="123">
        <v>0.2</v>
      </c>
      <c r="O17" s="123">
        <v>0.2</v>
      </c>
    </row>
    <row r="18" spans="2:15" x14ac:dyDescent="0.25">
      <c r="B18" s="109" t="s">
        <v>106</v>
      </c>
      <c r="C18" s="29">
        <f>C15*(100%+C17)</f>
        <v>67691.28</v>
      </c>
      <c r="D18" s="29">
        <f t="shared" ref="D18:N18" si="4">D15*(100%+D17)</f>
        <v>142949.89199999999</v>
      </c>
      <c r="E18" s="29">
        <f t="shared" si="4"/>
        <v>182600.34</v>
      </c>
      <c r="F18" s="29">
        <f t="shared" si="4"/>
        <v>103615.2</v>
      </c>
      <c r="G18" s="29">
        <f t="shared" si="4"/>
        <v>210015.576</v>
      </c>
      <c r="H18" s="29">
        <f t="shared" si="4"/>
        <v>181571.87999999998</v>
      </c>
      <c r="I18" s="29">
        <f t="shared" si="4"/>
        <v>319317.95999999996</v>
      </c>
      <c r="J18" s="29">
        <f t="shared" si="4"/>
        <v>226241.75999999998</v>
      </c>
      <c r="K18" s="29">
        <f t="shared" si="4"/>
        <v>170720.04</v>
      </c>
      <c r="L18" s="29">
        <f t="shared" si="4"/>
        <v>278623.87199999997</v>
      </c>
      <c r="M18" s="29">
        <f t="shared" si="4"/>
        <v>223167.64800000002</v>
      </c>
      <c r="N18" s="29">
        <f t="shared" si="4"/>
        <v>328522.92</v>
      </c>
      <c r="O18" s="29">
        <f>SUM(C18:N18)</f>
        <v>2435038.3679999998</v>
      </c>
    </row>
    <row r="19" spans="2:15" x14ac:dyDescent="0.25">
      <c r="B19" s="109" t="s">
        <v>107</v>
      </c>
      <c r="C19" s="118">
        <v>74329</v>
      </c>
      <c r="D19" s="118">
        <v>119813.5</v>
      </c>
      <c r="E19" s="118">
        <v>234836.65</v>
      </c>
      <c r="F19" s="118">
        <v>119501</v>
      </c>
      <c r="G19" s="118">
        <v>173353</v>
      </c>
      <c r="H19" s="118">
        <v>168340.47</v>
      </c>
      <c r="I19" s="118">
        <v>186236.1</v>
      </c>
      <c r="J19" s="120"/>
      <c r="K19" s="120"/>
      <c r="L19" s="120"/>
      <c r="M19" s="120"/>
      <c r="N19" s="120"/>
      <c r="O19" s="29">
        <f>SUM(C19:N19)</f>
        <v>1076409.72</v>
      </c>
    </row>
    <row r="20" spans="2:15" x14ac:dyDescent="0.25">
      <c r="B20" s="109" t="s">
        <v>108</v>
      </c>
      <c r="C20" s="119">
        <f>C19/C18-1</f>
        <v>9.8058715982324518E-2</v>
      </c>
      <c r="D20" s="119">
        <f t="shared" ref="D20:O20" si="5">D19/D18-1</f>
        <v>-0.1618496640766961</v>
      </c>
      <c r="E20" s="119">
        <f t="shared" si="5"/>
        <v>0.2860690730367752</v>
      </c>
      <c r="F20" s="119">
        <f t="shared" si="5"/>
        <v>0.15331534369474742</v>
      </c>
      <c r="G20" s="119">
        <f t="shared" si="5"/>
        <v>-0.17457074707639786</v>
      </c>
      <c r="H20" s="119">
        <f t="shared" si="5"/>
        <v>-7.287147106699543E-2</v>
      </c>
      <c r="I20" s="119">
        <f t="shared" si="5"/>
        <v>-0.41676910374850185</v>
      </c>
      <c r="J20" s="119">
        <f t="shared" si="5"/>
        <v>-1</v>
      </c>
      <c r="K20" s="119">
        <f t="shared" si="5"/>
        <v>-1</v>
      </c>
      <c r="L20" s="119">
        <f t="shared" si="5"/>
        <v>-1</v>
      </c>
      <c r="M20" s="119">
        <f t="shared" si="5"/>
        <v>-1</v>
      </c>
      <c r="N20" s="119">
        <f t="shared" si="5"/>
        <v>-1</v>
      </c>
      <c r="O20" s="119">
        <f t="shared" si="5"/>
        <v>-0.55794958545803075</v>
      </c>
    </row>
    <row r="22" spans="2:15" ht="26.25" x14ac:dyDescent="0.4">
      <c r="B22" s="154" t="s">
        <v>122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</row>
    <row r="23" spans="2:15" x14ac:dyDescent="0.25">
      <c r="B23" s="121"/>
      <c r="C23" s="122" t="s">
        <v>92</v>
      </c>
      <c r="D23" s="122" t="s">
        <v>93</v>
      </c>
      <c r="E23" s="122" t="s">
        <v>94</v>
      </c>
      <c r="F23" s="122" t="s">
        <v>95</v>
      </c>
      <c r="G23" s="122" t="s">
        <v>96</v>
      </c>
      <c r="H23" s="122" t="s">
        <v>97</v>
      </c>
      <c r="I23" s="122" t="s">
        <v>98</v>
      </c>
      <c r="J23" s="122" t="s">
        <v>99</v>
      </c>
      <c r="K23" s="122" t="s">
        <v>100</v>
      </c>
      <c r="L23" s="122" t="s">
        <v>101</v>
      </c>
      <c r="M23" s="122" t="s">
        <v>102</v>
      </c>
      <c r="N23" s="122" t="s">
        <v>103</v>
      </c>
      <c r="O23" s="122" t="s">
        <v>18</v>
      </c>
    </row>
    <row r="24" spans="2:15" x14ac:dyDescent="0.25">
      <c r="B24" s="109">
        <v>2023</v>
      </c>
      <c r="C24" s="118">
        <f>C4+C14</f>
        <v>89539</v>
      </c>
      <c r="D24" s="118">
        <f t="shared" ref="D24:N25" si="6">D4+D14</f>
        <v>80524.84</v>
      </c>
      <c r="E24" s="118">
        <f t="shared" si="6"/>
        <v>144175.15</v>
      </c>
      <c r="F24" s="118">
        <f t="shared" si="6"/>
        <v>135086</v>
      </c>
      <c r="G24" s="118">
        <f t="shared" si="6"/>
        <v>137978.5</v>
      </c>
      <c r="H24" s="118">
        <f t="shared" si="6"/>
        <v>166902</v>
      </c>
      <c r="I24" s="118">
        <f t="shared" si="6"/>
        <v>130672.4</v>
      </c>
      <c r="J24" s="118">
        <f t="shared" si="6"/>
        <v>137031</v>
      </c>
      <c r="K24" s="118">
        <f t="shared" si="6"/>
        <v>149854.1</v>
      </c>
      <c r="L24" s="118">
        <f t="shared" si="6"/>
        <v>176834.09999999998</v>
      </c>
      <c r="M24" s="118">
        <f t="shared" si="6"/>
        <v>294434.88</v>
      </c>
      <c r="N24" s="118">
        <f t="shared" si="6"/>
        <v>371805.22</v>
      </c>
      <c r="O24" s="29">
        <f>SUM(C24:N24)</f>
        <v>2014837.1899999997</v>
      </c>
    </row>
    <row r="25" spans="2:15" x14ac:dyDescent="0.25">
      <c r="B25" s="109">
        <v>2024</v>
      </c>
      <c r="C25" s="118">
        <f>C5+C15</f>
        <v>74937.399999999994</v>
      </c>
      <c r="D25" s="118">
        <f t="shared" si="6"/>
        <v>144783.61000000002</v>
      </c>
      <c r="E25" s="118">
        <f t="shared" si="6"/>
        <v>200742.55000000002</v>
      </c>
      <c r="F25" s="118">
        <f t="shared" si="6"/>
        <v>152753.9</v>
      </c>
      <c r="G25" s="118">
        <f t="shared" si="6"/>
        <v>243029.88</v>
      </c>
      <c r="H25" s="118">
        <f t="shared" si="6"/>
        <v>205076.8</v>
      </c>
      <c r="I25" s="118">
        <f t="shared" si="6"/>
        <v>342791.3</v>
      </c>
      <c r="J25" s="118">
        <f t="shared" si="6"/>
        <v>243750.3</v>
      </c>
      <c r="K25" s="118">
        <f t="shared" si="6"/>
        <v>246282.30000000002</v>
      </c>
      <c r="L25" s="118">
        <f t="shared" si="6"/>
        <v>262982.56</v>
      </c>
      <c r="M25" s="118">
        <f t="shared" si="6"/>
        <v>255095.24</v>
      </c>
      <c r="N25" s="118">
        <f t="shared" si="6"/>
        <v>382130.69999999995</v>
      </c>
      <c r="O25" s="29">
        <f>SUM(C25:N25)</f>
        <v>2754356.54</v>
      </c>
    </row>
    <row r="26" spans="2:15" x14ac:dyDescent="0.25">
      <c r="B26" s="109" t="s">
        <v>104</v>
      </c>
      <c r="C26" s="119">
        <f>C25/C24-1</f>
        <v>-0.16307530796636105</v>
      </c>
      <c r="D26" s="119">
        <f>D25/D24-1</f>
        <v>0.79799935026260238</v>
      </c>
      <c r="E26" s="119">
        <f t="shared" ref="E26:O26" si="7">E25/E24-1</f>
        <v>0.39235194137131146</v>
      </c>
      <c r="F26" s="119">
        <f t="shared" si="7"/>
        <v>0.1307900152495447</v>
      </c>
      <c r="G26" s="119">
        <f t="shared" si="7"/>
        <v>0.76136050181731219</v>
      </c>
      <c r="H26" s="119">
        <f t="shared" si="7"/>
        <v>0.22872583911516942</v>
      </c>
      <c r="I26" s="119">
        <f t="shared" si="7"/>
        <v>1.6232877026824335</v>
      </c>
      <c r="J26" s="119">
        <f t="shared" si="7"/>
        <v>0.77879676861440106</v>
      </c>
      <c r="K26" s="119">
        <f t="shared" si="7"/>
        <v>0.64348055875681753</v>
      </c>
      <c r="L26" s="119">
        <f t="shared" si="7"/>
        <v>0.48717108295289213</v>
      </c>
      <c r="M26" s="119">
        <f t="shared" si="7"/>
        <v>-0.13361066460604132</v>
      </c>
      <c r="N26" s="119">
        <f t="shared" si="7"/>
        <v>2.7771207730757475E-2</v>
      </c>
      <c r="O26" s="119">
        <f t="shared" si="7"/>
        <v>0.36703677779543087</v>
      </c>
    </row>
    <row r="27" spans="2:15" x14ac:dyDescent="0.25">
      <c r="B27" s="109" t="s">
        <v>105</v>
      </c>
      <c r="C27" s="123">
        <v>0.2</v>
      </c>
      <c r="D27" s="123">
        <v>0.2</v>
      </c>
      <c r="E27" s="123">
        <v>0.2</v>
      </c>
      <c r="F27" s="123">
        <v>0.2</v>
      </c>
      <c r="G27" s="123">
        <v>0.2</v>
      </c>
      <c r="H27" s="123">
        <v>0.2</v>
      </c>
      <c r="I27" s="123">
        <v>0.2</v>
      </c>
      <c r="J27" s="123">
        <v>0.2</v>
      </c>
      <c r="K27" s="123">
        <v>0.2</v>
      </c>
      <c r="L27" s="123">
        <v>0.2</v>
      </c>
      <c r="M27" s="123">
        <v>0.2</v>
      </c>
      <c r="N27" s="123">
        <v>0.2</v>
      </c>
      <c r="O27" s="123">
        <v>0.2</v>
      </c>
    </row>
    <row r="28" spans="2:15" x14ac:dyDescent="0.25">
      <c r="B28" s="109" t="s">
        <v>106</v>
      </c>
      <c r="C28" s="29">
        <f>C18+C8</f>
        <v>89924.88</v>
      </c>
      <c r="D28" s="29">
        <f t="shared" ref="D28:N28" si="8">D18+D8</f>
        <v>173740.33199999999</v>
      </c>
      <c r="E28" s="29">
        <f t="shared" si="8"/>
        <v>240891.06</v>
      </c>
      <c r="F28" s="29">
        <f t="shared" si="8"/>
        <v>183304.68</v>
      </c>
      <c r="G28" s="29">
        <f t="shared" si="8"/>
        <v>291635.85599999997</v>
      </c>
      <c r="H28" s="29">
        <f t="shared" si="8"/>
        <v>246092.15999999997</v>
      </c>
      <c r="I28" s="29">
        <f t="shared" si="8"/>
        <v>411349.55999999994</v>
      </c>
      <c r="J28" s="29">
        <f t="shared" si="8"/>
        <v>292500.36</v>
      </c>
      <c r="K28" s="29">
        <f t="shared" si="8"/>
        <v>295538.76</v>
      </c>
      <c r="L28" s="29">
        <f t="shared" si="8"/>
        <v>315579.07199999999</v>
      </c>
      <c r="M28" s="29">
        <f t="shared" si="8"/>
        <v>306114.288</v>
      </c>
      <c r="N28" s="29">
        <f t="shared" si="8"/>
        <v>458556.83999999997</v>
      </c>
      <c r="O28" s="29">
        <f>SUM(C28:N28)</f>
        <v>3305227.8480000002</v>
      </c>
    </row>
    <row r="29" spans="2:15" x14ac:dyDescent="0.25">
      <c r="B29" s="109" t="s">
        <v>107</v>
      </c>
      <c r="C29" s="118">
        <f>C9+C19</f>
        <v>94149</v>
      </c>
      <c r="D29" s="118">
        <f t="shared" ref="D29:I29" si="9">D9+D19</f>
        <v>155130.5</v>
      </c>
      <c r="E29" s="118">
        <f t="shared" si="9"/>
        <v>273288.55</v>
      </c>
      <c r="F29" s="118">
        <f t="shared" si="9"/>
        <v>201973.9</v>
      </c>
      <c r="G29" s="118">
        <f t="shared" si="9"/>
        <v>272353</v>
      </c>
      <c r="H29" s="118">
        <f t="shared" si="9"/>
        <v>230804.47</v>
      </c>
      <c r="I29" s="118">
        <f t="shared" si="9"/>
        <v>287943.5</v>
      </c>
      <c r="J29" s="120"/>
      <c r="K29" s="120"/>
      <c r="L29" s="120"/>
      <c r="M29" s="120"/>
      <c r="N29" s="120"/>
      <c r="O29" s="29">
        <f>SUM(C29:N29)</f>
        <v>1515642.92</v>
      </c>
    </row>
    <row r="30" spans="2:15" x14ac:dyDescent="0.25">
      <c r="B30" s="109" t="s">
        <v>108</v>
      </c>
      <c r="C30" s="119">
        <f>C29/C28-1</f>
        <v>4.6973874193660281E-2</v>
      </c>
      <c r="D30" s="119">
        <f t="shared" ref="D30:O30" si="10">D29/D28-1</f>
        <v>-0.10711290686379027</v>
      </c>
      <c r="E30" s="119">
        <f t="shared" si="10"/>
        <v>0.13449021312787601</v>
      </c>
      <c r="F30" s="119">
        <f t="shared" si="10"/>
        <v>0.10184802701163997</v>
      </c>
      <c r="G30" s="119">
        <f t="shared" si="10"/>
        <v>-6.6119633794275212E-2</v>
      </c>
      <c r="H30" s="119">
        <f t="shared" si="10"/>
        <v>-6.2121808350172447E-2</v>
      </c>
      <c r="I30" s="119">
        <f t="shared" si="10"/>
        <v>-0.30000289777871636</v>
      </c>
      <c r="J30" s="119">
        <f t="shared" si="10"/>
        <v>-1</v>
      </c>
      <c r="K30" s="119">
        <f t="shared" si="10"/>
        <v>-1</v>
      </c>
      <c r="L30" s="119">
        <f t="shared" si="10"/>
        <v>-1</v>
      </c>
      <c r="M30" s="119">
        <f t="shared" si="10"/>
        <v>-1</v>
      </c>
      <c r="N30" s="119">
        <f t="shared" si="10"/>
        <v>-1</v>
      </c>
      <c r="O30" s="119">
        <f t="shared" si="10"/>
        <v>-0.54144071461907894</v>
      </c>
    </row>
  </sheetData>
  <mergeCells count="3">
    <mergeCell ref="B2:O2"/>
    <mergeCell ref="B12:O12"/>
    <mergeCell ref="B22:O22"/>
  </mergeCells>
  <conditionalFormatting sqref="C6:O6">
    <cfRule type="cellIs" dxfId="22" priority="7" operator="greaterThan">
      <formula>0</formula>
    </cfRule>
    <cfRule type="cellIs" dxfId="21" priority="8" operator="lessThan">
      <formula>0</formula>
    </cfRule>
  </conditionalFormatting>
  <conditionalFormatting sqref="C10:O10">
    <cfRule type="cellIs" dxfId="20" priority="5" operator="greaterThan">
      <formula>0</formula>
    </cfRule>
    <cfRule type="cellIs" dxfId="19" priority="6" operator="lessThan">
      <formula>0</formula>
    </cfRule>
  </conditionalFormatting>
  <conditionalFormatting sqref="C16:O16 C20:O20">
    <cfRule type="cellIs" dxfId="18" priority="3" operator="greaterThan">
      <formula>0</formula>
    </cfRule>
    <cfRule type="cellIs" dxfId="17" priority="4" operator="lessThan">
      <formula>0</formula>
    </cfRule>
  </conditionalFormatting>
  <conditionalFormatting sqref="C26:O26 C30:O30">
    <cfRule type="cellIs" dxfId="16" priority="1" operator="greaterThan">
      <formula>0</formula>
    </cfRule>
    <cfRule type="cellIs" dxfId="15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5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9510-7361-4253-87EA-1B6A03F51A3B}">
  <sheetPr codeName="Planilha12">
    <tabColor theme="9" tint="-0.249977111117893"/>
  </sheetPr>
  <dimension ref="B1:U129"/>
  <sheetViews>
    <sheetView showGridLines="0" topLeftCell="C83" zoomScaleNormal="100" workbookViewId="0">
      <selection activeCell="F124" sqref="F124"/>
    </sheetView>
  </sheetViews>
  <sheetFormatPr defaultColWidth="8.7109375" defaultRowHeight="15" x14ac:dyDescent="0.25"/>
  <cols>
    <col min="2" max="2" width="20.42578125" customWidth="1"/>
    <col min="3" max="3" width="19.85546875" bestFit="1" customWidth="1"/>
    <col min="4" max="4" width="22.140625" bestFit="1" customWidth="1"/>
    <col min="5" max="5" width="19.140625" customWidth="1"/>
    <col min="7" max="7" width="6" hidden="1" customWidth="1"/>
    <col min="8" max="8" width="15.42578125" customWidth="1"/>
    <col min="9" max="9" width="19.28515625" bestFit="1" customWidth="1"/>
    <col min="10" max="13" width="20.42578125" bestFit="1" customWidth="1"/>
    <col min="14" max="14" width="3.42578125" style="48" customWidth="1"/>
    <col min="15" max="18" width="20.42578125" bestFit="1" customWidth="1"/>
    <col min="19" max="19" width="14" bestFit="1" customWidth="1"/>
    <col min="20" max="20" width="29.85546875" bestFit="1" customWidth="1"/>
    <col min="21" max="21" width="10" bestFit="1" customWidth="1"/>
  </cols>
  <sheetData>
    <row r="1" spans="2:21" ht="15.75" thickBot="1" x14ac:dyDescent="0.3">
      <c r="J1" s="157" t="s">
        <v>0</v>
      </c>
      <c r="K1" s="158"/>
      <c r="L1" s="158"/>
      <c r="M1" s="158"/>
      <c r="O1" s="157" t="s">
        <v>5</v>
      </c>
      <c r="P1" s="158"/>
      <c r="Q1" s="158"/>
      <c r="R1" s="158"/>
      <c r="T1" s="122" t="s">
        <v>79</v>
      </c>
      <c r="U1" s="122" t="s">
        <v>80</v>
      </c>
    </row>
    <row r="2" spans="2:21" ht="24.75" thickBot="1" x14ac:dyDescent="0.45">
      <c r="J2" s="85" t="s">
        <v>1</v>
      </c>
      <c r="K2" s="86" t="s">
        <v>2</v>
      </c>
      <c r="L2" s="87" t="s">
        <v>3</v>
      </c>
      <c r="M2" s="88" t="s">
        <v>4</v>
      </c>
      <c r="O2" s="85" t="s">
        <v>1</v>
      </c>
      <c r="P2" s="86" t="s">
        <v>2</v>
      </c>
      <c r="Q2" s="87" t="s">
        <v>3</v>
      </c>
      <c r="R2" s="88" t="s">
        <v>4</v>
      </c>
      <c r="T2" s="129">
        <v>3</v>
      </c>
      <c r="U2" s="130">
        <v>0.2</v>
      </c>
    </row>
    <row r="3" spans="2:21" ht="21.75" thickBot="1" x14ac:dyDescent="0.4">
      <c r="B3" s="157" t="s">
        <v>81</v>
      </c>
      <c r="C3" s="158"/>
      <c r="D3" s="158"/>
      <c r="E3" s="158"/>
      <c r="G3" t="s">
        <v>82</v>
      </c>
      <c r="J3" s="131">
        <f>Q6</f>
        <v>13333.333333333334</v>
      </c>
      <c r="K3" s="131">
        <f>Q7</f>
        <v>16666.666666666668</v>
      </c>
      <c r="L3" s="131">
        <f>Q8</f>
        <v>20000</v>
      </c>
      <c r="M3" s="131">
        <f>Q9</f>
        <v>26666.666666666668</v>
      </c>
      <c r="N3" s="132"/>
      <c r="O3" s="131">
        <f>R6</f>
        <v>0</v>
      </c>
      <c r="P3" s="131">
        <f>R7</f>
        <v>0</v>
      </c>
      <c r="Q3" s="131">
        <f>R8</f>
        <v>0</v>
      </c>
      <c r="R3" s="131">
        <f>R9</f>
        <v>0</v>
      </c>
    </row>
    <row r="4" spans="2:21" x14ac:dyDescent="0.25">
      <c r="B4" s="20" t="s">
        <v>26</v>
      </c>
      <c r="C4" s="20" t="s">
        <v>27</v>
      </c>
      <c r="D4" s="21" t="s">
        <v>51</v>
      </c>
      <c r="E4" s="22" t="s">
        <v>71</v>
      </c>
      <c r="G4" t="s">
        <v>124</v>
      </c>
    </row>
    <row r="5" spans="2:21" ht="15.75" thickBot="1" x14ac:dyDescent="0.3">
      <c r="B5" s="77">
        <f>Tabela37[[#This Row],[DATA]]</f>
        <v>46113</v>
      </c>
      <c r="C5" s="77" t="str">
        <f t="shared" ref="C5:C30" si="0">UPPER(TEXT(B5,"dddd"))</f>
        <v>QUARTA-FEIRA</v>
      </c>
      <c r="D5" s="78">
        <v>39142</v>
      </c>
      <c r="E5" s="79" t="s">
        <v>82</v>
      </c>
      <c r="G5" t="s">
        <v>125</v>
      </c>
      <c r="Q5" s="122" t="s">
        <v>85</v>
      </c>
      <c r="R5" s="122" t="s">
        <v>86</v>
      </c>
    </row>
    <row r="6" spans="2:21" ht="15.75" thickBot="1" x14ac:dyDescent="0.3">
      <c r="B6" s="77">
        <f>Tabela37[[#This Row],[DATA]]</f>
        <v>46114</v>
      </c>
      <c r="C6" s="77" t="str">
        <f t="shared" si="0"/>
        <v>QUINTA-FEIRA</v>
      </c>
      <c r="D6" s="78"/>
      <c r="E6" s="79" t="s">
        <v>82</v>
      </c>
      <c r="G6" t="s">
        <v>83</v>
      </c>
      <c r="H6" s="157" t="s">
        <v>87</v>
      </c>
      <c r="I6" s="158"/>
      <c r="J6" s="158"/>
      <c r="K6" s="158"/>
      <c r="L6" s="158"/>
      <c r="M6" s="160"/>
      <c r="P6" s="122" t="s">
        <v>7</v>
      </c>
      <c r="Q6" s="29">
        <f>(ITAPIPOCA!K2-VENDAS_VENDEDOR!R6)/3</f>
        <v>13333.333333333334</v>
      </c>
      <c r="R6" s="29">
        <v>0</v>
      </c>
      <c r="S6" s="44">
        <f>Q6*3</f>
        <v>40000</v>
      </c>
    </row>
    <row r="7" spans="2:21" x14ac:dyDescent="0.25">
      <c r="B7" s="77">
        <f>Tabela37[[#This Row],[DATA]]</f>
        <v>46115</v>
      </c>
      <c r="C7" s="77" t="str">
        <f t="shared" si="0"/>
        <v>SEXTA-FEIRA</v>
      </c>
      <c r="D7" s="78"/>
      <c r="E7" s="79" t="s">
        <v>82</v>
      </c>
      <c r="G7" t="s">
        <v>84</v>
      </c>
      <c r="H7" s="66" t="s">
        <v>88</v>
      </c>
      <c r="I7" s="66" t="s">
        <v>51</v>
      </c>
      <c r="J7" s="85" t="s">
        <v>1</v>
      </c>
      <c r="K7" s="86" t="s">
        <v>2</v>
      </c>
      <c r="L7" s="87" t="s">
        <v>3</v>
      </c>
      <c r="M7" s="88" t="s">
        <v>4</v>
      </c>
      <c r="P7" s="122" t="s">
        <v>2</v>
      </c>
      <c r="Q7" s="29">
        <f>(ITAPIPOCA!K7-VENDAS_VENDEDOR!R7)/3</f>
        <v>16666.666666666668</v>
      </c>
      <c r="R7" s="29">
        <v>0</v>
      </c>
      <c r="S7" s="44">
        <f t="shared" ref="S7:S9" si="1">Q7*3</f>
        <v>50000</v>
      </c>
    </row>
    <row r="8" spans="2:21" x14ac:dyDescent="0.25">
      <c r="B8" s="77">
        <f>Tabela37[[#This Row],[DATA]]</f>
        <v>46116</v>
      </c>
      <c r="C8" s="80" t="str">
        <f t="shared" si="0"/>
        <v>SÁBADO</v>
      </c>
      <c r="D8" s="81"/>
      <c r="E8" s="79" t="s">
        <v>82</v>
      </c>
      <c r="H8" s="46" t="s">
        <v>82</v>
      </c>
      <c r="I8" s="29">
        <f>SUMIFS($D$5:$D$128,$E$5:$E$128,H8)</f>
        <v>39142</v>
      </c>
      <c r="J8" s="65">
        <f>I8-$J$3</f>
        <v>25808.666666666664</v>
      </c>
      <c r="K8" s="65">
        <f>I8-$K$3</f>
        <v>22475.333333333332</v>
      </c>
      <c r="L8" s="65">
        <f>I8-$L$3</f>
        <v>19142</v>
      </c>
      <c r="M8" s="65">
        <f>I8-$M$3</f>
        <v>12475.333333333332</v>
      </c>
      <c r="P8" s="122" t="s">
        <v>3</v>
      </c>
      <c r="Q8" s="29">
        <f>(ITAPIPOCA!K13-VENDAS_VENDEDOR!R8)/3</f>
        <v>20000</v>
      </c>
      <c r="R8" s="29">
        <v>0</v>
      </c>
      <c r="S8" s="44">
        <f t="shared" si="1"/>
        <v>60000</v>
      </c>
    </row>
    <row r="9" spans="2:21" x14ac:dyDescent="0.25">
      <c r="B9" s="77">
        <f>Tabela37[[#This Row],[DATA]]</f>
        <v>46117</v>
      </c>
      <c r="C9" s="80" t="str">
        <f t="shared" si="0"/>
        <v>DOMINGO</v>
      </c>
      <c r="D9" s="81"/>
      <c r="E9" s="79" t="s">
        <v>82</v>
      </c>
      <c r="H9" s="46" t="s">
        <v>125</v>
      </c>
      <c r="I9" s="29">
        <f>SUMIFS($D$5:$D$128,$E$5:$E$128,H9)</f>
        <v>25432</v>
      </c>
      <c r="J9" s="65">
        <f>I9-$J$3</f>
        <v>12098.666666666666</v>
      </c>
      <c r="K9" s="65">
        <f>I9-$K$3</f>
        <v>8765.3333333333321</v>
      </c>
      <c r="L9" s="65">
        <f>I9-$L$3</f>
        <v>5432</v>
      </c>
      <c r="M9" s="65">
        <f>I9-$M$3</f>
        <v>-1234.6666666666679</v>
      </c>
      <c r="P9" s="122" t="s">
        <v>4</v>
      </c>
      <c r="Q9" s="29">
        <f>(ITAPIPOCA!K19-VENDAS_VENDEDOR!R9)/3</f>
        <v>26666.666666666668</v>
      </c>
      <c r="R9" s="29">
        <v>0</v>
      </c>
      <c r="S9" s="44">
        <f t="shared" si="1"/>
        <v>80000</v>
      </c>
    </row>
    <row r="10" spans="2:21" x14ac:dyDescent="0.25">
      <c r="B10" s="77">
        <f>Tabela37[[#This Row],[DATA]]</f>
        <v>46118</v>
      </c>
      <c r="C10" s="80" t="str">
        <f t="shared" si="0"/>
        <v>SEGUNDA-FEIRA</v>
      </c>
      <c r="D10" s="81"/>
      <c r="E10" s="79" t="s">
        <v>82</v>
      </c>
      <c r="H10" s="46" t="s">
        <v>83</v>
      </c>
      <c r="I10" s="29">
        <f>SUMIFS($D$5:$D$128,$E$5:$E$128,H10)</f>
        <v>36555</v>
      </c>
      <c r="J10" s="65">
        <f>I10-$J$3</f>
        <v>23221.666666666664</v>
      </c>
      <c r="K10" s="65">
        <f>I10-$K$3</f>
        <v>19888.333333333332</v>
      </c>
      <c r="L10" s="65">
        <f>I10-$L$3</f>
        <v>16555</v>
      </c>
      <c r="M10" s="65">
        <f>I10-$M$3</f>
        <v>9888.3333333333321</v>
      </c>
    </row>
    <row r="11" spans="2:21" x14ac:dyDescent="0.25">
      <c r="B11" s="77">
        <f>Tabela37[[#This Row],[DATA]]</f>
        <v>46119</v>
      </c>
      <c r="C11" s="80" t="str">
        <f t="shared" si="0"/>
        <v>TERÇA-FEIRA</v>
      </c>
      <c r="D11" s="81"/>
      <c r="E11" s="79" t="s">
        <v>82</v>
      </c>
    </row>
    <row r="12" spans="2:21" ht="15.75" thickBot="1" x14ac:dyDescent="0.3">
      <c r="B12" s="77">
        <f>Tabela37[[#This Row],[DATA]]</f>
        <v>46120</v>
      </c>
      <c r="C12" s="80" t="str">
        <f t="shared" si="0"/>
        <v>QUARTA-FEIRA</v>
      </c>
      <c r="D12" s="81"/>
      <c r="E12" s="79" t="s">
        <v>82</v>
      </c>
    </row>
    <row r="13" spans="2:21" ht="15.75" thickBot="1" x14ac:dyDescent="0.3">
      <c r="B13" s="77">
        <f>Tabela37[[#This Row],[DATA]]</f>
        <v>46121</v>
      </c>
      <c r="C13" s="80" t="str">
        <f t="shared" si="0"/>
        <v>QUINTA-FEIRA</v>
      </c>
      <c r="D13" s="81"/>
      <c r="E13" s="79" t="s">
        <v>82</v>
      </c>
      <c r="I13" s="170" t="s">
        <v>89</v>
      </c>
      <c r="J13" s="171"/>
      <c r="K13" s="171"/>
      <c r="L13" s="171"/>
      <c r="M13" s="172"/>
      <c r="Q13" s="20"/>
    </row>
    <row r="14" spans="2:21" x14ac:dyDescent="0.25">
      <c r="B14" s="77">
        <f>Tabela37[[#This Row],[DATA]]</f>
        <v>46122</v>
      </c>
      <c r="C14" s="80" t="str">
        <f t="shared" si="0"/>
        <v>SEXTA-FEIRA</v>
      </c>
      <c r="D14" s="81"/>
      <c r="E14" s="79" t="s">
        <v>82</v>
      </c>
      <c r="H14" s="44"/>
      <c r="I14" s="66" t="s">
        <v>88</v>
      </c>
      <c r="J14" s="85" t="s">
        <v>1</v>
      </c>
      <c r="K14" s="86" t="s">
        <v>2</v>
      </c>
      <c r="L14" s="87" t="s">
        <v>3</v>
      </c>
      <c r="M14" s="88" t="s">
        <v>4</v>
      </c>
      <c r="Q14" s="20"/>
    </row>
    <row r="15" spans="2:21" x14ac:dyDescent="0.25">
      <c r="B15" s="77">
        <f>Tabela37[[#This Row],[DATA]]</f>
        <v>46123</v>
      </c>
      <c r="C15" s="80" t="str">
        <f t="shared" si="0"/>
        <v>SÁBADO</v>
      </c>
      <c r="D15" s="81"/>
      <c r="E15" s="79" t="s">
        <v>82</v>
      </c>
      <c r="I15" s="46" t="s">
        <v>82</v>
      </c>
      <c r="J15" s="73" t="str">
        <f t="shared" ref="J15:M17" si="2">IF(J8&gt;0,"BATEU","NÃO ALCANÇADO")</f>
        <v>BATEU</v>
      </c>
      <c r="K15" s="73" t="str">
        <f t="shared" si="2"/>
        <v>BATEU</v>
      </c>
      <c r="L15" s="73" t="str">
        <f t="shared" si="2"/>
        <v>BATEU</v>
      </c>
      <c r="M15" s="73" t="str">
        <f t="shared" si="2"/>
        <v>BATEU</v>
      </c>
      <c r="Q15" s="20"/>
    </row>
    <row r="16" spans="2:21" x14ac:dyDescent="0.25">
      <c r="B16" s="77">
        <f>Tabela37[[#This Row],[DATA]]</f>
        <v>46124</v>
      </c>
      <c r="C16" s="80" t="str">
        <f t="shared" si="0"/>
        <v>DOMINGO</v>
      </c>
      <c r="D16" s="81"/>
      <c r="E16" s="79" t="s">
        <v>82</v>
      </c>
      <c r="I16" s="46" t="s">
        <v>83</v>
      </c>
      <c r="J16" s="73" t="str">
        <f t="shared" si="2"/>
        <v>BATEU</v>
      </c>
      <c r="K16" s="73" t="str">
        <f t="shared" si="2"/>
        <v>BATEU</v>
      </c>
      <c r="L16" s="73" t="str">
        <f t="shared" si="2"/>
        <v>BATEU</v>
      </c>
      <c r="M16" s="73" t="str">
        <f t="shared" si="2"/>
        <v>NÃO ALCANÇADO</v>
      </c>
      <c r="Q16" s="20"/>
    </row>
    <row r="17" spans="2:13" x14ac:dyDescent="0.25">
      <c r="B17" s="77">
        <f>Tabela37[[#This Row],[DATA]]</f>
        <v>46125</v>
      </c>
      <c r="C17" s="80" t="str">
        <f t="shared" si="0"/>
        <v>SEGUNDA-FEIRA</v>
      </c>
      <c r="D17" s="81"/>
      <c r="E17" s="79" t="s">
        <v>82</v>
      </c>
      <c r="I17" s="46" t="s">
        <v>125</v>
      </c>
      <c r="J17" s="73" t="str">
        <f t="shared" si="2"/>
        <v>BATEU</v>
      </c>
      <c r="K17" s="73" t="str">
        <f t="shared" si="2"/>
        <v>BATEU</v>
      </c>
      <c r="L17" s="73" t="str">
        <f t="shared" si="2"/>
        <v>BATEU</v>
      </c>
      <c r="M17" s="73" t="str">
        <f t="shared" si="2"/>
        <v>BATEU</v>
      </c>
    </row>
    <row r="18" spans="2:13" x14ac:dyDescent="0.25">
      <c r="B18" s="77">
        <f>Tabela37[[#This Row],[DATA]]</f>
        <v>46126</v>
      </c>
      <c r="C18" s="80" t="str">
        <f t="shared" si="0"/>
        <v>TERÇA-FEIRA</v>
      </c>
      <c r="D18" s="81"/>
      <c r="E18" s="79" t="s">
        <v>82</v>
      </c>
      <c r="I18" s="46"/>
      <c r="J18" s="73" t="e">
        <f>IF(#REF!&gt;0,"BATEU","NÃO ALCANÇADO")</f>
        <v>#REF!</v>
      </c>
      <c r="K18" s="73" t="e">
        <f>IF(#REF!&gt;0,"BATEU","NÃO ALCANÇADO")</f>
        <v>#REF!</v>
      </c>
      <c r="L18" s="73" t="e">
        <f>IF(#REF!&gt;0,"BATEU","NÃO ALCANÇADO")</f>
        <v>#REF!</v>
      </c>
      <c r="M18" s="73" t="e">
        <f>IF(#REF!&gt;0,"BATEU","NÃO ALCANÇADO")</f>
        <v>#REF!</v>
      </c>
    </row>
    <row r="19" spans="2:13" ht="15.75" thickBot="1" x14ac:dyDescent="0.3">
      <c r="B19" s="77">
        <f>Tabela37[[#This Row],[DATA]]</f>
        <v>46127</v>
      </c>
      <c r="C19" s="80" t="str">
        <f t="shared" si="0"/>
        <v>QUARTA-FEIRA</v>
      </c>
      <c r="D19" s="81"/>
      <c r="E19" s="79" t="s">
        <v>82</v>
      </c>
      <c r="I19" s="115" t="s">
        <v>30</v>
      </c>
      <c r="J19" s="116">
        <v>0.01</v>
      </c>
      <c r="K19" s="116">
        <v>1.2999999999999999E-2</v>
      </c>
      <c r="L19" s="116">
        <v>1.4999999999999999E-2</v>
      </c>
      <c r="M19" s="117">
        <v>0.02</v>
      </c>
    </row>
    <row r="20" spans="2:13" ht="15.75" customHeight="1" thickBot="1" x14ac:dyDescent="0.3">
      <c r="B20" s="77">
        <f>Tabela37[[#This Row],[DATA]]</f>
        <v>46128</v>
      </c>
      <c r="C20" s="80" t="str">
        <f t="shared" si="0"/>
        <v>QUINTA-FEIRA</v>
      </c>
      <c r="D20" s="81"/>
      <c r="E20" s="79" t="s">
        <v>82</v>
      </c>
      <c r="I20" s="170" t="s">
        <v>90</v>
      </c>
      <c r="J20" s="171"/>
      <c r="K20" s="171"/>
      <c r="L20" s="171"/>
      <c r="M20" s="172"/>
    </row>
    <row r="21" spans="2:13" x14ac:dyDescent="0.25">
      <c r="B21" s="77">
        <f>Tabela37[[#This Row],[DATA]]</f>
        <v>46129</v>
      </c>
      <c r="C21" s="80" t="str">
        <f t="shared" si="0"/>
        <v>SEXTA-FEIRA</v>
      </c>
      <c r="D21" s="81"/>
      <c r="E21" s="79" t="s">
        <v>82</v>
      </c>
      <c r="I21" s="66" t="s">
        <v>88</v>
      </c>
      <c r="J21" s="85" t="s">
        <v>1</v>
      </c>
      <c r="K21" s="86" t="s">
        <v>2</v>
      </c>
      <c r="L21" s="87" t="s">
        <v>3</v>
      </c>
      <c r="M21" s="88" t="s">
        <v>4</v>
      </c>
    </row>
    <row r="22" spans="2:13" x14ac:dyDescent="0.25">
      <c r="B22" s="77">
        <f>Tabela37[[#This Row],[DATA]]</f>
        <v>46130</v>
      </c>
      <c r="C22" s="80" t="str">
        <f t="shared" si="0"/>
        <v>SÁBADO</v>
      </c>
      <c r="D22" s="81"/>
      <c r="E22" s="79" t="s">
        <v>82</v>
      </c>
      <c r="I22" s="46" t="s">
        <v>82</v>
      </c>
      <c r="J22" s="10">
        <f>IF(J15="NÃO ALCANÇADO","NÃO ALCANÇADO",$J$3*$J$19)</f>
        <v>133.33333333333334</v>
      </c>
      <c r="K22" s="10">
        <f>IF(K15="NÃO ALCANÇADO","NÃO ALCANÇADO",$K$3*$K$19)</f>
        <v>216.66666666666669</v>
      </c>
      <c r="L22" s="10">
        <f>IF(L15="NÃO ALCANÇADO","NÃO ALCANÇADO",$L$3*$L$19)</f>
        <v>300</v>
      </c>
      <c r="M22" s="10" t="e">
        <f>IF(M15="NÃO ALCANÇADO","NÃO ALCANÇADO",$M$3*$I$20)</f>
        <v>#VALUE!</v>
      </c>
    </row>
    <row r="23" spans="2:13" x14ac:dyDescent="0.25">
      <c r="B23" s="77">
        <f>Tabela37[[#This Row],[DATA]]</f>
        <v>46131</v>
      </c>
      <c r="C23" s="80" t="str">
        <f t="shared" si="0"/>
        <v>DOMINGO</v>
      </c>
      <c r="D23" s="81"/>
      <c r="E23" s="79" t="s">
        <v>82</v>
      </c>
      <c r="I23" s="46" t="s">
        <v>83</v>
      </c>
      <c r="J23" s="10">
        <f>IF(J16="NÃO ALCANÇADO","NÃO ALCANÇADO",$J$3*$J$19)</f>
        <v>133.33333333333334</v>
      </c>
      <c r="K23" s="10">
        <f>IF(K16="NÃO ALCANÇADO","NÃO ALCANÇADO",$K$3*$K$19)</f>
        <v>216.66666666666669</v>
      </c>
      <c r="L23" s="10">
        <f>IF(L16="NÃO ALCANÇADO","NÃO ALCANÇADO",$L$3*$L$19)</f>
        <v>300</v>
      </c>
      <c r="M23" s="10" t="str">
        <f>IF(M16="NÃO ALCANÇADO","NÃO ALCANÇADO",$M$3*$I$20)</f>
        <v>NÃO ALCANÇADO</v>
      </c>
    </row>
    <row r="24" spans="2:13" x14ac:dyDescent="0.25">
      <c r="B24" s="77">
        <f>Tabela37[[#This Row],[DATA]]</f>
        <v>46132</v>
      </c>
      <c r="C24" s="80" t="str">
        <f t="shared" si="0"/>
        <v>SEGUNDA-FEIRA</v>
      </c>
      <c r="D24" s="81"/>
      <c r="E24" s="79" t="s">
        <v>82</v>
      </c>
      <c r="I24" s="46"/>
      <c r="J24" s="10">
        <f>IF(J17="NÃO ALCANÇADO","NÃO ALCANÇADO",$J$3*$J$19)</f>
        <v>133.33333333333334</v>
      </c>
      <c r="K24" s="10">
        <f>IF(K17="NÃO ALCANÇADO","NÃO ALCANÇADO",$K$3*$K$19)</f>
        <v>216.66666666666669</v>
      </c>
      <c r="L24" s="10">
        <f>IF(L17="NÃO ALCANÇADO","NÃO ALCANÇADO",$L$3*$L$19)</f>
        <v>300</v>
      </c>
      <c r="M24" s="10" t="e">
        <f>IF(M17="NÃO ALCANÇADO","NÃO ALCANÇADO",$M$3*$I$20)</f>
        <v>#VALUE!</v>
      </c>
    </row>
    <row r="25" spans="2:13" x14ac:dyDescent="0.25">
      <c r="B25" s="77">
        <f>Tabela37[[#This Row],[DATA]]</f>
        <v>46133</v>
      </c>
      <c r="C25" s="80" t="str">
        <f t="shared" si="0"/>
        <v>TERÇA-FEIRA</v>
      </c>
      <c r="D25" s="81"/>
      <c r="E25" s="79" t="s">
        <v>82</v>
      </c>
      <c r="I25" s="46"/>
      <c r="J25" s="10" t="e">
        <f>IF(J18="NÃO ALCANÇADO","NÃO ALCANÇADO",$J$3*$J$19)</f>
        <v>#REF!</v>
      </c>
      <c r="K25" s="10" t="e">
        <f>IF(K18="NÃO ALCANÇADO","NÃO ALCANÇADO",$K$3*$K$19)</f>
        <v>#REF!</v>
      </c>
      <c r="L25" s="10" t="e">
        <f>IF(L18="NÃO ALCANÇADO","NÃO ALCANÇADO",$L$3*$L$19)</f>
        <v>#REF!</v>
      </c>
      <c r="M25" s="10" t="e">
        <f>IF(M18="NÃO ALCANÇADO","NÃO ALCANÇADO",$M$3*$I$20)</f>
        <v>#REF!</v>
      </c>
    </row>
    <row r="26" spans="2:13" x14ac:dyDescent="0.25">
      <c r="B26" s="77">
        <f>Tabela37[[#This Row],[DATA]]</f>
        <v>46134</v>
      </c>
      <c r="C26" s="80" t="str">
        <f t="shared" si="0"/>
        <v>QUARTA-FEIRA</v>
      </c>
      <c r="D26" s="81"/>
      <c r="E26" s="79" t="s">
        <v>82</v>
      </c>
    </row>
    <row r="27" spans="2:13" x14ac:dyDescent="0.25">
      <c r="B27" s="77">
        <f>Tabela37[[#This Row],[DATA]]</f>
        <v>46135</v>
      </c>
      <c r="C27" s="80" t="str">
        <f t="shared" si="0"/>
        <v>QUINTA-FEIRA</v>
      </c>
      <c r="D27" s="81"/>
      <c r="E27" s="79" t="s">
        <v>82</v>
      </c>
    </row>
    <row r="28" spans="2:13" x14ac:dyDescent="0.25">
      <c r="B28" s="77">
        <f>Tabela37[[#This Row],[DATA]]</f>
        <v>46136</v>
      </c>
      <c r="C28" s="80" t="str">
        <f t="shared" si="0"/>
        <v>SEXTA-FEIRA</v>
      </c>
      <c r="D28" s="81"/>
      <c r="E28" s="79" t="s">
        <v>82</v>
      </c>
    </row>
    <row r="29" spans="2:13" x14ac:dyDescent="0.25">
      <c r="B29" s="77">
        <f>Tabela37[[#This Row],[DATA]]</f>
        <v>46137</v>
      </c>
      <c r="C29" s="80" t="str">
        <f t="shared" si="0"/>
        <v>SÁBADO</v>
      </c>
      <c r="D29" s="81"/>
      <c r="E29" s="79" t="s">
        <v>82</v>
      </c>
    </row>
    <row r="30" spans="2:13" x14ac:dyDescent="0.25">
      <c r="B30" s="77">
        <f>Tabela37[[#This Row],[DATA]]</f>
        <v>46138</v>
      </c>
      <c r="C30" s="80" t="str">
        <f t="shared" si="0"/>
        <v>DOMINGO</v>
      </c>
      <c r="D30" s="81"/>
      <c r="E30" s="79" t="s">
        <v>82</v>
      </c>
    </row>
    <row r="31" spans="2:13" x14ac:dyDescent="0.25">
      <c r="B31" s="77">
        <f>Tabela37[[#This Row],[DATA]]</f>
        <v>46139</v>
      </c>
      <c r="C31" s="80" t="str">
        <f t="shared" ref="C31:C98" si="3">UPPER(TEXT(B31,"dddd"))</f>
        <v>SEGUNDA-FEIRA</v>
      </c>
      <c r="D31" s="81"/>
      <c r="E31" s="79" t="s">
        <v>82</v>
      </c>
    </row>
    <row r="32" spans="2:13" x14ac:dyDescent="0.25">
      <c r="B32" s="77">
        <f>Tabela37[[#This Row],[DATA]]</f>
        <v>46140</v>
      </c>
      <c r="C32" s="80" t="str">
        <f t="shared" si="3"/>
        <v>TERÇA-FEIRA</v>
      </c>
      <c r="D32" s="81"/>
      <c r="E32" s="79" t="s">
        <v>82</v>
      </c>
    </row>
    <row r="33" spans="2:5" x14ac:dyDescent="0.25">
      <c r="B33" s="77">
        <f>Tabela37[[#This Row],[DATA]]</f>
        <v>46141</v>
      </c>
      <c r="C33" s="80" t="str">
        <f t="shared" ref="C33:C65" si="4">UPPER(TEXT(B33,"dddd"))</f>
        <v>QUARTA-FEIRA</v>
      </c>
      <c r="D33" s="81"/>
      <c r="E33" s="79" t="s">
        <v>82</v>
      </c>
    </row>
    <row r="34" spans="2:5" x14ac:dyDescent="0.25">
      <c r="B34" s="77">
        <f>Tabela37[[#This Row],[DATA]]</f>
        <v>46142</v>
      </c>
      <c r="C34" s="80" t="str">
        <f t="shared" si="4"/>
        <v>QUINTA-FEIRA</v>
      </c>
      <c r="D34" s="81"/>
      <c r="E34" s="79" t="s">
        <v>82</v>
      </c>
    </row>
    <row r="35" spans="2:5" x14ac:dyDescent="0.25">
      <c r="B35" s="77">
        <f>Tabela37[[#This Row],[DATA]]</f>
        <v>46143</v>
      </c>
      <c r="C35" s="80" t="str">
        <f>UPPER(TEXT(B35,"dddd"))</f>
        <v>SEXTA-FEIRA</v>
      </c>
      <c r="D35" s="81"/>
      <c r="E35" s="79" t="s">
        <v>82</v>
      </c>
    </row>
    <row r="36" spans="2:5" hidden="1" x14ac:dyDescent="0.25">
      <c r="B36" s="143">
        <v>45992</v>
      </c>
      <c r="C36" s="144" t="str">
        <f t="shared" si="4"/>
        <v>SEGUNDA-FEIRA</v>
      </c>
      <c r="D36" s="145"/>
      <c r="E36" s="146" t="s">
        <v>124</v>
      </c>
    </row>
    <row r="37" spans="2:5" hidden="1" x14ac:dyDescent="0.25">
      <c r="B37" s="143">
        <v>45993</v>
      </c>
      <c r="C37" s="144" t="str">
        <f t="shared" si="4"/>
        <v>TERÇA-FEIRA</v>
      </c>
      <c r="D37" s="145"/>
      <c r="E37" s="146" t="s">
        <v>124</v>
      </c>
    </row>
    <row r="38" spans="2:5" hidden="1" x14ac:dyDescent="0.25">
      <c r="B38" s="143">
        <v>45994</v>
      </c>
      <c r="C38" s="144" t="str">
        <f t="shared" si="4"/>
        <v>QUARTA-FEIRA</v>
      </c>
      <c r="D38" s="145"/>
      <c r="E38" s="146" t="s">
        <v>124</v>
      </c>
    </row>
    <row r="39" spans="2:5" hidden="1" x14ac:dyDescent="0.25">
      <c r="B39" s="143">
        <v>45995</v>
      </c>
      <c r="C39" s="144" t="str">
        <f t="shared" si="4"/>
        <v>QUINTA-FEIRA</v>
      </c>
      <c r="D39" s="145"/>
      <c r="E39" s="146" t="s">
        <v>124</v>
      </c>
    </row>
    <row r="40" spans="2:5" hidden="1" x14ac:dyDescent="0.25">
      <c r="B40" s="143">
        <v>45996</v>
      </c>
      <c r="C40" s="144" t="str">
        <f t="shared" si="4"/>
        <v>SEXTA-FEIRA</v>
      </c>
      <c r="D40" s="145"/>
      <c r="E40" s="146" t="s">
        <v>124</v>
      </c>
    </row>
    <row r="41" spans="2:5" hidden="1" x14ac:dyDescent="0.25">
      <c r="B41" s="143">
        <v>45997</v>
      </c>
      <c r="C41" s="144" t="str">
        <f t="shared" si="4"/>
        <v>SÁBADO</v>
      </c>
      <c r="D41" s="145"/>
      <c r="E41" s="146" t="s">
        <v>124</v>
      </c>
    </row>
    <row r="42" spans="2:5" hidden="1" x14ac:dyDescent="0.25">
      <c r="B42" s="143">
        <v>45998</v>
      </c>
      <c r="C42" s="144" t="str">
        <f t="shared" si="4"/>
        <v>DOMINGO</v>
      </c>
      <c r="D42" s="145"/>
      <c r="E42" s="146" t="s">
        <v>124</v>
      </c>
    </row>
    <row r="43" spans="2:5" hidden="1" x14ac:dyDescent="0.25">
      <c r="B43" s="143">
        <v>45999</v>
      </c>
      <c r="C43" s="144" t="str">
        <f t="shared" si="4"/>
        <v>SEGUNDA-FEIRA</v>
      </c>
      <c r="D43" s="145"/>
      <c r="E43" s="146" t="s">
        <v>124</v>
      </c>
    </row>
    <row r="44" spans="2:5" hidden="1" x14ac:dyDescent="0.25">
      <c r="B44" s="143">
        <v>46000</v>
      </c>
      <c r="C44" s="144" t="str">
        <f t="shared" si="4"/>
        <v>TERÇA-FEIRA</v>
      </c>
      <c r="D44" s="145"/>
      <c r="E44" s="146" t="s">
        <v>124</v>
      </c>
    </row>
    <row r="45" spans="2:5" hidden="1" x14ac:dyDescent="0.25">
      <c r="B45" s="143">
        <v>46001</v>
      </c>
      <c r="C45" s="144" t="str">
        <f t="shared" si="4"/>
        <v>QUARTA-FEIRA</v>
      </c>
      <c r="D45" s="145"/>
      <c r="E45" s="146" t="s">
        <v>124</v>
      </c>
    </row>
    <row r="46" spans="2:5" hidden="1" x14ac:dyDescent="0.25">
      <c r="B46" s="143">
        <v>46002</v>
      </c>
      <c r="C46" s="144" t="str">
        <f t="shared" si="4"/>
        <v>QUINTA-FEIRA</v>
      </c>
      <c r="D46" s="145"/>
      <c r="E46" s="146" t="s">
        <v>124</v>
      </c>
    </row>
    <row r="47" spans="2:5" hidden="1" x14ac:dyDescent="0.25">
      <c r="B47" s="143">
        <v>46003</v>
      </c>
      <c r="C47" s="144" t="str">
        <f t="shared" si="4"/>
        <v>SEXTA-FEIRA</v>
      </c>
      <c r="D47" s="145"/>
      <c r="E47" s="146" t="s">
        <v>124</v>
      </c>
    </row>
    <row r="48" spans="2:5" hidden="1" x14ac:dyDescent="0.25">
      <c r="B48" s="143">
        <v>46004</v>
      </c>
      <c r="C48" s="144" t="str">
        <f t="shared" si="4"/>
        <v>SÁBADO</v>
      </c>
      <c r="D48" s="145"/>
      <c r="E48" s="146" t="s">
        <v>124</v>
      </c>
    </row>
    <row r="49" spans="2:5" hidden="1" x14ac:dyDescent="0.25">
      <c r="B49" s="143">
        <v>46005</v>
      </c>
      <c r="C49" s="144" t="str">
        <f t="shared" si="4"/>
        <v>DOMINGO</v>
      </c>
      <c r="D49" s="145"/>
      <c r="E49" s="146" t="s">
        <v>124</v>
      </c>
    </row>
    <row r="50" spans="2:5" hidden="1" x14ac:dyDescent="0.25">
      <c r="B50" s="143">
        <v>46006</v>
      </c>
      <c r="C50" s="144" t="str">
        <f t="shared" si="4"/>
        <v>SEGUNDA-FEIRA</v>
      </c>
      <c r="D50" s="145"/>
      <c r="E50" s="146" t="s">
        <v>124</v>
      </c>
    </row>
    <row r="51" spans="2:5" hidden="1" x14ac:dyDescent="0.25">
      <c r="B51" s="143">
        <v>46007</v>
      </c>
      <c r="C51" s="144" t="str">
        <f t="shared" si="4"/>
        <v>TERÇA-FEIRA</v>
      </c>
      <c r="D51" s="145"/>
      <c r="E51" s="146" t="s">
        <v>124</v>
      </c>
    </row>
    <row r="52" spans="2:5" hidden="1" x14ac:dyDescent="0.25">
      <c r="B52" s="143">
        <v>46008</v>
      </c>
      <c r="C52" s="144" t="str">
        <f t="shared" si="4"/>
        <v>QUARTA-FEIRA</v>
      </c>
      <c r="D52" s="145"/>
      <c r="E52" s="146" t="s">
        <v>124</v>
      </c>
    </row>
    <row r="53" spans="2:5" hidden="1" x14ac:dyDescent="0.25">
      <c r="B53" s="143">
        <v>46009</v>
      </c>
      <c r="C53" s="144" t="str">
        <f t="shared" si="4"/>
        <v>QUINTA-FEIRA</v>
      </c>
      <c r="D53" s="145"/>
      <c r="E53" s="146" t="s">
        <v>124</v>
      </c>
    </row>
    <row r="54" spans="2:5" hidden="1" x14ac:dyDescent="0.25">
      <c r="B54" s="143">
        <v>46010</v>
      </c>
      <c r="C54" s="144" t="str">
        <f t="shared" si="4"/>
        <v>SEXTA-FEIRA</v>
      </c>
      <c r="D54" s="145"/>
      <c r="E54" s="146" t="s">
        <v>124</v>
      </c>
    </row>
    <row r="55" spans="2:5" hidden="1" x14ac:dyDescent="0.25">
      <c r="B55" s="143">
        <v>46011</v>
      </c>
      <c r="C55" s="144" t="str">
        <f t="shared" si="4"/>
        <v>SÁBADO</v>
      </c>
      <c r="D55" s="145"/>
      <c r="E55" s="146" t="s">
        <v>124</v>
      </c>
    </row>
    <row r="56" spans="2:5" hidden="1" x14ac:dyDescent="0.25">
      <c r="B56" s="143">
        <v>46012</v>
      </c>
      <c r="C56" s="144" t="str">
        <f t="shared" si="4"/>
        <v>DOMINGO</v>
      </c>
      <c r="D56" s="145"/>
      <c r="E56" s="146" t="s">
        <v>124</v>
      </c>
    </row>
    <row r="57" spans="2:5" hidden="1" x14ac:dyDescent="0.25">
      <c r="B57" s="143">
        <v>46013</v>
      </c>
      <c r="C57" s="144" t="str">
        <f t="shared" si="4"/>
        <v>SEGUNDA-FEIRA</v>
      </c>
      <c r="D57" s="145"/>
      <c r="E57" s="146" t="s">
        <v>124</v>
      </c>
    </row>
    <row r="58" spans="2:5" hidden="1" x14ac:dyDescent="0.25">
      <c r="B58" s="143">
        <v>46014</v>
      </c>
      <c r="C58" s="144" t="str">
        <f t="shared" si="4"/>
        <v>TERÇA-FEIRA</v>
      </c>
      <c r="D58" s="145"/>
      <c r="E58" s="146" t="s">
        <v>124</v>
      </c>
    </row>
    <row r="59" spans="2:5" hidden="1" x14ac:dyDescent="0.25">
      <c r="B59" s="143">
        <v>46015</v>
      </c>
      <c r="C59" s="144" t="str">
        <f t="shared" si="4"/>
        <v>QUARTA-FEIRA</v>
      </c>
      <c r="D59" s="145"/>
      <c r="E59" s="146" t="s">
        <v>124</v>
      </c>
    </row>
    <row r="60" spans="2:5" hidden="1" x14ac:dyDescent="0.25">
      <c r="B60" s="143">
        <v>46016</v>
      </c>
      <c r="C60" s="144" t="str">
        <f t="shared" si="4"/>
        <v>QUINTA-FEIRA</v>
      </c>
      <c r="D60" s="145"/>
      <c r="E60" s="146" t="s">
        <v>124</v>
      </c>
    </row>
    <row r="61" spans="2:5" hidden="1" x14ac:dyDescent="0.25">
      <c r="B61" s="143">
        <v>46017</v>
      </c>
      <c r="C61" s="144" t="str">
        <f t="shared" si="4"/>
        <v>SEXTA-FEIRA</v>
      </c>
      <c r="D61" s="145"/>
      <c r="E61" s="146" t="s">
        <v>124</v>
      </c>
    </row>
    <row r="62" spans="2:5" hidden="1" x14ac:dyDescent="0.25">
      <c r="B62" s="143">
        <v>46018</v>
      </c>
      <c r="C62" s="144" t="str">
        <f t="shared" si="4"/>
        <v>SÁBADO</v>
      </c>
      <c r="D62" s="145"/>
      <c r="E62" s="146" t="s">
        <v>124</v>
      </c>
    </row>
    <row r="63" spans="2:5" hidden="1" x14ac:dyDescent="0.25">
      <c r="B63" s="143">
        <v>46019</v>
      </c>
      <c r="C63" s="144" t="str">
        <f t="shared" si="4"/>
        <v>DOMINGO</v>
      </c>
      <c r="D63" s="145"/>
      <c r="E63" s="146" t="s">
        <v>124</v>
      </c>
    </row>
    <row r="64" spans="2:5" hidden="1" x14ac:dyDescent="0.25">
      <c r="B64" s="143">
        <v>46020</v>
      </c>
      <c r="C64" s="144" t="str">
        <f t="shared" si="4"/>
        <v>SEGUNDA-FEIRA</v>
      </c>
      <c r="D64" s="145"/>
      <c r="E64" s="146" t="s">
        <v>124</v>
      </c>
    </row>
    <row r="65" spans="2:5" hidden="1" x14ac:dyDescent="0.25">
      <c r="B65" s="143">
        <v>46021</v>
      </c>
      <c r="C65" s="144" t="str">
        <f t="shared" si="4"/>
        <v>TERÇA-FEIRA</v>
      </c>
      <c r="D65" s="145"/>
      <c r="E65" s="146" t="s">
        <v>124</v>
      </c>
    </row>
    <row r="66" spans="2:5" hidden="1" x14ac:dyDescent="0.25">
      <c r="B66" s="143">
        <v>46022</v>
      </c>
      <c r="C66" s="144" t="str">
        <f>UPPER(TEXT(B66,"dddd"))</f>
        <v>QUARTA-FEIRA</v>
      </c>
      <c r="D66" s="145"/>
      <c r="E66" s="146" t="s">
        <v>124</v>
      </c>
    </row>
    <row r="67" spans="2:5" x14ac:dyDescent="0.25">
      <c r="B67" s="147">
        <v>46082</v>
      </c>
      <c r="C67" s="148" t="str">
        <f t="shared" ref="C67:C96" si="5">UPPER(TEXT(B67,"dddd"))</f>
        <v>DOMINGO</v>
      </c>
      <c r="D67" s="149">
        <v>25432</v>
      </c>
      <c r="E67" s="150" t="s">
        <v>125</v>
      </c>
    </row>
    <row r="68" spans="2:5" x14ac:dyDescent="0.25">
      <c r="B68" s="147">
        <v>46083</v>
      </c>
      <c r="C68" s="148" t="str">
        <f t="shared" si="5"/>
        <v>SEGUNDA-FEIRA</v>
      </c>
      <c r="D68" s="149"/>
      <c r="E68" s="150" t="s">
        <v>125</v>
      </c>
    </row>
    <row r="69" spans="2:5" x14ac:dyDescent="0.25">
      <c r="B69" s="147">
        <v>46084</v>
      </c>
      <c r="C69" s="148" t="str">
        <f t="shared" si="5"/>
        <v>TERÇA-FEIRA</v>
      </c>
      <c r="D69" s="149"/>
      <c r="E69" s="150" t="s">
        <v>125</v>
      </c>
    </row>
    <row r="70" spans="2:5" x14ac:dyDescent="0.25">
      <c r="B70" s="147">
        <v>46085</v>
      </c>
      <c r="C70" s="148" t="str">
        <f t="shared" si="5"/>
        <v>QUARTA-FEIRA</v>
      </c>
      <c r="D70" s="149"/>
      <c r="E70" s="150" t="s">
        <v>125</v>
      </c>
    </row>
    <row r="71" spans="2:5" x14ac:dyDescent="0.25">
      <c r="B71" s="147">
        <v>46086</v>
      </c>
      <c r="C71" s="148" t="str">
        <f t="shared" si="5"/>
        <v>QUINTA-FEIRA</v>
      </c>
      <c r="D71" s="149"/>
      <c r="E71" s="150" t="s">
        <v>125</v>
      </c>
    </row>
    <row r="72" spans="2:5" x14ac:dyDescent="0.25">
      <c r="B72" s="147">
        <v>46087</v>
      </c>
      <c r="C72" s="148" t="str">
        <f t="shared" si="5"/>
        <v>SEXTA-FEIRA</v>
      </c>
      <c r="D72" s="149"/>
      <c r="E72" s="150" t="s">
        <v>125</v>
      </c>
    </row>
    <row r="73" spans="2:5" x14ac:dyDescent="0.25">
      <c r="B73" s="147">
        <v>46088</v>
      </c>
      <c r="C73" s="148" t="str">
        <f t="shared" si="5"/>
        <v>SÁBADO</v>
      </c>
      <c r="D73" s="149"/>
      <c r="E73" s="150" t="s">
        <v>125</v>
      </c>
    </row>
    <row r="74" spans="2:5" x14ac:dyDescent="0.25">
      <c r="B74" s="147">
        <v>46089</v>
      </c>
      <c r="C74" s="148" t="str">
        <f t="shared" si="5"/>
        <v>DOMINGO</v>
      </c>
      <c r="D74" s="149"/>
      <c r="E74" s="150" t="s">
        <v>125</v>
      </c>
    </row>
    <row r="75" spans="2:5" x14ac:dyDescent="0.25">
      <c r="B75" s="147">
        <v>46090</v>
      </c>
      <c r="C75" s="148" t="str">
        <f t="shared" si="5"/>
        <v>SEGUNDA-FEIRA</v>
      </c>
      <c r="D75" s="149"/>
      <c r="E75" s="150" t="s">
        <v>125</v>
      </c>
    </row>
    <row r="76" spans="2:5" x14ac:dyDescent="0.25">
      <c r="B76" s="147">
        <v>46091</v>
      </c>
      <c r="C76" s="148" t="str">
        <f t="shared" si="5"/>
        <v>TERÇA-FEIRA</v>
      </c>
      <c r="D76" s="149"/>
      <c r="E76" s="150" t="s">
        <v>125</v>
      </c>
    </row>
    <row r="77" spans="2:5" x14ac:dyDescent="0.25">
      <c r="B77" s="147">
        <v>46092</v>
      </c>
      <c r="C77" s="148" t="str">
        <f t="shared" si="5"/>
        <v>QUARTA-FEIRA</v>
      </c>
      <c r="D77" s="149"/>
      <c r="E77" s="150" t="s">
        <v>125</v>
      </c>
    </row>
    <row r="78" spans="2:5" x14ac:dyDescent="0.25">
      <c r="B78" s="147">
        <v>46093</v>
      </c>
      <c r="C78" s="148" t="str">
        <f t="shared" si="5"/>
        <v>QUINTA-FEIRA</v>
      </c>
      <c r="D78" s="149"/>
      <c r="E78" s="150" t="s">
        <v>125</v>
      </c>
    </row>
    <row r="79" spans="2:5" x14ac:dyDescent="0.25">
      <c r="B79" s="147">
        <v>46094</v>
      </c>
      <c r="C79" s="148" t="str">
        <f t="shared" si="5"/>
        <v>SEXTA-FEIRA</v>
      </c>
      <c r="D79" s="149"/>
      <c r="E79" s="150" t="s">
        <v>125</v>
      </c>
    </row>
    <row r="80" spans="2:5" x14ac:dyDescent="0.25">
      <c r="B80" s="147">
        <v>46095</v>
      </c>
      <c r="C80" s="148" t="str">
        <f t="shared" si="5"/>
        <v>SÁBADO</v>
      </c>
      <c r="D80" s="149"/>
      <c r="E80" s="150" t="s">
        <v>125</v>
      </c>
    </row>
    <row r="81" spans="2:5" x14ac:dyDescent="0.25">
      <c r="B81" s="147">
        <v>46096</v>
      </c>
      <c r="C81" s="148" t="str">
        <f t="shared" si="5"/>
        <v>DOMINGO</v>
      </c>
      <c r="D81" s="149"/>
      <c r="E81" s="150" t="s">
        <v>125</v>
      </c>
    </row>
    <row r="82" spans="2:5" x14ac:dyDescent="0.25">
      <c r="B82" s="147">
        <v>46097</v>
      </c>
      <c r="C82" s="148" t="str">
        <f t="shared" si="5"/>
        <v>SEGUNDA-FEIRA</v>
      </c>
      <c r="D82" s="149"/>
      <c r="E82" s="150" t="s">
        <v>125</v>
      </c>
    </row>
    <row r="83" spans="2:5" x14ac:dyDescent="0.25">
      <c r="B83" s="147">
        <v>46098</v>
      </c>
      <c r="C83" s="148" t="str">
        <f t="shared" si="5"/>
        <v>TERÇA-FEIRA</v>
      </c>
      <c r="D83" s="149"/>
      <c r="E83" s="150" t="s">
        <v>125</v>
      </c>
    </row>
    <row r="84" spans="2:5" x14ac:dyDescent="0.25">
      <c r="B84" s="147">
        <v>46099</v>
      </c>
      <c r="C84" s="148" t="str">
        <f t="shared" si="5"/>
        <v>QUARTA-FEIRA</v>
      </c>
      <c r="D84" s="149"/>
      <c r="E84" s="150" t="s">
        <v>125</v>
      </c>
    </row>
    <row r="85" spans="2:5" x14ac:dyDescent="0.25">
      <c r="B85" s="147">
        <v>46100</v>
      </c>
      <c r="C85" s="148" t="str">
        <f t="shared" si="5"/>
        <v>QUINTA-FEIRA</v>
      </c>
      <c r="D85" s="149"/>
      <c r="E85" s="150" t="s">
        <v>125</v>
      </c>
    </row>
    <row r="86" spans="2:5" x14ac:dyDescent="0.25">
      <c r="B86" s="147">
        <v>46101</v>
      </c>
      <c r="C86" s="148" t="str">
        <f t="shared" si="5"/>
        <v>SEXTA-FEIRA</v>
      </c>
      <c r="D86" s="149"/>
      <c r="E86" s="150" t="s">
        <v>125</v>
      </c>
    </row>
    <row r="87" spans="2:5" x14ac:dyDescent="0.25">
      <c r="B87" s="147">
        <v>46102</v>
      </c>
      <c r="C87" s="148" t="str">
        <f t="shared" si="5"/>
        <v>SÁBADO</v>
      </c>
      <c r="D87" s="149"/>
      <c r="E87" s="150" t="s">
        <v>125</v>
      </c>
    </row>
    <row r="88" spans="2:5" x14ac:dyDescent="0.25">
      <c r="B88" s="147">
        <v>46103</v>
      </c>
      <c r="C88" s="148" t="str">
        <f t="shared" si="5"/>
        <v>DOMINGO</v>
      </c>
      <c r="D88" s="149"/>
      <c r="E88" s="150" t="s">
        <v>125</v>
      </c>
    </row>
    <row r="89" spans="2:5" x14ac:dyDescent="0.25">
      <c r="B89" s="147">
        <v>46104</v>
      </c>
      <c r="C89" s="148" t="str">
        <f t="shared" si="5"/>
        <v>SEGUNDA-FEIRA</v>
      </c>
      <c r="D89" s="149"/>
      <c r="E89" s="150" t="s">
        <v>125</v>
      </c>
    </row>
    <row r="90" spans="2:5" x14ac:dyDescent="0.25">
      <c r="B90" s="147">
        <v>46105</v>
      </c>
      <c r="C90" s="148" t="str">
        <f t="shared" si="5"/>
        <v>TERÇA-FEIRA</v>
      </c>
      <c r="D90" s="149"/>
      <c r="E90" s="150" t="s">
        <v>125</v>
      </c>
    </row>
    <row r="91" spans="2:5" x14ac:dyDescent="0.25">
      <c r="B91" s="147">
        <v>46106</v>
      </c>
      <c r="C91" s="148" t="str">
        <f t="shared" si="5"/>
        <v>QUARTA-FEIRA</v>
      </c>
      <c r="D91" s="149"/>
      <c r="E91" s="150" t="s">
        <v>125</v>
      </c>
    </row>
    <row r="92" spans="2:5" x14ac:dyDescent="0.25">
      <c r="B92" s="147">
        <v>46107</v>
      </c>
      <c r="C92" s="148" t="str">
        <f t="shared" si="5"/>
        <v>QUINTA-FEIRA</v>
      </c>
      <c r="D92" s="149"/>
      <c r="E92" s="150" t="s">
        <v>125</v>
      </c>
    </row>
    <row r="93" spans="2:5" x14ac:dyDescent="0.25">
      <c r="B93" s="147">
        <v>46108</v>
      </c>
      <c r="C93" s="148" t="str">
        <f t="shared" si="5"/>
        <v>SEXTA-FEIRA</v>
      </c>
      <c r="D93" s="149"/>
      <c r="E93" s="150" t="s">
        <v>125</v>
      </c>
    </row>
    <row r="94" spans="2:5" x14ac:dyDescent="0.25">
      <c r="B94" s="147">
        <v>46109</v>
      </c>
      <c r="C94" s="148" t="str">
        <f t="shared" si="5"/>
        <v>SÁBADO</v>
      </c>
      <c r="D94" s="149"/>
      <c r="E94" s="150" t="s">
        <v>125</v>
      </c>
    </row>
    <row r="95" spans="2:5" x14ac:dyDescent="0.25">
      <c r="B95" s="147">
        <v>46110</v>
      </c>
      <c r="C95" s="148" t="str">
        <f t="shared" si="5"/>
        <v>DOMINGO</v>
      </c>
      <c r="D95" s="149"/>
      <c r="E95" s="150" t="s">
        <v>125</v>
      </c>
    </row>
    <row r="96" spans="2:5" x14ac:dyDescent="0.25">
      <c r="B96" s="147">
        <v>46111</v>
      </c>
      <c r="C96" s="148" t="str">
        <f t="shared" si="5"/>
        <v>SEGUNDA-FEIRA</v>
      </c>
      <c r="D96" s="149"/>
      <c r="E96" s="150" t="s">
        <v>125</v>
      </c>
    </row>
    <row r="97" spans="2:5" x14ac:dyDescent="0.25">
      <c r="B97" s="147">
        <v>46112</v>
      </c>
      <c r="C97" s="148" t="str">
        <f>UPPER(TEXT(B97,"dddd"))</f>
        <v>TERÇA-FEIRA</v>
      </c>
      <c r="D97" s="149"/>
      <c r="E97" s="150" t="s">
        <v>125</v>
      </c>
    </row>
    <row r="98" spans="2:5" x14ac:dyDescent="0.25">
      <c r="B98" s="74">
        <v>46082</v>
      </c>
      <c r="C98" s="74" t="str">
        <f t="shared" si="3"/>
        <v>DOMINGO</v>
      </c>
      <c r="D98" s="75">
        <v>36555</v>
      </c>
      <c r="E98" s="76" t="s">
        <v>83</v>
      </c>
    </row>
    <row r="99" spans="2:5" x14ac:dyDescent="0.25">
      <c r="B99" s="74">
        <v>46083</v>
      </c>
      <c r="C99" s="74" t="str">
        <f t="shared" ref="C99:C106" si="6">UPPER(TEXT(B99,"dddd"))</f>
        <v>SEGUNDA-FEIRA</v>
      </c>
      <c r="D99" s="75"/>
      <c r="E99" s="76" t="s">
        <v>83</v>
      </c>
    </row>
    <row r="100" spans="2:5" x14ac:dyDescent="0.25">
      <c r="B100" s="74">
        <v>46084</v>
      </c>
      <c r="C100" s="74" t="str">
        <f t="shared" si="6"/>
        <v>TERÇA-FEIRA</v>
      </c>
      <c r="D100" s="75"/>
      <c r="E100" s="76" t="s">
        <v>83</v>
      </c>
    </row>
    <row r="101" spans="2:5" x14ac:dyDescent="0.25">
      <c r="B101" s="74">
        <v>46085</v>
      </c>
      <c r="C101" s="74" t="str">
        <f t="shared" si="6"/>
        <v>QUARTA-FEIRA</v>
      </c>
      <c r="D101" s="75"/>
      <c r="E101" s="76" t="s">
        <v>83</v>
      </c>
    </row>
    <row r="102" spans="2:5" x14ac:dyDescent="0.25">
      <c r="B102" s="74">
        <v>46086</v>
      </c>
      <c r="C102" s="74" t="str">
        <f t="shared" si="6"/>
        <v>QUINTA-FEIRA</v>
      </c>
      <c r="D102" s="75"/>
      <c r="E102" s="76" t="s">
        <v>83</v>
      </c>
    </row>
    <row r="103" spans="2:5" x14ac:dyDescent="0.25">
      <c r="B103" s="74">
        <v>46087</v>
      </c>
      <c r="C103" s="74" t="str">
        <f t="shared" si="6"/>
        <v>SEXTA-FEIRA</v>
      </c>
      <c r="D103" s="75"/>
      <c r="E103" s="76" t="s">
        <v>83</v>
      </c>
    </row>
    <row r="104" spans="2:5" x14ac:dyDescent="0.25">
      <c r="B104" s="74">
        <v>46088</v>
      </c>
      <c r="C104" s="74" t="str">
        <f t="shared" si="6"/>
        <v>SÁBADO</v>
      </c>
      <c r="D104" s="75"/>
      <c r="E104" s="76" t="s">
        <v>83</v>
      </c>
    </row>
    <row r="105" spans="2:5" x14ac:dyDescent="0.25">
      <c r="B105" s="74">
        <v>46089</v>
      </c>
      <c r="C105" s="74" t="str">
        <f t="shared" si="6"/>
        <v>DOMINGO</v>
      </c>
      <c r="D105" s="75"/>
      <c r="E105" s="76" t="s">
        <v>83</v>
      </c>
    </row>
    <row r="106" spans="2:5" x14ac:dyDescent="0.25">
      <c r="B106" s="74">
        <v>46090</v>
      </c>
      <c r="C106" s="74" t="str">
        <f t="shared" si="6"/>
        <v>SEGUNDA-FEIRA</v>
      </c>
      <c r="D106" s="75"/>
      <c r="E106" s="76" t="s">
        <v>83</v>
      </c>
    </row>
    <row r="107" spans="2:5" x14ac:dyDescent="0.25">
      <c r="B107" s="74">
        <v>46091</v>
      </c>
      <c r="C107" s="74" t="str">
        <f t="shared" ref="C107:C113" si="7">UPPER(TEXT(B107,"dddd"))</f>
        <v>TERÇA-FEIRA</v>
      </c>
      <c r="D107" s="75"/>
      <c r="E107" s="76" t="s">
        <v>83</v>
      </c>
    </row>
    <row r="108" spans="2:5" x14ac:dyDescent="0.25">
      <c r="B108" s="74">
        <v>46092</v>
      </c>
      <c r="C108" s="74" t="str">
        <f t="shared" si="7"/>
        <v>QUARTA-FEIRA</v>
      </c>
      <c r="D108" s="75"/>
      <c r="E108" s="76" t="s">
        <v>83</v>
      </c>
    </row>
    <row r="109" spans="2:5" x14ac:dyDescent="0.25">
      <c r="B109" s="74">
        <v>46093</v>
      </c>
      <c r="C109" s="74" t="str">
        <f t="shared" si="7"/>
        <v>QUINTA-FEIRA</v>
      </c>
      <c r="D109" s="75"/>
      <c r="E109" s="76" t="s">
        <v>83</v>
      </c>
    </row>
    <row r="110" spans="2:5" x14ac:dyDescent="0.25">
      <c r="B110" s="74">
        <v>46094</v>
      </c>
      <c r="C110" s="74" t="str">
        <f t="shared" si="7"/>
        <v>SEXTA-FEIRA</v>
      </c>
      <c r="D110" s="75"/>
      <c r="E110" s="76" t="s">
        <v>83</v>
      </c>
    </row>
    <row r="111" spans="2:5" x14ac:dyDescent="0.25">
      <c r="B111" s="74">
        <v>46095</v>
      </c>
      <c r="C111" s="74" t="str">
        <f t="shared" si="7"/>
        <v>SÁBADO</v>
      </c>
      <c r="D111" s="75"/>
      <c r="E111" s="76" t="s">
        <v>83</v>
      </c>
    </row>
    <row r="112" spans="2:5" x14ac:dyDescent="0.25">
      <c r="B112" s="74">
        <v>46096</v>
      </c>
      <c r="C112" s="74" t="str">
        <f t="shared" si="7"/>
        <v>DOMINGO</v>
      </c>
      <c r="D112" s="75"/>
      <c r="E112" s="76" t="s">
        <v>83</v>
      </c>
    </row>
    <row r="113" spans="2:5" x14ac:dyDescent="0.25">
      <c r="B113" s="74">
        <v>46097</v>
      </c>
      <c r="C113" s="74" t="str">
        <f t="shared" si="7"/>
        <v>SEGUNDA-FEIRA</v>
      </c>
      <c r="D113" s="75"/>
      <c r="E113" s="76" t="s">
        <v>83</v>
      </c>
    </row>
    <row r="114" spans="2:5" x14ac:dyDescent="0.25">
      <c r="B114" s="74">
        <v>46098</v>
      </c>
      <c r="C114" s="74" t="str">
        <f t="shared" ref="C114:C125" si="8">UPPER(TEXT(B114,"dddd"))</f>
        <v>TERÇA-FEIRA</v>
      </c>
      <c r="D114" s="75"/>
      <c r="E114" s="76" t="s">
        <v>83</v>
      </c>
    </row>
    <row r="115" spans="2:5" x14ac:dyDescent="0.25">
      <c r="B115" s="74">
        <v>46099</v>
      </c>
      <c r="C115" s="74" t="str">
        <f t="shared" si="8"/>
        <v>QUARTA-FEIRA</v>
      </c>
      <c r="D115" s="75"/>
      <c r="E115" s="76" t="s">
        <v>83</v>
      </c>
    </row>
    <row r="116" spans="2:5" x14ac:dyDescent="0.25">
      <c r="B116" s="74">
        <v>46100</v>
      </c>
      <c r="C116" s="74" t="str">
        <f t="shared" si="8"/>
        <v>QUINTA-FEIRA</v>
      </c>
      <c r="D116" s="75"/>
      <c r="E116" s="76" t="s">
        <v>83</v>
      </c>
    </row>
    <row r="117" spans="2:5" x14ac:dyDescent="0.25">
      <c r="B117" s="74">
        <v>46101</v>
      </c>
      <c r="C117" s="74" t="str">
        <f t="shared" si="8"/>
        <v>SEXTA-FEIRA</v>
      </c>
      <c r="D117" s="75"/>
      <c r="E117" s="76" t="s">
        <v>83</v>
      </c>
    </row>
    <row r="118" spans="2:5" x14ac:dyDescent="0.25">
      <c r="B118" s="74">
        <v>46102</v>
      </c>
      <c r="C118" s="74" t="str">
        <f t="shared" si="8"/>
        <v>SÁBADO</v>
      </c>
      <c r="D118" s="75"/>
      <c r="E118" s="76" t="s">
        <v>83</v>
      </c>
    </row>
    <row r="119" spans="2:5" x14ac:dyDescent="0.25">
      <c r="B119" s="74">
        <v>46103</v>
      </c>
      <c r="C119" s="74" t="str">
        <f t="shared" si="8"/>
        <v>DOMINGO</v>
      </c>
      <c r="D119" s="75"/>
      <c r="E119" s="76" t="s">
        <v>83</v>
      </c>
    </row>
    <row r="120" spans="2:5" x14ac:dyDescent="0.25">
      <c r="B120" s="74">
        <v>46104</v>
      </c>
      <c r="C120" s="74" t="str">
        <f t="shared" si="8"/>
        <v>SEGUNDA-FEIRA</v>
      </c>
      <c r="D120" s="75"/>
      <c r="E120" s="76" t="s">
        <v>83</v>
      </c>
    </row>
    <row r="121" spans="2:5" x14ac:dyDescent="0.25">
      <c r="B121" s="74">
        <v>46105</v>
      </c>
      <c r="C121" s="74" t="str">
        <f t="shared" si="8"/>
        <v>TERÇA-FEIRA</v>
      </c>
      <c r="D121" s="75"/>
      <c r="E121" s="76" t="s">
        <v>83</v>
      </c>
    </row>
    <row r="122" spans="2:5" x14ac:dyDescent="0.25">
      <c r="B122" s="74">
        <v>46106</v>
      </c>
      <c r="C122" s="74" t="str">
        <f t="shared" si="8"/>
        <v>QUARTA-FEIRA</v>
      </c>
      <c r="D122" s="75"/>
      <c r="E122" s="76" t="s">
        <v>83</v>
      </c>
    </row>
    <row r="123" spans="2:5" x14ac:dyDescent="0.25">
      <c r="B123" s="74">
        <v>46107</v>
      </c>
      <c r="C123" s="74" t="str">
        <f t="shared" si="8"/>
        <v>QUINTA-FEIRA</v>
      </c>
      <c r="D123" s="75"/>
      <c r="E123" s="76" t="s">
        <v>83</v>
      </c>
    </row>
    <row r="124" spans="2:5" x14ac:dyDescent="0.25">
      <c r="B124" s="74">
        <v>46108</v>
      </c>
      <c r="C124" s="74" t="str">
        <f t="shared" si="8"/>
        <v>SEXTA-FEIRA</v>
      </c>
      <c r="D124" s="75"/>
      <c r="E124" s="76" t="s">
        <v>83</v>
      </c>
    </row>
    <row r="125" spans="2:5" x14ac:dyDescent="0.25">
      <c r="B125" s="74">
        <v>46109</v>
      </c>
      <c r="C125" s="74" t="str">
        <f t="shared" si="8"/>
        <v>SÁBADO</v>
      </c>
      <c r="D125" s="75"/>
      <c r="E125" s="76" t="s">
        <v>83</v>
      </c>
    </row>
    <row r="126" spans="2:5" x14ac:dyDescent="0.25">
      <c r="B126" s="74">
        <v>46110</v>
      </c>
      <c r="C126" s="74" t="str">
        <f>UPPER(TEXT(B126,"dddd"))</f>
        <v>DOMINGO</v>
      </c>
      <c r="D126" s="75"/>
      <c r="E126" s="76" t="s">
        <v>83</v>
      </c>
    </row>
    <row r="127" spans="2:5" x14ac:dyDescent="0.25">
      <c r="B127" s="74">
        <v>46111</v>
      </c>
      <c r="C127" s="74" t="str">
        <f>UPPER(TEXT(B127,"dddd"))</f>
        <v>SEGUNDA-FEIRA</v>
      </c>
      <c r="D127" s="75"/>
      <c r="E127" s="76" t="s">
        <v>83</v>
      </c>
    </row>
    <row r="128" spans="2:5" x14ac:dyDescent="0.25">
      <c r="B128" s="74">
        <v>46112</v>
      </c>
      <c r="C128" s="74" t="str">
        <f>UPPER(TEXT(B128,"dddd"))</f>
        <v>TERÇA-FEIRA</v>
      </c>
      <c r="D128" s="75"/>
      <c r="E128" s="76" t="s">
        <v>83</v>
      </c>
    </row>
    <row r="129" spans="2:5" x14ac:dyDescent="0.25">
      <c r="B129" s="1" t="s">
        <v>40</v>
      </c>
      <c r="C129" s="1"/>
      <c r="D129" s="40">
        <f>SUBTOTAL(109,VENDAS_VENDEDOR[VALOR REALIZADO])</f>
        <v>101129</v>
      </c>
      <c r="E129" s="1"/>
    </row>
  </sheetData>
  <mergeCells count="6">
    <mergeCell ref="O1:R1"/>
    <mergeCell ref="I20:M20"/>
    <mergeCell ref="B3:E3"/>
    <mergeCell ref="H6:M6"/>
    <mergeCell ref="J1:M1"/>
    <mergeCell ref="I13:M13"/>
  </mergeCells>
  <conditionalFormatting sqref="J8:M10">
    <cfRule type="cellIs" dxfId="14" priority="7" operator="lessThan">
      <formula>0</formula>
    </cfRule>
    <cfRule type="cellIs" dxfId="13" priority="8" operator="greaterThan">
      <formula>0</formula>
    </cfRule>
    <cfRule type="containsText" dxfId="12" priority="9" operator="containsText" text="BATEU">
      <formula>NOT(ISERROR(SEARCH("BATEU",J8)))</formula>
    </cfRule>
    <cfRule type="containsText" dxfId="11" priority="10" operator="containsText" text="NÃO ALCANÇADO">
      <formula>NOT(ISERROR(SEARCH("NÃO ALCANÇADO",J8)))</formula>
    </cfRule>
  </conditionalFormatting>
  <conditionalFormatting sqref="J15:M18">
    <cfRule type="containsText" dxfId="10" priority="2" operator="containsText" text="NÃO ALCANÇADO">
      <formula>NOT(ISERROR(SEARCH("NÃO ALCANÇADO",J15)))</formula>
    </cfRule>
    <cfRule type="cellIs" dxfId="9" priority="3" operator="lessThan">
      <formula>0</formula>
    </cfRule>
    <cfRule type="cellIs" dxfId="8" priority="4" operator="greaterThan">
      <formula>0</formula>
    </cfRule>
    <cfRule type="containsText" dxfId="7" priority="5" operator="containsText" text="BATEU">
      <formula>NOT(ISERROR(SEARCH("BATEU",J15)))</formula>
    </cfRule>
    <cfRule type="containsText" dxfId="6" priority="6" operator="containsText" text="NÃO ALCANÇADO">
      <formula>NOT(ISERROR(SEARCH("NÃO ALCANÇADO",J15)))</formula>
    </cfRule>
  </conditionalFormatting>
  <conditionalFormatting sqref="J22:M25">
    <cfRule type="containsText" dxfId="5" priority="1" operator="containsText" text="NÃO ALCANÇADO">
      <formula>NOT(ISERROR(SEARCH("NÃO ALCANÇADO",J22)))</formula>
    </cfRule>
  </conditionalFormatting>
  <dataValidations count="1">
    <dataValidation type="list" allowBlank="1" showInputMessage="1" showErrorMessage="1" sqref="E5:E128" xr:uid="{90B984F4-88E7-4230-9A17-000B6EC86BC2}">
      <formula1>$G$3:$G$9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360" verticalDpi="36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4BCA-23CF-4415-B626-12FCD5FD8020}">
  <sheetPr codeName="Planilha13"/>
  <dimension ref="B1:P7"/>
  <sheetViews>
    <sheetView showGridLines="0" workbookViewId="0">
      <selection activeCell="B6" sqref="B6:D6"/>
    </sheetView>
  </sheetViews>
  <sheetFormatPr defaultColWidth="8.85546875" defaultRowHeight="15" x14ac:dyDescent="0.25"/>
  <cols>
    <col min="1" max="1" width="13.42578125" bestFit="1" customWidth="1"/>
    <col min="2" max="2" width="8.28515625" bestFit="1" customWidth="1"/>
    <col min="3" max="3" width="21.7109375" customWidth="1"/>
    <col min="4" max="4" width="11.7109375" bestFit="1" customWidth="1"/>
    <col min="5" max="5" width="13.42578125" bestFit="1" customWidth="1"/>
    <col min="6" max="6" width="13.28515625" bestFit="1" customWidth="1"/>
    <col min="7" max="7" width="12.7109375" bestFit="1" customWidth="1"/>
    <col min="8" max="8" width="17" bestFit="1" customWidth="1"/>
    <col min="9" max="12" width="13.42578125" bestFit="1" customWidth="1"/>
    <col min="13" max="16" width="14" customWidth="1"/>
    <col min="18" max="19" width="13.28515625" bestFit="1" customWidth="1"/>
  </cols>
  <sheetData>
    <row r="1" spans="2:16" x14ac:dyDescent="0.25">
      <c r="G1" s="161" t="s">
        <v>0</v>
      </c>
      <c r="H1" s="161"/>
      <c r="I1" s="161"/>
      <c r="J1" s="161"/>
      <c r="K1" s="161"/>
      <c r="L1" s="161"/>
      <c r="M1" s="161"/>
      <c r="N1" s="161"/>
      <c r="O1" s="161"/>
      <c r="P1" s="161"/>
    </row>
    <row r="2" spans="2:16" x14ac:dyDescent="0.25">
      <c r="D2" t="s">
        <v>109</v>
      </c>
      <c r="G2" s="83" t="s">
        <v>71</v>
      </c>
      <c r="H2" s="84" t="s">
        <v>110</v>
      </c>
      <c r="I2" s="85" t="s">
        <v>1</v>
      </c>
      <c r="J2" s="86" t="s">
        <v>2</v>
      </c>
      <c r="K2" s="87" t="s">
        <v>3</v>
      </c>
      <c r="L2" s="88" t="s">
        <v>4</v>
      </c>
      <c r="M2" s="85" t="s">
        <v>1</v>
      </c>
      <c r="N2" s="86" t="s">
        <v>2</v>
      </c>
      <c r="O2" s="87" t="s">
        <v>3</v>
      </c>
      <c r="P2" s="88" t="s">
        <v>4</v>
      </c>
    </row>
    <row r="3" spans="2:16" x14ac:dyDescent="0.25">
      <c r="B3" t="e">
        <f>VLOOKUP(C3,$F$3:$G$6,2,0)</f>
        <v>#REF!</v>
      </c>
      <c r="C3" s="135" t="e">
        <f>LARGE($H$3:$H$6,1)</f>
        <v>#REF!</v>
      </c>
      <c r="D3" s="93">
        <v>5000</v>
      </c>
      <c r="E3" s="82"/>
      <c r="F3" s="44">
        <f>H3</f>
        <v>39142</v>
      </c>
      <c r="G3" s="46" t="str">
        <f>VENDAS_VENDEDOR!H8</f>
        <v>AIANE</v>
      </c>
      <c r="H3" s="47">
        <f>VENDAS_VENDEDOR!I8</f>
        <v>39142</v>
      </c>
      <c r="I3" s="47">
        <f>VENDAS_VENDEDOR!J3</f>
        <v>13333.333333333334</v>
      </c>
      <c r="J3" s="47">
        <f>VENDAS_VENDEDOR!K3</f>
        <v>16666.666666666668</v>
      </c>
      <c r="K3" s="47">
        <f>VENDAS_VENDEDOR!L3</f>
        <v>20000</v>
      </c>
      <c r="L3" s="47">
        <f>VENDAS_VENDEDOR!M3</f>
        <v>26666.666666666668</v>
      </c>
      <c r="M3" s="47">
        <f>IF(H3&gt;L3,H3,IF(H3&gt;K3,H3,IF(H3&gt;J3,H3,IF(H3&gt;I3,H3,""))))</f>
        <v>39142</v>
      </c>
      <c r="N3" s="47">
        <f>IF(H3&gt;L3,H3,IF(H3&gt;K3,H3,IF(H3&gt;J3,H3,"")))</f>
        <v>39142</v>
      </c>
      <c r="O3" s="47">
        <f>IF(H3&gt;L3,H3,IF(H3&gt;K3,H3,""))</f>
        <v>39142</v>
      </c>
      <c r="P3" s="47">
        <f>IF(H3&gt;L3,H3,"")</f>
        <v>39142</v>
      </c>
    </row>
    <row r="4" spans="2:16" x14ac:dyDescent="0.25">
      <c r="B4" t="e">
        <f t="shared" ref="B4:B5" si="0">VLOOKUP(C4,$F$3:$G$6,2,0)</f>
        <v>#REF!</v>
      </c>
      <c r="C4" s="135" t="e">
        <f>LARGE($H$3:$H$6,2)</f>
        <v>#REF!</v>
      </c>
      <c r="D4" s="93">
        <v>5000</v>
      </c>
      <c r="E4" s="82"/>
      <c r="F4" s="44" t="e">
        <f t="shared" ref="F4:F6" si="1">H4</f>
        <v>#REF!</v>
      </c>
      <c r="G4" s="46" t="e">
        <f>VENDAS_VENDEDOR!#REF!</f>
        <v>#REF!</v>
      </c>
      <c r="H4" s="47" t="e">
        <f>VENDAS_VENDEDOR!#REF!</f>
        <v>#REF!</v>
      </c>
      <c r="I4" s="47">
        <f>VENDAS_VENDEDOR!J3</f>
        <v>13333.333333333334</v>
      </c>
      <c r="J4" s="47">
        <f>VENDAS_VENDEDOR!K3</f>
        <v>16666.666666666668</v>
      </c>
      <c r="K4" s="47">
        <f>VENDAS_VENDEDOR!L3</f>
        <v>20000</v>
      </c>
      <c r="L4" s="47">
        <f>VENDAS_VENDEDOR!M3</f>
        <v>26666.666666666668</v>
      </c>
      <c r="M4" s="47" t="e">
        <f t="shared" ref="M4:M6" si="2">IF(H4&gt;L4,H4,IF(H4&gt;K4,H4,IF(H4&gt;J4,H4,IF(H4&gt;I4,H4,""))))</f>
        <v>#REF!</v>
      </c>
      <c r="N4" s="47" t="e">
        <f>IF(H4&gt;L4,H4,IF(H4&gt;K4,H4,IF(H4&gt;J4,H4,"")))</f>
        <v>#REF!</v>
      </c>
      <c r="O4" s="47" t="e">
        <f>IF(H4&gt;L4,H4,IF(H4&gt;K4,H4,""))</f>
        <v>#REF!</v>
      </c>
      <c r="P4" s="47" t="e">
        <f>IF(H4&gt;L4,H4,"")</f>
        <v>#REF!</v>
      </c>
    </row>
    <row r="5" spans="2:16" x14ac:dyDescent="0.25">
      <c r="B5" t="e">
        <f t="shared" si="0"/>
        <v>#REF!</v>
      </c>
      <c r="C5" s="135" t="e">
        <f>LARGE($H$3:$H$6,3)</f>
        <v>#REF!</v>
      </c>
      <c r="D5" s="93">
        <v>5000</v>
      </c>
      <c r="E5" s="82"/>
      <c r="F5" s="44">
        <f t="shared" si="1"/>
        <v>25432</v>
      </c>
      <c r="G5" s="46" t="str">
        <f>VENDAS_VENDEDOR!H9</f>
        <v>LUCIJANE</v>
      </c>
      <c r="H5" s="47">
        <f>VENDAS_VENDEDOR!I9</f>
        <v>25432</v>
      </c>
      <c r="I5" s="47">
        <f>VENDAS_VENDEDOR!J3</f>
        <v>13333.333333333334</v>
      </c>
      <c r="J5" s="47">
        <f>VENDAS_VENDEDOR!K3</f>
        <v>16666.666666666668</v>
      </c>
      <c r="K5" s="47">
        <f>VENDAS_VENDEDOR!L3</f>
        <v>20000</v>
      </c>
      <c r="L5" s="47">
        <f>VENDAS_VENDEDOR!M3</f>
        <v>26666.666666666668</v>
      </c>
      <c r="M5" s="47">
        <f t="shared" si="2"/>
        <v>25432</v>
      </c>
      <c r="N5" s="47">
        <f>IF(H5&gt;L5,H5,IF(H5&gt;K5,H5,IF(H5&gt;J5,H5,"")))</f>
        <v>25432</v>
      </c>
      <c r="O5" s="47">
        <f>IF(H5&gt;L5,H5,IF(H5&gt;K5,H5,""))</f>
        <v>25432</v>
      </c>
      <c r="P5" s="47" t="str">
        <f>IF(H5&gt;L5,H5,"")</f>
        <v/>
      </c>
    </row>
    <row r="6" spans="2:16" x14ac:dyDescent="0.25">
      <c r="C6" s="135"/>
      <c r="D6" s="93"/>
      <c r="E6" s="82"/>
      <c r="F6" s="44">
        <f t="shared" si="1"/>
        <v>36555</v>
      </c>
      <c r="G6" s="46" t="str">
        <f>VENDAS_VENDEDOR!H10</f>
        <v>ALINE</v>
      </c>
      <c r="H6" s="47">
        <f>VENDAS_VENDEDOR!I10</f>
        <v>36555</v>
      </c>
      <c r="I6" s="47">
        <f>VENDAS_VENDEDOR!J3</f>
        <v>13333.333333333334</v>
      </c>
      <c r="J6" s="47">
        <f>VENDAS_VENDEDOR!K3</f>
        <v>16666.666666666668</v>
      </c>
      <c r="K6" s="47">
        <f>VENDAS_VENDEDOR!L3</f>
        <v>20000</v>
      </c>
      <c r="L6" s="47">
        <f>VENDAS_VENDEDOR!M3</f>
        <v>26666.666666666668</v>
      </c>
      <c r="M6" s="47">
        <f t="shared" si="2"/>
        <v>36555</v>
      </c>
      <c r="N6" s="47">
        <f>IF(H6&gt;L6,H6,IF(H6&gt;K6,H6,IF(H6&gt;J6,H6,"")))</f>
        <v>36555</v>
      </c>
      <c r="O6" s="47">
        <f>IF(H6&gt;L6,H6,IF(H6&gt;K6,H6,""))</f>
        <v>36555</v>
      </c>
      <c r="P6" s="47">
        <f>IF(H6&gt;L6,H6,"")</f>
        <v>36555</v>
      </c>
    </row>
    <row r="7" spans="2:16" x14ac:dyDescent="0.25">
      <c r="E7" s="82"/>
      <c r="G7" s="25"/>
      <c r="H7" s="82"/>
      <c r="I7" s="89">
        <f>I6/$L$6</f>
        <v>0.5</v>
      </c>
      <c r="J7" s="89">
        <f t="shared" ref="J7:L7" si="3">J6/$L$6</f>
        <v>0.625</v>
      </c>
      <c r="K7" s="89">
        <f t="shared" si="3"/>
        <v>0.75</v>
      </c>
      <c r="L7" s="89">
        <f t="shared" si="3"/>
        <v>1</v>
      </c>
      <c r="M7" s="82"/>
      <c r="N7" s="82"/>
      <c r="O7" s="82"/>
      <c r="P7" s="82"/>
    </row>
  </sheetData>
  <mergeCells count="1">
    <mergeCell ref="G1:P1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5"/>
  <dimension ref="D3:I6"/>
  <sheetViews>
    <sheetView workbookViewId="0">
      <selection activeCell="K9" sqref="K9"/>
    </sheetView>
  </sheetViews>
  <sheetFormatPr defaultColWidth="8.85546875" defaultRowHeight="15" x14ac:dyDescent="0.25"/>
  <cols>
    <col min="4" max="4" width="25.85546875" customWidth="1"/>
    <col min="5" max="5" width="10.140625" customWidth="1"/>
    <col min="8" max="8" width="18.42578125" style="20" customWidth="1"/>
    <col min="9" max="9" width="19.42578125" style="1" customWidth="1"/>
  </cols>
  <sheetData>
    <row r="3" spans="4:9" s="68" customFormat="1" ht="50.45" customHeight="1" x14ac:dyDescent="0.25">
      <c r="D3" s="68" t="s">
        <v>76</v>
      </c>
      <c r="E3" s="68" t="s">
        <v>77</v>
      </c>
      <c r="H3" s="68" t="s">
        <v>76</v>
      </c>
      <c r="I3" s="68" t="s">
        <v>77</v>
      </c>
    </row>
    <row r="4" spans="4:9" ht="84" customHeight="1" x14ac:dyDescent="0.25">
      <c r="D4" s="69" t="s">
        <v>75</v>
      </c>
      <c r="E4" t="e" vm="1">
        <v>#VALUE!</v>
      </c>
      <c r="H4" s="20" t="s">
        <v>83</v>
      </c>
      <c r="I4" s="1" t="e" vm="4">
        <v>#VALUE!</v>
      </c>
    </row>
    <row r="5" spans="4:9" ht="84" customHeight="1" x14ac:dyDescent="0.25">
      <c r="D5" s="69" t="s">
        <v>72</v>
      </c>
      <c r="E5" t="e" vm="2">
        <v>#VALUE!</v>
      </c>
      <c r="H5" s="20" t="s">
        <v>82</v>
      </c>
      <c r="I5" s="1" t="e" vm="5">
        <v>#VALUE!</v>
      </c>
    </row>
    <row r="6" spans="4:9" ht="84" customHeight="1" x14ac:dyDescent="0.25">
      <c r="D6" s="69" t="s">
        <v>74</v>
      </c>
      <c r="E6" t="e" vm="3">
        <v>#VALUE!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A888-15E8-4F98-92A7-02A9032F99C8}">
  <dimension ref="A1:C7"/>
  <sheetViews>
    <sheetView workbookViewId="0">
      <selection activeCell="A3" sqref="A3:C7"/>
    </sheetView>
  </sheetViews>
  <sheetFormatPr defaultColWidth="8.85546875" defaultRowHeight="15" x14ac:dyDescent="0.25"/>
  <cols>
    <col min="1" max="1" width="10.42578125" bestFit="1" customWidth="1"/>
    <col min="2" max="2" width="17.42578125" bestFit="1" customWidth="1"/>
    <col min="3" max="3" width="9.28515625" bestFit="1" customWidth="1"/>
  </cols>
  <sheetData>
    <row r="1" spans="1:3" x14ac:dyDescent="0.25">
      <c r="A1" s="25" t="s">
        <v>131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s="55">
        <v>45712</v>
      </c>
      <c r="B4" t="s">
        <v>12</v>
      </c>
      <c r="C4">
        <v>553</v>
      </c>
    </row>
    <row r="5" spans="1:3" x14ac:dyDescent="0.25">
      <c r="A5" s="55">
        <v>45705</v>
      </c>
      <c r="B5" t="s">
        <v>12</v>
      </c>
      <c r="C5">
        <v>688</v>
      </c>
    </row>
    <row r="6" spans="1:3" x14ac:dyDescent="0.25">
      <c r="A6" s="55">
        <v>45691</v>
      </c>
      <c r="B6" t="s">
        <v>12</v>
      </c>
      <c r="C6">
        <v>1529</v>
      </c>
    </row>
    <row r="7" spans="1:3" x14ac:dyDescent="0.25">
      <c r="A7" s="55">
        <v>45698</v>
      </c>
      <c r="B7" t="s">
        <v>12</v>
      </c>
      <c r="C7">
        <v>2398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FFFF00"/>
  </sheetPr>
  <dimension ref="B1:AZ100"/>
  <sheetViews>
    <sheetView showGridLines="0" topLeftCell="H1" zoomScale="110" zoomScaleNormal="110" workbookViewId="0">
      <selection activeCell="Q4" sqref="Q4"/>
    </sheetView>
  </sheetViews>
  <sheetFormatPr defaultColWidth="8.7109375" defaultRowHeight="15" outlineLevelCol="1" x14ac:dyDescent="0.25"/>
  <cols>
    <col min="2" max="2" width="12.7109375" style="55" bestFit="1" customWidth="1"/>
    <col min="3" max="3" width="31" style="1" bestFit="1" customWidth="1"/>
    <col min="4" max="4" width="17.42578125" style="48" customWidth="1"/>
    <col min="6" max="6" width="17.42578125" bestFit="1" customWidth="1"/>
    <col min="7" max="7" width="16.28515625" style="1" bestFit="1" customWidth="1"/>
    <col min="8" max="8" width="8.42578125" style="20" bestFit="1" customWidth="1"/>
    <col min="9" max="9" width="8.7109375" style="20"/>
    <col min="10" max="10" width="14.42578125" style="20" bestFit="1" customWidth="1"/>
    <col min="11" max="11" width="19.85546875" style="20" bestFit="1" customWidth="1"/>
    <col min="12" max="12" width="9.42578125" style="20" customWidth="1"/>
    <col min="13" max="13" width="14.42578125" style="20" customWidth="1" outlineLevel="1"/>
    <col min="14" max="14" width="14.140625" style="20" customWidth="1" outlineLevel="1"/>
    <col min="15" max="15" width="15.85546875" style="20" customWidth="1" outlineLevel="1"/>
    <col min="16" max="16" width="20.140625" style="20" customWidth="1" outlineLevel="1"/>
    <col min="17" max="17" width="42.140625" style="20" customWidth="1" outlineLevel="1"/>
    <col min="18" max="18" width="15.7109375" customWidth="1" outlineLevel="1"/>
    <col min="19" max="19" width="8.7109375" customWidth="1" outlineLevel="1"/>
    <col min="20" max="20" width="15.140625" customWidth="1" outlineLevel="1"/>
    <col min="21" max="21" width="17.42578125" customWidth="1" outlineLevel="1"/>
    <col min="22" max="22" width="14.28515625" bestFit="1" customWidth="1"/>
    <col min="23" max="23" width="19.85546875" customWidth="1" outlineLevel="1"/>
    <col min="24" max="24" width="42.140625" customWidth="1" outlineLevel="1"/>
    <col min="25" max="25" width="15.42578125" customWidth="1" outlineLevel="1"/>
    <col min="26" max="26" width="19.85546875" customWidth="1" outlineLevel="1"/>
    <col min="27" max="27" width="42.140625" customWidth="1" outlineLevel="1"/>
    <col min="28" max="28" width="15.42578125" customWidth="1" outlineLevel="1"/>
    <col min="29" max="29" width="18.42578125" customWidth="1" outlineLevel="1"/>
    <col min="30" max="30" width="19.85546875" customWidth="1" outlineLevel="1"/>
    <col min="31" max="31" width="42.140625" customWidth="1" outlineLevel="1"/>
    <col min="32" max="32" width="15.42578125" bestFit="1" customWidth="1"/>
    <col min="33" max="33" width="19.85546875" customWidth="1" outlineLevel="1"/>
    <col min="34" max="34" width="42.140625" customWidth="1" outlineLevel="1"/>
    <col min="35" max="35" width="19.42578125" customWidth="1" outlineLevel="1"/>
    <col min="36" max="36" width="18.42578125" customWidth="1" outlineLevel="1"/>
    <col min="37" max="37" width="19.85546875" customWidth="1" outlineLevel="1"/>
    <col min="38" max="38" width="42.140625" customWidth="1" outlineLevel="1"/>
    <col min="39" max="39" width="15.42578125" customWidth="1" outlineLevel="1"/>
    <col min="40" max="40" width="19.85546875" customWidth="1" outlineLevel="1"/>
    <col min="41" max="41" width="42.140625" customWidth="1" outlineLevel="1"/>
    <col min="42" max="42" width="14.28515625" bestFit="1" customWidth="1"/>
    <col min="43" max="43" width="10.7109375" customWidth="1" outlineLevel="1"/>
    <col min="44" max="44" width="15.85546875" customWidth="1" outlineLevel="1"/>
    <col min="45" max="45" width="19.42578125" customWidth="1" outlineLevel="1"/>
    <col min="46" max="46" width="21.42578125" customWidth="1" outlineLevel="1"/>
    <col min="47" max="47" width="43.140625" customWidth="1" outlineLevel="1"/>
    <col min="48" max="48" width="16" customWidth="1" outlineLevel="1"/>
    <col min="49" max="49" width="8.7109375" customWidth="1" outlineLevel="1"/>
    <col min="50" max="50" width="15.85546875" customWidth="1" outlineLevel="1"/>
    <col min="51" max="51" width="18.42578125" customWidth="1" outlineLevel="1"/>
    <col min="52" max="52" width="14.28515625" bestFit="1" customWidth="1"/>
  </cols>
  <sheetData>
    <row r="1" spans="2:48" ht="24" x14ac:dyDescent="0.25">
      <c r="B1" s="125" t="s">
        <v>26</v>
      </c>
      <c r="C1" s="126" t="s">
        <v>27</v>
      </c>
      <c r="D1" s="127" t="s">
        <v>28</v>
      </c>
      <c r="F1" s="112" t="s">
        <v>29</v>
      </c>
      <c r="G1" s="112">
        <v>2026</v>
      </c>
      <c r="J1" s="175" t="s">
        <v>7</v>
      </c>
      <c r="K1" s="175"/>
      <c r="M1" s="176" t="s">
        <v>7</v>
      </c>
      <c r="N1" s="176"/>
      <c r="O1" s="176"/>
      <c r="P1" s="176"/>
      <c r="Q1" s="176"/>
      <c r="R1" s="176"/>
      <c r="S1" s="177"/>
      <c r="T1" s="177"/>
      <c r="U1" s="177"/>
      <c r="W1" s="176" t="s">
        <v>2</v>
      </c>
      <c r="X1" s="176"/>
      <c r="Y1" s="176"/>
      <c r="Z1" s="176"/>
      <c r="AA1" s="176"/>
      <c r="AB1" s="176"/>
      <c r="AC1" s="111"/>
      <c r="AD1" s="111"/>
      <c r="AE1" s="111"/>
      <c r="AG1" s="176" t="s">
        <v>3</v>
      </c>
      <c r="AH1" s="176"/>
      <c r="AI1" s="176"/>
      <c r="AJ1" s="176"/>
      <c r="AK1" s="176"/>
      <c r="AL1" s="176"/>
      <c r="AM1" s="111"/>
      <c r="AN1" s="111"/>
      <c r="AO1" s="111"/>
      <c r="AQ1" s="176" t="s">
        <v>4</v>
      </c>
      <c r="AR1" s="176"/>
      <c r="AS1" s="176"/>
      <c r="AT1" s="176"/>
      <c r="AU1" s="176"/>
      <c r="AV1" s="176"/>
    </row>
    <row r="2" spans="2:48" x14ac:dyDescent="0.25">
      <c r="B2" s="55">
        <v>46054</v>
      </c>
      <c r="C2" s="39" t="str">
        <f>UPPER(TEXT(B2,"dddd"))</f>
        <v>DOMINGO</v>
      </c>
      <c r="D2" s="48">
        <f>408+284+523</f>
        <v>1215</v>
      </c>
      <c r="F2" s="64" t="s">
        <v>27</v>
      </c>
      <c r="G2" t="s">
        <v>112</v>
      </c>
      <c r="H2" t="s">
        <v>30</v>
      </c>
      <c r="J2" s="68" t="s">
        <v>31</v>
      </c>
      <c r="K2" s="97">
        <v>40000</v>
      </c>
      <c r="M2" s="20" t="s">
        <v>32</v>
      </c>
      <c r="N2" s="20" t="s">
        <v>29</v>
      </c>
      <c r="O2" s="20" t="s">
        <v>33</v>
      </c>
      <c r="P2" s="20" t="s">
        <v>27</v>
      </c>
      <c r="Q2" s="20" t="s">
        <v>34</v>
      </c>
      <c r="R2" t="s">
        <v>35</v>
      </c>
      <c r="W2" s="20" t="s">
        <v>32</v>
      </c>
      <c r="X2" s="20" t="s">
        <v>29</v>
      </c>
      <c r="Y2" s="20" t="s">
        <v>33</v>
      </c>
      <c r="Z2" s="20" t="s">
        <v>27</v>
      </c>
      <c r="AA2" s="20" t="s">
        <v>34</v>
      </c>
      <c r="AB2" t="s">
        <v>35</v>
      </c>
      <c r="AG2" s="20" t="s">
        <v>32</v>
      </c>
      <c r="AH2" s="20" t="s">
        <v>29</v>
      </c>
      <c r="AI2" s="20" t="s">
        <v>33</v>
      </c>
      <c r="AJ2" s="20" t="s">
        <v>27</v>
      </c>
      <c r="AK2" s="20" t="s">
        <v>34</v>
      </c>
      <c r="AL2" t="s">
        <v>35</v>
      </c>
      <c r="AQ2" s="20" t="s">
        <v>32</v>
      </c>
      <c r="AR2" s="20" t="s">
        <v>29</v>
      </c>
      <c r="AS2" s="20" t="s">
        <v>33</v>
      </c>
      <c r="AT2" s="20" t="s">
        <v>27</v>
      </c>
      <c r="AU2" s="20" t="s">
        <v>34</v>
      </c>
      <c r="AV2" t="s">
        <v>35</v>
      </c>
    </row>
    <row r="3" spans="2:48" x14ac:dyDescent="0.25">
      <c r="B3" s="55">
        <v>46055</v>
      </c>
      <c r="C3" s="39" t="str">
        <f t="shared" ref="C3:C32" si="0">UPPER(TEXT(B3,"dddd"))</f>
        <v>SEGUNDA-FEIRA</v>
      </c>
      <c r="D3" s="48">
        <v>0</v>
      </c>
      <c r="F3" s="56" t="s">
        <v>11</v>
      </c>
      <c r="G3">
        <v>0</v>
      </c>
      <c r="H3" s="136">
        <v>0</v>
      </c>
      <c r="J3" s="68" t="s">
        <v>36</v>
      </c>
      <c r="K3" s="99">
        <v>26</v>
      </c>
      <c r="L3" s="27"/>
      <c r="M3" s="68">
        <v>3</v>
      </c>
      <c r="N3" s="95">
        <f>$G$1</f>
        <v>2026</v>
      </c>
      <c r="O3" s="27">
        <f>$K$2</f>
        <v>40000</v>
      </c>
      <c r="P3" s="20" t="s">
        <v>11</v>
      </c>
      <c r="Q3" s="100">
        <f>$H$3</f>
        <v>0</v>
      </c>
      <c r="R3" s="96">
        <v>4</v>
      </c>
      <c r="S3" s="96"/>
      <c r="T3" s="96"/>
      <c r="U3" s="96"/>
      <c r="W3" s="68">
        <f>Tabela6[[#This Row],[MÊS]]</f>
        <v>3</v>
      </c>
      <c r="X3" s="95">
        <f>Tabela6[[#This Row],[ANO]]</f>
        <v>2026</v>
      </c>
      <c r="Y3" s="27">
        <f>$K$7</f>
        <v>50000</v>
      </c>
      <c r="Z3" s="20" t="s">
        <v>11</v>
      </c>
      <c r="AA3" s="100">
        <f>$H$3</f>
        <v>0</v>
      </c>
      <c r="AB3" s="96">
        <f>Tabela6[[#This Row],[QUANTIDADE]]</f>
        <v>4</v>
      </c>
      <c r="AC3" s="96"/>
      <c r="AD3" s="96"/>
      <c r="AE3" s="96"/>
      <c r="AG3" s="68">
        <f>Tabela69[[#This Row],[MÊS]]</f>
        <v>3</v>
      </c>
      <c r="AH3" s="95">
        <f>Tabela6[[#This Row],[ANO]]</f>
        <v>2026</v>
      </c>
      <c r="AI3" s="27">
        <f t="shared" ref="AI3:AI9" si="1">$K$13</f>
        <v>60000</v>
      </c>
      <c r="AJ3" s="20" t="s">
        <v>11</v>
      </c>
      <c r="AK3" s="100">
        <f>$H$3</f>
        <v>0</v>
      </c>
      <c r="AL3" s="96">
        <f>Tabela69[[#This Row],[QUANTIDADE]]</f>
        <v>4</v>
      </c>
      <c r="AM3" s="96"/>
      <c r="AN3" s="96"/>
      <c r="AO3" s="96"/>
      <c r="AQ3" s="68">
        <f>Tabela6911[[#This Row],[MÊS]]</f>
        <v>3</v>
      </c>
      <c r="AR3" s="95">
        <f>Tabela6911[[#This Row],[ANO]]</f>
        <v>2026</v>
      </c>
      <c r="AS3" s="27">
        <f t="shared" ref="AS3:AS9" si="2">$K$19</f>
        <v>80000</v>
      </c>
      <c r="AT3" s="20" t="s">
        <v>11</v>
      </c>
      <c r="AU3" s="100">
        <f>$H$3</f>
        <v>0</v>
      </c>
      <c r="AV3" s="96">
        <f>Tabela6911[[#This Row],[QUANTIDADE]]</f>
        <v>4</v>
      </c>
    </row>
    <row r="4" spans="2:48" x14ac:dyDescent="0.25">
      <c r="B4" s="55">
        <v>46056</v>
      </c>
      <c r="C4" s="39" t="str">
        <f t="shared" si="0"/>
        <v>TERÇA-FEIRA</v>
      </c>
      <c r="D4" s="48">
        <f>255+509+765</f>
        <v>1529</v>
      </c>
      <c r="F4" s="56" t="s">
        <v>12</v>
      </c>
      <c r="G4">
        <v>5168</v>
      </c>
      <c r="H4" s="136">
        <v>0.14633179488631537</v>
      </c>
      <c r="J4" s="68" t="s">
        <v>37</v>
      </c>
      <c r="K4" s="97">
        <f>K2/K3</f>
        <v>1538.4615384615386</v>
      </c>
      <c r="L4" s="27"/>
      <c r="M4" s="68">
        <v>3</v>
      </c>
      <c r="N4" s="95">
        <f t="shared" ref="N4:N9" si="3">$G$1</f>
        <v>2026</v>
      </c>
      <c r="O4" s="27">
        <f t="shared" ref="O4:O9" si="4">$K$2</f>
        <v>40000</v>
      </c>
      <c r="P4" s="20" t="s">
        <v>12</v>
      </c>
      <c r="Q4" s="100">
        <f>$H$4</f>
        <v>0.14633179488631537</v>
      </c>
      <c r="R4" s="96">
        <v>4</v>
      </c>
      <c r="S4" s="96"/>
      <c r="T4" s="96"/>
      <c r="U4" s="96"/>
      <c r="W4" s="68">
        <f>Tabela6[[#This Row],[MÊS]]</f>
        <v>3</v>
      </c>
      <c r="X4" s="95">
        <f>Tabela6[[#This Row],[ANO]]</f>
        <v>2026</v>
      </c>
      <c r="Y4" s="27">
        <f t="shared" ref="Y4:Y9" si="5">$K$7</f>
        <v>50000</v>
      </c>
      <c r="Z4" s="20" t="s">
        <v>12</v>
      </c>
      <c r="AA4" s="100">
        <f>$H$4</f>
        <v>0.14633179488631537</v>
      </c>
      <c r="AB4" s="96">
        <f>Tabela6[[#This Row],[QUANTIDADE]]</f>
        <v>4</v>
      </c>
      <c r="AC4" s="96"/>
      <c r="AD4" s="96"/>
      <c r="AE4" s="96"/>
      <c r="AG4" s="68">
        <f>Tabela69[[#This Row],[MÊS]]</f>
        <v>3</v>
      </c>
      <c r="AH4" s="95">
        <f>Tabela6[[#This Row],[ANO]]</f>
        <v>2026</v>
      </c>
      <c r="AI4" s="27">
        <f t="shared" si="1"/>
        <v>60000</v>
      </c>
      <c r="AJ4" s="20" t="s">
        <v>12</v>
      </c>
      <c r="AK4" s="100">
        <f>$H$4</f>
        <v>0.14633179488631537</v>
      </c>
      <c r="AL4" s="96">
        <f>Tabela69[[#This Row],[QUANTIDADE]]</f>
        <v>4</v>
      </c>
      <c r="AM4" s="96"/>
      <c r="AN4" s="96"/>
      <c r="AO4" s="96"/>
      <c r="AQ4" s="68">
        <f>Tabela6911[[#This Row],[MÊS]]</f>
        <v>3</v>
      </c>
      <c r="AR4" s="95">
        <f>Tabela6911[[#This Row],[ANO]]</f>
        <v>2026</v>
      </c>
      <c r="AS4" s="27">
        <f t="shared" si="2"/>
        <v>80000</v>
      </c>
      <c r="AT4" s="20" t="s">
        <v>12</v>
      </c>
      <c r="AU4" s="100">
        <f>$H$4</f>
        <v>0.14633179488631537</v>
      </c>
      <c r="AV4" s="96">
        <f>Tabela6911[[#This Row],[QUANTIDADE]]</f>
        <v>4</v>
      </c>
    </row>
    <row r="5" spans="2:48" x14ac:dyDescent="0.25">
      <c r="B5" s="55">
        <v>46057</v>
      </c>
      <c r="C5" s="39" t="str">
        <f t="shared" si="0"/>
        <v>QUARTA-FEIRA</v>
      </c>
      <c r="D5" s="48">
        <f>98+407+35+144+535</f>
        <v>1219</v>
      </c>
      <c r="F5" s="56" t="s">
        <v>13</v>
      </c>
      <c r="G5">
        <v>4533</v>
      </c>
      <c r="H5" s="136">
        <v>0.12835178525922361</v>
      </c>
      <c r="K5" s="27"/>
      <c r="L5" s="68"/>
      <c r="M5" s="68">
        <v>3</v>
      </c>
      <c r="N5" s="95">
        <f t="shared" si="3"/>
        <v>2026</v>
      </c>
      <c r="O5" s="27">
        <f t="shared" si="4"/>
        <v>40000</v>
      </c>
      <c r="P5" s="20" t="s">
        <v>13</v>
      </c>
      <c r="Q5" s="100">
        <f>$H$5</f>
        <v>0.12835178525922361</v>
      </c>
      <c r="R5" s="96">
        <v>4</v>
      </c>
      <c r="S5" s="96"/>
      <c r="T5" s="96"/>
      <c r="U5" s="96"/>
      <c r="W5" s="68">
        <f>Tabela6[[#This Row],[MÊS]]</f>
        <v>3</v>
      </c>
      <c r="X5" s="95">
        <f>Tabela6[[#This Row],[ANO]]</f>
        <v>2026</v>
      </c>
      <c r="Y5" s="27">
        <f t="shared" si="5"/>
        <v>50000</v>
      </c>
      <c r="Z5" s="20" t="s">
        <v>13</v>
      </c>
      <c r="AA5" s="100">
        <f>$H$5</f>
        <v>0.12835178525922361</v>
      </c>
      <c r="AB5" s="96">
        <f>Tabela6[[#This Row],[QUANTIDADE]]</f>
        <v>4</v>
      </c>
      <c r="AC5" s="96"/>
      <c r="AD5" s="96"/>
      <c r="AE5" s="96"/>
      <c r="AG5" s="68">
        <f>Tabela69[[#This Row],[MÊS]]</f>
        <v>3</v>
      </c>
      <c r="AH5" s="95">
        <f>Tabela6[[#This Row],[ANO]]</f>
        <v>2026</v>
      </c>
      <c r="AI5" s="27">
        <f t="shared" si="1"/>
        <v>60000</v>
      </c>
      <c r="AJ5" s="20" t="s">
        <v>13</v>
      </c>
      <c r="AK5" s="100">
        <f>$H$5</f>
        <v>0.12835178525922361</v>
      </c>
      <c r="AL5" s="96">
        <f>Tabela69[[#This Row],[QUANTIDADE]]</f>
        <v>4</v>
      </c>
      <c r="AM5" s="96"/>
      <c r="AN5" s="96"/>
      <c r="AO5" s="96"/>
      <c r="AQ5" s="68">
        <f>Tabela6911[[#This Row],[MÊS]]</f>
        <v>3</v>
      </c>
      <c r="AR5" s="95">
        <f>Tabela6911[[#This Row],[ANO]]</f>
        <v>2026</v>
      </c>
      <c r="AS5" s="27">
        <f t="shared" si="2"/>
        <v>80000</v>
      </c>
      <c r="AT5" s="20" t="s">
        <v>13</v>
      </c>
      <c r="AU5" s="100">
        <f>$H$5</f>
        <v>0.12835178525922361</v>
      </c>
      <c r="AV5" s="96">
        <f>Tabela6911[[#This Row],[QUANTIDADE]]</f>
        <v>4</v>
      </c>
    </row>
    <row r="6" spans="2:48" x14ac:dyDescent="0.25">
      <c r="B6" s="55">
        <v>46058</v>
      </c>
      <c r="C6" s="39" t="str">
        <f t="shared" si="0"/>
        <v>QUINTA-FEIRA</v>
      </c>
      <c r="D6" s="48">
        <f>304+450</f>
        <v>754</v>
      </c>
      <c r="F6" s="56" t="s">
        <v>14</v>
      </c>
      <c r="G6">
        <v>3606</v>
      </c>
      <c r="H6" s="136">
        <v>0.10210380270124869</v>
      </c>
      <c r="J6" s="175" t="s">
        <v>38</v>
      </c>
      <c r="K6" s="175"/>
      <c r="M6" s="68">
        <v>3</v>
      </c>
      <c r="N6" s="95">
        <f t="shared" si="3"/>
        <v>2026</v>
      </c>
      <c r="O6" s="27">
        <f t="shared" si="4"/>
        <v>40000</v>
      </c>
      <c r="P6" s="20" t="s">
        <v>14</v>
      </c>
      <c r="Q6" s="100">
        <f>$H$6</f>
        <v>0.10210380270124869</v>
      </c>
      <c r="R6" s="96">
        <v>5</v>
      </c>
      <c r="S6" s="96"/>
      <c r="T6" s="96"/>
      <c r="U6" s="96"/>
      <c r="W6" s="68">
        <f>Tabela6[[#This Row],[MÊS]]</f>
        <v>3</v>
      </c>
      <c r="X6" s="95">
        <f>Tabela6[[#This Row],[ANO]]</f>
        <v>2026</v>
      </c>
      <c r="Y6" s="27">
        <f t="shared" si="5"/>
        <v>50000</v>
      </c>
      <c r="Z6" s="20" t="s">
        <v>14</v>
      </c>
      <c r="AA6" s="100">
        <f>$H$6</f>
        <v>0.10210380270124869</v>
      </c>
      <c r="AB6" s="96">
        <f>Tabela6[[#This Row],[QUANTIDADE]]</f>
        <v>5</v>
      </c>
      <c r="AC6" s="96"/>
      <c r="AD6" s="96"/>
      <c r="AE6" s="96"/>
      <c r="AG6" s="68">
        <f>Tabela69[[#This Row],[MÊS]]</f>
        <v>3</v>
      </c>
      <c r="AH6" s="95">
        <f>Tabela6[[#This Row],[ANO]]</f>
        <v>2026</v>
      </c>
      <c r="AI6" s="27">
        <f t="shared" si="1"/>
        <v>60000</v>
      </c>
      <c r="AJ6" s="20" t="s">
        <v>14</v>
      </c>
      <c r="AK6" s="100">
        <f>$H$6</f>
        <v>0.10210380270124869</v>
      </c>
      <c r="AL6" s="96">
        <f>Tabela69[[#This Row],[QUANTIDADE]]</f>
        <v>5</v>
      </c>
      <c r="AM6" s="96"/>
      <c r="AN6" s="96"/>
      <c r="AO6" s="96"/>
      <c r="AQ6" s="68">
        <f>Tabela6911[[#This Row],[MÊS]]</f>
        <v>3</v>
      </c>
      <c r="AR6" s="95">
        <f>Tabela6911[[#This Row],[ANO]]</f>
        <v>2026</v>
      </c>
      <c r="AS6" s="27">
        <f t="shared" si="2"/>
        <v>80000</v>
      </c>
      <c r="AT6" s="20" t="s">
        <v>14</v>
      </c>
      <c r="AU6" s="100">
        <f>$H$6</f>
        <v>0.10210380270124869</v>
      </c>
      <c r="AV6" s="96">
        <f>Tabela6911[[#This Row],[QUANTIDADE]]</f>
        <v>5</v>
      </c>
    </row>
    <row r="7" spans="2:48" x14ac:dyDescent="0.25">
      <c r="B7" s="55">
        <v>46059</v>
      </c>
      <c r="C7" s="39" t="str">
        <f t="shared" si="0"/>
        <v>SEXTA-FEIRA</v>
      </c>
      <c r="D7" s="48">
        <f>206+1569+358</f>
        <v>2133</v>
      </c>
      <c r="F7" s="56" t="s">
        <v>15</v>
      </c>
      <c r="G7">
        <v>6748</v>
      </c>
      <c r="H7" s="136">
        <v>0.19106945663561459</v>
      </c>
      <c r="J7" s="68" t="s">
        <v>31</v>
      </c>
      <c r="K7" s="97">
        <f>'ANÁLISE GERAL ITAPIPOCA (2026)'!G21</f>
        <v>50000</v>
      </c>
      <c r="M7" s="68">
        <v>3</v>
      </c>
      <c r="N7" s="95">
        <f t="shared" si="3"/>
        <v>2026</v>
      </c>
      <c r="O7" s="27">
        <f t="shared" si="4"/>
        <v>40000</v>
      </c>
      <c r="P7" s="20" t="s">
        <v>15</v>
      </c>
      <c r="Q7" s="100">
        <f>$H$7</f>
        <v>0.19106945663561459</v>
      </c>
      <c r="R7" s="96">
        <v>5</v>
      </c>
      <c r="S7" s="96"/>
      <c r="T7" s="96"/>
      <c r="U7" s="96"/>
      <c r="W7" s="68">
        <f>Tabela6[[#This Row],[MÊS]]</f>
        <v>3</v>
      </c>
      <c r="X7" s="95">
        <f>Tabela6[[#This Row],[ANO]]</f>
        <v>2026</v>
      </c>
      <c r="Y7" s="27">
        <f t="shared" si="5"/>
        <v>50000</v>
      </c>
      <c r="Z7" s="20" t="s">
        <v>15</v>
      </c>
      <c r="AA7" s="100">
        <f>$H$7</f>
        <v>0.19106945663561459</v>
      </c>
      <c r="AB7" s="96">
        <f>Tabela6[[#This Row],[QUANTIDADE]]</f>
        <v>5</v>
      </c>
      <c r="AC7" s="96"/>
      <c r="AD7" s="96"/>
      <c r="AE7" s="96"/>
      <c r="AG7" s="68">
        <f>Tabela69[[#This Row],[MÊS]]</f>
        <v>3</v>
      </c>
      <c r="AH7" s="95">
        <f>Tabela6[[#This Row],[ANO]]</f>
        <v>2026</v>
      </c>
      <c r="AI7" s="27">
        <f t="shared" si="1"/>
        <v>60000</v>
      </c>
      <c r="AJ7" s="20" t="s">
        <v>15</v>
      </c>
      <c r="AK7" s="100">
        <f>$H$7</f>
        <v>0.19106945663561459</v>
      </c>
      <c r="AL7" s="96">
        <f>Tabela69[[#This Row],[QUANTIDADE]]</f>
        <v>5</v>
      </c>
      <c r="AM7" s="96"/>
      <c r="AN7" s="96"/>
      <c r="AO7" s="96"/>
      <c r="AQ7" s="68">
        <f>Tabela6911[[#This Row],[MÊS]]</f>
        <v>3</v>
      </c>
      <c r="AR7" s="95">
        <f>Tabela6911[[#This Row],[ANO]]</f>
        <v>2026</v>
      </c>
      <c r="AS7" s="27">
        <f t="shared" si="2"/>
        <v>80000</v>
      </c>
      <c r="AT7" s="20" t="s">
        <v>15</v>
      </c>
      <c r="AU7" s="100">
        <f>$H$7</f>
        <v>0.19106945663561459</v>
      </c>
      <c r="AV7" s="96">
        <f>Tabela6911[[#This Row],[QUANTIDADE]]</f>
        <v>5</v>
      </c>
    </row>
    <row r="8" spans="2:48" x14ac:dyDescent="0.25">
      <c r="B8" s="55">
        <v>46060</v>
      </c>
      <c r="C8" s="39" t="str">
        <f t="shared" si="0"/>
        <v>SÁBADO</v>
      </c>
      <c r="D8" s="48">
        <f>186+1056+1404</f>
        <v>2646</v>
      </c>
      <c r="F8" s="56" t="s">
        <v>16</v>
      </c>
      <c r="G8">
        <v>10218</v>
      </c>
      <c r="H8" s="136">
        <v>0.28932242262932867</v>
      </c>
      <c r="J8" s="68" t="s">
        <v>36</v>
      </c>
      <c r="K8" s="99">
        <f>K3</f>
        <v>26</v>
      </c>
      <c r="M8" s="68">
        <v>3</v>
      </c>
      <c r="N8" s="95">
        <f t="shared" si="3"/>
        <v>2026</v>
      </c>
      <c r="O8" s="27">
        <f t="shared" si="4"/>
        <v>40000</v>
      </c>
      <c r="P8" s="20" t="s">
        <v>16</v>
      </c>
      <c r="Q8" s="100">
        <f>$H$8</f>
        <v>0.28932242262932867</v>
      </c>
      <c r="R8" s="96">
        <v>4</v>
      </c>
      <c r="S8" s="96"/>
      <c r="T8" s="96"/>
      <c r="U8" s="96"/>
      <c r="W8" s="68">
        <f>Tabela6[[#This Row],[MÊS]]</f>
        <v>3</v>
      </c>
      <c r="X8" s="95">
        <f>Tabela6[[#This Row],[ANO]]</f>
        <v>2026</v>
      </c>
      <c r="Y8" s="27">
        <f t="shared" si="5"/>
        <v>50000</v>
      </c>
      <c r="Z8" s="20" t="s">
        <v>16</v>
      </c>
      <c r="AA8" s="100">
        <f>$H$8</f>
        <v>0.28932242262932867</v>
      </c>
      <c r="AB8" s="96">
        <f>Tabela6[[#This Row],[QUANTIDADE]]</f>
        <v>4</v>
      </c>
      <c r="AC8" s="96"/>
      <c r="AD8" s="96"/>
      <c r="AE8" s="96"/>
      <c r="AG8" s="68">
        <f>Tabela69[[#This Row],[MÊS]]</f>
        <v>3</v>
      </c>
      <c r="AH8" s="95">
        <f>Tabela6[[#This Row],[ANO]]</f>
        <v>2026</v>
      </c>
      <c r="AI8" s="27">
        <f t="shared" si="1"/>
        <v>60000</v>
      </c>
      <c r="AJ8" s="20" t="s">
        <v>16</v>
      </c>
      <c r="AK8" s="100">
        <f>$H$8</f>
        <v>0.28932242262932867</v>
      </c>
      <c r="AL8" s="96">
        <f>Tabela69[[#This Row],[QUANTIDADE]]</f>
        <v>4</v>
      </c>
      <c r="AM8" s="96"/>
      <c r="AN8" s="96"/>
      <c r="AO8" s="96"/>
      <c r="AQ8" s="68">
        <f>Tabela6911[[#This Row],[MÊS]]</f>
        <v>3</v>
      </c>
      <c r="AR8" s="95">
        <f>Tabela6911[[#This Row],[ANO]]</f>
        <v>2026</v>
      </c>
      <c r="AS8" s="27">
        <f t="shared" si="2"/>
        <v>80000</v>
      </c>
      <c r="AT8" s="20" t="s">
        <v>16</v>
      </c>
      <c r="AU8" s="100">
        <f>$H$8</f>
        <v>0.28932242262932867</v>
      </c>
      <c r="AV8" s="96">
        <f>Tabela6911[[#This Row],[QUANTIDADE]]</f>
        <v>4</v>
      </c>
    </row>
    <row r="9" spans="2:48" x14ac:dyDescent="0.25">
      <c r="B9" s="55">
        <v>46061</v>
      </c>
      <c r="C9" s="39" t="str">
        <f t="shared" si="0"/>
        <v>DOMINGO</v>
      </c>
      <c r="D9" s="48">
        <f>351+882+692</f>
        <v>1925</v>
      </c>
      <c r="F9" s="56" t="s">
        <v>17</v>
      </c>
      <c r="G9">
        <v>5044</v>
      </c>
      <c r="H9" s="136">
        <v>0.1428207378882691</v>
      </c>
      <c r="J9" s="68" t="s">
        <v>37</v>
      </c>
      <c r="K9" s="97">
        <f>K7/K8</f>
        <v>1923.0769230769231</v>
      </c>
      <c r="M9" s="68">
        <v>3</v>
      </c>
      <c r="N9" s="95">
        <f t="shared" si="3"/>
        <v>2026</v>
      </c>
      <c r="O9" s="27">
        <f t="shared" si="4"/>
        <v>40000</v>
      </c>
      <c r="P9" s="20" t="s">
        <v>17</v>
      </c>
      <c r="Q9" s="100">
        <f>$H$9</f>
        <v>0.1428207378882691</v>
      </c>
      <c r="R9" s="96">
        <v>4</v>
      </c>
      <c r="S9" s="96"/>
      <c r="T9" s="96"/>
      <c r="U9" s="96"/>
      <c r="W9" s="68">
        <f>Tabela6[[#This Row],[MÊS]]</f>
        <v>3</v>
      </c>
      <c r="X9" s="95">
        <f>Tabela6[[#This Row],[ANO]]</f>
        <v>2026</v>
      </c>
      <c r="Y9" s="27">
        <f t="shared" si="5"/>
        <v>50000</v>
      </c>
      <c r="Z9" s="20" t="s">
        <v>17</v>
      </c>
      <c r="AA9" s="100">
        <f>$H$9</f>
        <v>0.1428207378882691</v>
      </c>
      <c r="AB9" s="96">
        <f>Tabela6[[#This Row],[QUANTIDADE]]</f>
        <v>4</v>
      </c>
      <c r="AC9" s="96"/>
      <c r="AD9" s="96"/>
      <c r="AE9" s="96"/>
      <c r="AG9" s="68">
        <f>Tabela69[[#This Row],[MÊS]]</f>
        <v>3</v>
      </c>
      <c r="AH9" s="95">
        <f>Tabela6[[#This Row],[ANO]]</f>
        <v>2026</v>
      </c>
      <c r="AI9" s="27">
        <f t="shared" si="1"/>
        <v>60000</v>
      </c>
      <c r="AJ9" s="20" t="s">
        <v>17</v>
      </c>
      <c r="AK9" s="100">
        <f>$H$9</f>
        <v>0.1428207378882691</v>
      </c>
      <c r="AL9" s="96">
        <f>Tabela69[[#This Row],[QUANTIDADE]]</f>
        <v>4</v>
      </c>
      <c r="AM9" s="96"/>
      <c r="AN9" s="96"/>
      <c r="AO9" s="96"/>
      <c r="AQ9" s="68">
        <f>Tabela6911[[#This Row],[MÊS]]</f>
        <v>3</v>
      </c>
      <c r="AR9" s="95">
        <f>Tabela6911[[#This Row],[ANO]]</f>
        <v>2026</v>
      </c>
      <c r="AS9" s="27">
        <f t="shared" si="2"/>
        <v>80000</v>
      </c>
      <c r="AT9" s="20" t="s">
        <v>17</v>
      </c>
      <c r="AU9" s="100">
        <f>$H$9</f>
        <v>0.1428207378882691</v>
      </c>
      <c r="AV9" s="96">
        <f>Tabela6911[[#This Row],[QUANTIDADE]]</f>
        <v>4</v>
      </c>
    </row>
    <row r="10" spans="2:48" x14ac:dyDescent="0.25">
      <c r="B10" s="55">
        <v>46062</v>
      </c>
      <c r="C10" s="39" t="str">
        <f t="shared" si="0"/>
        <v>SEGUNDA-FEIRA</v>
      </c>
      <c r="F10" s="56" t="s">
        <v>111</v>
      </c>
      <c r="G10"/>
      <c r="H10" s="136">
        <v>0</v>
      </c>
      <c r="M10" s="20" t="s">
        <v>40</v>
      </c>
      <c r="Q10" s="108">
        <f>SUBTOTAL(109,Tabela6[PERCENTUAL DE REPRESENTATIVIDADE])</f>
        <v>1</v>
      </c>
      <c r="R10" s="110">
        <f>SUBTOTAL(109,Tabela6[QUANTIDADE])</f>
        <v>30</v>
      </c>
      <c r="S10" s="107"/>
      <c r="T10" s="107"/>
      <c r="U10" s="107"/>
      <c r="W10" s="20" t="s">
        <v>40</v>
      </c>
      <c r="X10" s="20"/>
      <c r="Y10" s="20"/>
      <c r="Z10" s="20"/>
      <c r="AA10" s="108">
        <f>SUBTOTAL(109,Tabela69[PERCENTUAL DE REPRESENTATIVIDADE])</f>
        <v>1</v>
      </c>
      <c r="AB10" s="110">
        <f>SUBTOTAL(109,Tabela69[QUANTIDADE])</f>
        <v>30</v>
      </c>
      <c r="AC10" s="110"/>
      <c r="AD10" s="110"/>
      <c r="AE10" s="110"/>
      <c r="AG10" s="20" t="s">
        <v>40</v>
      </c>
      <c r="AH10" s="20"/>
      <c r="AI10" s="20"/>
      <c r="AJ10" s="20"/>
      <c r="AK10" s="108">
        <f>SUBTOTAL(109,Tabela6911[PERCENTUAL DE REPRESENTATIVIDADE])</f>
        <v>1</v>
      </c>
      <c r="AL10" s="110">
        <f>SUBTOTAL(109,Tabela6911[QUANTIDADE])</f>
        <v>30</v>
      </c>
      <c r="AM10" s="110"/>
      <c r="AN10" s="110"/>
      <c r="AO10" s="110"/>
      <c r="AQ10" s="20" t="s">
        <v>40</v>
      </c>
      <c r="AR10" s="20"/>
      <c r="AS10" s="20"/>
      <c r="AT10" s="20"/>
      <c r="AU10" s="108">
        <f>SUBTOTAL(109,Tabela691113[PERCENTUAL DE REPRESENTATIVIDADE])</f>
        <v>1</v>
      </c>
      <c r="AV10" s="110">
        <f>SUBTOTAL(109,Tabela691113[QUANTIDADE])</f>
        <v>30</v>
      </c>
    </row>
    <row r="11" spans="2:48" x14ac:dyDescent="0.25">
      <c r="B11" s="55">
        <v>46063</v>
      </c>
      <c r="C11" s="39" t="str">
        <f t="shared" si="0"/>
        <v>TERÇA-FEIRA</v>
      </c>
      <c r="D11" s="48">
        <f>1033+508+857</f>
        <v>2398</v>
      </c>
      <c r="F11" s="56" t="s">
        <v>39</v>
      </c>
      <c r="G11">
        <v>35317</v>
      </c>
      <c r="H11" s="136">
        <v>1</v>
      </c>
      <c r="T11" s="20"/>
      <c r="U11" s="20"/>
      <c r="V11" s="20"/>
      <c r="W11" s="20"/>
      <c r="X11" s="20"/>
      <c r="AA11" s="20"/>
      <c r="AB11" s="20"/>
      <c r="AC11" s="20"/>
      <c r="AD11" s="20"/>
      <c r="AE11" s="20"/>
      <c r="AF11" s="20"/>
      <c r="AG11" s="20"/>
      <c r="AH11" s="20"/>
      <c r="AK11" s="20"/>
      <c r="AL11" s="20"/>
      <c r="AM11" s="20"/>
      <c r="AN11" s="20"/>
      <c r="AO11" s="20"/>
      <c r="AP11" s="20"/>
      <c r="AQ11" s="20"/>
      <c r="AR11" s="20"/>
    </row>
    <row r="12" spans="2:48" x14ac:dyDescent="0.25">
      <c r="B12" s="55">
        <v>46064</v>
      </c>
      <c r="C12" s="39" t="str">
        <f t="shared" si="0"/>
        <v>QUARTA-FEIRA</v>
      </c>
      <c r="D12" s="48">
        <f>120+180+796</f>
        <v>1096</v>
      </c>
      <c r="F12" s="57"/>
      <c r="G12" s="58"/>
      <c r="J12" s="175" t="s">
        <v>3</v>
      </c>
      <c r="K12" s="175"/>
      <c r="T12" s="20"/>
      <c r="U12" s="20"/>
      <c r="V12" s="20"/>
      <c r="W12" s="20"/>
      <c r="X12" s="20"/>
      <c r="AA12" s="20"/>
      <c r="AB12" s="20"/>
      <c r="AC12" s="20"/>
      <c r="AD12" s="20"/>
      <c r="AE12" s="20"/>
      <c r="AF12" s="20"/>
      <c r="AG12" s="20"/>
      <c r="AH12" s="20"/>
      <c r="AK12" s="20"/>
      <c r="AL12" s="20"/>
      <c r="AM12" s="20"/>
      <c r="AN12" s="20"/>
      <c r="AO12" s="20"/>
      <c r="AP12" s="20"/>
      <c r="AQ12" s="20"/>
      <c r="AR12" s="20"/>
    </row>
    <row r="13" spans="2:48" x14ac:dyDescent="0.25">
      <c r="B13" s="55">
        <v>46065</v>
      </c>
      <c r="C13" s="39" t="str">
        <f t="shared" si="0"/>
        <v>QUINTA-FEIRA</v>
      </c>
      <c r="D13" s="48">
        <f>43+397</f>
        <v>440</v>
      </c>
      <c r="F13" s="57"/>
      <c r="G13" s="58"/>
      <c r="J13" s="68" t="s">
        <v>31</v>
      </c>
      <c r="K13" s="97">
        <v>60000</v>
      </c>
      <c r="M13" s="20" t="s">
        <v>32</v>
      </c>
      <c r="N13" s="20" t="s">
        <v>29</v>
      </c>
      <c r="O13" s="20" t="s">
        <v>33</v>
      </c>
      <c r="P13" s="20" t="s">
        <v>27</v>
      </c>
      <c r="Q13" s="20" t="s">
        <v>41</v>
      </c>
      <c r="R13" t="s">
        <v>35</v>
      </c>
      <c r="W13" s="20" t="s">
        <v>32</v>
      </c>
      <c r="X13" s="20" t="s">
        <v>29</v>
      </c>
      <c r="Y13" s="20" t="s">
        <v>33</v>
      </c>
      <c r="Z13" s="20" t="s">
        <v>27</v>
      </c>
      <c r="AA13" s="20" t="s">
        <v>41</v>
      </c>
      <c r="AB13" t="s">
        <v>35</v>
      </c>
      <c r="AG13" s="20" t="s">
        <v>32</v>
      </c>
      <c r="AH13" s="20" t="s">
        <v>29</v>
      </c>
      <c r="AI13" s="20" t="s">
        <v>33</v>
      </c>
      <c r="AJ13" s="20" t="s">
        <v>27</v>
      </c>
      <c r="AK13" s="20" t="s">
        <v>41</v>
      </c>
      <c r="AL13" t="s">
        <v>35</v>
      </c>
      <c r="AQ13" s="20" t="s">
        <v>32</v>
      </c>
      <c r="AR13" s="20" t="s">
        <v>29</v>
      </c>
      <c r="AS13" s="20" t="s">
        <v>33</v>
      </c>
      <c r="AT13" s="20" t="s">
        <v>27</v>
      </c>
      <c r="AU13" s="20" t="s">
        <v>41</v>
      </c>
      <c r="AV13" t="s">
        <v>35</v>
      </c>
    </row>
    <row r="14" spans="2:48" x14ac:dyDescent="0.25">
      <c r="B14" s="55">
        <v>46066</v>
      </c>
      <c r="C14" s="39" t="str">
        <f t="shared" si="0"/>
        <v>SEXTA-FEIRA</v>
      </c>
      <c r="D14" s="48">
        <f>228+1825+391</f>
        <v>2444</v>
      </c>
      <c r="F14" s="1"/>
      <c r="J14" s="68" t="s">
        <v>36</v>
      </c>
      <c r="K14" s="99">
        <f>K8</f>
        <v>26</v>
      </c>
      <c r="M14" s="68">
        <f>M3</f>
        <v>3</v>
      </c>
      <c r="N14" s="95">
        <f>N3</f>
        <v>2026</v>
      </c>
      <c r="O14" s="27">
        <f t="shared" ref="O14:O20" si="6">O3</f>
        <v>40000</v>
      </c>
      <c r="P14" s="20" t="s">
        <v>11</v>
      </c>
      <c r="Q14" s="101">
        <f>(O3*Q3)/Tabela68[[#This Row],[QUANTIDADE]]</f>
        <v>0</v>
      </c>
      <c r="R14" s="96">
        <f t="shared" ref="R14:R20" si="7">R3</f>
        <v>4</v>
      </c>
      <c r="S14" s="96"/>
      <c r="T14" s="96"/>
      <c r="U14" s="96"/>
      <c r="W14" s="68">
        <f>W3</f>
        <v>3</v>
      </c>
      <c r="X14" s="95">
        <f>X3</f>
        <v>2026</v>
      </c>
      <c r="Y14" s="27">
        <f t="shared" ref="Y14:Y20" si="8">Y3</f>
        <v>50000</v>
      </c>
      <c r="Z14" s="20" t="s">
        <v>11</v>
      </c>
      <c r="AA14" s="101">
        <f>(Y3*AA3)/Tabela6810[[#This Row],[QUANTIDADE]]</f>
        <v>0</v>
      </c>
      <c r="AB14" s="96">
        <f t="shared" ref="AB14:AB20" si="9">AB3</f>
        <v>4</v>
      </c>
      <c r="AC14" s="96"/>
      <c r="AD14" s="96"/>
      <c r="AE14" s="96"/>
      <c r="AG14" s="68">
        <f>AG3</f>
        <v>3</v>
      </c>
      <c r="AH14" s="95">
        <f>AH3</f>
        <v>2026</v>
      </c>
      <c r="AI14" s="27">
        <f t="shared" ref="AI14:AI20" si="10">AI3</f>
        <v>60000</v>
      </c>
      <c r="AJ14" s="20" t="s">
        <v>11</v>
      </c>
      <c r="AK14" s="101">
        <f>(AI3*AK3)/Tabela681012[[#This Row],[QUANTIDADE]]</f>
        <v>0</v>
      </c>
      <c r="AL14" s="96">
        <f t="shared" ref="AL14:AL20" si="11">AL3</f>
        <v>4</v>
      </c>
      <c r="AM14" s="96"/>
      <c r="AN14" s="96"/>
      <c r="AO14" s="96"/>
      <c r="AQ14" s="68">
        <f>AQ3</f>
        <v>3</v>
      </c>
      <c r="AR14" s="95">
        <f>AR3</f>
        <v>2026</v>
      </c>
      <c r="AS14" s="27">
        <f t="shared" ref="AS14:AS20" si="12">AS3</f>
        <v>80000</v>
      </c>
      <c r="AT14" s="20" t="s">
        <v>11</v>
      </c>
      <c r="AU14" s="101">
        <f>(AS3*AU3)/Tabela68101214[[#This Row],[QUANTIDADE]]</f>
        <v>0</v>
      </c>
      <c r="AV14" s="96">
        <f t="shared" ref="AV14:AV20" si="13">AV3</f>
        <v>4</v>
      </c>
    </row>
    <row r="15" spans="2:48" x14ac:dyDescent="0.25">
      <c r="B15" s="55">
        <v>46067</v>
      </c>
      <c r="C15" s="39" t="str">
        <f t="shared" si="0"/>
        <v>SÁBADO</v>
      </c>
      <c r="D15" s="48">
        <f>705+10+1572</f>
        <v>2287</v>
      </c>
      <c r="F15" s="54"/>
      <c r="G15" s="59"/>
      <c r="J15" s="68" t="s">
        <v>37</v>
      </c>
      <c r="K15" s="97">
        <f>K13/K14</f>
        <v>2307.6923076923076</v>
      </c>
      <c r="M15" s="68">
        <f t="shared" ref="M15:N20" si="14">M4</f>
        <v>3</v>
      </c>
      <c r="N15" s="95">
        <f t="shared" si="14"/>
        <v>2026</v>
      </c>
      <c r="O15" s="27">
        <f t="shared" si="6"/>
        <v>40000</v>
      </c>
      <c r="P15" s="20" t="s">
        <v>12</v>
      </c>
      <c r="Q15" s="101">
        <f>(O4*Q4)/Tabela68[[#This Row],[QUANTIDADE]]</f>
        <v>1463.3179488631538</v>
      </c>
      <c r="R15" s="96">
        <f t="shared" si="7"/>
        <v>4</v>
      </c>
      <c r="S15" s="96"/>
      <c r="T15" s="96"/>
      <c r="U15" s="96"/>
      <c r="W15" s="68">
        <f t="shared" ref="W15:X15" si="15">W4</f>
        <v>3</v>
      </c>
      <c r="X15" s="95">
        <f t="shared" si="15"/>
        <v>2026</v>
      </c>
      <c r="Y15" s="27">
        <f t="shared" si="8"/>
        <v>50000</v>
      </c>
      <c r="Z15" s="20" t="s">
        <v>12</v>
      </c>
      <c r="AA15" s="101">
        <f>(Y4*AA4)/Tabela6810[[#This Row],[QUANTIDADE]]</f>
        <v>1829.1474360789421</v>
      </c>
      <c r="AB15" s="96">
        <f t="shared" si="9"/>
        <v>4</v>
      </c>
      <c r="AC15" s="96"/>
      <c r="AD15" s="96"/>
      <c r="AE15" s="96"/>
      <c r="AG15" s="68">
        <f t="shared" ref="AG15:AH15" si="16">AG4</f>
        <v>3</v>
      </c>
      <c r="AH15" s="95">
        <f t="shared" si="16"/>
        <v>2026</v>
      </c>
      <c r="AI15" s="27">
        <f t="shared" si="10"/>
        <v>60000</v>
      </c>
      <c r="AJ15" s="20" t="s">
        <v>12</v>
      </c>
      <c r="AK15" s="101">
        <f>(AI4*AK4)/Tabela681012[[#This Row],[QUANTIDADE]]</f>
        <v>2194.9769232947306</v>
      </c>
      <c r="AL15" s="96">
        <f t="shared" si="11"/>
        <v>4</v>
      </c>
      <c r="AM15" s="96"/>
      <c r="AN15" s="96"/>
      <c r="AO15" s="96"/>
      <c r="AQ15" s="68">
        <f t="shared" ref="AQ15:AR15" si="17">AQ4</f>
        <v>3</v>
      </c>
      <c r="AR15" s="95">
        <f t="shared" si="17"/>
        <v>2026</v>
      </c>
      <c r="AS15" s="27">
        <f t="shared" si="12"/>
        <v>80000</v>
      </c>
      <c r="AT15" s="20" t="s">
        <v>12</v>
      </c>
      <c r="AU15" s="101">
        <f>(AS4*AU4)/Tabela68101214[[#This Row],[QUANTIDADE]]</f>
        <v>2926.6358977263076</v>
      </c>
      <c r="AV15" s="96">
        <f t="shared" si="13"/>
        <v>4</v>
      </c>
    </row>
    <row r="16" spans="2:48" x14ac:dyDescent="0.25">
      <c r="B16" s="55">
        <v>46068</v>
      </c>
      <c r="C16" s="39" t="str">
        <f t="shared" si="0"/>
        <v>DOMINGO</v>
      </c>
      <c r="D16" s="48">
        <f>248+376+157+59</f>
        <v>840</v>
      </c>
      <c r="F16" s="54"/>
      <c r="G16" s="59"/>
      <c r="J16" s="103"/>
      <c r="M16" s="68">
        <f t="shared" si="14"/>
        <v>3</v>
      </c>
      <c r="N16" s="95">
        <f t="shared" si="14"/>
        <v>2026</v>
      </c>
      <c r="O16" s="27">
        <f t="shared" si="6"/>
        <v>40000</v>
      </c>
      <c r="P16" s="20" t="s">
        <v>13</v>
      </c>
      <c r="Q16" s="101">
        <f>(O5*Q5)/Tabela68[[#This Row],[QUANTIDADE]]</f>
        <v>1283.5178525922361</v>
      </c>
      <c r="R16" s="96">
        <f t="shared" si="7"/>
        <v>4</v>
      </c>
      <c r="S16" s="96"/>
      <c r="T16" s="96"/>
      <c r="U16" s="96"/>
      <c r="W16" s="68">
        <f t="shared" ref="W16:X16" si="18">W5</f>
        <v>3</v>
      </c>
      <c r="X16" s="95">
        <f t="shared" si="18"/>
        <v>2026</v>
      </c>
      <c r="Y16" s="27">
        <f t="shared" si="8"/>
        <v>50000</v>
      </c>
      <c r="Z16" s="20" t="s">
        <v>13</v>
      </c>
      <c r="AA16" s="101">
        <f>(Y5*AA5)/Tabela6810[[#This Row],[QUANTIDADE]]</f>
        <v>1604.3973157402952</v>
      </c>
      <c r="AB16" s="96">
        <f t="shared" si="9"/>
        <v>4</v>
      </c>
      <c r="AC16" s="96"/>
      <c r="AD16" s="96"/>
      <c r="AE16" s="96"/>
      <c r="AG16" s="68">
        <f t="shared" ref="AG16:AH16" si="19">AG5</f>
        <v>3</v>
      </c>
      <c r="AH16" s="95">
        <f t="shared" si="19"/>
        <v>2026</v>
      </c>
      <c r="AI16" s="27">
        <f t="shared" si="10"/>
        <v>60000</v>
      </c>
      <c r="AJ16" s="20" t="s">
        <v>13</v>
      </c>
      <c r="AK16" s="101">
        <f>(AI5*AK5)/Tabela681012[[#This Row],[QUANTIDADE]]</f>
        <v>1925.2767788883541</v>
      </c>
      <c r="AL16" s="96">
        <f t="shared" si="11"/>
        <v>4</v>
      </c>
      <c r="AM16" s="96"/>
      <c r="AN16" s="96"/>
      <c r="AO16" s="96"/>
      <c r="AQ16" s="68">
        <f t="shared" ref="AQ16:AR16" si="20">AQ5</f>
        <v>3</v>
      </c>
      <c r="AR16" s="95">
        <f t="shared" si="20"/>
        <v>2026</v>
      </c>
      <c r="AS16" s="27">
        <f t="shared" si="12"/>
        <v>80000</v>
      </c>
      <c r="AT16" s="20" t="s">
        <v>13</v>
      </c>
      <c r="AU16" s="101">
        <f>(AS5*AU5)/Tabela68101214[[#This Row],[QUANTIDADE]]</f>
        <v>2567.0357051844721</v>
      </c>
      <c r="AV16" s="96">
        <f t="shared" si="13"/>
        <v>4</v>
      </c>
    </row>
    <row r="17" spans="2:51" x14ac:dyDescent="0.25">
      <c r="B17" s="55">
        <v>46069</v>
      </c>
      <c r="C17" s="39" t="str">
        <f t="shared" si="0"/>
        <v>SEGUNDA-FEIRA</v>
      </c>
      <c r="M17" s="68">
        <f t="shared" si="14"/>
        <v>3</v>
      </c>
      <c r="N17" s="95">
        <f t="shared" si="14"/>
        <v>2026</v>
      </c>
      <c r="O17" s="27">
        <f t="shared" si="6"/>
        <v>40000</v>
      </c>
      <c r="P17" s="20" t="s">
        <v>14</v>
      </c>
      <c r="Q17" s="101">
        <f>(O6*Q6)/Tabela68[[#This Row],[QUANTIDADE]]</f>
        <v>816.83042160998957</v>
      </c>
      <c r="R17" s="96">
        <f t="shared" si="7"/>
        <v>5</v>
      </c>
      <c r="S17" s="96"/>
      <c r="T17" s="96"/>
      <c r="U17" s="96"/>
      <c r="W17" s="68">
        <f t="shared" ref="W17:X17" si="21">W6</f>
        <v>3</v>
      </c>
      <c r="X17" s="95">
        <f t="shared" si="21"/>
        <v>2026</v>
      </c>
      <c r="Y17" s="27">
        <f t="shared" si="8"/>
        <v>50000</v>
      </c>
      <c r="Z17" s="20" t="s">
        <v>14</v>
      </c>
      <c r="AA17" s="101">
        <f>(Y6*AA6)/Tabela6810[[#This Row],[QUANTIDADE]]</f>
        <v>1021.038027012487</v>
      </c>
      <c r="AB17" s="96">
        <f t="shared" si="9"/>
        <v>5</v>
      </c>
      <c r="AC17" s="96"/>
      <c r="AD17" s="96"/>
      <c r="AE17" s="96"/>
      <c r="AG17" s="68">
        <f t="shared" ref="AG17:AH17" si="22">AG6</f>
        <v>3</v>
      </c>
      <c r="AH17" s="95">
        <f t="shared" si="22"/>
        <v>2026</v>
      </c>
      <c r="AI17" s="27">
        <f t="shared" si="10"/>
        <v>60000</v>
      </c>
      <c r="AJ17" s="20" t="s">
        <v>14</v>
      </c>
      <c r="AK17" s="101">
        <f>(AI6*AK6)/Tabela681012[[#This Row],[QUANTIDADE]]</f>
        <v>1225.2456324149844</v>
      </c>
      <c r="AL17" s="96">
        <f t="shared" si="11"/>
        <v>5</v>
      </c>
      <c r="AM17" s="96"/>
      <c r="AN17" s="96"/>
      <c r="AO17" s="96"/>
      <c r="AQ17" s="68">
        <f t="shared" ref="AQ17:AR17" si="23">AQ6</f>
        <v>3</v>
      </c>
      <c r="AR17" s="95">
        <f t="shared" si="23"/>
        <v>2026</v>
      </c>
      <c r="AS17" s="27">
        <f t="shared" si="12"/>
        <v>80000</v>
      </c>
      <c r="AT17" s="20" t="s">
        <v>14</v>
      </c>
      <c r="AU17" s="101">
        <f>(AS6*AU6)/Tabela68101214[[#This Row],[QUANTIDADE]]</f>
        <v>1633.6608432199791</v>
      </c>
      <c r="AV17" s="96">
        <f t="shared" si="13"/>
        <v>5</v>
      </c>
    </row>
    <row r="18" spans="2:51" x14ac:dyDescent="0.25">
      <c r="B18" s="55">
        <v>46070</v>
      </c>
      <c r="C18" s="39" t="str">
        <f t="shared" si="0"/>
        <v>TERÇA-FEIRA</v>
      </c>
      <c r="D18" s="48">
        <f>79+609</f>
        <v>688</v>
      </c>
      <c r="J18" s="175" t="s">
        <v>4</v>
      </c>
      <c r="K18" s="175"/>
      <c r="M18" s="68">
        <f t="shared" si="14"/>
        <v>3</v>
      </c>
      <c r="N18" s="95">
        <f t="shared" si="14"/>
        <v>2026</v>
      </c>
      <c r="O18" s="27">
        <f t="shared" si="6"/>
        <v>40000</v>
      </c>
      <c r="P18" s="20" t="s">
        <v>15</v>
      </c>
      <c r="Q18" s="101">
        <f>(O7*Q7)/Tabela68[[#This Row],[QUANTIDADE]]</f>
        <v>1528.5556530849167</v>
      </c>
      <c r="R18" s="96">
        <f t="shared" si="7"/>
        <v>5</v>
      </c>
      <c r="S18" s="96"/>
      <c r="T18" s="96"/>
      <c r="U18" s="96"/>
      <c r="W18" s="68">
        <f t="shared" ref="W18:X18" si="24">W7</f>
        <v>3</v>
      </c>
      <c r="X18" s="95">
        <f t="shared" si="24"/>
        <v>2026</v>
      </c>
      <c r="Y18" s="27">
        <f t="shared" si="8"/>
        <v>50000</v>
      </c>
      <c r="Z18" s="20" t="s">
        <v>15</v>
      </c>
      <c r="AA18" s="101">
        <f>(Y7*AA7)/Tabela6810[[#This Row],[QUANTIDADE]]</f>
        <v>1910.694566356146</v>
      </c>
      <c r="AB18" s="96">
        <f t="shared" si="9"/>
        <v>5</v>
      </c>
      <c r="AC18" s="96"/>
      <c r="AD18" s="96"/>
      <c r="AE18" s="96"/>
      <c r="AG18" s="68">
        <f t="shared" ref="AG18:AH18" si="25">AG7</f>
        <v>3</v>
      </c>
      <c r="AH18" s="95">
        <f t="shared" si="25"/>
        <v>2026</v>
      </c>
      <c r="AI18" s="27">
        <f t="shared" si="10"/>
        <v>60000</v>
      </c>
      <c r="AJ18" s="20" t="s">
        <v>15</v>
      </c>
      <c r="AK18" s="101">
        <f>(AI7*AK7)/Tabela681012[[#This Row],[QUANTIDADE]]</f>
        <v>2292.8334796273748</v>
      </c>
      <c r="AL18" s="96">
        <f t="shared" si="11"/>
        <v>5</v>
      </c>
      <c r="AM18" s="96"/>
      <c r="AN18" s="96"/>
      <c r="AO18" s="96"/>
      <c r="AQ18" s="68">
        <f t="shared" ref="AQ18:AR18" si="26">AQ7</f>
        <v>3</v>
      </c>
      <c r="AR18" s="95">
        <f t="shared" si="26"/>
        <v>2026</v>
      </c>
      <c r="AS18" s="27">
        <f t="shared" si="12"/>
        <v>80000</v>
      </c>
      <c r="AT18" s="20" t="s">
        <v>15</v>
      </c>
      <c r="AU18" s="101">
        <f>(AS7*AU7)/Tabela68101214[[#This Row],[QUANTIDADE]]</f>
        <v>3057.1113061698334</v>
      </c>
      <c r="AV18" s="96">
        <f t="shared" si="13"/>
        <v>5</v>
      </c>
    </row>
    <row r="19" spans="2:51" x14ac:dyDescent="0.25">
      <c r="B19" s="55">
        <v>46071</v>
      </c>
      <c r="C19" s="39" t="str">
        <f t="shared" si="0"/>
        <v>QUARTA-FEIRA</v>
      </c>
      <c r="D19" s="48">
        <f>199+962</f>
        <v>1161</v>
      </c>
      <c r="J19" s="68" t="s">
        <v>31</v>
      </c>
      <c r="K19" s="97">
        <v>80000</v>
      </c>
      <c r="M19" s="68">
        <f t="shared" si="14"/>
        <v>3</v>
      </c>
      <c r="N19" s="95">
        <f t="shared" si="14"/>
        <v>2026</v>
      </c>
      <c r="O19" s="27">
        <f t="shared" si="6"/>
        <v>40000</v>
      </c>
      <c r="P19" s="20" t="s">
        <v>16</v>
      </c>
      <c r="Q19" s="101">
        <f>(O8*Q8)/Tabela68[[#This Row],[QUANTIDADE]]</f>
        <v>2893.2242262932868</v>
      </c>
      <c r="R19" s="96">
        <f t="shared" si="7"/>
        <v>4</v>
      </c>
      <c r="S19" s="96"/>
      <c r="T19" s="96"/>
      <c r="U19" s="96"/>
      <c r="W19" s="68">
        <f t="shared" ref="W19:X19" si="27">W8</f>
        <v>3</v>
      </c>
      <c r="X19" s="95">
        <f t="shared" si="27"/>
        <v>2026</v>
      </c>
      <c r="Y19" s="27">
        <f t="shared" si="8"/>
        <v>50000</v>
      </c>
      <c r="Z19" s="20" t="s">
        <v>16</v>
      </c>
      <c r="AA19" s="101">
        <f>(Y8*AA8)/Tabela6810[[#This Row],[QUANTIDADE]]</f>
        <v>3616.5302828666086</v>
      </c>
      <c r="AB19" s="96">
        <f t="shared" si="9"/>
        <v>4</v>
      </c>
      <c r="AC19" s="96"/>
      <c r="AD19" s="96"/>
      <c r="AE19" s="96"/>
      <c r="AG19" s="68">
        <f t="shared" ref="AG19:AH19" si="28">AG8</f>
        <v>3</v>
      </c>
      <c r="AH19" s="95">
        <f t="shared" si="28"/>
        <v>2026</v>
      </c>
      <c r="AI19" s="27">
        <f t="shared" si="10"/>
        <v>60000</v>
      </c>
      <c r="AJ19" s="20" t="s">
        <v>16</v>
      </c>
      <c r="AK19" s="101">
        <f>(AI8*AK8)/Tabela681012[[#This Row],[QUANTIDADE]]</f>
        <v>4339.8363394399303</v>
      </c>
      <c r="AL19" s="96">
        <f t="shared" si="11"/>
        <v>4</v>
      </c>
      <c r="AM19" s="96"/>
      <c r="AN19" s="96"/>
      <c r="AO19" s="96"/>
      <c r="AQ19" s="68">
        <f t="shared" ref="AQ19:AR19" si="29">AQ8</f>
        <v>3</v>
      </c>
      <c r="AR19" s="95">
        <f t="shared" si="29"/>
        <v>2026</v>
      </c>
      <c r="AS19" s="27">
        <f t="shared" si="12"/>
        <v>80000</v>
      </c>
      <c r="AT19" s="20" t="s">
        <v>16</v>
      </c>
      <c r="AU19" s="101">
        <f>(AS8*AU8)/Tabela68101214[[#This Row],[QUANTIDADE]]</f>
        <v>5786.4484525865737</v>
      </c>
      <c r="AV19" s="96">
        <f t="shared" si="13"/>
        <v>4</v>
      </c>
    </row>
    <row r="20" spans="2:51" x14ac:dyDescent="0.25">
      <c r="B20" s="55">
        <v>46072</v>
      </c>
      <c r="C20" s="39" t="str">
        <f t="shared" si="0"/>
        <v>QUINTA-FEIRA</v>
      </c>
      <c r="D20" s="48">
        <f>403+525</f>
        <v>928</v>
      </c>
      <c r="J20" s="68" t="s">
        <v>36</v>
      </c>
      <c r="K20" s="99">
        <f>K14</f>
        <v>26</v>
      </c>
      <c r="M20" s="68">
        <f t="shared" si="14"/>
        <v>3</v>
      </c>
      <c r="N20" s="95">
        <f t="shared" si="14"/>
        <v>2026</v>
      </c>
      <c r="O20" s="27">
        <f t="shared" si="6"/>
        <v>40000</v>
      </c>
      <c r="P20" s="20" t="s">
        <v>17</v>
      </c>
      <c r="Q20" s="101">
        <f>(O9*Q9)/Tabela68[[#This Row],[QUANTIDADE]]</f>
        <v>1428.207378882691</v>
      </c>
      <c r="R20" s="96">
        <f t="shared" si="7"/>
        <v>4</v>
      </c>
      <c r="S20" s="96"/>
      <c r="T20" s="96"/>
      <c r="U20" s="96"/>
      <c r="W20" s="68">
        <f t="shared" ref="W20:X20" si="30">W9</f>
        <v>3</v>
      </c>
      <c r="X20" s="95">
        <f t="shared" si="30"/>
        <v>2026</v>
      </c>
      <c r="Y20" s="27">
        <f t="shared" si="8"/>
        <v>50000</v>
      </c>
      <c r="Z20" s="20" t="s">
        <v>17</v>
      </c>
      <c r="AA20" s="101">
        <f>(Y9*AA9)/Tabela6810[[#This Row],[QUANTIDADE]]</f>
        <v>1785.2592236033638</v>
      </c>
      <c r="AB20" s="96">
        <f t="shared" si="9"/>
        <v>4</v>
      </c>
      <c r="AC20" s="96"/>
      <c r="AD20" s="96"/>
      <c r="AE20" s="96"/>
      <c r="AG20" s="68">
        <f t="shared" ref="AG20:AH20" si="31">AG9</f>
        <v>3</v>
      </c>
      <c r="AH20" s="95">
        <f t="shared" si="31"/>
        <v>2026</v>
      </c>
      <c r="AI20" s="27">
        <f t="shared" si="10"/>
        <v>60000</v>
      </c>
      <c r="AJ20" s="20" t="s">
        <v>17</v>
      </c>
      <c r="AK20" s="101">
        <f>(AI9*AK9)/Tabela681012[[#This Row],[QUANTIDADE]]</f>
        <v>2142.3110683240366</v>
      </c>
      <c r="AL20" s="96">
        <f t="shared" si="11"/>
        <v>4</v>
      </c>
      <c r="AM20" s="96"/>
      <c r="AN20" s="96"/>
      <c r="AO20" s="96"/>
      <c r="AQ20" s="68">
        <f t="shared" ref="AQ20:AR20" si="32">AQ9</f>
        <v>3</v>
      </c>
      <c r="AR20" s="95">
        <f t="shared" si="32"/>
        <v>2026</v>
      </c>
      <c r="AS20" s="27">
        <f t="shared" si="12"/>
        <v>80000</v>
      </c>
      <c r="AT20" s="20" t="s">
        <v>17</v>
      </c>
      <c r="AU20" s="101">
        <f>(AS9*AU9)/Tabela68101214[[#This Row],[QUANTIDADE]]</f>
        <v>2856.4147577653821</v>
      </c>
      <c r="AV20" s="96">
        <f t="shared" si="13"/>
        <v>4</v>
      </c>
    </row>
    <row r="21" spans="2:51" x14ac:dyDescent="0.25">
      <c r="B21" s="55">
        <v>46073</v>
      </c>
      <c r="C21" s="39" t="str">
        <f t="shared" si="0"/>
        <v>SEXTA-FEIRA</v>
      </c>
      <c r="D21" s="48">
        <f>138+741+263</f>
        <v>1142</v>
      </c>
      <c r="J21" s="68" t="s">
        <v>37</v>
      </c>
      <c r="K21" s="97">
        <f>K19/K20</f>
        <v>3076.9230769230771</v>
      </c>
    </row>
    <row r="22" spans="2:51" x14ac:dyDescent="0.25">
      <c r="B22" s="55">
        <v>46074</v>
      </c>
      <c r="C22" s="39" t="str">
        <f t="shared" si="0"/>
        <v>SÁBADO</v>
      </c>
      <c r="D22" s="48">
        <f>307+1087+579</f>
        <v>1973</v>
      </c>
    </row>
    <row r="23" spans="2:51" x14ac:dyDescent="0.25">
      <c r="B23" s="55">
        <v>46075</v>
      </c>
      <c r="C23" s="39" t="str">
        <f t="shared" si="0"/>
        <v>DOMINGO</v>
      </c>
      <c r="D23" s="48">
        <f>144+166+754</f>
        <v>1064</v>
      </c>
    </row>
    <row r="24" spans="2:51" x14ac:dyDescent="0.25">
      <c r="B24" s="55">
        <v>46076</v>
      </c>
      <c r="C24" s="39" t="str">
        <f t="shared" si="0"/>
        <v>SEGUNDA-FEIRA</v>
      </c>
    </row>
    <row r="25" spans="2:51" x14ac:dyDescent="0.25">
      <c r="B25" s="55">
        <v>46077</v>
      </c>
      <c r="C25" s="39" t="str">
        <f t="shared" si="0"/>
        <v>TERÇA-FEIRA</v>
      </c>
      <c r="D25" s="48">
        <f>494+59</f>
        <v>553</v>
      </c>
    </row>
    <row r="26" spans="2:51" x14ac:dyDescent="0.25">
      <c r="B26" s="55">
        <v>46078</v>
      </c>
      <c r="C26" s="39" t="str">
        <f t="shared" si="0"/>
        <v>QUARTA-FEIRA</v>
      </c>
      <c r="D26" s="48">
        <f>1+313+0+743</f>
        <v>1057</v>
      </c>
    </row>
    <row r="27" spans="2:51" x14ac:dyDescent="0.25">
      <c r="B27" s="55">
        <v>46079</v>
      </c>
      <c r="C27" s="39" t="str">
        <f t="shared" si="0"/>
        <v>QUINTA-FEIRA</v>
      </c>
      <c r="D27" s="48">
        <f>190+228+0+1066</f>
        <v>1484</v>
      </c>
    </row>
    <row r="28" spans="2:51" x14ac:dyDescent="0.25">
      <c r="B28" s="55">
        <v>46080</v>
      </c>
      <c r="C28" s="39" t="str">
        <f t="shared" si="0"/>
        <v>SEXTA-FEIRA</v>
      </c>
      <c r="D28" s="48">
        <f>169+761+99</f>
        <v>1029</v>
      </c>
    </row>
    <row r="29" spans="2:51" x14ac:dyDescent="0.25">
      <c r="B29" s="55">
        <v>46081</v>
      </c>
      <c r="C29" s="39" t="str">
        <f t="shared" si="0"/>
        <v>SÁBADO</v>
      </c>
      <c r="D29" s="48">
        <f>2964+348</f>
        <v>3312</v>
      </c>
    </row>
    <row r="30" spans="2:51" x14ac:dyDescent="0.25">
      <c r="B30" s="55">
        <v>46051</v>
      </c>
      <c r="C30" s="39" t="str">
        <f t="shared" si="0"/>
        <v>QUINTA-FEIRA</v>
      </c>
    </row>
    <row r="31" spans="2:51" x14ac:dyDescent="0.25">
      <c r="B31" s="55">
        <v>46052</v>
      </c>
      <c r="C31" s="39" t="str">
        <f t="shared" si="0"/>
        <v>SEXTA-FEIRA</v>
      </c>
      <c r="P31" s="27"/>
      <c r="Q31" s="27"/>
    </row>
    <row r="32" spans="2:51" ht="21" x14ac:dyDescent="0.25">
      <c r="B32" s="55">
        <v>46053</v>
      </c>
      <c r="C32" s="39" t="str">
        <f t="shared" si="0"/>
        <v>SÁBADO</v>
      </c>
      <c r="M32" s="176" t="s">
        <v>42</v>
      </c>
      <c r="N32" s="176"/>
      <c r="O32" s="176"/>
      <c r="P32" s="176"/>
      <c r="Q32" s="176"/>
      <c r="R32" s="176"/>
      <c r="S32" s="176"/>
      <c r="T32" s="176"/>
      <c r="U32" s="176"/>
      <c r="W32" s="176" t="s">
        <v>42</v>
      </c>
      <c r="X32" s="176"/>
      <c r="Y32" s="176"/>
      <c r="Z32" s="176"/>
      <c r="AA32" s="176"/>
      <c r="AB32" s="176"/>
      <c r="AC32" s="176"/>
      <c r="AD32" s="176"/>
      <c r="AE32" s="176"/>
      <c r="AG32" s="176" t="s">
        <v>42</v>
      </c>
      <c r="AH32" s="176"/>
      <c r="AI32" s="176"/>
      <c r="AJ32" s="176"/>
      <c r="AK32" s="176"/>
      <c r="AL32" s="176"/>
      <c r="AM32" s="176"/>
      <c r="AN32" s="176"/>
      <c r="AO32" s="176"/>
      <c r="AQ32" s="176" t="s">
        <v>42</v>
      </c>
      <c r="AR32" s="176"/>
      <c r="AS32" s="176"/>
      <c r="AT32" s="176"/>
      <c r="AU32" s="176"/>
      <c r="AV32" s="176"/>
      <c r="AW32" s="176"/>
      <c r="AX32" s="176"/>
      <c r="AY32" s="176"/>
    </row>
    <row r="33" spans="3:51" x14ac:dyDescent="0.25">
      <c r="C33" s="39"/>
      <c r="H33" s="1"/>
      <c r="I33" s="1"/>
      <c r="J33" s="1"/>
      <c r="K33" s="1"/>
      <c r="R33" s="20"/>
      <c r="S33" s="20"/>
      <c r="T33" s="20"/>
      <c r="U33" s="20"/>
      <c r="W33" s="20"/>
      <c r="X33" s="20"/>
      <c r="Y33" s="20"/>
      <c r="Z33" s="20"/>
      <c r="AA33" s="20"/>
      <c r="AB33" s="20"/>
      <c r="AC33" s="20"/>
      <c r="AD33" s="20"/>
      <c r="AE33" s="20"/>
      <c r="AG33" s="20"/>
      <c r="AH33" s="20"/>
      <c r="AI33" s="20"/>
      <c r="AJ33" s="20"/>
      <c r="AK33" s="20"/>
      <c r="AL33" s="20"/>
      <c r="AM33" s="20"/>
      <c r="AN33" s="20"/>
      <c r="AO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3:51" x14ac:dyDescent="0.25">
      <c r="H34" s="1"/>
      <c r="I34" s="1"/>
      <c r="J34" s="1"/>
      <c r="K34" s="1"/>
      <c r="N34" s="102"/>
      <c r="O34" s="104"/>
      <c r="R34" s="20"/>
      <c r="S34" s="20"/>
      <c r="T34" s="20"/>
      <c r="U34" s="20"/>
      <c r="W34" s="20"/>
      <c r="X34" s="102"/>
      <c r="Y34" s="104"/>
      <c r="Z34" s="20"/>
      <c r="AA34" s="20"/>
      <c r="AB34" s="20"/>
      <c r="AC34" s="20"/>
      <c r="AD34" s="20"/>
      <c r="AE34" s="20"/>
      <c r="AG34" s="20"/>
      <c r="AH34" s="102"/>
      <c r="AI34" s="104"/>
      <c r="AJ34" s="20"/>
      <c r="AK34" s="20"/>
      <c r="AL34" s="20"/>
      <c r="AM34" s="20"/>
      <c r="AN34" s="20"/>
      <c r="AO34" s="20"/>
      <c r="AQ34" s="20"/>
      <c r="AR34" s="102"/>
      <c r="AS34" s="104"/>
      <c r="AT34" s="20"/>
      <c r="AU34" s="20"/>
      <c r="AV34" s="20"/>
      <c r="AW34" s="20"/>
      <c r="AX34" s="20"/>
      <c r="AY34" s="20"/>
    </row>
    <row r="35" spans="3:51" x14ac:dyDescent="0.25">
      <c r="D35" s="48">
        <f>SUM(D2:D33)</f>
        <v>35317</v>
      </c>
      <c r="H35" s="1"/>
      <c r="I35" s="1"/>
      <c r="J35" s="1"/>
      <c r="K35" s="1"/>
      <c r="N35" s="173" t="s">
        <v>8</v>
      </c>
      <c r="O35" s="173"/>
      <c r="Q35" s="174" t="s">
        <v>9</v>
      </c>
      <c r="R35" s="174"/>
      <c r="S35" s="20"/>
      <c r="T35" s="174" t="s">
        <v>10</v>
      </c>
      <c r="U35" s="174"/>
      <c r="W35" s="20"/>
      <c r="X35" s="173" t="s">
        <v>8</v>
      </c>
      <c r="Y35" s="173"/>
      <c r="Z35" s="20"/>
      <c r="AA35" s="173" t="s">
        <v>9</v>
      </c>
      <c r="AB35" s="173"/>
      <c r="AC35" s="20"/>
      <c r="AD35" s="174" t="s">
        <v>10</v>
      </c>
      <c r="AE35" s="174"/>
      <c r="AG35" s="20"/>
      <c r="AH35" s="173" t="s">
        <v>8</v>
      </c>
      <c r="AI35" s="173"/>
      <c r="AJ35" s="20"/>
      <c r="AK35" s="173" t="s">
        <v>9</v>
      </c>
      <c r="AL35" s="173"/>
      <c r="AM35" s="20"/>
      <c r="AN35" s="174" t="s">
        <v>10</v>
      </c>
      <c r="AO35" s="174"/>
      <c r="AQ35" s="20"/>
      <c r="AR35" s="173" t="s">
        <v>8</v>
      </c>
      <c r="AS35" s="173"/>
      <c r="AT35" s="20"/>
      <c r="AU35" s="173" t="s">
        <v>9</v>
      </c>
      <c r="AV35" s="173"/>
      <c r="AW35" s="20"/>
      <c r="AX35" s="174" t="s">
        <v>10</v>
      </c>
      <c r="AY35" s="174"/>
    </row>
    <row r="36" spans="3:51" x14ac:dyDescent="0.25">
      <c r="H36" s="1"/>
      <c r="I36" s="1"/>
      <c r="J36" s="1"/>
      <c r="K36" s="1"/>
      <c r="M36" s="20" t="s">
        <v>43</v>
      </c>
      <c r="N36" s="20" t="s">
        <v>11</v>
      </c>
      <c r="O36" s="21" t="str">
        <f>IF(M36="SIM",$Q$14,"")</f>
        <v/>
      </c>
      <c r="P36" s="20" t="s">
        <v>43</v>
      </c>
      <c r="Q36" s="20" t="s">
        <v>11</v>
      </c>
      <c r="R36" s="21" t="str">
        <f>IF(P36="SIM",$Q$14,"")</f>
        <v/>
      </c>
      <c r="S36" s="20" t="s">
        <v>44</v>
      </c>
      <c r="T36" s="20" t="s">
        <v>11</v>
      </c>
      <c r="U36" s="21">
        <f>IF(S36="SIM",$Q$14,"")</f>
        <v>0</v>
      </c>
      <c r="W36" s="20" t="str">
        <f>M36</f>
        <v>NÃO</v>
      </c>
      <c r="X36" s="20" t="s">
        <v>11</v>
      </c>
      <c r="Y36" s="21" t="str">
        <f>IF(W36="SIM",$AA$14,"")</f>
        <v/>
      </c>
      <c r="Z36" s="20" t="str">
        <f>P36</f>
        <v>NÃO</v>
      </c>
      <c r="AA36" s="20" t="s">
        <v>11</v>
      </c>
      <c r="AB36" s="21" t="str">
        <f>IF(Z36="SIM",$AA$14,"")</f>
        <v/>
      </c>
      <c r="AC36" s="20" t="str">
        <f>S36</f>
        <v>SIM</v>
      </c>
      <c r="AD36" s="20" t="s">
        <v>11</v>
      </c>
      <c r="AE36" s="21">
        <f>IF(AC36="SIM",$Q$14,"")</f>
        <v>0</v>
      </c>
      <c r="AG36" s="20" t="str">
        <f>W36</f>
        <v>NÃO</v>
      </c>
      <c r="AH36" s="20" t="s">
        <v>11</v>
      </c>
      <c r="AI36" s="21" t="str">
        <f>IF(AG36="SIM",$AK$14,"")</f>
        <v/>
      </c>
      <c r="AJ36" s="20" t="str">
        <f>Z36</f>
        <v>NÃO</v>
      </c>
      <c r="AK36" s="20" t="s">
        <v>11</v>
      </c>
      <c r="AL36" s="21" t="str">
        <f>IF(AJ36="SIM",$AK$14,"")</f>
        <v/>
      </c>
      <c r="AM36" s="20" t="str">
        <f>AC36</f>
        <v>SIM</v>
      </c>
      <c r="AN36" s="20" t="s">
        <v>11</v>
      </c>
      <c r="AO36" s="21">
        <f>IF(AM36="SIM",$AK$14,"")</f>
        <v>0</v>
      </c>
      <c r="AQ36" s="20" t="str">
        <f>AG36</f>
        <v>NÃO</v>
      </c>
      <c r="AR36" s="20" t="s">
        <v>11</v>
      </c>
      <c r="AS36" s="21" t="str">
        <f>IF(AQ36="SIM",$AU$14,"")</f>
        <v/>
      </c>
      <c r="AT36" s="20" t="str">
        <f>AJ36</f>
        <v>NÃO</v>
      </c>
      <c r="AU36" s="20" t="s">
        <v>11</v>
      </c>
      <c r="AV36" s="21" t="str">
        <f>IF(AT36="SIM",$AU$14,"")</f>
        <v/>
      </c>
      <c r="AW36" s="20" t="str">
        <f>AM36</f>
        <v>SIM</v>
      </c>
      <c r="AX36" s="20" t="s">
        <v>11</v>
      </c>
      <c r="AY36" s="21">
        <f>IF(AW36="SIM",$AU$14,"")</f>
        <v>0</v>
      </c>
    </row>
    <row r="37" spans="3:51" x14ac:dyDescent="0.25">
      <c r="H37" s="1"/>
      <c r="I37" s="1"/>
      <c r="J37" s="1"/>
      <c r="K37" s="1"/>
      <c r="M37" s="20" t="s">
        <v>43</v>
      </c>
      <c r="N37" s="20" t="s">
        <v>12</v>
      </c>
      <c r="O37" s="21" t="str">
        <f>IF(M37="SIM",$Q$15,"")</f>
        <v/>
      </c>
      <c r="P37" s="20" t="s">
        <v>44</v>
      </c>
      <c r="Q37" s="20" t="s">
        <v>12</v>
      </c>
      <c r="R37" s="21">
        <f>IF(P37="SIM",$Q$15,"")</f>
        <v>1463.3179488631538</v>
      </c>
      <c r="S37" s="20" t="s">
        <v>44</v>
      </c>
      <c r="T37" s="20" t="s">
        <v>12</v>
      </c>
      <c r="U37" s="21">
        <f>IF(S37="SIM",$Q$15,"")</f>
        <v>1463.3179488631538</v>
      </c>
      <c r="W37" s="20" t="str">
        <f t="shared" ref="W37:W42" si="33">M37</f>
        <v>NÃO</v>
      </c>
      <c r="X37" s="20" t="s">
        <v>12</v>
      </c>
      <c r="Y37" s="21" t="str">
        <f>IF(W37="SIM",$AA$15,"")</f>
        <v/>
      </c>
      <c r="Z37" s="20" t="str">
        <f t="shared" ref="Z37:Z42" si="34">P37</f>
        <v>SIM</v>
      </c>
      <c r="AA37" s="20" t="s">
        <v>12</v>
      </c>
      <c r="AB37" s="21">
        <f>IF(Z37="SIM",$AA$15,"")</f>
        <v>1829.1474360789421</v>
      </c>
      <c r="AC37" s="20" t="str">
        <f t="shared" ref="AC37:AC42" si="35">S37</f>
        <v>SIM</v>
      </c>
      <c r="AD37" s="20" t="s">
        <v>12</v>
      </c>
      <c r="AE37" s="21">
        <f>IF(AC37="SIM",AA15,"")</f>
        <v>1829.1474360789421</v>
      </c>
      <c r="AG37" s="20" t="str">
        <f t="shared" ref="AG37:AG42" si="36">W37</f>
        <v>NÃO</v>
      </c>
      <c r="AH37" s="20" t="s">
        <v>12</v>
      </c>
      <c r="AI37" s="21" t="str">
        <f>IF(AG37="SIM",$AK$15,"")</f>
        <v/>
      </c>
      <c r="AJ37" s="20" t="str">
        <f t="shared" ref="AJ37:AJ42" si="37">Z37</f>
        <v>SIM</v>
      </c>
      <c r="AK37" s="20" t="s">
        <v>12</v>
      </c>
      <c r="AL37" s="21">
        <f>IF(AJ37="SIM",$AK$15,"")</f>
        <v>2194.9769232947306</v>
      </c>
      <c r="AM37" s="20" t="str">
        <f t="shared" ref="AM37:AM42" si="38">AC37</f>
        <v>SIM</v>
      </c>
      <c r="AN37" s="20" t="s">
        <v>12</v>
      </c>
      <c r="AO37" s="21">
        <f>IF(AM37="SIM",$AK$15,"")</f>
        <v>2194.9769232947306</v>
      </c>
      <c r="AQ37" s="20" t="str">
        <f t="shared" ref="AQ37:AQ42" si="39">AG37</f>
        <v>NÃO</v>
      </c>
      <c r="AR37" s="20" t="s">
        <v>12</v>
      </c>
      <c r="AS37" s="21" t="str">
        <f>IF(AQ37="SIM",$AU$15,"")</f>
        <v/>
      </c>
      <c r="AT37" s="20" t="str">
        <f t="shared" ref="AT37:AT42" si="40">AJ37</f>
        <v>SIM</v>
      </c>
      <c r="AU37" s="20" t="s">
        <v>12</v>
      </c>
      <c r="AV37" s="21">
        <f>IF(AT37="SIM",$AU$15,"")</f>
        <v>2926.6358977263076</v>
      </c>
      <c r="AW37" s="20" t="str">
        <f t="shared" ref="AW37:AW42" si="41">AM37</f>
        <v>SIM</v>
      </c>
      <c r="AX37" s="20" t="s">
        <v>12</v>
      </c>
      <c r="AY37" s="21">
        <f>IF(AW37="SIM",$AU$15,"")</f>
        <v>2926.6358977263076</v>
      </c>
    </row>
    <row r="38" spans="3:51" x14ac:dyDescent="0.25">
      <c r="H38" s="1"/>
      <c r="I38" s="1"/>
      <c r="J38" s="1"/>
      <c r="K38" s="1"/>
      <c r="M38" s="20" t="s">
        <v>43</v>
      </c>
      <c r="N38" s="20" t="s">
        <v>13</v>
      </c>
      <c r="O38" s="21" t="str">
        <f>IF(M38="SIM",$Q$16,"")</f>
        <v/>
      </c>
      <c r="P38" s="20" t="s">
        <v>44</v>
      </c>
      <c r="Q38" s="20" t="s">
        <v>13</v>
      </c>
      <c r="R38" s="21">
        <f>IF(P38="SIM",$Q$16,"")</f>
        <v>1283.5178525922361</v>
      </c>
      <c r="S38" s="20" t="s">
        <v>44</v>
      </c>
      <c r="T38" s="20" t="s">
        <v>13</v>
      </c>
      <c r="U38" s="21">
        <f>IF(S38="SIM",$Q$16,"")</f>
        <v>1283.5178525922361</v>
      </c>
      <c r="W38" s="20" t="str">
        <f t="shared" si="33"/>
        <v>NÃO</v>
      </c>
      <c r="X38" s="20" t="s">
        <v>13</v>
      </c>
      <c r="Y38" s="21" t="str">
        <f>IF(W38="SIM",$AA$16,"")</f>
        <v/>
      </c>
      <c r="Z38" s="20" t="str">
        <f t="shared" si="34"/>
        <v>SIM</v>
      </c>
      <c r="AA38" s="20" t="s">
        <v>13</v>
      </c>
      <c r="AB38" s="21">
        <f>IF(Z38="SIM",$AA$16,"")</f>
        <v>1604.3973157402952</v>
      </c>
      <c r="AC38" s="20" t="str">
        <f t="shared" si="35"/>
        <v>SIM</v>
      </c>
      <c r="AD38" s="20" t="s">
        <v>13</v>
      </c>
      <c r="AE38" s="21">
        <f t="shared" ref="AE38:AE42" si="42">IF(AC38="SIM",AA16,"")</f>
        <v>1604.3973157402952</v>
      </c>
      <c r="AG38" s="20" t="str">
        <f t="shared" si="36"/>
        <v>NÃO</v>
      </c>
      <c r="AH38" s="20" t="s">
        <v>13</v>
      </c>
      <c r="AI38" s="21" t="str">
        <f>IF(AG38="SIM",$AK$16,"")</f>
        <v/>
      </c>
      <c r="AJ38" s="20" t="str">
        <f t="shared" si="37"/>
        <v>SIM</v>
      </c>
      <c r="AK38" s="20" t="s">
        <v>13</v>
      </c>
      <c r="AL38" s="21">
        <f>IF(AJ38="SIM",$AK$16,"")</f>
        <v>1925.2767788883541</v>
      </c>
      <c r="AM38" s="20" t="str">
        <f t="shared" si="38"/>
        <v>SIM</v>
      </c>
      <c r="AN38" s="20" t="s">
        <v>13</v>
      </c>
      <c r="AO38" s="21">
        <f>IF(AM38="SIM",$AK$16,"")</f>
        <v>1925.2767788883541</v>
      </c>
      <c r="AQ38" s="20" t="str">
        <f t="shared" si="39"/>
        <v>NÃO</v>
      </c>
      <c r="AR38" s="20" t="s">
        <v>13</v>
      </c>
      <c r="AS38" s="21" t="str">
        <f>IF(AQ38="SIM",$AU$16,"")</f>
        <v/>
      </c>
      <c r="AT38" s="20" t="str">
        <f t="shared" si="40"/>
        <v>SIM</v>
      </c>
      <c r="AU38" s="20" t="s">
        <v>13</v>
      </c>
      <c r="AV38" s="21">
        <f>IF(AT38="SIM",$AU$16,"")</f>
        <v>2567.0357051844721</v>
      </c>
      <c r="AW38" s="20" t="str">
        <f t="shared" si="41"/>
        <v>SIM</v>
      </c>
      <c r="AX38" s="20" t="s">
        <v>13</v>
      </c>
      <c r="AY38" s="21">
        <f>IF(AW38="SIM",$AU$16,"")</f>
        <v>2567.0357051844721</v>
      </c>
    </row>
    <row r="39" spans="3:51" x14ac:dyDescent="0.25">
      <c r="H39" s="1"/>
      <c r="I39" s="1"/>
      <c r="J39" s="1"/>
      <c r="K39" s="1"/>
      <c r="M39" s="20" t="s">
        <v>44</v>
      </c>
      <c r="N39" s="20" t="s">
        <v>14</v>
      </c>
      <c r="O39" s="21">
        <f>IF(M39="SIM",$Q$17,"")</f>
        <v>816.83042160998957</v>
      </c>
      <c r="P39" s="20" t="s">
        <v>44</v>
      </c>
      <c r="Q39" s="20" t="s">
        <v>14</v>
      </c>
      <c r="R39" s="21">
        <f>IF(P39="SIM",$Q$17,"")</f>
        <v>816.83042160998957</v>
      </c>
      <c r="S39" s="20" t="s">
        <v>44</v>
      </c>
      <c r="T39" s="20" t="s">
        <v>14</v>
      </c>
      <c r="U39" s="21">
        <f>IF(S39="SIM",$Q$17,"")</f>
        <v>816.83042160998957</v>
      </c>
      <c r="W39" s="20" t="str">
        <f t="shared" si="33"/>
        <v>SIM</v>
      </c>
      <c r="X39" s="20" t="s">
        <v>14</v>
      </c>
      <c r="Y39" s="21">
        <f>IF(W39="SIM",$AA$17,"")</f>
        <v>1021.038027012487</v>
      </c>
      <c r="Z39" s="20" t="str">
        <f t="shared" si="34"/>
        <v>SIM</v>
      </c>
      <c r="AA39" s="20" t="s">
        <v>14</v>
      </c>
      <c r="AB39" s="21">
        <f>IF(Z39="SIM",$AA$17,"")</f>
        <v>1021.038027012487</v>
      </c>
      <c r="AC39" s="20" t="str">
        <f t="shared" si="35"/>
        <v>SIM</v>
      </c>
      <c r="AD39" s="20" t="s">
        <v>14</v>
      </c>
      <c r="AE39" s="21">
        <f t="shared" si="42"/>
        <v>1021.038027012487</v>
      </c>
      <c r="AG39" s="20" t="str">
        <f t="shared" si="36"/>
        <v>SIM</v>
      </c>
      <c r="AH39" s="20" t="s">
        <v>14</v>
      </c>
      <c r="AI39" s="21">
        <f>IF(AG39="SIM",$AK$17,"")</f>
        <v>1225.2456324149844</v>
      </c>
      <c r="AJ39" s="20" t="str">
        <f t="shared" si="37"/>
        <v>SIM</v>
      </c>
      <c r="AK39" s="20" t="s">
        <v>14</v>
      </c>
      <c r="AL39" s="21">
        <f>IF(AJ39="SIM",$AK$17,"")</f>
        <v>1225.2456324149844</v>
      </c>
      <c r="AM39" s="20" t="str">
        <f t="shared" si="38"/>
        <v>SIM</v>
      </c>
      <c r="AN39" s="20" t="s">
        <v>14</v>
      </c>
      <c r="AO39" s="21">
        <f>IF(AM39="SIM",$AK$17,"")</f>
        <v>1225.2456324149844</v>
      </c>
      <c r="AQ39" s="20" t="str">
        <f t="shared" si="39"/>
        <v>SIM</v>
      </c>
      <c r="AR39" s="20" t="s">
        <v>14</v>
      </c>
      <c r="AS39" s="21">
        <f>IF(AQ39="SIM",$AU$17,"")</f>
        <v>1633.6608432199791</v>
      </c>
      <c r="AT39" s="20" t="str">
        <f t="shared" si="40"/>
        <v>SIM</v>
      </c>
      <c r="AU39" s="20" t="s">
        <v>14</v>
      </c>
      <c r="AV39" s="21">
        <f>IF(AT39="SIM",$AU$17,"")</f>
        <v>1633.6608432199791</v>
      </c>
      <c r="AW39" s="20" t="str">
        <f t="shared" si="41"/>
        <v>SIM</v>
      </c>
      <c r="AX39" s="20" t="s">
        <v>14</v>
      </c>
      <c r="AY39" s="21">
        <f>IF(AW39="SIM",$AU$17,"")</f>
        <v>1633.6608432199791</v>
      </c>
    </row>
    <row r="40" spans="3:51" x14ac:dyDescent="0.25">
      <c r="H40" s="1"/>
      <c r="I40" s="1"/>
      <c r="J40" s="1"/>
      <c r="K40" s="1"/>
      <c r="M40" s="20" t="s">
        <v>44</v>
      </c>
      <c r="N40" s="20" t="s">
        <v>15</v>
      </c>
      <c r="O40" s="21">
        <f>IF(M40="SIM",$Q$18,"")</f>
        <v>1528.5556530849167</v>
      </c>
      <c r="P40" s="20" t="s">
        <v>44</v>
      </c>
      <c r="Q40" s="20" t="s">
        <v>15</v>
      </c>
      <c r="R40" s="21">
        <f>IF(P40="SIM",$Q$18,"")</f>
        <v>1528.5556530849167</v>
      </c>
      <c r="S40" s="20" t="s">
        <v>44</v>
      </c>
      <c r="T40" s="20" t="s">
        <v>15</v>
      </c>
      <c r="U40" s="21">
        <f>IF(S40="SIM",$Q$18,"")</f>
        <v>1528.5556530849167</v>
      </c>
      <c r="W40" s="20" t="str">
        <f t="shared" si="33"/>
        <v>SIM</v>
      </c>
      <c r="X40" s="20" t="s">
        <v>15</v>
      </c>
      <c r="Y40" s="21">
        <f>IF(W40="SIM",$AA$18,"")</f>
        <v>1910.694566356146</v>
      </c>
      <c r="Z40" s="20" t="str">
        <f t="shared" si="34"/>
        <v>SIM</v>
      </c>
      <c r="AA40" s="20" t="s">
        <v>15</v>
      </c>
      <c r="AB40" s="21">
        <f>IF(Z40="SIM",$AA$18,"")</f>
        <v>1910.694566356146</v>
      </c>
      <c r="AC40" s="20" t="str">
        <f t="shared" si="35"/>
        <v>SIM</v>
      </c>
      <c r="AD40" s="20" t="s">
        <v>15</v>
      </c>
      <c r="AE40" s="21">
        <f t="shared" si="42"/>
        <v>1910.694566356146</v>
      </c>
      <c r="AG40" s="20" t="str">
        <f t="shared" si="36"/>
        <v>SIM</v>
      </c>
      <c r="AH40" s="20" t="s">
        <v>15</v>
      </c>
      <c r="AI40" s="21">
        <f>IF(AG40="SIM",$AK$18,"")</f>
        <v>2292.8334796273748</v>
      </c>
      <c r="AJ40" s="20" t="str">
        <f t="shared" si="37"/>
        <v>SIM</v>
      </c>
      <c r="AK40" s="20" t="s">
        <v>15</v>
      </c>
      <c r="AL40" s="21">
        <f>IF(AJ40="SIM",$AK$18,"")</f>
        <v>2292.8334796273748</v>
      </c>
      <c r="AM40" s="20" t="str">
        <f t="shared" si="38"/>
        <v>SIM</v>
      </c>
      <c r="AN40" s="20" t="s">
        <v>15</v>
      </c>
      <c r="AO40" s="21">
        <f>IF(AM40="SIM",$AK$18,"")</f>
        <v>2292.8334796273748</v>
      </c>
      <c r="AQ40" s="20" t="str">
        <f t="shared" si="39"/>
        <v>SIM</v>
      </c>
      <c r="AR40" s="20" t="s">
        <v>15</v>
      </c>
      <c r="AS40" s="21">
        <f>IF(AQ40="SIM",$AU$18,"")</f>
        <v>3057.1113061698334</v>
      </c>
      <c r="AT40" s="20" t="str">
        <f t="shared" si="40"/>
        <v>SIM</v>
      </c>
      <c r="AU40" s="20" t="s">
        <v>15</v>
      </c>
      <c r="AV40" s="21">
        <f>IF(AT40="SIM",$AU$18,"")</f>
        <v>3057.1113061698334</v>
      </c>
      <c r="AW40" s="20" t="str">
        <f t="shared" si="41"/>
        <v>SIM</v>
      </c>
      <c r="AX40" s="20" t="s">
        <v>15</v>
      </c>
      <c r="AY40" s="21">
        <f>IF(AW40="SIM",$AU$18,"")</f>
        <v>3057.1113061698334</v>
      </c>
    </row>
    <row r="41" spans="3:51" x14ac:dyDescent="0.25">
      <c r="H41" s="1"/>
      <c r="I41" s="1"/>
      <c r="J41" s="1"/>
      <c r="K41" s="1"/>
      <c r="M41" s="20" t="s">
        <v>44</v>
      </c>
      <c r="N41" s="20" t="s">
        <v>16</v>
      </c>
      <c r="O41" s="21">
        <f>IF(M41="SIM",$Q$19,"")</f>
        <v>2893.2242262932868</v>
      </c>
      <c r="P41" s="20" t="s">
        <v>44</v>
      </c>
      <c r="Q41" s="20" t="s">
        <v>16</v>
      </c>
      <c r="R41" s="21">
        <f>IF(P41="SIM",$Q$19,"")</f>
        <v>2893.2242262932868</v>
      </c>
      <c r="S41" s="20" t="s">
        <v>44</v>
      </c>
      <c r="T41" s="20" t="s">
        <v>16</v>
      </c>
      <c r="U41" s="21">
        <f>IF(S41="SIM",$Q$19,"")</f>
        <v>2893.2242262932868</v>
      </c>
      <c r="W41" s="20" t="str">
        <f t="shared" si="33"/>
        <v>SIM</v>
      </c>
      <c r="X41" s="20" t="s">
        <v>16</v>
      </c>
      <c r="Y41" s="21">
        <f>IF(W41="SIM",$AA$19,"")</f>
        <v>3616.5302828666086</v>
      </c>
      <c r="Z41" s="20" t="str">
        <f t="shared" si="34"/>
        <v>SIM</v>
      </c>
      <c r="AA41" s="20" t="s">
        <v>16</v>
      </c>
      <c r="AB41" s="21">
        <f>IF(Z41="SIM",$AA$19,"")</f>
        <v>3616.5302828666086</v>
      </c>
      <c r="AC41" s="20" t="str">
        <f t="shared" si="35"/>
        <v>SIM</v>
      </c>
      <c r="AD41" s="20" t="s">
        <v>16</v>
      </c>
      <c r="AE41" s="21">
        <f t="shared" si="42"/>
        <v>3616.5302828666086</v>
      </c>
      <c r="AG41" s="20" t="str">
        <f t="shared" si="36"/>
        <v>SIM</v>
      </c>
      <c r="AH41" s="20" t="s">
        <v>16</v>
      </c>
      <c r="AI41" s="21">
        <f>IF(AG41="SIM",$AK$19,"")</f>
        <v>4339.8363394399303</v>
      </c>
      <c r="AJ41" s="20" t="str">
        <f t="shared" si="37"/>
        <v>SIM</v>
      </c>
      <c r="AK41" s="20" t="s">
        <v>16</v>
      </c>
      <c r="AL41" s="21">
        <f>IF(AJ41="SIM",$AK$19,"")</f>
        <v>4339.8363394399303</v>
      </c>
      <c r="AM41" s="20" t="str">
        <f t="shared" si="38"/>
        <v>SIM</v>
      </c>
      <c r="AN41" s="20" t="s">
        <v>16</v>
      </c>
      <c r="AO41" s="21">
        <f>IF(AM41="SIM",$AK$19,"")</f>
        <v>4339.8363394399303</v>
      </c>
      <c r="AQ41" s="20" t="str">
        <f t="shared" si="39"/>
        <v>SIM</v>
      </c>
      <c r="AR41" s="20" t="s">
        <v>16</v>
      </c>
      <c r="AS41" s="21">
        <f>IF(AQ41="SIM",$AU$19,"")</f>
        <v>5786.4484525865737</v>
      </c>
      <c r="AT41" s="20" t="str">
        <f t="shared" si="40"/>
        <v>SIM</v>
      </c>
      <c r="AU41" s="20" t="s">
        <v>16</v>
      </c>
      <c r="AV41" s="21">
        <f>IF(AT41="SIM",$AU$19,"")</f>
        <v>5786.4484525865737</v>
      </c>
      <c r="AW41" s="20" t="str">
        <f t="shared" si="41"/>
        <v>SIM</v>
      </c>
      <c r="AX41" s="20" t="s">
        <v>16</v>
      </c>
      <c r="AY41" s="21">
        <f>IF(AW41="SIM",$AU$19,"")</f>
        <v>5786.4484525865737</v>
      </c>
    </row>
    <row r="42" spans="3:51" x14ac:dyDescent="0.25">
      <c r="H42" s="1"/>
      <c r="I42" s="1"/>
      <c r="J42" s="1"/>
      <c r="K42" s="1"/>
      <c r="M42" s="20" t="s">
        <v>44</v>
      </c>
      <c r="N42" s="105" t="s">
        <v>17</v>
      </c>
      <c r="O42" s="106">
        <f>IF(M42="SIM",$Q$20,"")</f>
        <v>1428.207378882691</v>
      </c>
      <c r="P42" s="20" t="s">
        <v>44</v>
      </c>
      <c r="Q42" s="105" t="s">
        <v>17</v>
      </c>
      <c r="R42" s="106">
        <f>IF(P42="SIM",$Q$20,"")</f>
        <v>1428.207378882691</v>
      </c>
      <c r="S42" s="20" t="s">
        <v>44</v>
      </c>
      <c r="T42" s="105" t="s">
        <v>17</v>
      </c>
      <c r="U42" s="106">
        <f>IF(S42="SIM",$Q$20,"")</f>
        <v>1428.207378882691</v>
      </c>
      <c r="W42" s="20" t="str">
        <f t="shared" si="33"/>
        <v>SIM</v>
      </c>
      <c r="X42" s="105" t="s">
        <v>17</v>
      </c>
      <c r="Y42" s="106">
        <f>IF(W42="SIM",$AA$20,"")</f>
        <v>1785.2592236033638</v>
      </c>
      <c r="Z42" s="20" t="str">
        <f t="shared" si="34"/>
        <v>SIM</v>
      </c>
      <c r="AA42" s="105" t="s">
        <v>17</v>
      </c>
      <c r="AB42" s="106">
        <f>IF(Z42="SIM",$AA$20,"")</f>
        <v>1785.2592236033638</v>
      </c>
      <c r="AC42" s="20" t="str">
        <f t="shared" si="35"/>
        <v>SIM</v>
      </c>
      <c r="AD42" s="105" t="s">
        <v>17</v>
      </c>
      <c r="AE42" s="106">
        <f t="shared" si="42"/>
        <v>1785.2592236033638</v>
      </c>
      <c r="AG42" s="20" t="str">
        <f t="shared" si="36"/>
        <v>SIM</v>
      </c>
      <c r="AH42" s="105" t="s">
        <v>17</v>
      </c>
      <c r="AI42" s="106">
        <f>IF(AG42="SIM",$AK$20,"")</f>
        <v>2142.3110683240366</v>
      </c>
      <c r="AJ42" s="20" t="str">
        <f t="shared" si="37"/>
        <v>SIM</v>
      </c>
      <c r="AK42" s="105" t="s">
        <v>17</v>
      </c>
      <c r="AL42" s="106">
        <f>IF(AJ42="SIM",$AK$20,"")</f>
        <v>2142.3110683240366</v>
      </c>
      <c r="AM42" s="20" t="str">
        <f t="shared" si="38"/>
        <v>SIM</v>
      </c>
      <c r="AN42" s="105" t="s">
        <v>17</v>
      </c>
      <c r="AO42" s="106">
        <f>IF(AM42="SIM",$AK$20,"")</f>
        <v>2142.3110683240366</v>
      </c>
      <c r="AQ42" s="20" t="str">
        <f t="shared" si="39"/>
        <v>SIM</v>
      </c>
      <c r="AR42" s="105" t="s">
        <v>17</v>
      </c>
      <c r="AS42" s="106">
        <f>IF(AQ42="SIM",$AU$20,"")</f>
        <v>2856.4147577653821</v>
      </c>
      <c r="AT42" s="20" t="str">
        <f t="shared" si="40"/>
        <v>SIM</v>
      </c>
      <c r="AU42" s="105" t="s">
        <v>17</v>
      </c>
      <c r="AV42" s="106">
        <f>IF(AT42="SIM",$AU$20,"")</f>
        <v>2856.4147577653821</v>
      </c>
      <c r="AW42" s="20" t="str">
        <f t="shared" si="41"/>
        <v>SIM</v>
      </c>
      <c r="AX42" s="105" t="s">
        <v>17</v>
      </c>
      <c r="AY42" s="106">
        <f>IF(AW42="SIM",$AU$20,"")</f>
        <v>2856.4147577653821</v>
      </c>
    </row>
    <row r="43" spans="3:51" x14ac:dyDescent="0.25">
      <c r="H43" s="1"/>
      <c r="I43" s="1"/>
      <c r="J43" s="1"/>
      <c r="K43" s="1"/>
      <c r="R43" s="20"/>
      <c r="S43" s="20"/>
      <c r="T43" s="20"/>
      <c r="U43" s="20"/>
      <c r="W43" s="20"/>
      <c r="X43" s="20"/>
      <c r="Y43" s="20"/>
      <c r="Z43" s="20"/>
      <c r="AA43" s="20"/>
      <c r="AB43" s="20"/>
      <c r="AC43" s="20"/>
      <c r="AD43" s="20"/>
      <c r="AE43" s="20"/>
      <c r="AG43" s="20"/>
      <c r="AH43" s="20"/>
      <c r="AI43" s="20"/>
      <c r="AJ43" s="20"/>
      <c r="AK43" s="20"/>
      <c r="AL43" s="20"/>
      <c r="AM43" s="20"/>
      <c r="AN43" s="20"/>
      <c r="AO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3:51" x14ac:dyDescent="0.25">
      <c r="H44" s="1"/>
      <c r="I44" s="1"/>
      <c r="J44" s="1"/>
      <c r="K44" s="1"/>
      <c r="N44" s="68" t="s">
        <v>18</v>
      </c>
      <c r="O44" s="97">
        <f>SUM(O37:O42)</f>
        <v>6666.8176798708846</v>
      </c>
      <c r="Q44" s="68" t="s">
        <v>18</v>
      </c>
      <c r="R44" s="97">
        <f>SUM(R37:R42)</f>
        <v>9413.6534813262733</v>
      </c>
      <c r="S44" s="20"/>
      <c r="T44" s="68" t="s">
        <v>18</v>
      </c>
      <c r="U44" s="97">
        <f>SUM(U37:U42)</f>
        <v>9413.6534813262733</v>
      </c>
      <c r="W44" s="20"/>
      <c r="X44" s="68" t="s">
        <v>18</v>
      </c>
      <c r="Y44" s="97">
        <f>SUM(Y37:Y42)</f>
        <v>8333.5220998386048</v>
      </c>
      <c r="Z44" s="20"/>
      <c r="AA44" s="68" t="s">
        <v>18</v>
      </c>
      <c r="AB44" s="97">
        <f>SUM(AB37:AB42)</f>
        <v>11767.066851657841</v>
      </c>
      <c r="AC44" s="20"/>
      <c r="AD44" s="68" t="s">
        <v>18</v>
      </c>
      <c r="AE44" s="97">
        <f>SUM(AE37:AE42)</f>
        <v>11767.066851657841</v>
      </c>
      <c r="AG44" s="20"/>
      <c r="AH44" s="68" t="s">
        <v>18</v>
      </c>
      <c r="AI44" s="97">
        <f>SUM(AI37:AI42)</f>
        <v>10000.226519806325</v>
      </c>
      <c r="AJ44" s="20"/>
      <c r="AK44" s="68" t="s">
        <v>18</v>
      </c>
      <c r="AL44" s="97">
        <f>SUM(AL37:AL42)</f>
        <v>14120.480221989412</v>
      </c>
      <c r="AM44" s="20"/>
      <c r="AN44" s="68" t="s">
        <v>18</v>
      </c>
      <c r="AO44" s="97">
        <f>SUM(AO37:AO42)</f>
        <v>14120.480221989412</v>
      </c>
      <c r="AQ44" s="20"/>
      <c r="AR44" s="68" t="s">
        <v>18</v>
      </c>
      <c r="AS44" s="97">
        <f>SUM(AS37:AS42)</f>
        <v>13333.635359741769</v>
      </c>
      <c r="AT44" s="20"/>
      <c r="AU44" s="68" t="s">
        <v>18</v>
      </c>
      <c r="AV44" s="97">
        <f>SUM(AV37:AV42)</f>
        <v>18827.306962652547</v>
      </c>
      <c r="AW44" s="20"/>
      <c r="AX44" s="68" t="s">
        <v>18</v>
      </c>
      <c r="AY44" s="97">
        <f>SUM(AY37:AY42)</f>
        <v>18827.306962652547</v>
      </c>
    </row>
    <row r="45" spans="3:51" x14ac:dyDescent="0.25">
      <c r="H45" s="1"/>
      <c r="I45" s="1"/>
      <c r="J45" s="1"/>
      <c r="K45" s="1"/>
      <c r="R45" s="20"/>
      <c r="S45" s="20"/>
      <c r="T45" s="20"/>
      <c r="U45" s="20"/>
      <c r="W45" s="20"/>
      <c r="X45" s="20"/>
      <c r="Y45" s="20"/>
      <c r="Z45" s="20"/>
      <c r="AA45" s="20"/>
      <c r="AB45" s="20"/>
      <c r="AC45" s="20"/>
      <c r="AD45" s="20"/>
      <c r="AE45" s="20"/>
      <c r="AG45" s="20"/>
      <c r="AH45" s="20"/>
      <c r="AI45" s="20"/>
      <c r="AJ45" s="20"/>
      <c r="AK45" s="20"/>
      <c r="AL45" s="20"/>
      <c r="AM45" s="20"/>
      <c r="AN45" s="20"/>
      <c r="AO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3:51" x14ac:dyDescent="0.25">
      <c r="H46" s="1"/>
      <c r="I46" s="1"/>
      <c r="J46" s="1"/>
      <c r="K46" s="1"/>
      <c r="N46" s="174" t="s">
        <v>19</v>
      </c>
      <c r="O46" s="174"/>
      <c r="Q46" s="174" t="s">
        <v>20</v>
      </c>
      <c r="R46" s="174"/>
      <c r="S46" s="20"/>
      <c r="T46" s="174" t="s">
        <v>113</v>
      </c>
      <c r="U46" s="174"/>
      <c r="W46" s="20"/>
      <c r="X46" s="174" t="s">
        <v>19</v>
      </c>
      <c r="Y46" s="174"/>
      <c r="Z46" s="20"/>
      <c r="AA46" s="174" t="s">
        <v>20</v>
      </c>
      <c r="AB46" s="174"/>
      <c r="AC46" s="20"/>
      <c r="AD46" s="174" t="s">
        <v>113</v>
      </c>
      <c r="AE46" s="174"/>
      <c r="AG46" s="20"/>
      <c r="AH46" s="174" t="s">
        <v>19</v>
      </c>
      <c r="AI46" s="174"/>
      <c r="AJ46" s="20"/>
      <c r="AK46" s="174" t="s">
        <v>20</v>
      </c>
      <c r="AL46" s="174"/>
      <c r="AM46" s="20"/>
      <c r="AN46" s="174" t="s">
        <v>113</v>
      </c>
      <c r="AO46" s="174"/>
      <c r="AQ46" s="20"/>
      <c r="AR46" s="174" t="s">
        <v>19</v>
      </c>
      <c r="AS46" s="174"/>
      <c r="AT46" s="20"/>
      <c r="AU46" s="174" t="s">
        <v>20</v>
      </c>
      <c r="AV46" s="174"/>
      <c r="AW46" s="20"/>
      <c r="AX46" s="174" t="s">
        <v>113</v>
      </c>
      <c r="AY46" s="174"/>
    </row>
    <row r="47" spans="3:51" x14ac:dyDescent="0.25">
      <c r="H47" s="1"/>
      <c r="I47" s="1"/>
      <c r="J47" s="1"/>
      <c r="K47" s="1"/>
      <c r="M47" s="20" t="s">
        <v>44</v>
      </c>
      <c r="N47" s="20" t="s">
        <v>11</v>
      </c>
      <c r="O47" s="21"/>
      <c r="P47" s="20" t="s">
        <v>43</v>
      </c>
      <c r="Q47" s="20" t="s">
        <v>11</v>
      </c>
      <c r="R47" s="21"/>
      <c r="S47" s="20" t="s">
        <v>43</v>
      </c>
      <c r="T47" s="20" t="s">
        <v>11</v>
      </c>
      <c r="U47" s="21"/>
      <c r="W47" s="20" t="str">
        <f>M47</f>
        <v>SIM</v>
      </c>
      <c r="X47" s="20" t="s">
        <v>11</v>
      </c>
      <c r="Y47" s="21">
        <f>IF(W47="SIM",$AA$14,"")</f>
        <v>0</v>
      </c>
      <c r="Z47" s="20" t="str">
        <f>P47</f>
        <v>NÃO</v>
      </c>
      <c r="AA47" s="20" t="s">
        <v>11</v>
      </c>
      <c r="AB47" s="21" t="str">
        <f>IF(Z47="SIM",$AA$14,"")</f>
        <v/>
      </c>
      <c r="AC47" s="20" t="str">
        <f>S47</f>
        <v>NÃO</v>
      </c>
      <c r="AD47" s="20" t="s">
        <v>11</v>
      </c>
      <c r="AE47" s="21" t="str">
        <f>IF(AC47="SIM",$AA$14,"")</f>
        <v/>
      </c>
      <c r="AG47" s="20" t="str">
        <f>W47</f>
        <v>SIM</v>
      </c>
      <c r="AH47" s="20" t="s">
        <v>11</v>
      </c>
      <c r="AI47" s="21">
        <f>IF(AG47="SIM",$AK$14,"")</f>
        <v>0</v>
      </c>
      <c r="AJ47" s="20" t="str">
        <f>Z47</f>
        <v>NÃO</v>
      </c>
      <c r="AK47" s="20" t="s">
        <v>11</v>
      </c>
      <c r="AL47" s="21" t="str">
        <f>IF(AJ47="SIM",$AK$14,"")</f>
        <v/>
      </c>
      <c r="AM47" s="20" t="str">
        <f>AC47</f>
        <v>NÃO</v>
      </c>
      <c r="AN47" s="20" t="s">
        <v>11</v>
      </c>
      <c r="AO47" s="21" t="str">
        <f>IF(AM47="SIM",$AA$14,"")</f>
        <v/>
      </c>
      <c r="AQ47" s="20" t="str">
        <f>AG47</f>
        <v>SIM</v>
      </c>
      <c r="AR47" s="20" t="s">
        <v>11</v>
      </c>
      <c r="AS47" s="21">
        <f>IF(AQ47="SIM",$AU$14,"")</f>
        <v>0</v>
      </c>
      <c r="AT47" s="20" t="str">
        <f>AJ47</f>
        <v>NÃO</v>
      </c>
      <c r="AU47" s="20" t="s">
        <v>11</v>
      </c>
      <c r="AV47" s="21" t="str">
        <f>IF(AT47="SIM",$AU$14,"")</f>
        <v/>
      </c>
      <c r="AW47" s="20" t="str">
        <f>AM47</f>
        <v>NÃO</v>
      </c>
      <c r="AX47" s="20" t="s">
        <v>11</v>
      </c>
      <c r="AY47" s="21" t="str">
        <f>IF(AW47="SIM",$AA$14,"")</f>
        <v/>
      </c>
    </row>
    <row r="48" spans="3:51" x14ac:dyDescent="0.25">
      <c r="H48" s="1"/>
      <c r="I48" s="1"/>
      <c r="J48" s="1"/>
      <c r="K48" s="1"/>
      <c r="M48" s="20" t="s">
        <v>44</v>
      </c>
      <c r="N48" s="20" t="s">
        <v>12</v>
      </c>
      <c r="O48" s="21">
        <f>IF(M48="SIM",$Q$15,"")</f>
        <v>1463.3179488631538</v>
      </c>
      <c r="P48" s="20" t="s">
        <v>44</v>
      </c>
      <c r="Q48" s="20" t="s">
        <v>12</v>
      </c>
      <c r="R48" s="21">
        <f>IF(P48="SIM",$Q$15,"")</f>
        <v>1463.3179488631538</v>
      </c>
      <c r="S48" s="20" t="s">
        <v>43</v>
      </c>
      <c r="T48" s="20" t="s">
        <v>12</v>
      </c>
      <c r="U48" s="21" t="str">
        <f>IF(S48="SIM",$Q$15,"")</f>
        <v/>
      </c>
      <c r="W48" s="20" t="str">
        <f t="shared" ref="W48:W53" si="43">M48</f>
        <v>SIM</v>
      </c>
      <c r="X48" s="20" t="s">
        <v>12</v>
      </c>
      <c r="Y48" s="21">
        <f>IF(W48="SIM",$AA$15,"")</f>
        <v>1829.1474360789421</v>
      </c>
      <c r="Z48" s="20" t="str">
        <f t="shared" ref="Z48:Z53" si="44">P48</f>
        <v>SIM</v>
      </c>
      <c r="AA48" s="20" t="s">
        <v>12</v>
      </c>
      <c r="AB48" s="21">
        <f>IF(Z48="SIM",$AA$15,"")</f>
        <v>1829.1474360789421</v>
      </c>
      <c r="AC48" s="20" t="str">
        <f t="shared" ref="AC48:AC53" si="45">S48</f>
        <v>NÃO</v>
      </c>
      <c r="AD48" s="20" t="s">
        <v>12</v>
      </c>
      <c r="AE48" s="21" t="str">
        <f>IF(AC48="SIM",$AA$15,"")</f>
        <v/>
      </c>
      <c r="AG48" s="20" t="str">
        <f t="shared" ref="AG48:AG53" si="46">W48</f>
        <v>SIM</v>
      </c>
      <c r="AH48" s="20" t="s">
        <v>12</v>
      </c>
      <c r="AI48" s="21">
        <f>IF(AG48="SIM",$AK$15,"")</f>
        <v>2194.9769232947306</v>
      </c>
      <c r="AJ48" s="20" t="str">
        <f t="shared" ref="AJ48:AJ53" si="47">Z48</f>
        <v>SIM</v>
      </c>
      <c r="AK48" s="20" t="s">
        <v>12</v>
      </c>
      <c r="AL48" s="21">
        <f>IF(AJ48="SIM",$AK$15,"")</f>
        <v>2194.9769232947306</v>
      </c>
      <c r="AM48" s="20" t="str">
        <f t="shared" ref="AM48:AM53" si="48">AC48</f>
        <v>NÃO</v>
      </c>
      <c r="AN48" s="20" t="s">
        <v>12</v>
      </c>
      <c r="AO48" s="21" t="str">
        <f>IF(AM48="SIM",$AK$15,"")</f>
        <v/>
      </c>
      <c r="AQ48" s="20" t="str">
        <f t="shared" ref="AQ48:AQ53" si="49">AG48</f>
        <v>SIM</v>
      </c>
      <c r="AR48" s="20" t="s">
        <v>12</v>
      </c>
      <c r="AS48" s="21">
        <f>IF(AQ48="SIM",$AU$15,"")</f>
        <v>2926.6358977263076</v>
      </c>
      <c r="AT48" s="20" t="str">
        <f t="shared" ref="AT48:AT53" si="50">AJ48</f>
        <v>SIM</v>
      </c>
      <c r="AU48" s="20" t="s">
        <v>12</v>
      </c>
      <c r="AV48" s="21">
        <f>IF(AT48="SIM",$AU$15,"")</f>
        <v>2926.6358977263076</v>
      </c>
      <c r="AW48" s="20" t="str">
        <f t="shared" ref="AW48:AW53" si="51">AM48</f>
        <v>NÃO</v>
      </c>
      <c r="AX48" s="20" t="s">
        <v>12</v>
      </c>
      <c r="AY48" s="21" t="str">
        <f>IF(AW48="SIM",$AU$15,"")</f>
        <v/>
      </c>
    </row>
    <row r="49" spans="8:52" x14ac:dyDescent="0.25">
      <c r="H49" s="1"/>
      <c r="I49" s="1"/>
      <c r="J49" s="1"/>
      <c r="K49" s="1"/>
      <c r="M49" s="20" t="s">
        <v>44</v>
      </c>
      <c r="N49" s="20" t="s">
        <v>13</v>
      </c>
      <c r="O49" s="21">
        <f>IF(M49="SIM",$Q$16,"")</f>
        <v>1283.5178525922361</v>
      </c>
      <c r="P49" s="20" t="s">
        <v>44</v>
      </c>
      <c r="Q49" s="20" t="s">
        <v>13</v>
      </c>
      <c r="R49" s="21">
        <f>IF(P49="SIM",$Q$16,"")</f>
        <v>1283.5178525922361</v>
      </c>
      <c r="S49" s="20" t="s">
        <v>43</v>
      </c>
      <c r="T49" s="20" t="s">
        <v>13</v>
      </c>
      <c r="U49" s="21" t="str">
        <f>IF(S49="SIM",$Q$16,"")</f>
        <v/>
      </c>
      <c r="W49" s="20" t="str">
        <f t="shared" si="43"/>
        <v>SIM</v>
      </c>
      <c r="X49" s="20" t="s">
        <v>13</v>
      </c>
      <c r="Y49" s="21">
        <f>IF(W49="SIM",$AA$16,"")</f>
        <v>1604.3973157402952</v>
      </c>
      <c r="Z49" s="20" t="str">
        <f t="shared" si="44"/>
        <v>SIM</v>
      </c>
      <c r="AA49" s="20" t="s">
        <v>13</v>
      </c>
      <c r="AB49" s="21">
        <f>IF(Z49="SIM",$AA$16,"")</f>
        <v>1604.3973157402952</v>
      </c>
      <c r="AC49" s="20" t="str">
        <f t="shared" si="45"/>
        <v>NÃO</v>
      </c>
      <c r="AD49" s="20" t="s">
        <v>13</v>
      </c>
      <c r="AE49" s="21" t="str">
        <f>IF(AC49="SIM",$AA$16,"")</f>
        <v/>
      </c>
      <c r="AG49" s="20" t="str">
        <f t="shared" si="46"/>
        <v>SIM</v>
      </c>
      <c r="AH49" s="20" t="s">
        <v>13</v>
      </c>
      <c r="AI49" s="21">
        <f>IF(AG49="SIM",$AK$16,"")</f>
        <v>1925.2767788883541</v>
      </c>
      <c r="AJ49" s="20" t="str">
        <f t="shared" si="47"/>
        <v>SIM</v>
      </c>
      <c r="AK49" s="20" t="s">
        <v>13</v>
      </c>
      <c r="AL49" s="21">
        <f>IF(AJ49="SIM",$AK$16,"")</f>
        <v>1925.2767788883541</v>
      </c>
      <c r="AM49" s="20" t="str">
        <f t="shared" si="48"/>
        <v>NÃO</v>
      </c>
      <c r="AN49" s="20" t="s">
        <v>13</v>
      </c>
      <c r="AO49" s="21" t="str">
        <f>IF(AM49="SIM",$AA$16,"")</f>
        <v/>
      </c>
      <c r="AQ49" s="20" t="str">
        <f t="shared" si="49"/>
        <v>SIM</v>
      </c>
      <c r="AR49" s="20" t="s">
        <v>13</v>
      </c>
      <c r="AS49" s="21">
        <f>IF(AQ49="SIM",$AU$16,"")</f>
        <v>2567.0357051844721</v>
      </c>
      <c r="AT49" s="20" t="str">
        <f t="shared" si="50"/>
        <v>SIM</v>
      </c>
      <c r="AU49" s="20" t="s">
        <v>13</v>
      </c>
      <c r="AV49" s="21">
        <f>IF(AT49="SIM",$AU$16,"")</f>
        <v>2567.0357051844721</v>
      </c>
      <c r="AW49" s="20" t="str">
        <f t="shared" si="51"/>
        <v>NÃO</v>
      </c>
      <c r="AX49" s="20" t="s">
        <v>13</v>
      </c>
      <c r="AY49" s="21" t="str">
        <f>IF(AW49="SIM",$AA$16,"")</f>
        <v/>
      </c>
    </row>
    <row r="50" spans="8:52" x14ac:dyDescent="0.25">
      <c r="H50" s="1"/>
      <c r="I50" s="1"/>
      <c r="J50" s="1"/>
      <c r="K50" s="1"/>
      <c r="M50" s="20" t="s">
        <v>44</v>
      </c>
      <c r="N50" s="20" t="s">
        <v>14</v>
      </c>
      <c r="O50" s="21">
        <f>IF(M50="SIM",$Q$17,"")</f>
        <v>816.83042160998957</v>
      </c>
      <c r="P50" s="20" t="s">
        <v>44</v>
      </c>
      <c r="Q50" s="20" t="s">
        <v>14</v>
      </c>
      <c r="R50" s="21">
        <f>IF(P50="SIM",$Q$17,"")</f>
        <v>816.83042160998957</v>
      </c>
      <c r="S50" s="20" t="s">
        <v>43</v>
      </c>
      <c r="T50" s="20" t="s">
        <v>14</v>
      </c>
      <c r="U50" s="21" t="str">
        <f>IF(S50="SIM",$Q$17,"")</f>
        <v/>
      </c>
      <c r="W50" s="20" t="str">
        <f t="shared" si="43"/>
        <v>SIM</v>
      </c>
      <c r="X50" s="20" t="s">
        <v>14</v>
      </c>
      <c r="Y50" s="21">
        <f>IF(W50="SIM",$AA$17,"")</f>
        <v>1021.038027012487</v>
      </c>
      <c r="Z50" s="20" t="str">
        <f t="shared" si="44"/>
        <v>SIM</v>
      </c>
      <c r="AA50" s="20" t="s">
        <v>14</v>
      </c>
      <c r="AB50" s="21">
        <f>IF(Z50="SIM",$AA$17,"")</f>
        <v>1021.038027012487</v>
      </c>
      <c r="AC50" s="20" t="str">
        <f t="shared" si="45"/>
        <v>NÃO</v>
      </c>
      <c r="AD50" s="20" t="s">
        <v>14</v>
      </c>
      <c r="AE50" s="21" t="str">
        <f>IF(AC50="SIM",$AA$17,"")</f>
        <v/>
      </c>
      <c r="AG50" s="20" t="str">
        <f t="shared" si="46"/>
        <v>SIM</v>
      </c>
      <c r="AH50" s="20" t="s">
        <v>14</v>
      </c>
      <c r="AI50" s="21">
        <f>IF(AG50="SIM",$AK$17,"")</f>
        <v>1225.2456324149844</v>
      </c>
      <c r="AJ50" s="20" t="str">
        <f t="shared" si="47"/>
        <v>SIM</v>
      </c>
      <c r="AK50" s="20" t="s">
        <v>14</v>
      </c>
      <c r="AL50" s="21">
        <f>IF(AJ50="SIM",$AK$17,"")</f>
        <v>1225.2456324149844</v>
      </c>
      <c r="AM50" s="20" t="str">
        <f t="shared" si="48"/>
        <v>NÃO</v>
      </c>
      <c r="AN50" s="20" t="s">
        <v>14</v>
      </c>
      <c r="AO50" s="21" t="str">
        <f>IF(AM50="SIM",$AA$17,"")</f>
        <v/>
      </c>
      <c r="AQ50" s="20" t="str">
        <f t="shared" si="49"/>
        <v>SIM</v>
      </c>
      <c r="AR50" s="20" t="s">
        <v>14</v>
      </c>
      <c r="AS50" s="21">
        <f>IF(AQ50="SIM",$AU$17,"")</f>
        <v>1633.6608432199791</v>
      </c>
      <c r="AT50" s="20" t="str">
        <f t="shared" si="50"/>
        <v>SIM</v>
      </c>
      <c r="AU50" s="20" t="s">
        <v>14</v>
      </c>
      <c r="AV50" s="21">
        <f>IF(AT50="SIM",$AU$17,"")</f>
        <v>1633.6608432199791</v>
      </c>
      <c r="AW50" s="20" t="str">
        <f t="shared" si="51"/>
        <v>NÃO</v>
      </c>
      <c r="AX50" s="20" t="s">
        <v>14</v>
      </c>
      <c r="AY50" s="21" t="str">
        <f>IF(AW50="SIM",$AA$17,"")</f>
        <v/>
      </c>
    </row>
    <row r="51" spans="8:52" x14ac:dyDescent="0.25">
      <c r="H51" s="1"/>
      <c r="I51" s="1"/>
      <c r="J51" s="1"/>
      <c r="K51" s="1"/>
      <c r="M51" s="20" t="s">
        <v>44</v>
      </c>
      <c r="N51" s="20" t="s">
        <v>15</v>
      </c>
      <c r="O51" s="21">
        <f>IF(M51="SIM",$Q$18,"")</f>
        <v>1528.5556530849167</v>
      </c>
      <c r="P51" s="20" t="s">
        <v>44</v>
      </c>
      <c r="Q51" s="20" t="s">
        <v>15</v>
      </c>
      <c r="R51" s="21">
        <f>IF(P51="SIM",$Q$18,"")</f>
        <v>1528.5556530849167</v>
      </c>
      <c r="S51" s="20" t="s">
        <v>43</v>
      </c>
      <c r="T51" s="20" t="s">
        <v>15</v>
      </c>
      <c r="U51" s="21" t="str">
        <f>IF(S51="SIM",$Q$18,"")</f>
        <v/>
      </c>
      <c r="W51" s="20" t="str">
        <f t="shared" si="43"/>
        <v>SIM</v>
      </c>
      <c r="X51" s="20" t="s">
        <v>15</v>
      </c>
      <c r="Y51" s="21">
        <f>IF(W51="SIM",$AA$18,"")</f>
        <v>1910.694566356146</v>
      </c>
      <c r="Z51" s="20" t="str">
        <f t="shared" si="44"/>
        <v>SIM</v>
      </c>
      <c r="AA51" s="20" t="s">
        <v>15</v>
      </c>
      <c r="AB51" s="21">
        <f>IF(Z51="SIM",$AA$18,"")</f>
        <v>1910.694566356146</v>
      </c>
      <c r="AC51" s="20" t="str">
        <f t="shared" si="45"/>
        <v>NÃO</v>
      </c>
      <c r="AD51" s="20" t="s">
        <v>15</v>
      </c>
      <c r="AE51" s="21" t="str">
        <f>IF(AC51="SIM",$AA$18,"")</f>
        <v/>
      </c>
      <c r="AG51" s="20" t="str">
        <f t="shared" si="46"/>
        <v>SIM</v>
      </c>
      <c r="AH51" s="20" t="s">
        <v>15</v>
      </c>
      <c r="AI51" s="21">
        <f>IF(AG51="SIM",$AK$18,"")</f>
        <v>2292.8334796273748</v>
      </c>
      <c r="AJ51" s="20" t="str">
        <f t="shared" si="47"/>
        <v>SIM</v>
      </c>
      <c r="AK51" s="20" t="s">
        <v>15</v>
      </c>
      <c r="AL51" s="21">
        <f>IF(AJ51="SIM",$AK$18,"")</f>
        <v>2292.8334796273748</v>
      </c>
      <c r="AM51" s="20" t="str">
        <f t="shared" si="48"/>
        <v>NÃO</v>
      </c>
      <c r="AN51" s="20" t="s">
        <v>15</v>
      </c>
      <c r="AO51" s="21" t="str">
        <f>IF(AM51="SIM",$AA$18,"")</f>
        <v/>
      </c>
      <c r="AQ51" s="20" t="str">
        <f t="shared" si="49"/>
        <v>SIM</v>
      </c>
      <c r="AR51" s="20" t="s">
        <v>15</v>
      </c>
      <c r="AS51" s="21">
        <f>IF(AQ51="SIM",$AU$18,"")</f>
        <v>3057.1113061698334</v>
      </c>
      <c r="AT51" s="20" t="str">
        <f t="shared" si="50"/>
        <v>SIM</v>
      </c>
      <c r="AU51" s="20" t="s">
        <v>15</v>
      </c>
      <c r="AV51" s="21">
        <f>IF(AT51="SIM",$AU$18,"")</f>
        <v>3057.1113061698334</v>
      </c>
      <c r="AW51" s="20" t="str">
        <f t="shared" si="51"/>
        <v>NÃO</v>
      </c>
      <c r="AX51" s="20" t="s">
        <v>15</v>
      </c>
      <c r="AY51" s="21" t="str">
        <f>IF(AW51="SIM",$AA$18,"")</f>
        <v/>
      </c>
    </row>
    <row r="52" spans="8:52" x14ac:dyDescent="0.25">
      <c r="H52" s="1"/>
      <c r="I52" s="1"/>
      <c r="J52" s="1"/>
      <c r="K52" s="1"/>
      <c r="M52" s="20" t="s">
        <v>44</v>
      </c>
      <c r="N52" s="20" t="s">
        <v>16</v>
      </c>
      <c r="O52" s="21">
        <f>IF(M52="SIM",$Q$19,"")</f>
        <v>2893.2242262932868</v>
      </c>
      <c r="P52" s="20" t="s">
        <v>43</v>
      </c>
      <c r="Q52" s="20" t="s">
        <v>16</v>
      </c>
      <c r="R52" s="21" t="str">
        <f>IF(P52="SIM",$Q$19,"")</f>
        <v/>
      </c>
      <c r="S52" s="20" t="s">
        <v>43</v>
      </c>
      <c r="T52" s="20" t="s">
        <v>16</v>
      </c>
      <c r="U52" s="21" t="str">
        <f>IF(S52="SIM",$Q$19,"")</f>
        <v/>
      </c>
      <c r="W52" s="20" t="str">
        <f t="shared" si="43"/>
        <v>SIM</v>
      </c>
      <c r="X52" s="20" t="s">
        <v>16</v>
      </c>
      <c r="Y52" s="21">
        <f>IF(W52="SIM",$AA$19,"")</f>
        <v>3616.5302828666086</v>
      </c>
      <c r="Z52" s="20" t="str">
        <f t="shared" si="44"/>
        <v>NÃO</v>
      </c>
      <c r="AA52" s="20" t="s">
        <v>16</v>
      </c>
      <c r="AB52" s="21" t="str">
        <f>IF(Z52="SIM",$AA$19,"")</f>
        <v/>
      </c>
      <c r="AC52" s="20" t="str">
        <f t="shared" si="45"/>
        <v>NÃO</v>
      </c>
      <c r="AD52" s="20" t="s">
        <v>16</v>
      </c>
      <c r="AE52" s="21" t="str">
        <f>IF(AC52="SIM",$AA$19,"")</f>
        <v/>
      </c>
      <c r="AG52" s="20" t="str">
        <f t="shared" si="46"/>
        <v>SIM</v>
      </c>
      <c r="AH52" s="20" t="s">
        <v>16</v>
      </c>
      <c r="AI52" s="21">
        <f>IF(AG52="SIM",$AK$19,"")</f>
        <v>4339.8363394399303</v>
      </c>
      <c r="AJ52" s="20" t="str">
        <f t="shared" si="47"/>
        <v>NÃO</v>
      </c>
      <c r="AK52" s="20" t="s">
        <v>16</v>
      </c>
      <c r="AL52" s="21" t="str">
        <f>IF(AJ52="SIM",$AK$19,"")</f>
        <v/>
      </c>
      <c r="AM52" s="20" t="str">
        <f t="shared" si="48"/>
        <v>NÃO</v>
      </c>
      <c r="AN52" s="20" t="s">
        <v>16</v>
      </c>
      <c r="AO52" s="21" t="str">
        <f>IF(AM52="SIM",$AA$19,"")</f>
        <v/>
      </c>
      <c r="AQ52" s="20" t="str">
        <f t="shared" si="49"/>
        <v>SIM</v>
      </c>
      <c r="AR52" s="20" t="s">
        <v>16</v>
      </c>
      <c r="AS52" s="21">
        <f>IF(AQ52="SIM",$AU$19,"")</f>
        <v>5786.4484525865737</v>
      </c>
      <c r="AT52" s="20" t="str">
        <f t="shared" si="50"/>
        <v>NÃO</v>
      </c>
      <c r="AU52" s="20" t="s">
        <v>16</v>
      </c>
      <c r="AV52" s="21" t="str">
        <f>IF(AT52="SIM",$AU$19,"")</f>
        <v/>
      </c>
      <c r="AW52" s="20" t="str">
        <f t="shared" si="51"/>
        <v>NÃO</v>
      </c>
      <c r="AX52" s="20" t="s">
        <v>16</v>
      </c>
      <c r="AY52" s="21" t="str">
        <f>IF(AW52="SIM",$AA$19,"")</f>
        <v/>
      </c>
    </row>
    <row r="53" spans="8:52" x14ac:dyDescent="0.25">
      <c r="H53" s="1"/>
      <c r="I53" s="1"/>
      <c r="J53" s="1"/>
      <c r="K53" s="1"/>
      <c r="M53" s="20" t="s">
        <v>44</v>
      </c>
      <c r="N53" s="105" t="s">
        <v>17</v>
      </c>
      <c r="O53" s="106">
        <f>IF(M53="SIM",$Q$20,"")</f>
        <v>1428.207378882691</v>
      </c>
      <c r="P53" s="20" t="s">
        <v>43</v>
      </c>
      <c r="Q53" s="105" t="s">
        <v>17</v>
      </c>
      <c r="R53" s="106" t="str">
        <f>IF(P53="SIM",$Q$20,"")</f>
        <v/>
      </c>
      <c r="S53" s="20" t="s">
        <v>43</v>
      </c>
      <c r="T53" s="105" t="s">
        <v>17</v>
      </c>
      <c r="U53" s="106" t="str">
        <f>IF(S53="SIM",$Q$20,"")</f>
        <v/>
      </c>
      <c r="W53" s="20" t="str">
        <f t="shared" si="43"/>
        <v>SIM</v>
      </c>
      <c r="X53" s="105" t="s">
        <v>17</v>
      </c>
      <c r="Y53" s="106">
        <f>IF(W53="SIM",$AA$20,"")</f>
        <v>1785.2592236033638</v>
      </c>
      <c r="Z53" s="20" t="str">
        <f t="shared" si="44"/>
        <v>NÃO</v>
      </c>
      <c r="AA53" s="105" t="s">
        <v>17</v>
      </c>
      <c r="AB53" s="106" t="str">
        <f>IF(Z53="SIM",$AA$20,"")</f>
        <v/>
      </c>
      <c r="AC53" s="20" t="str">
        <f t="shared" si="45"/>
        <v>NÃO</v>
      </c>
      <c r="AD53" s="105" t="s">
        <v>17</v>
      </c>
      <c r="AE53" s="106" t="str">
        <f>IF(AC53="SIM",$AA$20,"")</f>
        <v/>
      </c>
      <c r="AG53" s="20" t="str">
        <f t="shared" si="46"/>
        <v>SIM</v>
      </c>
      <c r="AH53" s="105" t="s">
        <v>17</v>
      </c>
      <c r="AI53" s="106">
        <f>IF(AG53="SIM",$AK$20,"")</f>
        <v>2142.3110683240366</v>
      </c>
      <c r="AJ53" s="20" t="str">
        <f t="shared" si="47"/>
        <v>NÃO</v>
      </c>
      <c r="AK53" s="105" t="s">
        <v>17</v>
      </c>
      <c r="AL53" s="106" t="str">
        <f>IF(AJ53="SIM",$AK$20,"")</f>
        <v/>
      </c>
      <c r="AM53" s="20" t="str">
        <f t="shared" si="48"/>
        <v>NÃO</v>
      </c>
      <c r="AN53" s="105" t="s">
        <v>17</v>
      </c>
      <c r="AO53" s="106" t="str">
        <f>IF(AM53="SIM",$AA$20,"")</f>
        <v/>
      </c>
      <c r="AQ53" s="20" t="str">
        <f t="shared" si="49"/>
        <v>SIM</v>
      </c>
      <c r="AR53" s="105" t="s">
        <v>17</v>
      </c>
      <c r="AS53" s="106">
        <f>IF(AQ53="SIM",$AU$20,"")</f>
        <v>2856.4147577653821</v>
      </c>
      <c r="AT53" s="20" t="str">
        <f t="shared" si="50"/>
        <v>NÃO</v>
      </c>
      <c r="AU53" s="105" t="s">
        <v>17</v>
      </c>
      <c r="AV53" s="106" t="str">
        <f>IF(AT53="SIM",$AU$20,"")</f>
        <v/>
      </c>
      <c r="AW53" s="20" t="str">
        <f t="shared" si="51"/>
        <v>NÃO</v>
      </c>
      <c r="AX53" s="105" t="s">
        <v>17</v>
      </c>
      <c r="AY53" s="106" t="str">
        <f>IF(AW53="SIM",$AA$20,"")</f>
        <v/>
      </c>
    </row>
    <row r="54" spans="8:52" x14ac:dyDescent="0.25">
      <c r="H54" s="1"/>
      <c r="I54" s="1"/>
      <c r="J54" s="1"/>
      <c r="K54" s="1"/>
      <c r="O54" s="137"/>
      <c r="R54" s="137"/>
      <c r="S54" s="20"/>
      <c r="T54" s="20"/>
      <c r="U54" s="20"/>
      <c r="W54" s="20"/>
      <c r="X54" s="20"/>
      <c r="Y54" s="20"/>
      <c r="Z54" s="20"/>
      <c r="AA54" s="20"/>
      <c r="AB54" s="20"/>
      <c r="AC54" s="20"/>
      <c r="AD54" s="20"/>
      <c r="AE54" s="20"/>
      <c r="AF54" s="68" t="s">
        <v>21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68" t="s">
        <v>21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68" t="s">
        <v>21</v>
      </c>
    </row>
    <row r="55" spans="8:52" x14ac:dyDescent="0.25">
      <c r="H55" s="1"/>
      <c r="I55" s="1"/>
      <c r="J55" s="1"/>
      <c r="K55" s="1"/>
      <c r="R55" s="20"/>
      <c r="S55" s="20"/>
      <c r="U55" s="20"/>
      <c r="V55" s="68" t="s">
        <v>21</v>
      </c>
      <c r="W55" s="20"/>
      <c r="X55" s="68" t="s">
        <v>18</v>
      </c>
      <c r="Y55" s="97">
        <f>SUM(Y48:Y53)</f>
        <v>11767.066851657841</v>
      </c>
      <c r="Z55" s="20"/>
      <c r="AA55" s="68" t="s">
        <v>18</v>
      </c>
      <c r="AB55" s="97">
        <f>SUM(AB48:AB53)</f>
        <v>6365.2773451878693</v>
      </c>
      <c r="AC55" s="20"/>
      <c r="AD55" s="68" t="s">
        <v>18</v>
      </c>
      <c r="AE55" s="97">
        <f>SUM(AE48:AE53)</f>
        <v>0</v>
      </c>
      <c r="AF55" s="97">
        <f>AB55+Y55+Y44+AB44+AE44+AE55</f>
        <v>50000</v>
      </c>
      <c r="AG55" s="20"/>
      <c r="AH55" s="68" t="s">
        <v>18</v>
      </c>
      <c r="AI55" s="97">
        <f>SUM(AI48:AI53)</f>
        <v>14120.480221989412</v>
      </c>
      <c r="AJ55" s="20"/>
      <c r="AK55" s="68" t="s">
        <v>18</v>
      </c>
      <c r="AL55" s="97">
        <f>SUM(AL48:AL53)</f>
        <v>7638.3328142254441</v>
      </c>
      <c r="AM55" s="20"/>
      <c r="AN55" s="68" t="s">
        <v>18</v>
      </c>
      <c r="AO55" s="97">
        <f>SUM(AO48:AO53)</f>
        <v>0</v>
      </c>
      <c r="AP55" s="97">
        <f>AL55+AI55+AI44+AL44+AO44+AO55</f>
        <v>60000.000000000007</v>
      </c>
      <c r="AQ55" s="20"/>
      <c r="AR55" s="68" t="s">
        <v>18</v>
      </c>
      <c r="AS55" s="97">
        <f>SUM(AS48:AS53)</f>
        <v>18827.306962652547</v>
      </c>
      <c r="AT55" s="20"/>
      <c r="AU55" s="68" t="s">
        <v>18</v>
      </c>
      <c r="AV55" s="97">
        <f>SUM(AV48:AV53)</f>
        <v>10184.443752300591</v>
      </c>
      <c r="AW55" s="20"/>
      <c r="AX55" s="68" t="s">
        <v>18</v>
      </c>
      <c r="AY55" s="97">
        <f>SUM(AY48:AY53)</f>
        <v>0</v>
      </c>
      <c r="AZ55" s="97">
        <f>AV55+AS55+AS44+AV44+AY44+AY55</f>
        <v>80000</v>
      </c>
    </row>
    <row r="56" spans="8:52" x14ac:dyDescent="0.25">
      <c r="H56" s="1"/>
      <c r="I56" s="1"/>
      <c r="J56" s="1"/>
      <c r="K56" s="1"/>
      <c r="N56" s="68" t="s">
        <v>18</v>
      </c>
      <c r="O56" s="97">
        <f>SUM(O48:O53)</f>
        <v>9413.6534813262733</v>
      </c>
      <c r="Q56" s="68" t="s">
        <v>18</v>
      </c>
      <c r="R56" s="97">
        <f>SUM(R48:R53)</f>
        <v>5092.2218761502954</v>
      </c>
      <c r="S56" s="20"/>
      <c r="U56" s="97">
        <f>SUM(U48:U53)</f>
        <v>0</v>
      </c>
      <c r="V56" s="97">
        <f>R56+O56+O44+R44+U44+U56</f>
        <v>40000</v>
      </c>
    </row>
    <row r="57" spans="8:52" x14ac:dyDescent="0.25">
      <c r="H57" s="1"/>
      <c r="I57" s="1"/>
      <c r="J57" s="1"/>
      <c r="K57" s="1"/>
      <c r="R57" s="20"/>
      <c r="S57" s="20"/>
      <c r="T57" s="20"/>
      <c r="U57" s="20"/>
      <c r="V57" s="44"/>
    </row>
    <row r="58" spans="8:52" x14ac:dyDescent="0.25">
      <c r="R58" s="20"/>
      <c r="S58" s="20"/>
      <c r="T58" s="20"/>
      <c r="U58" s="20"/>
    </row>
    <row r="78" spans="16:16" x14ac:dyDescent="0.25">
      <c r="P78" s="27">
        <v>-3.9684520597802475E-3</v>
      </c>
    </row>
    <row r="100" spans="16:16" x14ac:dyDescent="0.25">
      <c r="P100" s="27">
        <v>5.2243066602386534E-4</v>
      </c>
    </row>
  </sheetData>
  <mergeCells count="37">
    <mergeCell ref="N35:O35"/>
    <mergeCell ref="Q35:R35"/>
    <mergeCell ref="T35:U35"/>
    <mergeCell ref="N46:O46"/>
    <mergeCell ref="Q46:R46"/>
    <mergeCell ref="T46:U46"/>
    <mergeCell ref="J18:K18"/>
    <mergeCell ref="AG1:AL1"/>
    <mergeCell ref="AQ1:AV1"/>
    <mergeCell ref="M32:U32"/>
    <mergeCell ref="S1:U1"/>
    <mergeCell ref="W32:AE32"/>
    <mergeCell ref="AG32:AO32"/>
    <mergeCell ref="AQ32:AY32"/>
    <mergeCell ref="M1:R1"/>
    <mergeCell ref="W1:AB1"/>
    <mergeCell ref="J1:K1"/>
    <mergeCell ref="J6:K6"/>
    <mergeCell ref="J12:K12"/>
    <mergeCell ref="X35:Y35"/>
    <mergeCell ref="AA35:AB35"/>
    <mergeCell ref="AD35:AE35"/>
    <mergeCell ref="X46:Y46"/>
    <mergeCell ref="AA46:AB46"/>
    <mergeCell ref="AD46:AE46"/>
    <mergeCell ref="AH35:AI35"/>
    <mergeCell ref="AK35:AL35"/>
    <mergeCell ref="AN35:AO35"/>
    <mergeCell ref="AH46:AI46"/>
    <mergeCell ref="AK46:AL46"/>
    <mergeCell ref="AN46:AO46"/>
    <mergeCell ref="AR35:AS35"/>
    <mergeCell ref="AU35:AV35"/>
    <mergeCell ref="AX35:AY35"/>
    <mergeCell ref="AR46:AS46"/>
    <mergeCell ref="AU46:AV46"/>
    <mergeCell ref="AX46:AY46"/>
  </mergeCells>
  <phoneticPr fontId="11" type="noConversion"/>
  <dataValidations count="2">
    <dataValidation type="list" allowBlank="1" showInputMessage="1" showErrorMessage="1" sqref="AG3:AG9 M3:M9" xr:uid="{273981D4-E166-49AE-87C8-468DDFCBF3B9}">
      <formula1>"1,2,3,4,5,6,7,8,9,10,11,12"</formula1>
    </dataValidation>
    <dataValidation type="list" allowBlank="1" showInputMessage="1" showErrorMessage="1" sqref="S47:S53 P36:P42 S36:S42 M36:M42 M47:M54 P47:P54" xr:uid="{FA9564A7-22A7-4B92-95FC-A5B47DA7F5D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ignoredErrors>
    <ignoredError sqref="Q3:Q9" calculatedColumn="1"/>
  </ignoredErrors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7459-C93E-45A6-A1D7-B3D258646C00}">
  <dimension ref="C2:Z34"/>
  <sheetViews>
    <sheetView showGridLines="0" tabSelected="1" topLeftCell="M1" zoomScale="130" zoomScaleNormal="130" workbookViewId="0">
      <selection activeCell="P20" sqref="P20:P23"/>
    </sheetView>
  </sheetViews>
  <sheetFormatPr defaultColWidth="8.85546875" defaultRowHeight="15" x14ac:dyDescent="0.25"/>
  <cols>
    <col min="3" max="3" width="37.7109375" style="1" bestFit="1" customWidth="1"/>
    <col min="4" max="4" width="12.42578125" hidden="1" customWidth="1"/>
    <col min="5" max="6" width="13.42578125" hidden="1" customWidth="1"/>
    <col min="7" max="12" width="14" hidden="1" customWidth="1"/>
    <col min="13" max="13" width="14" bestFit="1" customWidth="1"/>
    <col min="14" max="14" width="14" hidden="1" customWidth="1"/>
    <col min="15" max="15" width="14.42578125" bestFit="1" customWidth="1"/>
    <col min="16" max="16" width="15.7109375" bestFit="1" customWidth="1"/>
    <col min="17" max="18" width="14.28515625" bestFit="1" customWidth="1"/>
    <col min="19" max="19" width="14.42578125" bestFit="1" customWidth="1"/>
    <col min="20" max="20" width="15.85546875" bestFit="1" customWidth="1"/>
    <col min="21" max="22" width="14" bestFit="1" customWidth="1"/>
    <col min="23" max="23" width="12.85546875" bestFit="1" customWidth="1"/>
    <col min="24" max="24" width="20" bestFit="1" customWidth="1"/>
    <col min="25" max="25" width="11.42578125" bestFit="1" customWidth="1"/>
    <col min="26" max="26" width="20.7109375" bestFit="1" customWidth="1"/>
  </cols>
  <sheetData>
    <row r="2" spans="3:26" ht="26.25" x14ac:dyDescent="0.4">
      <c r="C2" s="154" t="s">
        <v>91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 t="s">
        <v>121</v>
      </c>
      <c r="V2" s="154"/>
      <c r="W2" s="154"/>
      <c r="X2" s="154"/>
      <c r="Y2" s="154"/>
      <c r="Z2" s="154"/>
    </row>
    <row r="3" spans="3:26" x14ac:dyDescent="0.25">
      <c r="C3" s="121"/>
      <c r="D3" s="122" t="s">
        <v>92</v>
      </c>
      <c r="E3" s="122" t="s">
        <v>93</v>
      </c>
      <c r="F3" s="122"/>
      <c r="G3" s="122" t="s">
        <v>94</v>
      </c>
      <c r="H3" s="122"/>
      <c r="I3" s="122" t="s">
        <v>95</v>
      </c>
      <c r="J3" s="122"/>
      <c r="K3" s="122" t="s">
        <v>96</v>
      </c>
      <c r="L3" s="122" t="s">
        <v>97</v>
      </c>
      <c r="M3" s="122" t="s">
        <v>98</v>
      </c>
      <c r="N3" s="122"/>
      <c r="O3" s="122" t="s">
        <v>99</v>
      </c>
      <c r="P3" s="122" t="s">
        <v>100</v>
      </c>
      <c r="Q3" s="122" t="s">
        <v>101</v>
      </c>
      <c r="R3" s="122" t="s">
        <v>102</v>
      </c>
      <c r="S3" s="122" t="s">
        <v>103</v>
      </c>
      <c r="T3" s="122" t="s">
        <v>18</v>
      </c>
      <c r="U3" s="122" t="s">
        <v>115</v>
      </c>
      <c r="V3" s="122" t="s">
        <v>116</v>
      </c>
      <c r="W3" s="122" t="s">
        <v>117</v>
      </c>
      <c r="X3" s="122" t="s">
        <v>118</v>
      </c>
      <c r="Y3" s="122" t="s">
        <v>119</v>
      </c>
      <c r="Z3" s="122" t="s">
        <v>120</v>
      </c>
    </row>
    <row r="4" spans="3:26" x14ac:dyDescent="0.25">
      <c r="C4" s="109">
        <v>2023</v>
      </c>
      <c r="D4" s="118">
        <v>19874</v>
      </c>
      <c r="E4" s="118">
        <v>14184.94</v>
      </c>
      <c r="F4" s="118"/>
      <c r="G4" s="118">
        <v>31306.95</v>
      </c>
      <c r="H4" s="118"/>
      <c r="I4" s="118">
        <v>24315</v>
      </c>
      <c r="J4" s="118"/>
      <c r="K4" s="118">
        <v>61782.5</v>
      </c>
      <c r="L4" s="118">
        <v>42011</v>
      </c>
      <c r="M4" s="118">
        <v>33355</v>
      </c>
      <c r="N4" s="118"/>
      <c r="O4" s="118">
        <v>41895</v>
      </c>
      <c r="P4" s="118">
        <v>33729.1</v>
      </c>
      <c r="Q4" s="118">
        <v>32190</v>
      </c>
      <c r="R4" s="118">
        <v>66009</v>
      </c>
      <c r="S4" s="118">
        <v>93436</v>
      </c>
      <c r="T4" s="29">
        <f>SUM(D4:S4)</f>
        <v>494088.49</v>
      </c>
      <c r="U4" s="138">
        <v>2023</v>
      </c>
      <c r="V4" s="29">
        <f>MAX(D4:S4)</f>
        <v>93436</v>
      </c>
      <c r="W4" s="29">
        <f>MIN(D4:S4)</f>
        <v>14184.94</v>
      </c>
      <c r="X4" s="29">
        <f>AVERAGE(D4:S4)</f>
        <v>41174.040833333333</v>
      </c>
      <c r="Y4" s="139"/>
      <c r="Z4" s="139"/>
    </row>
    <row r="5" spans="3:26" x14ac:dyDescent="0.25">
      <c r="C5" s="109">
        <v>2024</v>
      </c>
      <c r="D5" s="118">
        <v>18528</v>
      </c>
      <c r="E5" s="118">
        <v>25658.7</v>
      </c>
      <c r="F5" s="118"/>
      <c r="G5" s="118">
        <v>48575.6</v>
      </c>
      <c r="H5" s="118"/>
      <c r="I5" s="118">
        <v>66407.899999999994</v>
      </c>
      <c r="J5" s="118"/>
      <c r="K5" s="118">
        <v>68016.899999999994</v>
      </c>
      <c r="L5" s="118">
        <v>53766.9</v>
      </c>
      <c r="M5" s="118">
        <v>76693</v>
      </c>
      <c r="N5" s="118"/>
      <c r="O5" s="118">
        <v>55215.5</v>
      </c>
      <c r="P5" s="118">
        <f>104015.6-60621</f>
        <v>43394.600000000006</v>
      </c>
      <c r="Q5" s="118">
        <v>30796</v>
      </c>
      <c r="R5" s="118">
        <v>69122.2</v>
      </c>
      <c r="S5" s="118">
        <v>108361.60000000001</v>
      </c>
      <c r="T5" s="29">
        <f>SUM(D5:S5)</f>
        <v>664536.89999999991</v>
      </c>
      <c r="U5" s="138">
        <v>2024</v>
      </c>
      <c r="V5" s="29">
        <f>MAX(D5:S5)</f>
        <v>108361.60000000001</v>
      </c>
      <c r="W5" s="29">
        <f>MIN(D5:S5)</f>
        <v>18528</v>
      </c>
      <c r="X5" s="29">
        <f>AVERAGE(D5:S5)</f>
        <v>55378.07499999999</v>
      </c>
      <c r="Y5" s="139"/>
      <c r="Z5" s="139"/>
    </row>
    <row r="6" spans="3:26" x14ac:dyDescent="0.25">
      <c r="C6" s="109" t="s">
        <v>104</v>
      </c>
      <c r="D6" s="119">
        <f>D5/D4-1</f>
        <v>-6.772667807185262E-2</v>
      </c>
      <c r="E6" s="119">
        <f t="shared" ref="E6:T6" si="0">E5/E4-1</f>
        <v>0.80886912457860238</v>
      </c>
      <c r="F6" s="119"/>
      <c r="G6" s="119">
        <f t="shared" si="0"/>
        <v>0.55159157950550908</v>
      </c>
      <c r="H6" s="119"/>
      <c r="I6" s="119">
        <f t="shared" si="0"/>
        <v>1.7311494961957639</v>
      </c>
      <c r="J6" s="119"/>
      <c r="K6" s="119">
        <f t="shared" si="0"/>
        <v>0.10090883340751811</v>
      </c>
      <c r="L6" s="119">
        <f t="shared" si="0"/>
        <v>0.27982909238056708</v>
      </c>
      <c r="M6" s="119">
        <f t="shared" si="0"/>
        <v>1.299295457952331</v>
      </c>
      <c r="N6" s="119"/>
      <c r="O6" s="119">
        <f t="shared" si="0"/>
        <v>0.31794963599474868</v>
      </c>
      <c r="P6" s="119">
        <f t="shared" si="0"/>
        <v>0.28656264175444957</v>
      </c>
      <c r="Q6" s="119">
        <f t="shared" si="0"/>
        <v>-4.330537433985715E-2</v>
      </c>
      <c r="R6" s="119">
        <f t="shared" si="0"/>
        <v>4.7163265615294936E-2</v>
      </c>
      <c r="S6" s="119">
        <f t="shared" si="0"/>
        <v>0.15974142728712715</v>
      </c>
      <c r="T6" s="119">
        <f t="shared" si="0"/>
        <v>0.34497547190382827</v>
      </c>
      <c r="U6" s="138">
        <v>2025</v>
      </c>
      <c r="V6" s="29">
        <f>MAX(D9:S9)</f>
        <v>215342.03</v>
      </c>
      <c r="W6" s="29">
        <f>MIN(D9:S9)</f>
        <v>19820</v>
      </c>
      <c r="X6" s="29">
        <f>AVERAGE(D9:O9)</f>
        <v>66522.675000000003</v>
      </c>
      <c r="Y6" s="118">
        <v>288.94</v>
      </c>
      <c r="Z6" s="140">
        <v>1.9910000000000001</v>
      </c>
    </row>
    <row r="7" spans="3:26" x14ac:dyDescent="0.25">
      <c r="C7" s="109" t="s">
        <v>105</v>
      </c>
      <c r="D7" s="123">
        <v>0.2</v>
      </c>
      <c r="E7" s="123">
        <v>0.2</v>
      </c>
      <c r="F7" s="123"/>
      <c r="G7" s="123">
        <v>0.2</v>
      </c>
      <c r="H7" s="123"/>
      <c r="I7" s="123">
        <v>0.2</v>
      </c>
      <c r="J7" s="123"/>
      <c r="K7" s="123">
        <v>0.2</v>
      </c>
      <c r="L7" s="123">
        <v>0.2</v>
      </c>
      <c r="M7" s="123">
        <v>0.2</v>
      </c>
      <c r="N7" s="123"/>
      <c r="O7" s="123">
        <v>0.2</v>
      </c>
      <c r="P7" s="123">
        <v>0.2</v>
      </c>
      <c r="Q7" s="123">
        <v>0.2</v>
      </c>
      <c r="R7" s="123">
        <v>0.2</v>
      </c>
      <c r="S7" s="123">
        <v>0.2</v>
      </c>
      <c r="T7" s="123">
        <v>0.2</v>
      </c>
    </row>
    <row r="8" spans="3:26" x14ac:dyDescent="0.25">
      <c r="C8" s="109" t="s">
        <v>106</v>
      </c>
      <c r="D8" s="29">
        <f>D5*(100%+D7)</f>
        <v>22233.599999999999</v>
      </c>
      <c r="E8" s="29">
        <f t="shared" ref="E8:T8" si="1">E5*(100%+E7)</f>
        <v>30790.44</v>
      </c>
      <c r="F8" s="29"/>
      <c r="G8" s="29">
        <f t="shared" si="1"/>
        <v>58290.719999999994</v>
      </c>
      <c r="H8" s="29"/>
      <c r="I8" s="29">
        <f t="shared" si="1"/>
        <v>79689.48</v>
      </c>
      <c r="J8" s="29"/>
      <c r="K8" s="29">
        <f t="shared" si="1"/>
        <v>81620.279999999984</v>
      </c>
      <c r="L8" s="29">
        <f t="shared" si="1"/>
        <v>64520.28</v>
      </c>
      <c r="M8" s="29">
        <f t="shared" si="1"/>
        <v>92031.599999999991</v>
      </c>
      <c r="N8" s="29"/>
      <c r="O8" s="29">
        <f t="shared" si="1"/>
        <v>66258.599999999991</v>
      </c>
      <c r="P8" s="29">
        <f t="shared" si="1"/>
        <v>52073.520000000004</v>
      </c>
      <c r="Q8" s="29">
        <f t="shared" si="1"/>
        <v>36955.199999999997</v>
      </c>
      <c r="R8" s="29">
        <f t="shared" si="1"/>
        <v>82946.64</v>
      </c>
      <c r="S8" s="29">
        <f t="shared" si="1"/>
        <v>130033.92</v>
      </c>
      <c r="T8" s="29">
        <f t="shared" si="1"/>
        <v>797444.27999999991</v>
      </c>
    </row>
    <row r="9" spans="3:26" x14ac:dyDescent="0.25">
      <c r="C9" s="109" t="s">
        <v>107</v>
      </c>
      <c r="D9" s="118">
        <v>19820</v>
      </c>
      <c r="E9" s="118">
        <v>35317</v>
      </c>
      <c r="F9" s="118"/>
      <c r="G9" s="118">
        <v>38451.9</v>
      </c>
      <c r="H9" s="118"/>
      <c r="I9" s="118">
        <v>82472.899999999994</v>
      </c>
      <c r="J9" s="118"/>
      <c r="K9" s="118">
        <v>115378.6</v>
      </c>
      <c r="L9" s="118">
        <v>62464</v>
      </c>
      <c r="M9" s="118">
        <v>101707.4</v>
      </c>
      <c r="N9" s="118"/>
      <c r="O9" s="142">
        <v>76569.600000000006</v>
      </c>
      <c r="P9" s="142">
        <v>109635.7</v>
      </c>
      <c r="Q9" s="142">
        <v>77294</v>
      </c>
      <c r="R9" s="142">
        <v>200669.8</v>
      </c>
      <c r="S9" s="118">
        <v>215342.03</v>
      </c>
      <c r="T9" s="29">
        <f>SUM(D9:S9)</f>
        <v>1135122.93</v>
      </c>
      <c r="U9" s="151">
        <f>T9/T5-1</f>
        <v>0.70814130863162017</v>
      </c>
      <c r="V9" s="44"/>
    </row>
    <row r="10" spans="3:26" x14ac:dyDescent="0.25">
      <c r="C10" s="109" t="s">
        <v>108</v>
      </c>
      <c r="D10" s="119">
        <f>D9/D8-1</f>
        <v>-0.10855641911341385</v>
      </c>
      <c r="E10" s="119">
        <f t="shared" ref="E10:T10" si="2">E9/E8-1</f>
        <v>0.1470118647216474</v>
      </c>
      <c r="F10" s="119"/>
      <c r="G10" s="119">
        <f t="shared" si="2"/>
        <v>-0.34034268233434062</v>
      </c>
      <c r="H10" s="119"/>
      <c r="I10" s="119">
        <f t="shared" si="2"/>
        <v>3.4928324290734558E-2</v>
      </c>
      <c r="J10" s="119"/>
      <c r="K10" s="119">
        <f t="shared" si="2"/>
        <v>0.41360210967176325</v>
      </c>
      <c r="L10" s="119">
        <f t="shared" si="2"/>
        <v>-3.1870289465575796E-2</v>
      </c>
      <c r="M10" s="119">
        <f t="shared" si="2"/>
        <v>0.10513562732800485</v>
      </c>
      <c r="N10" s="119"/>
      <c r="O10" s="119">
        <f t="shared" si="2"/>
        <v>0.15561753493131492</v>
      </c>
      <c r="P10" s="119">
        <f t="shared" si="2"/>
        <v>1.1054021314479985</v>
      </c>
      <c r="Q10" s="119">
        <f t="shared" si="2"/>
        <v>1.0915595098930599</v>
      </c>
      <c r="R10" s="119">
        <f t="shared" si="2"/>
        <v>1.4192637580015295</v>
      </c>
      <c r="S10" s="119">
        <f t="shared" si="2"/>
        <v>0.65604505347527775</v>
      </c>
      <c r="T10" s="119">
        <f t="shared" si="2"/>
        <v>0.42345109052634999</v>
      </c>
      <c r="U10" s="48">
        <v>266842</v>
      </c>
    </row>
    <row r="11" spans="3:26" x14ac:dyDescent="0.25">
      <c r="C11" s="109" t="s">
        <v>129</v>
      </c>
      <c r="D11" s="123">
        <v>0.3</v>
      </c>
      <c r="E11" s="123">
        <v>0.3</v>
      </c>
      <c r="F11" s="123">
        <v>0.3</v>
      </c>
      <c r="G11" s="123">
        <v>0.3</v>
      </c>
      <c r="H11" s="123"/>
      <c r="I11" s="123">
        <v>0.3</v>
      </c>
      <c r="J11" s="123"/>
      <c r="K11" s="123">
        <v>0.3</v>
      </c>
      <c r="L11" s="123">
        <v>0.3</v>
      </c>
      <c r="M11" s="123">
        <v>0.3</v>
      </c>
      <c r="N11" s="123"/>
      <c r="O11" s="123">
        <v>0.3</v>
      </c>
      <c r="P11" s="123">
        <v>0.3</v>
      </c>
      <c r="Q11" s="123">
        <v>0.3</v>
      </c>
      <c r="R11" s="123">
        <v>0.3</v>
      </c>
      <c r="S11" s="123">
        <v>0.3</v>
      </c>
      <c r="T11" s="123">
        <v>0.3</v>
      </c>
      <c r="U11" s="48"/>
    </row>
    <row r="12" spans="3:26" x14ac:dyDescent="0.25">
      <c r="C12" s="109">
        <v>2026</v>
      </c>
      <c r="D12" s="118">
        <f>D9*1.3</f>
        <v>25766</v>
      </c>
      <c r="E12" s="118">
        <f t="shared" ref="E12:T12" si="3">E9*1.3</f>
        <v>45912.1</v>
      </c>
      <c r="F12" s="118"/>
      <c r="G12" s="118">
        <f t="shared" si="3"/>
        <v>49987.47</v>
      </c>
      <c r="H12" s="118"/>
      <c r="I12" s="118">
        <f t="shared" si="3"/>
        <v>107214.76999999999</v>
      </c>
      <c r="J12" s="118"/>
      <c r="K12" s="118">
        <f t="shared" si="3"/>
        <v>149992.18000000002</v>
      </c>
      <c r="L12" s="118">
        <f t="shared" si="3"/>
        <v>81203.199999999997</v>
      </c>
      <c r="M12" s="118">
        <f t="shared" si="3"/>
        <v>132219.62</v>
      </c>
      <c r="N12" s="118"/>
      <c r="O12" s="118">
        <f t="shared" si="3"/>
        <v>99540.48000000001</v>
      </c>
      <c r="P12" s="118">
        <f t="shared" si="3"/>
        <v>142526.41</v>
      </c>
      <c r="Q12" s="118">
        <f t="shared" si="3"/>
        <v>100482.2</v>
      </c>
      <c r="R12" s="118">
        <f t="shared" si="3"/>
        <v>260870.74</v>
      </c>
      <c r="S12" s="118">
        <f t="shared" si="3"/>
        <v>279944.63900000002</v>
      </c>
      <c r="T12" s="118">
        <f t="shared" si="3"/>
        <v>1475659.8089999999</v>
      </c>
      <c r="U12" s="48"/>
    </row>
    <row r="13" spans="3:26" x14ac:dyDescent="0.25">
      <c r="C13" s="109" t="s">
        <v>107</v>
      </c>
      <c r="D13" s="152">
        <v>56143</v>
      </c>
      <c r="E13" s="152">
        <v>68634</v>
      </c>
      <c r="F13" s="119"/>
      <c r="G13" s="152">
        <v>98654</v>
      </c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53">
        <f>SUM(D13:E13)</f>
        <v>124777</v>
      </c>
      <c r="U13" s="48">
        <f>SUM(D12:E12)</f>
        <v>71678.100000000006</v>
      </c>
      <c r="V13" s="44">
        <f>T13-U13</f>
        <v>53098.899999999994</v>
      </c>
    </row>
    <row r="14" spans="3:26" x14ac:dyDescent="0.25">
      <c r="C14" s="109" t="s">
        <v>64</v>
      </c>
      <c r="D14" s="119">
        <f>D13/D12-1</f>
        <v>1.1789567647287122</v>
      </c>
      <c r="E14" s="119">
        <f t="shared" ref="E14:T14" si="4">E13/E12-1</f>
        <v>0.49490003724508358</v>
      </c>
      <c r="F14" s="119" t="e">
        <f t="shared" si="4"/>
        <v>#DIV/0!</v>
      </c>
      <c r="G14" s="119">
        <f t="shared" si="4"/>
        <v>0.97357457778919398</v>
      </c>
      <c r="H14" s="119"/>
      <c r="I14" s="119">
        <f t="shared" si="4"/>
        <v>-1</v>
      </c>
      <c r="J14" s="119"/>
      <c r="K14" s="119">
        <f t="shared" si="4"/>
        <v>-1</v>
      </c>
      <c r="L14" s="119">
        <f t="shared" si="4"/>
        <v>-1</v>
      </c>
      <c r="M14" s="119">
        <f t="shared" si="4"/>
        <v>-1</v>
      </c>
      <c r="N14" s="119"/>
      <c r="O14" s="119">
        <f t="shared" si="4"/>
        <v>-1</v>
      </c>
      <c r="P14" s="119">
        <f t="shared" si="4"/>
        <v>-1</v>
      </c>
      <c r="Q14" s="119">
        <f t="shared" si="4"/>
        <v>-1</v>
      </c>
      <c r="R14" s="119">
        <f t="shared" si="4"/>
        <v>-1</v>
      </c>
      <c r="S14" s="119">
        <f t="shared" si="4"/>
        <v>-1</v>
      </c>
      <c r="T14" s="119">
        <f t="shared" si="4"/>
        <v>-0.91544324834288415</v>
      </c>
      <c r="U14" s="48"/>
    </row>
    <row r="15" spans="3:26" x14ac:dyDescent="0.25">
      <c r="C15" s="54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48"/>
    </row>
    <row r="16" spans="3:26" x14ac:dyDescent="0.25">
      <c r="C16" s="54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48"/>
    </row>
    <row r="17" spans="3:25" x14ac:dyDescent="0.25">
      <c r="C17" s="155" t="s">
        <v>130</v>
      </c>
      <c r="D17" s="155"/>
      <c r="E17" s="155"/>
      <c r="F17" s="155"/>
      <c r="G17" s="155"/>
      <c r="H17" s="54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</row>
    <row r="18" spans="3:25" x14ac:dyDescent="0.25">
      <c r="C18" s="54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V18">
        <v>2024</v>
      </c>
      <c r="W18" t="s">
        <v>123</v>
      </c>
      <c r="X18" s="44">
        <f>SUM(D5:O5)</f>
        <v>412862.5</v>
      </c>
    </row>
    <row r="19" spans="3:25" x14ac:dyDescent="0.25">
      <c r="D19" s="122" t="s">
        <v>92</v>
      </c>
      <c r="E19" s="122" t="s">
        <v>93</v>
      </c>
      <c r="F19" s="122" t="s">
        <v>132</v>
      </c>
      <c r="G19" s="122" t="s">
        <v>94</v>
      </c>
      <c r="H19" s="122" t="s">
        <v>132</v>
      </c>
      <c r="I19" s="122" t="s">
        <v>95</v>
      </c>
      <c r="J19" s="122" t="s">
        <v>133</v>
      </c>
      <c r="K19" s="122" t="s">
        <v>96</v>
      </c>
      <c r="L19" s="122" t="s">
        <v>97</v>
      </c>
      <c r="M19" s="122" t="s">
        <v>98</v>
      </c>
      <c r="N19" s="122">
        <v>3</v>
      </c>
      <c r="O19" s="122" t="s">
        <v>99</v>
      </c>
      <c r="P19" s="122" t="s">
        <v>100</v>
      </c>
      <c r="Q19" s="122" t="s">
        <v>101</v>
      </c>
      <c r="R19" s="122" t="s">
        <v>102</v>
      </c>
      <c r="S19" s="122" t="s">
        <v>103</v>
      </c>
      <c r="V19">
        <v>2025</v>
      </c>
      <c r="W19" t="s">
        <v>123</v>
      </c>
      <c r="X19" s="44">
        <f>T9</f>
        <v>1135122.93</v>
      </c>
      <c r="Y19" s="141">
        <f>X19/X18</f>
        <v>2.7493970268551875</v>
      </c>
    </row>
    <row r="20" spans="3:25" x14ac:dyDescent="0.25">
      <c r="C20" s="122" t="s">
        <v>7</v>
      </c>
      <c r="D20" s="47">
        <v>18000</v>
      </c>
      <c r="E20" s="47">
        <v>25000</v>
      </c>
      <c r="F20" s="47">
        <v>8500</v>
      </c>
      <c r="G20" s="47">
        <v>30000</v>
      </c>
      <c r="H20" s="47">
        <f>G20/3</f>
        <v>10000</v>
      </c>
      <c r="I20" s="47">
        <v>40000</v>
      </c>
      <c r="J20" s="47">
        <f>I20/3</f>
        <v>13333.333333333334</v>
      </c>
      <c r="K20" s="47">
        <v>60000</v>
      </c>
      <c r="L20" s="47">
        <v>30000</v>
      </c>
      <c r="M20" s="47">
        <v>40000</v>
      </c>
      <c r="N20" s="47">
        <f>M20/$N$19</f>
        <v>13333.333333333334</v>
      </c>
      <c r="O20" s="47">
        <v>40000</v>
      </c>
      <c r="P20" s="47">
        <v>30000</v>
      </c>
      <c r="Q20" s="47">
        <v>30000</v>
      </c>
      <c r="R20" s="47">
        <v>30000</v>
      </c>
      <c r="S20" s="47">
        <v>50000</v>
      </c>
      <c r="T20" s="82"/>
    </row>
    <row r="21" spans="3:25" x14ac:dyDescent="0.25">
      <c r="C21" s="122" t="s">
        <v>2</v>
      </c>
      <c r="D21" s="47">
        <v>22000</v>
      </c>
      <c r="E21" s="47">
        <v>35000</v>
      </c>
      <c r="F21" s="47">
        <v>12000</v>
      </c>
      <c r="G21" s="47">
        <v>50000</v>
      </c>
      <c r="H21" s="47">
        <f t="shared" ref="H21:H23" si="5">G21/3</f>
        <v>16666.666666666668</v>
      </c>
      <c r="I21" s="47">
        <v>50000</v>
      </c>
      <c r="J21" s="47">
        <f t="shared" ref="J21:J23" si="6">I21/3</f>
        <v>16666.666666666668</v>
      </c>
      <c r="K21" s="47">
        <v>90000</v>
      </c>
      <c r="L21" s="47">
        <v>50000</v>
      </c>
      <c r="M21" s="47">
        <v>60000</v>
      </c>
      <c r="N21" s="47">
        <f t="shared" ref="N21:N23" si="7">M21/$N$19</f>
        <v>20000</v>
      </c>
      <c r="O21" s="47">
        <v>60000</v>
      </c>
      <c r="P21" s="47">
        <v>50000</v>
      </c>
      <c r="Q21" s="47">
        <v>40000</v>
      </c>
      <c r="R21" s="47">
        <v>50000</v>
      </c>
      <c r="S21" s="47">
        <v>80000</v>
      </c>
      <c r="T21" s="82"/>
      <c r="V21">
        <v>2025</v>
      </c>
      <c r="W21" t="s">
        <v>123</v>
      </c>
      <c r="X21" s="44">
        <f>SUM(D8:O8)</f>
        <v>495434.99999999988</v>
      </c>
      <c r="Y21" s="141">
        <f>X19/X21</f>
        <v>2.2911641890459902</v>
      </c>
    </row>
    <row r="22" spans="3:25" x14ac:dyDescent="0.25">
      <c r="C22" s="122" t="s">
        <v>3</v>
      </c>
      <c r="D22" s="47">
        <v>26000</v>
      </c>
      <c r="E22" s="47">
        <v>45000</v>
      </c>
      <c r="F22" s="47">
        <f t="shared" ref="F22" si="8">E22/3</f>
        <v>15000</v>
      </c>
      <c r="G22" s="47">
        <v>70000</v>
      </c>
      <c r="H22" s="47">
        <f t="shared" si="5"/>
        <v>23333.333333333332</v>
      </c>
      <c r="I22" s="47">
        <v>60000</v>
      </c>
      <c r="J22" s="47">
        <f t="shared" si="6"/>
        <v>20000</v>
      </c>
      <c r="K22" s="47">
        <v>120000</v>
      </c>
      <c r="L22" s="47">
        <v>70000</v>
      </c>
      <c r="M22" s="47">
        <v>80000</v>
      </c>
      <c r="N22" s="47">
        <f t="shared" si="7"/>
        <v>26666.666666666668</v>
      </c>
      <c r="O22" s="47">
        <v>80000</v>
      </c>
      <c r="P22" s="47">
        <v>70000</v>
      </c>
      <c r="Q22" s="47">
        <v>50000</v>
      </c>
      <c r="R22" s="47">
        <v>70000</v>
      </c>
      <c r="S22" s="47">
        <v>130000</v>
      </c>
      <c r="T22" s="82"/>
      <c r="X22" s="44"/>
    </row>
    <row r="23" spans="3:25" x14ac:dyDescent="0.25">
      <c r="C23" s="122" t="s">
        <v>4</v>
      </c>
      <c r="D23" s="47">
        <v>30000</v>
      </c>
      <c r="E23" s="47">
        <v>50000</v>
      </c>
      <c r="F23" s="47">
        <v>17000</v>
      </c>
      <c r="G23" s="47">
        <v>90000</v>
      </c>
      <c r="H23" s="47">
        <f t="shared" si="5"/>
        <v>30000</v>
      </c>
      <c r="I23" s="47">
        <v>80000</v>
      </c>
      <c r="J23" s="47">
        <f t="shared" si="6"/>
        <v>26666.666666666668</v>
      </c>
      <c r="K23" s="47">
        <v>150000</v>
      </c>
      <c r="L23" s="47">
        <v>90000</v>
      </c>
      <c r="M23" s="47">
        <v>110000</v>
      </c>
      <c r="N23" s="47">
        <f t="shared" si="7"/>
        <v>36666.666666666664</v>
      </c>
      <c r="O23" s="47">
        <v>110000</v>
      </c>
      <c r="P23" s="47">
        <v>90000</v>
      </c>
      <c r="Q23" s="47">
        <v>70000</v>
      </c>
      <c r="R23" s="47">
        <v>90000</v>
      </c>
      <c r="S23" s="47">
        <v>180000</v>
      </c>
      <c r="T23" s="82"/>
      <c r="X23" s="44"/>
    </row>
    <row r="25" spans="3:25" x14ac:dyDescent="0.25">
      <c r="C25" s="122" t="s">
        <v>7</v>
      </c>
      <c r="D25" s="10" t="str">
        <f>IF($D$13&gt;D20,"BATEU","NÃO BATEU")</f>
        <v>BATEU</v>
      </c>
      <c r="E25" s="10" t="str">
        <f>IF($E$13&gt;E20,"BATEU","NÃO BATEU")</f>
        <v>BATEU</v>
      </c>
      <c r="F25" s="10"/>
      <c r="G25" s="10" t="str">
        <f>IF($G$9&gt;G20,"BATEU","NÃO BATEU")</f>
        <v>BATEU</v>
      </c>
      <c r="H25" s="10"/>
      <c r="I25" s="10" t="str">
        <f>IF($I$9&gt;I20,"BATEU","NÃO BATEU")</f>
        <v>BATEU</v>
      </c>
      <c r="J25" s="10"/>
      <c r="K25" s="10" t="str">
        <f>IF($K$9&gt;K20,"BATEU","NÃO BATEU")</f>
        <v>BATEU</v>
      </c>
      <c r="L25" s="10" t="str">
        <f>IF($L$9&gt;L20,"BATEU","NÃO BATEU")</f>
        <v>BATEU</v>
      </c>
      <c r="M25" s="10" t="str">
        <f>IF($M$9&gt;M20,"BATEU","NÃO BATEU")</f>
        <v>BATEU</v>
      </c>
      <c r="N25" s="10"/>
      <c r="O25" s="10" t="str">
        <f>IF($O$9&gt;O20,"BATEU","NÃO BATEU")</f>
        <v>BATEU</v>
      </c>
      <c r="P25" s="10" t="str">
        <f>IF($P$9&gt;P20,"BATEU","NÃO BATEU")</f>
        <v>BATEU</v>
      </c>
      <c r="Q25" s="10" t="str">
        <f>IF($Q$9&gt;Q20,"BATEU","NÃO BATEU")</f>
        <v>BATEU</v>
      </c>
      <c r="R25" s="10" t="str">
        <f>IF($R$9&gt;R20,"BATEU","NÃO BATEU")</f>
        <v>BATEU</v>
      </c>
      <c r="S25" s="10" t="str">
        <f>IF($S$9&gt;S20,"BATEU","NÃO BATEU")</f>
        <v>BATEU</v>
      </c>
      <c r="T25" s="124"/>
    </row>
    <row r="26" spans="3:25" x14ac:dyDescent="0.25">
      <c r="C26" s="122" t="s">
        <v>2</v>
      </c>
      <c r="D26" s="10" t="str">
        <f>IF($D$12&gt;D21,"BATEU","NÃO BATEU")</f>
        <v>BATEU</v>
      </c>
      <c r="E26" s="10" t="str">
        <f t="shared" ref="E26" si="9">IF($E$9&gt;E21,"BATEU","NÃO BATEU")</f>
        <v>BATEU</v>
      </c>
      <c r="F26" s="10"/>
      <c r="G26" s="10" t="str">
        <f t="shared" ref="G26:G28" si="10">IF($G$9&gt;G21,"BATEU","NÃO BATEU")</f>
        <v>NÃO BATEU</v>
      </c>
      <c r="H26" s="10"/>
      <c r="I26" s="10" t="str">
        <f t="shared" ref="I26:I28" si="11">IF($I$9&gt;I21,"BATEU","NÃO BATEU")</f>
        <v>BATEU</v>
      </c>
      <c r="J26" s="10"/>
      <c r="K26" s="10" t="str">
        <f t="shared" ref="K26:K28" si="12">IF($K$9&gt;K21,"BATEU","NÃO BATEU")</f>
        <v>BATEU</v>
      </c>
      <c r="L26" s="10" t="str">
        <f t="shared" ref="L26:L28" si="13">IF($L$9&gt;L21,"BATEU","NÃO BATEU")</f>
        <v>BATEU</v>
      </c>
      <c r="M26" s="10" t="str">
        <f t="shared" ref="M26:M28" si="14">IF($M$9&gt;M21,"BATEU","NÃO BATEU")</f>
        <v>BATEU</v>
      </c>
      <c r="N26" s="10"/>
      <c r="O26" s="10" t="str">
        <f t="shared" ref="O26:O28" si="15">IF($O$9&gt;O21,"BATEU","NÃO BATEU")</f>
        <v>BATEU</v>
      </c>
      <c r="P26" s="10" t="str">
        <f t="shared" ref="P26:P28" si="16">IF($P$9&gt;P21,"BATEU","NÃO BATEU")</f>
        <v>BATEU</v>
      </c>
      <c r="Q26" s="10" t="str">
        <f t="shared" ref="Q26:Q28" si="17">IF($Q$9&gt;Q21,"BATEU","NÃO BATEU")</f>
        <v>BATEU</v>
      </c>
      <c r="R26" s="10" t="str">
        <f t="shared" ref="R26:R28" si="18">IF($R$9&gt;R21,"BATEU","NÃO BATEU")</f>
        <v>BATEU</v>
      </c>
      <c r="S26" s="10" t="str">
        <f t="shared" ref="S26:S28" si="19">IF($S$9&gt;S21,"BATEU","NÃO BATEU")</f>
        <v>BATEU</v>
      </c>
      <c r="T26" s="124"/>
    </row>
    <row r="27" spans="3:25" x14ac:dyDescent="0.25">
      <c r="C27" s="122" t="s">
        <v>3</v>
      </c>
      <c r="D27" s="10" t="str">
        <f>IF($D$13&gt;D22,"BATEU","NÃO BATEU")</f>
        <v>BATEU</v>
      </c>
      <c r="E27" s="10" t="str">
        <f>IF($E$13&gt;E22,"BATEU","NÃO BATEU")</f>
        <v>BATEU</v>
      </c>
      <c r="F27" s="10"/>
      <c r="G27" s="10" t="str">
        <f t="shared" si="10"/>
        <v>NÃO BATEU</v>
      </c>
      <c r="H27" s="10"/>
      <c r="I27" s="10" t="str">
        <f t="shared" si="11"/>
        <v>BATEU</v>
      </c>
      <c r="J27" s="10"/>
      <c r="K27" s="10" t="str">
        <f t="shared" si="12"/>
        <v>NÃO BATEU</v>
      </c>
      <c r="L27" s="10" t="str">
        <f t="shared" si="13"/>
        <v>NÃO BATEU</v>
      </c>
      <c r="M27" s="10" t="str">
        <f t="shared" si="14"/>
        <v>BATEU</v>
      </c>
      <c r="N27" s="10"/>
      <c r="O27" s="10" t="str">
        <f t="shared" si="15"/>
        <v>NÃO BATEU</v>
      </c>
      <c r="P27" s="10" t="str">
        <f t="shared" si="16"/>
        <v>BATEU</v>
      </c>
      <c r="Q27" s="10" t="str">
        <f t="shared" si="17"/>
        <v>BATEU</v>
      </c>
      <c r="R27" s="10" t="str">
        <f t="shared" si="18"/>
        <v>BATEU</v>
      </c>
      <c r="S27" s="10" t="str">
        <f t="shared" si="19"/>
        <v>BATEU</v>
      </c>
      <c r="T27" s="124"/>
    </row>
    <row r="28" spans="3:25" x14ac:dyDescent="0.25">
      <c r="C28" s="122" t="s">
        <v>4</v>
      </c>
      <c r="D28" s="10" t="str">
        <f>IF($D$13&gt;D23,"BATEU","NÃO BATEU")</f>
        <v>BATEU</v>
      </c>
      <c r="E28" s="10" t="str">
        <f>IF($E$13&gt;E23,"BATEU","NÃO BATEU")</f>
        <v>BATEU</v>
      </c>
      <c r="F28" s="10"/>
      <c r="G28" s="10" t="str">
        <f t="shared" si="10"/>
        <v>NÃO BATEU</v>
      </c>
      <c r="H28" s="10"/>
      <c r="I28" s="10" t="str">
        <f t="shared" si="11"/>
        <v>BATEU</v>
      </c>
      <c r="J28" s="10"/>
      <c r="K28" s="10" t="str">
        <f t="shared" si="12"/>
        <v>NÃO BATEU</v>
      </c>
      <c r="L28" s="10" t="str">
        <f t="shared" si="13"/>
        <v>NÃO BATEU</v>
      </c>
      <c r="M28" s="10" t="str">
        <f t="shared" si="14"/>
        <v>NÃO BATEU</v>
      </c>
      <c r="N28" s="10"/>
      <c r="O28" s="10" t="str">
        <f t="shared" si="15"/>
        <v>NÃO BATEU</v>
      </c>
      <c r="P28" s="10" t="str">
        <f t="shared" si="16"/>
        <v>BATEU</v>
      </c>
      <c r="Q28" s="10" t="str">
        <f t="shared" si="17"/>
        <v>BATEU</v>
      </c>
      <c r="R28" s="10" t="str">
        <f t="shared" si="18"/>
        <v>BATEU</v>
      </c>
      <c r="S28" s="10" t="str">
        <f t="shared" si="19"/>
        <v>BATEU</v>
      </c>
      <c r="T28" s="124"/>
    </row>
    <row r="30" spans="3:25" x14ac:dyDescent="0.25">
      <c r="D30" s="1"/>
      <c r="E30" s="1"/>
      <c r="F30" s="1"/>
      <c r="R30" s="122" t="s">
        <v>102</v>
      </c>
      <c r="S30" s="122" t="s">
        <v>126</v>
      </c>
      <c r="T30" s="122" t="s">
        <v>127</v>
      </c>
    </row>
    <row r="31" spans="3:25" x14ac:dyDescent="0.25">
      <c r="R31" s="47">
        <f>R20/3</f>
        <v>10000</v>
      </c>
      <c r="S31" s="47">
        <v>16700</v>
      </c>
      <c r="T31" s="47">
        <v>50000</v>
      </c>
    </row>
    <row r="32" spans="3:25" x14ac:dyDescent="0.25">
      <c r="R32" s="47">
        <v>17000</v>
      </c>
      <c r="S32" s="47">
        <v>26700</v>
      </c>
      <c r="T32" s="47">
        <v>80000</v>
      </c>
    </row>
    <row r="33" spans="18:20" x14ac:dyDescent="0.25">
      <c r="R33" s="47">
        <v>23500</v>
      </c>
      <c r="S33" s="47">
        <v>43400</v>
      </c>
      <c r="T33" s="47">
        <v>130000</v>
      </c>
    </row>
    <row r="34" spans="18:20" x14ac:dyDescent="0.25">
      <c r="R34" s="47">
        <f t="shared" ref="R34:S34" si="20">R23/3</f>
        <v>30000</v>
      </c>
      <c r="S34" s="47">
        <f t="shared" si="20"/>
        <v>60000</v>
      </c>
      <c r="T34" s="47">
        <v>180000</v>
      </c>
    </row>
  </sheetData>
  <mergeCells count="3">
    <mergeCell ref="C2:T2"/>
    <mergeCell ref="U2:Z2"/>
    <mergeCell ref="C17:G17"/>
  </mergeCells>
  <conditionalFormatting sqref="D6:T6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D10:T10 D13:T16 I17:T17 D18:T18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D25:T28">
    <cfRule type="containsText" dxfId="0" priority="1" operator="containsText" text="NÃO BATEU">
      <formula>NOT(ISERROR(SEARCH("NÃO BATEU",D25)))</formula>
    </cfRule>
  </conditionalFormatting>
  <pageMargins left="0.511811024" right="0.511811024" top="0.78740157499999996" bottom="0.78740157499999996" header="0.31496062000000002" footer="0.31496062000000002"/>
  <ignoredErrors>
    <ignoredError sqref="D26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76DE-70A6-4E10-9CC7-E3C755B2891E}">
  <sheetPr codeName="Planilha14"/>
  <dimension ref="N1:N34"/>
  <sheetViews>
    <sheetView showGridLines="0" showRowColHeaders="0" zoomScaleNormal="100" workbookViewId="0">
      <selection activeCell="U24" sqref="U24"/>
    </sheetView>
  </sheetViews>
  <sheetFormatPr defaultColWidth="9.140625" defaultRowHeight="15" zeroHeight="1" x14ac:dyDescent="0.25"/>
  <cols>
    <col min="1" max="16384" width="9.140625" style="90"/>
  </cols>
  <sheetData>
    <row r="1" s="91" customFormat="1" x14ac:dyDescent="0.25"/>
    <row r="2" s="91" customFormat="1" x14ac:dyDescent="0.25"/>
    <row r="3" s="91" customFormat="1" x14ac:dyDescent="0.25"/>
    <row r="4" s="91" customFormat="1" x14ac:dyDescent="0.25"/>
    <row r="5" s="91" customFormat="1" x14ac:dyDescent="0.25"/>
    <row r="6" s="91" customFormat="1" x14ac:dyDescent="0.25"/>
    <row r="7" s="91" customFormat="1" x14ac:dyDescent="0.25"/>
    <row r="8" s="91" customFormat="1" x14ac:dyDescent="0.25"/>
    <row r="9" s="91" customFormat="1" x14ac:dyDescent="0.25"/>
    <row r="10" s="91" customFormat="1" x14ac:dyDescent="0.25"/>
    <row r="11" s="91" customFormat="1" x14ac:dyDescent="0.25"/>
    <row r="12" s="91" customFormat="1" x14ac:dyDescent="0.25"/>
    <row r="13" s="91" customFormat="1" x14ac:dyDescent="0.25"/>
    <row r="14" s="91" customFormat="1" x14ac:dyDescent="0.25"/>
    <row r="15" s="91" customFormat="1" x14ac:dyDescent="0.25"/>
    <row r="16" s="91" customFormat="1" x14ac:dyDescent="0.25"/>
    <row r="17" spans="14:14" s="91" customFormat="1" x14ac:dyDescent="0.25">
      <c r="N17" s="92"/>
    </row>
    <row r="18" spans="14:14" s="91" customFormat="1" x14ac:dyDescent="0.25"/>
    <row r="19" spans="14:14" s="91" customFormat="1" x14ac:dyDescent="0.25"/>
    <row r="20" spans="14:14" s="91" customFormat="1" x14ac:dyDescent="0.25"/>
    <row r="21" spans="14:14" s="91" customFormat="1" x14ac:dyDescent="0.25"/>
    <row r="22" spans="14:14" s="91" customFormat="1" x14ac:dyDescent="0.25"/>
    <row r="23" spans="14:14" s="91" customFormat="1" x14ac:dyDescent="0.25"/>
    <row r="24" spans="14:14" s="91" customFormat="1" x14ac:dyDescent="0.25"/>
    <row r="25" spans="14:14" s="91" customFormat="1" x14ac:dyDescent="0.25"/>
    <row r="26" spans="14:14" s="91" customFormat="1" x14ac:dyDescent="0.25"/>
    <row r="27" spans="14:14" s="91" customFormat="1" x14ac:dyDescent="0.25"/>
    <row r="28" spans="14:14" s="91" customFormat="1" x14ac:dyDescent="0.25"/>
    <row r="29" spans="14:14" s="91" customFormat="1" x14ac:dyDescent="0.25"/>
    <row r="30" spans="14:14" s="91" customFormat="1" x14ac:dyDescent="0.25"/>
    <row r="31" spans="14:14" s="91" customFormat="1" x14ac:dyDescent="0.25"/>
    <row r="32" spans="14:14" s="91" customFormat="1" x14ac:dyDescent="0.25"/>
    <row r="33" s="91" customFormat="1" x14ac:dyDescent="0.25"/>
    <row r="34" s="91" customFormat="1" x14ac:dyDescent="0.25"/>
  </sheetData>
  <sheetProtection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5"/>
  <dimension ref="A1"/>
  <sheetViews>
    <sheetView showGridLines="0" workbookViewId="0">
      <selection activeCell="L7" sqref="L7"/>
    </sheetView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ANÁLISE GERAL ITAPIPOCA</vt:lpstr>
      <vt:lpstr>METAS - ITAPIPOCA</vt:lpstr>
      <vt:lpstr>METAS -  SOBRAL (P VENDEDOR)</vt:lpstr>
      <vt:lpstr>VENDAS</vt:lpstr>
      <vt:lpstr>Planilha5</vt:lpstr>
      <vt:lpstr>Folha1</vt:lpstr>
      <vt:lpstr>RESUMO</vt:lpstr>
      <vt:lpstr>AUXILIAR</vt:lpstr>
      <vt:lpstr>Planilha2 (2)</vt:lpstr>
      <vt:lpstr>IMAGENS (2)</vt:lpstr>
      <vt:lpstr>VENDEDORES</vt:lpstr>
      <vt:lpstr>GERAL TOTAL</vt:lpstr>
      <vt:lpstr>VENDAS_VENDEDOR</vt:lpstr>
      <vt:lpstr>Planilha1</vt:lpstr>
      <vt:lpstr>IMAGENS</vt:lpstr>
      <vt:lpstr>Detalhes1</vt:lpstr>
      <vt:lpstr>ITAPIPOCA</vt:lpstr>
      <vt:lpstr>ANÁLISE GERAL ITAPIPOCA (2026)</vt:lpstr>
      <vt:lpstr>dashboard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Score Consultoria</dc:creator>
  <cp:keywords/>
  <dc:description/>
  <cp:lastModifiedBy>Score Consultoria</cp:lastModifiedBy>
  <cp:revision/>
  <cp:lastPrinted>2025-09-03T23:55:17Z</cp:lastPrinted>
  <dcterms:created xsi:type="dcterms:W3CDTF">2024-02-05T15:12:38Z</dcterms:created>
  <dcterms:modified xsi:type="dcterms:W3CDTF">2026-09-23T18:02:06Z</dcterms:modified>
  <cp:category/>
  <cp:contentStatus/>
</cp:coreProperties>
</file>