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9eb0d17a7ed3b/Documents/SCORE CONTABILIDADE/12 - SCORE TECH/PROJECTS_ANTIGRAVITY/marialima/"/>
    </mc:Choice>
  </mc:AlternateContent>
  <xr:revisionPtr revIDLastSave="1138" documentId="8_{0D0E2355-908C-4202-A9E0-5C7A2A25A5D4}" xr6:coauthVersionLast="47" xr6:coauthVersionMax="47" xr10:uidLastSave="{77D4EA02-EFB8-4294-BBB5-B3E8796FDD38}"/>
  <bookViews>
    <workbookView xWindow="-120" yWindow="-120" windowWidth="29040" windowHeight="15720" tabRatio="874" activeTab="15" xr2:uid="{00000000-000D-0000-FFFF-FFFF00000000}"/>
  </bookViews>
  <sheets>
    <sheet name="METAS -  SOBRAL" sheetId="3" r:id="rId1"/>
    <sheet name="METAS -  SOBRAL (P VENDEDOR)" sheetId="10" state="hidden" r:id="rId2"/>
    <sheet name="VENDAS" sheetId="1" r:id="rId3"/>
    <sheet name="Detalhes2" sheetId="25" state="hidden" r:id="rId4"/>
    <sheet name="SOBRAL" sheetId="4" r:id="rId5"/>
    <sheet name="VENDAS_VENDEDOR" sheetId="15" r:id="rId6"/>
    <sheet name="Planilha5" sheetId="21" state="hidden" r:id="rId7"/>
    <sheet name="Folha1" sheetId="16" state="hidden" r:id="rId8"/>
    <sheet name="RESUMO" sheetId="2" state="hidden" r:id="rId9"/>
    <sheet name="AUXILIAR" sheetId="11" state="hidden" r:id="rId10"/>
    <sheet name="Planilha2 (2)" sheetId="12" state="hidden" r:id="rId11"/>
    <sheet name="IMAGENS (2)" sheetId="13" state="hidden" r:id="rId12"/>
    <sheet name="VENDEDORES" sheetId="14" state="hidden" r:id="rId13"/>
    <sheet name="Planilha1" sheetId="17" state="hidden" r:id="rId14"/>
    <sheet name="ANÁLISE DO BAZAR ABRIL" sheetId="26" r:id="rId15"/>
    <sheet name="ANÁLISE GERAL SOBRAL (2026)" sheetId="23" r:id="rId16"/>
    <sheet name="Planilha4" sheetId="27" state="hidden" r:id="rId17"/>
    <sheet name="DASHBOARD" sheetId="18" r:id="rId18"/>
    <sheet name="Detalhes1" sheetId="24" state="hidden" r:id="rId19"/>
    <sheet name="ANÁLISE GERAL SOBRAL 2025" sheetId="19" r:id="rId20"/>
    <sheet name="Planilha3" sheetId="22" state="hidden" r:id="rId21"/>
    <sheet name="IMAGENS" sheetId="7" state="hidden" r:id="rId22"/>
    <sheet name="Planilha2" sheetId="6" state="hidden" r:id="rId23"/>
  </sheets>
  <definedNames>
    <definedName name="ANALISE2" localSheetId="9">#REF!</definedName>
    <definedName name="ANALISE2" localSheetId="11">#REF!</definedName>
    <definedName name="ANALISE2" localSheetId="10">#REF!</definedName>
    <definedName name="ANALISE2" localSheetId="5">#REF!</definedName>
    <definedName name="ANALISE2" localSheetId="12">#REF!</definedName>
    <definedName name="ANALISE2">#REF!</definedName>
    <definedName name="CalendárioAno1" localSheetId="0">#REF!</definedName>
    <definedName name="CalendárioAno1" localSheetId="1">#REF!</definedName>
    <definedName name="CalendárioAno1" localSheetId="4">#REF!</definedName>
    <definedName name="CalendárioAno1">#REF!</definedName>
    <definedName name="CalendárioAno10" localSheetId="0">#REF!</definedName>
    <definedName name="CalendárioAno10" localSheetId="1">#REF!</definedName>
    <definedName name="CalendárioAno10" localSheetId="4">#REF!</definedName>
    <definedName name="CalendárioAno10">#REF!</definedName>
    <definedName name="CalendárioAno11" localSheetId="0">#REF!</definedName>
    <definedName name="CalendárioAno11" localSheetId="1">#REF!</definedName>
    <definedName name="CalendárioAno11" localSheetId="4">#REF!</definedName>
    <definedName name="CalendárioAno11">#REF!</definedName>
    <definedName name="CalendárioAno12" localSheetId="0">#REF!</definedName>
    <definedName name="CalendárioAno12" localSheetId="1">#REF!</definedName>
    <definedName name="CalendárioAno12" localSheetId="4">#REF!</definedName>
    <definedName name="CalendárioAno12">#REF!</definedName>
    <definedName name="CalendárioAno2" localSheetId="0">#REF!</definedName>
    <definedName name="CalendárioAno2" localSheetId="1">#REF!</definedName>
    <definedName name="CalendárioAno2" localSheetId="4">#REF!</definedName>
    <definedName name="CalendárioAno2">#REF!</definedName>
    <definedName name="CalendárioAno3" localSheetId="0">#REF!</definedName>
    <definedName name="CalendárioAno3" localSheetId="1">#REF!</definedName>
    <definedName name="CalendárioAno3" localSheetId="4">#REF!</definedName>
    <definedName name="CalendárioAno3">#REF!</definedName>
    <definedName name="CalendárioAno4" localSheetId="0">#REF!</definedName>
    <definedName name="CalendárioAno4" localSheetId="1">#REF!</definedName>
    <definedName name="CalendárioAno4" localSheetId="4">#REF!</definedName>
    <definedName name="CalendárioAno4">#REF!</definedName>
    <definedName name="CalendárioAno5" localSheetId="0">#REF!</definedName>
    <definedName name="CalendárioAno5" localSheetId="1">#REF!</definedName>
    <definedName name="CalendárioAno5" localSheetId="4">#REF!</definedName>
    <definedName name="CalendárioAno5">#REF!</definedName>
    <definedName name="CalendárioAno6" localSheetId="0">#REF!</definedName>
    <definedName name="CalendárioAno6" localSheetId="1">#REF!</definedName>
    <definedName name="CalendárioAno6" localSheetId="4">#REF!</definedName>
    <definedName name="CalendárioAno6">#REF!</definedName>
    <definedName name="CalendárioAno7" localSheetId="0">#REF!</definedName>
    <definedName name="CalendárioAno7" localSheetId="1">#REF!</definedName>
    <definedName name="CalendárioAno7" localSheetId="4">#REF!</definedName>
    <definedName name="CalendárioAno7">#REF!</definedName>
    <definedName name="CalendárioAno8" localSheetId="0">#REF!</definedName>
    <definedName name="CalendárioAno8" localSheetId="1">#REF!</definedName>
    <definedName name="CalendárioAno8" localSheetId="4">#REF!</definedName>
    <definedName name="CalendárioAno8">#REF!</definedName>
    <definedName name="CalendárioAno9" localSheetId="0">#REF!</definedName>
    <definedName name="CalendárioAno9" localSheetId="1">#REF!</definedName>
    <definedName name="CalendárioAno9" localSheetId="4">#REF!</definedName>
    <definedName name="CalendárioAno9">#REF!</definedName>
    <definedName name="CaléndárioMês1" localSheetId="0">#REF!</definedName>
    <definedName name="CaléndárioMês1" localSheetId="1">#REF!</definedName>
    <definedName name="CaléndárioMês1" localSheetId="4">#REF!</definedName>
    <definedName name="CaléndárioMês1">#REF!</definedName>
    <definedName name="CaléndárioMês10" localSheetId="0">#REF!</definedName>
    <definedName name="CaléndárioMês10" localSheetId="1">#REF!</definedName>
    <definedName name="CaléndárioMês10" localSheetId="4">#REF!</definedName>
    <definedName name="CaléndárioMês10">#REF!</definedName>
    <definedName name="CaléndárioMês10Opção" localSheetId="9">MATCH(CaléndárioMês10,AUXILIAR!Meses,0)</definedName>
    <definedName name="CaléndárioMês10Opção" localSheetId="11">MATCH(CaléndárioMês10,'IMAGENS (2)'!Meses,0)</definedName>
    <definedName name="CaléndárioMês10Opção" localSheetId="0">MATCH('METAS -  SOBRAL'!CaléndárioMês10,'METAS -  SOBRAL'!Meses,0)</definedName>
    <definedName name="CaléndárioMês10Opção" localSheetId="1">MATCH('METAS -  SOBRAL (P VENDEDOR)'!CaléndárioMês10,'METAS -  SOBRAL (P VENDEDOR)'!Meses,0)</definedName>
    <definedName name="CaléndárioMês10Opção" localSheetId="10">MATCH(CaléndárioMês10,'Planilha2 (2)'!Meses,0)</definedName>
    <definedName name="CaléndárioMês10Opção" localSheetId="4">MATCH(SOBRAL!CaléndárioMês10,SOBRAL!Meses,0)</definedName>
    <definedName name="CaléndárioMês10Opção" localSheetId="5">MATCH(CaléndárioMês10,VENDAS_VENDEDOR!Meses,0)</definedName>
    <definedName name="CaléndárioMês10Opção" localSheetId="12">MATCH(CaléndárioMês10,VENDEDORES!Meses,0)</definedName>
    <definedName name="CaléndárioMês10Opção">MATCH(CaléndárioMês10,Meses,0)</definedName>
    <definedName name="CaléndárioMês11" localSheetId="0">#REF!</definedName>
    <definedName name="CaléndárioMês11" localSheetId="1">#REF!</definedName>
    <definedName name="CaléndárioMês11" localSheetId="4">#REF!</definedName>
    <definedName name="CaléndárioMês11">#REF!</definedName>
    <definedName name="CaléndárioMês11Opção" localSheetId="9">MATCH(CaléndárioMês11,AUXILIAR!Meses,0)</definedName>
    <definedName name="CaléndárioMês11Opção" localSheetId="11">MATCH(CaléndárioMês11,'IMAGENS (2)'!Meses,0)</definedName>
    <definedName name="CaléndárioMês11Opção" localSheetId="0">MATCH('METAS -  SOBRAL'!CaléndárioMês11,'METAS -  SOBRAL'!Meses,0)</definedName>
    <definedName name="CaléndárioMês11Opção" localSheetId="1">MATCH('METAS -  SOBRAL (P VENDEDOR)'!CaléndárioMês11,'METAS -  SOBRAL (P VENDEDOR)'!Meses,0)</definedName>
    <definedName name="CaléndárioMês11Opção" localSheetId="10">MATCH(CaléndárioMês11,'Planilha2 (2)'!Meses,0)</definedName>
    <definedName name="CaléndárioMês11Opção" localSheetId="4">MATCH(SOBRAL!CaléndárioMês11,SOBRAL!Meses,0)</definedName>
    <definedName name="CaléndárioMês11Opção" localSheetId="5">MATCH(CaléndárioMês11,VENDAS_VENDEDOR!Meses,0)</definedName>
    <definedName name="CaléndárioMês11Opção" localSheetId="12">MATCH(CaléndárioMês11,VENDEDORES!Meses,0)</definedName>
    <definedName name="CaléndárioMês11Opção">MATCH(CaléndárioMês11,Meses,0)</definedName>
    <definedName name="CaléndárioMês12" localSheetId="0">#REF!</definedName>
    <definedName name="CaléndárioMês12" localSheetId="1">#REF!</definedName>
    <definedName name="CaléndárioMês12" localSheetId="4">#REF!</definedName>
    <definedName name="CaléndárioMês12">#REF!</definedName>
    <definedName name="CaléndárioMês12Opção" localSheetId="9">MATCH(CaléndárioMês12,AUXILIAR!Meses,0)</definedName>
    <definedName name="CaléndárioMês12Opção" localSheetId="11">MATCH(CaléndárioMês12,'IMAGENS (2)'!Meses,0)</definedName>
    <definedName name="CaléndárioMês12Opção" localSheetId="0">MATCH('METAS -  SOBRAL'!CaléndárioMês12,'METAS -  SOBRAL'!Meses,0)</definedName>
    <definedName name="CaléndárioMês12Opção" localSheetId="1">MATCH('METAS -  SOBRAL (P VENDEDOR)'!CaléndárioMês12,'METAS -  SOBRAL (P VENDEDOR)'!Meses,0)</definedName>
    <definedName name="CaléndárioMês12Opção" localSheetId="10">MATCH(CaléndárioMês12,'Planilha2 (2)'!Meses,0)</definedName>
    <definedName name="CaléndárioMês12Opção" localSheetId="4">MATCH(SOBRAL!CaléndárioMês12,SOBRAL!Meses,0)</definedName>
    <definedName name="CaléndárioMês12Opção" localSheetId="5">MATCH(CaléndárioMês12,VENDAS_VENDEDOR!Meses,0)</definedName>
    <definedName name="CaléndárioMês12Opção" localSheetId="12">MATCH(CaléndárioMês12,VENDEDORES!Meses,0)</definedName>
    <definedName name="CaléndárioMês12Opção">MATCH(CaléndárioMês12,Meses,0)</definedName>
    <definedName name="CaléndárioMês1Opção" localSheetId="9">MATCH(CaléndárioMês1,AUXILIAR!Meses,0)</definedName>
    <definedName name="CaléndárioMês1Opção" localSheetId="11">MATCH(CaléndárioMês1,'IMAGENS (2)'!Meses,0)</definedName>
    <definedName name="CaléndárioMês1Opção" localSheetId="0">MATCH('METAS -  SOBRAL'!CaléndárioMês1,'METAS -  SOBRAL'!Meses,0)</definedName>
    <definedName name="CaléndárioMês1Opção" localSheetId="1">MATCH('METAS -  SOBRAL (P VENDEDOR)'!CaléndárioMês1,'METAS -  SOBRAL (P VENDEDOR)'!Meses,0)</definedName>
    <definedName name="CaléndárioMês1Opção" localSheetId="10">MATCH(CaléndárioMês1,'Planilha2 (2)'!Meses,0)</definedName>
    <definedName name="CaléndárioMês1Opção" localSheetId="4">MATCH(SOBRAL!CaléndárioMês1,SOBRAL!Meses,0)</definedName>
    <definedName name="CaléndárioMês1Opção" localSheetId="5">MATCH(CaléndárioMês1,VENDAS_VENDEDOR!Meses,0)</definedName>
    <definedName name="CaléndárioMês1Opção" localSheetId="12">MATCH(CaléndárioMês1,VENDEDORES!Meses,0)</definedName>
    <definedName name="CaléndárioMês1Opção">MATCH(CaléndárioMês1,Meses,0)</definedName>
    <definedName name="CaléndárioMês2" localSheetId="0">#REF!</definedName>
    <definedName name="CaléndárioMês2" localSheetId="1">#REF!</definedName>
    <definedName name="CaléndárioMês2" localSheetId="4">#REF!</definedName>
    <definedName name="CaléndárioMês2">#REF!</definedName>
    <definedName name="CaléndárioMês2Opção" localSheetId="9">MATCH(CaléndárioMês2,AUXILIAR!Meses,0)</definedName>
    <definedName name="CaléndárioMês2Opção" localSheetId="11">MATCH(CaléndárioMês2,'IMAGENS (2)'!Meses,0)</definedName>
    <definedName name="CaléndárioMês2Opção" localSheetId="0">MATCH('METAS -  SOBRAL'!CaléndárioMês2,'METAS -  SOBRAL'!Meses,0)</definedName>
    <definedName name="CaléndárioMês2Opção" localSheetId="1">MATCH('METAS -  SOBRAL (P VENDEDOR)'!CaléndárioMês2,'METAS -  SOBRAL (P VENDEDOR)'!Meses,0)</definedName>
    <definedName name="CaléndárioMês2Opção" localSheetId="10">MATCH(CaléndárioMês2,'Planilha2 (2)'!Meses,0)</definedName>
    <definedName name="CaléndárioMês2Opção" localSheetId="4">MATCH(SOBRAL!CaléndárioMês2,SOBRAL!Meses,0)</definedName>
    <definedName name="CaléndárioMês2Opção" localSheetId="5">MATCH(CaléndárioMês2,VENDAS_VENDEDOR!Meses,0)</definedName>
    <definedName name="CaléndárioMês2Opção" localSheetId="12">MATCH(CaléndárioMês2,VENDEDORES!Meses,0)</definedName>
    <definedName name="CaléndárioMês2Opção">MATCH(CaléndárioMês2,Meses,0)</definedName>
    <definedName name="CaléndárioMês3" localSheetId="0">#REF!</definedName>
    <definedName name="CaléndárioMês3" localSheetId="1">#REF!</definedName>
    <definedName name="CaléndárioMês3" localSheetId="4">#REF!</definedName>
    <definedName name="CaléndárioMês3">#REF!</definedName>
    <definedName name="CaléndárioMês3Opção" localSheetId="9">MATCH(CaléndárioMês3,AUXILIAR!Meses,0)</definedName>
    <definedName name="CaléndárioMês3Opção" localSheetId="11">MATCH(CaléndárioMês3,'IMAGENS (2)'!Meses,0)</definedName>
    <definedName name="CaléndárioMês3Opção" localSheetId="0">MATCH('METAS -  SOBRAL'!CaléndárioMês3,'METAS -  SOBRAL'!Meses,0)</definedName>
    <definedName name="CaléndárioMês3Opção" localSheetId="1">MATCH('METAS -  SOBRAL (P VENDEDOR)'!CaléndárioMês3,'METAS -  SOBRAL (P VENDEDOR)'!Meses,0)</definedName>
    <definedName name="CaléndárioMês3Opção" localSheetId="10">MATCH(CaléndárioMês3,'Planilha2 (2)'!Meses,0)</definedName>
    <definedName name="CaléndárioMês3Opção" localSheetId="4">MATCH(SOBRAL!CaléndárioMês3,SOBRAL!Meses,0)</definedName>
    <definedName name="CaléndárioMês3Opção" localSheetId="5">MATCH(CaléndárioMês3,VENDAS_VENDEDOR!Meses,0)</definedName>
    <definedName name="CaléndárioMês3Opção" localSheetId="12">MATCH(CaléndárioMês3,VENDEDORES!Meses,0)</definedName>
    <definedName name="CaléndárioMês3Opção">MATCH(CaléndárioMês3,Meses,0)</definedName>
    <definedName name="CaléndárioMês4" localSheetId="0">#REF!</definedName>
    <definedName name="CaléndárioMês4" localSheetId="1">#REF!</definedName>
    <definedName name="CaléndárioMês4" localSheetId="4">#REF!</definedName>
    <definedName name="CaléndárioMês4">#REF!</definedName>
    <definedName name="CaléndárioMês4Opção" localSheetId="9">MATCH(CaléndárioMês4,AUXILIAR!Meses,0)</definedName>
    <definedName name="CaléndárioMês4Opção" localSheetId="11">MATCH(CaléndárioMês4,'IMAGENS (2)'!Meses,0)</definedName>
    <definedName name="CaléndárioMês4Opção" localSheetId="0">MATCH('METAS -  SOBRAL'!CaléndárioMês4,'METAS -  SOBRAL'!Meses,0)</definedName>
    <definedName name="CaléndárioMês4Opção" localSheetId="1">MATCH('METAS -  SOBRAL (P VENDEDOR)'!CaléndárioMês4,'METAS -  SOBRAL (P VENDEDOR)'!Meses,0)</definedName>
    <definedName name="CaléndárioMês4Opção" localSheetId="10">MATCH(CaléndárioMês4,'Planilha2 (2)'!Meses,0)</definedName>
    <definedName name="CaléndárioMês4Opção" localSheetId="4">MATCH(SOBRAL!CaléndárioMês4,SOBRAL!Meses,0)</definedName>
    <definedName name="CaléndárioMês4Opção" localSheetId="5">MATCH(CaléndárioMês4,VENDAS_VENDEDOR!Meses,0)</definedName>
    <definedName name="CaléndárioMês4Opção" localSheetId="12">MATCH(CaléndárioMês4,VENDEDORES!Meses,0)</definedName>
    <definedName name="CaléndárioMês4Opção">MATCH(CaléndárioMês4,Meses,0)</definedName>
    <definedName name="CaléndárioMês5" localSheetId="0">#REF!</definedName>
    <definedName name="CaléndárioMês5" localSheetId="1">#REF!</definedName>
    <definedName name="CaléndárioMês5" localSheetId="4">#REF!</definedName>
    <definedName name="CaléndárioMês5">#REF!</definedName>
    <definedName name="CaléndárioMês5Opção" localSheetId="9">MATCH(CaléndárioMês5,AUXILIAR!Meses,0)</definedName>
    <definedName name="CaléndárioMês5Opção" localSheetId="11">MATCH(CaléndárioMês5,'IMAGENS (2)'!Meses,0)</definedName>
    <definedName name="CaléndárioMês5Opção" localSheetId="0">MATCH('METAS -  SOBRAL'!CaléndárioMês5,'METAS -  SOBRAL'!Meses,0)</definedName>
    <definedName name="CaléndárioMês5Opção" localSheetId="1">MATCH('METAS -  SOBRAL (P VENDEDOR)'!CaléndárioMês5,'METAS -  SOBRAL (P VENDEDOR)'!Meses,0)</definedName>
    <definedName name="CaléndárioMês5Opção" localSheetId="10">MATCH(CaléndárioMês5,'Planilha2 (2)'!Meses,0)</definedName>
    <definedName name="CaléndárioMês5Opção" localSheetId="4">MATCH(SOBRAL!CaléndárioMês5,SOBRAL!Meses,0)</definedName>
    <definedName name="CaléndárioMês5Opção" localSheetId="5">MATCH(CaléndárioMês5,VENDAS_VENDEDOR!Meses,0)</definedName>
    <definedName name="CaléndárioMês5Opção" localSheetId="12">MATCH(CaléndárioMês5,VENDEDORES!Meses,0)</definedName>
    <definedName name="CaléndárioMês5Opção">MATCH(CaléndárioMês5,Meses,0)</definedName>
    <definedName name="CaléndárioMês6" localSheetId="0">#REF!</definedName>
    <definedName name="CaléndárioMês6" localSheetId="1">#REF!</definedName>
    <definedName name="CaléndárioMês6" localSheetId="4">#REF!</definedName>
    <definedName name="CaléndárioMês6">#REF!</definedName>
    <definedName name="CaléndárioMês6Opção" localSheetId="9">MATCH(CaléndárioMês6,AUXILIAR!Meses,0)</definedName>
    <definedName name="CaléndárioMês6Opção" localSheetId="11">MATCH(CaléndárioMês6,'IMAGENS (2)'!Meses,0)</definedName>
    <definedName name="CaléndárioMês6Opção" localSheetId="0">MATCH('METAS -  SOBRAL'!CaléndárioMês6,'METAS -  SOBRAL'!Meses,0)</definedName>
    <definedName name="CaléndárioMês6Opção" localSheetId="1">MATCH('METAS -  SOBRAL (P VENDEDOR)'!CaléndárioMês6,'METAS -  SOBRAL (P VENDEDOR)'!Meses,0)</definedName>
    <definedName name="CaléndárioMês6Opção" localSheetId="10">MATCH(CaléndárioMês6,'Planilha2 (2)'!Meses,0)</definedName>
    <definedName name="CaléndárioMês6Opção" localSheetId="4">MATCH(SOBRAL!CaléndárioMês6,SOBRAL!Meses,0)</definedName>
    <definedName name="CaléndárioMês6Opção" localSheetId="5">MATCH(CaléndárioMês6,VENDAS_VENDEDOR!Meses,0)</definedName>
    <definedName name="CaléndárioMês6Opção" localSheetId="12">MATCH(CaléndárioMês6,VENDEDORES!Meses,0)</definedName>
    <definedName name="CaléndárioMês6Opção">MATCH(CaléndárioMês6,Meses,0)</definedName>
    <definedName name="CaléndárioMês7" localSheetId="0">#REF!</definedName>
    <definedName name="CaléndárioMês7" localSheetId="1">#REF!</definedName>
    <definedName name="CaléndárioMês7" localSheetId="4">#REF!</definedName>
    <definedName name="CaléndárioMês7">#REF!</definedName>
    <definedName name="CaléndárioMês7Opção" localSheetId="9">MATCH(CaléndárioMês7,AUXILIAR!Meses,0)</definedName>
    <definedName name="CaléndárioMês7Opção" localSheetId="11">MATCH(CaléndárioMês7,'IMAGENS (2)'!Meses,0)</definedName>
    <definedName name="CaléndárioMês7Opção" localSheetId="0">MATCH('METAS -  SOBRAL'!CaléndárioMês7,'METAS -  SOBRAL'!Meses,0)</definedName>
    <definedName name="CaléndárioMês7Opção" localSheetId="1">MATCH('METAS -  SOBRAL (P VENDEDOR)'!CaléndárioMês7,'METAS -  SOBRAL (P VENDEDOR)'!Meses,0)</definedName>
    <definedName name="CaléndárioMês7Opção" localSheetId="10">MATCH(CaléndárioMês7,'Planilha2 (2)'!Meses,0)</definedName>
    <definedName name="CaléndárioMês7Opção" localSheetId="4">MATCH(SOBRAL!CaléndárioMês7,SOBRAL!Meses,0)</definedName>
    <definedName name="CaléndárioMês7Opção" localSheetId="5">MATCH(CaléndárioMês7,VENDAS_VENDEDOR!Meses,0)</definedName>
    <definedName name="CaléndárioMês7Opção" localSheetId="12">MATCH(CaléndárioMês7,VENDEDORES!Meses,0)</definedName>
    <definedName name="CaléndárioMês7Opção">MATCH(CaléndárioMês7,Meses,0)</definedName>
    <definedName name="CaléndárioMês8" localSheetId="0">#REF!</definedName>
    <definedName name="CaléndárioMês8" localSheetId="1">#REF!</definedName>
    <definedName name="CaléndárioMês8" localSheetId="4">#REF!</definedName>
    <definedName name="CaléndárioMês8">#REF!</definedName>
    <definedName name="CaléndárioMês8Opção" localSheetId="9">MATCH(CaléndárioMês8,AUXILIAR!Meses,0)</definedName>
    <definedName name="CaléndárioMês8Opção" localSheetId="11">MATCH(CaléndárioMês8,'IMAGENS (2)'!Meses,0)</definedName>
    <definedName name="CaléndárioMês8Opção" localSheetId="0">MATCH('METAS -  SOBRAL'!CaléndárioMês8,'METAS -  SOBRAL'!Meses,0)</definedName>
    <definedName name="CaléndárioMês8Opção" localSheetId="1">MATCH('METAS -  SOBRAL (P VENDEDOR)'!CaléndárioMês8,'METAS -  SOBRAL (P VENDEDOR)'!Meses,0)</definedName>
    <definedName name="CaléndárioMês8Opção" localSheetId="10">MATCH(CaléndárioMês8,'Planilha2 (2)'!Meses,0)</definedName>
    <definedName name="CaléndárioMês8Opção" localSheetId="4">MATCH(SOBRAL!CaléndárioMês8,SOBRAL!Meses,0)</definedName>
    <definedName name="CaléndárioMês8Opção" localSheetId="5">MATCH(CaléndárioMês8,VENDAS_VENDEDOR!Meses,0)</definedName>
    <definedName name="CaléndárioMês8Opção" localSheetId="12">MATCH(CaléndárioMês8,VENDEDORES!Meses,0)</definedName>
    <definedName name="CaléndárioMês8Opção">MATCH(CaléndárioMês8,Meses,0)</definedName>
    <definedName name="CaléndárioMês9" localSheetId="0">#REF!</definedName>
    <definedName name="CaléndárioMês9" localSheetId="1">#REF!</definedName>
    <definedName name="CaléndárioMês9" localSheetId="4">#REF!</definedName>
    <definedName name="CaléndárioMês9">#REF!</definedName>
    <definedName name="CaléndárioMês9Opção" localSheetId="9">MATCH(CaléndárioMês9,AUXILIAR!Meses,0)</definedName>
    <definedName name="CaléndárioMês9Opção" localSheetId="11">MATCH(CaléndárioMês9,'IMAGENS (2)'!Meses,0)</definedName>
    <definedName name="CaléndárioMês9Opção" localSheetId="0">MATCH('METAS -  SOBRAL'!CaléndárioMês9,'METAS -  SOBRAL'!Meses,0)</definedName>
    <definedName name="CaléndárioMês9Opção" localSheetId="1">MATCH('METAS -  SOBRAL (P VENDEDOR)'!CaléndárioMês9,'METAS -  SOBRAL (P VENDEDOR)'!Meses,0)</definedName>
    <definedName name="CaléndárioMês9Opção" localSheetId="10">MATCH(CaléndárioMês9,'Planilha2 (2)'!Meses,0)</definedName>
    <definedName name="CaléndárioMês9Opção" localSheetId="4">MATCH(SOBRAL!CaléndárioMês9,SOBRAL!Meses,0)</definedName>
    <definedName name="CaléndárioMês9Opção" localSheetId="5">MATCH(CaléndárioMês9,VENDAS_VENDEDOR!Meses,0)</definedName>
    <definedName name="CaléndárioMês9Opção" localSheetId="12">MATCH(CaléndárioMês9,VENDEDORES!Meses,0)</definedName>
    <definedName name="CaléndárioMês9Opção">MATCH(CaléndárioMês9,Meses,0)</definedName>
    <definedName name="CC" localSheetId="0">#REF!</definedName>
    <definedName name="CC" localSheetId="1">#REF!</definedName>
    <definedName name="CC" localSheetId="4">#REF!</definedName>
    <definedName name="CC">#REF!</definedName>
    <definedName name="CONTAS">#REF!</definedName>
    <definedName name="DiaDaSemanaOpção" localSheetId="9">MATCH(InícioDaSemana,AUXILIAR!DiasDaSemana,0)+10</definedName>
    <definedName name="DiaDaSemanaOpção" localSheetId="11">MATCH(InícioDaSemana,'IMAGENS (2)'!DiasDaSemana,0)+10</definedName>
    <definedName name="DiaDaSemanaOpção" localSheetId="0">MATCH(InícioDaSemana,'METAS -  SOBRAL'!DiasDaSemana,0)+10</definedName>
    <definedName name="DiaDaSemanaOpção" localSheetId="1">MATCH([0]!InícioDaSemana,'METAS -  SOBRAL (P VENDEDOR)'!DiasDaSemana,0)+10</definedName>
    <definedName name="DiaDaSemanaOpção" localSheetId="10">MATCH(InícioDaSemana,'Planilha2 (2)'!DiasDaSemana,0)+10</definedName>
    <definedName name="DiaDaSemanaOpção" localSheetId="4">MATCH(InícioDaSemana,SOBRAL!DiasDaSemana,0)+10</definedName>
    <definedName name="DiaDaSemanaOpção" localSheetId="5">MATCH(InícioDaSemana,VENDAS_VENDEDOR!DiasDaSemana,0)+10</definedName>
    <definedName name="DiaDaSemanaOpção" localSheetId="12">MATCH(InícioDaSemana,VENDEDORES!DiasDaSemana,0)+10</definedName>
    <definedName name="DiaDaSemanaOpção">MATCH(InícioDaSemana,DiasDaSemana,0)+10</definedName>
    <definedName name="Dias" localSheetId="9">{0,1,2,3,4,5,6}</definedName>
    <definedName name="Dias" localSheetId="11">{0,1,2,3,4,5,6}</definedName>
    <definedName name="Dias" localSheetId="0">{0,1,2,3,4,5,6}</definedName>
    <definedName name="Dias" localSheetId="1">{0,1,2,3,4,5,6}</definedName>
    <definedName name="Dias" localSheetId="10">{0,1,2,3,4,5,6}</definedName>
    <definedName name="Dias" localSheetId="4">{0,1,2,3,4,5,6}</definedName>
    <definedName name="Dias" localSheetId="5">{0,1,2,3,4,5,6}</definedName>
    <definedName name="Dias" localSheetId="12">{0,1,2,3,4,5,6}</definedName>
    <definedName name="Dias">{0,1,2,3,4,5,6}</definedName>
    <definedName name="DiasDaSemana" localSheetId="9">{"SEGUNDA-FEIRA","TERÇA-FEIRA","QUARTA-FEIRA","QUINTA-FEIRA","SEXTA-FEIRA","SÁBADO","DOMINGO"}</definedName>
    <definedName name="DiasDaSemana" localSheetId="11">{"SEGUNDA-FEIRA","TERÇA-FEIRA","QUARTA-FEIRA","QUINTA-FEIRA","SEXTA-FEIRA","SÁBADO","DOMINGO"}</definedName>
    <definedName name="DiasDaSemana" localSheetId="0">{"SEGUNDA-FEIRA","TERÇA-FEIRA","QUARTA-FEIRA","QUINTA-FEIRA","SEXTA-FEIRA","SÁBADO","DOMINGO"}</definedName>
    <definedName name="DiasDaSemana" localSheetId="1">{"SEGUNDA-FEIRA","TERÇA-FEIRA","QUARTA-FEIRA","QUINTA-FEIRA","SEXTA-FEIRA","SÁBADO","DOMINGO"}</definedName>
    <definedName name="DiasDaSemana" localSheetId="10">{"SEGUNDA-FEIRA","TERÇA-FEIRA","QUARTA-FEIRA","QUINTA-FEIRA","SEXTA-FEIRA","SÁBADO","DOMINGO"}</definedName>
    <definedName name="DiasDaSemana" localSheetId="4">{"SEGUNDA-FEIRA","TERÇA-FEIRA","QUARTA-FEIRA","QUINTA-FEIRA","SEXTA-FEIRA","SÁBADO","DOMINGO"}</definedName>
    <definedName name="DiasDaSemana" localSheetId="5">{"SEGUNDA-FEIRA","TERÇA-FEIRA","QUARTA-FEIRA","QUINTA-FEIRA","SEXTA-FEIRA","SÁBADO","DOMINGO"}</definedName>
    <definedName name="DiasDaSemana" localSheetId="12">{"SEGUNDA-FEIRA","TERÇA-FEIRA","QUARTA-FEIRA","QUINTA-FEIRA","SEXTA-FEIRA","SÁBADO","DOMINGO"}</definedName>
    <definedName name="DiasDaSemana">{"SEGUNDA-FEIRA","TERÇA-FEIRA","QUARTA-FEIRA","QUINTA-FEIRA","SEXTA-FEIRA","SÁBADO","DOMINGO"}</definedName>
    <definedName name="FONTES_RENDA">#REF!</definedName>
    <definedName name="GABRIEL">#REF!</definedName>
    <definedName name="INDICADORES">#REF!</definedName>
    <definedName name="InícioDaSemana">#REF!</definedName>
    <definedName name="Meses" localSheetId="9">{"janeiro","fevereiro","março","abril","maio","junho","julho","agosto","setembro","outubro","novembro","dezembro"}</definedName>
    <definedName name="Meses" localSheetId="11">{"janeiro","fevereiro","março","abril","maio","junho","julho","agosto","setembro","outubro","novembro","dezembro"}</definedName>
    <definedName name="Meses" localSheetId="0">{"janeiro","fevereiro","março","abril","maio","junho","julho","agosto","setembro","outubro","novembro","dezembro"}</definedName>
    <definedName name="Meses" localSheetId="1">{"janeiro","fevereiro","março","abril","maio","junho","julho","agosto","setembro","outubro","novembro","dezembro"}</definedName>
    <definedName name="Meses" localSheetId="10">{"janeiro","fevereiro","março","abril","maio","junho","julho","agosto","setembro","outubro","novembro","dezembro"}</definedName>
    <definedName name="Meses" localSheetId="4">{"janeiro","fevereiro","março","abril","maio","junho","julho","agosto","setembro","outubro","novembro","dezembro"}</definedName>
    <definedName name="Meses" localSheetId="5">{"janeiro","fevereiro","março","abril","maio","junho","julho","agosto","setembro","outubro","novembro","dezembro"}</definedName>
    <definedName name="Meses" localSheetId="12">{"janeiro","fevereiro","março","abril","maio","junho","julho","agosto","setembro","outubro","novembro","dezembro"}</definedName>
    <definedName name="Meses">{"janeiro","fevereiro","março","abril","maio","junho","julho","agosto","setembro","outubro","novembro","dezembro"}</definedName>
    <definedName name="METAS">#REF!</definedName>
    <definedName name="ORÇAMENTO">#REF!</definedName>
    <definedName name="PLANO_CONTAS">#REF!</definedName>
    <definedName name="RegiãoTítuloColuna1..H12.1">#REF!</definedName>
    <definedName name="RegiãoTítuloColuna10..H54.1" localSheetId="0">#REF!</definedName>
    <definedName name="RegiãoTítuloColuna10..H54.1" localSheetId="1">#REF!</definedName>
    <definedName name="RegiãoTítuloColuna10..H54.1" localSheetId="4">#REF!</definedName>
    <definedName name="RegiãoTítuloColuna10..H54.1">#REF!</definedName>
    <definedName name="RegiãoTítuloColuna11..C56.1" localSheetId="0">#REF!</definedName>
    <definedName name="RegiãoTítuloColuna11..C56.1" localSheetId="1">#REF!</definedName>
    <definedName name="RegiãoTítuloColuna11..C56.1" localSheetId="4">#REF!</definedName>
    <definedName name="RegiãoTítuloColuna11..C56.1">#REF!</definedName>
    <definedName name="RegiãoTítuloColuna12..D56.1" localSheetId="0">#REF!</definedName>
    <definedName name="RegiãoTítuloColuna12..D56.1" localSheetId="1">#REF!</definedName>
    <definedName name="RegiãoTítuloColuna12..D56.1" localSheetId="4">#REF!</definedName>
    <definedName name="RegiãoTítuloColuna12..D56.1">#REF!</definedName>
    <definedName name="RegiãoTítuloColuna13..H68.1" localSheetId="0">#REF!</definedName>
    <definedName name="RegiãoTítuloColuna13..H68.1" localSheetId="1">#REF!</definedName>
    <definedName name="RegiãoTítuloColuna13..H68.1" localSheetId="4">#REF!</definedName>
    <definedName name="RegiãoTítuloColuna13..H68.1">#REF!</definedName>
    <definedName name="RegiãoTítuloColuna14..C70.1" localSheetId="0">#REF!</definedName>
    <definedName name="RegiãoTítuloColuna14..C70.1" localSheetId="1">#REF!</definedName>
    <definedName name="RegiãoTítuloColuna14..C70.1" localSheetId="4">#REF!</definedName>
    <definedName name="RegiãoTítuloColuna14..C70.1">#REF!</definedName>
    <definedName name="RegiãoTítuloColuna15..D70.1" localSheetId="0">#REF!</definedName>
    <definedName name="RegiãoTítuloColuna15..D70.1" localSheetId="1">#REF!</definedName>
    <definedName name="RegiãoTítuloColuna15..D70.1" localSheetId="4">#REF!</definedName>
    <definedName name="RegiãoTítuloColuna15..D70.1">#REF!</definedName>
    <definedName name="RegiãoTítuloColuna16..H82.1" localSheetId="0">#REF!</definedName>
    <definedName name="RegiãoTítuloColuna16..H82.1" localSheetId="1">#REF!</definedName>
    <definedName name="RegiãoTítuloColuna16..H82.1" localSheetId="4">#REF!</definedName>
    <definedName name="RegiãoTítuloColuna16..H82.1">#REF!</definedName>
    <definedName name="RegiãoTítuloColuna17..C84.1" localSheetId="0">#REF!</definedName>
    <definedName name="RegiãoTítuloColuna17..C84.1" localSheetId="1">#REF!</definedName>
    <definedName name="RegiãoTítuloColuna17..C84.1" localSheetId="4">#REF!</definedName>
    <definedName name="RegiãoTítuloColuna17..C84.1">#REF!</definedName>
    <definedName name="RegiãoTítuloColuna18..D84.1" localSheetId="0">#REF!</definedName>
    <definedName name="RegiãoTítuloColuna18..D84.1" localSheetId="1">#REF!</definedName>
    <definedName name="RegiãoTítuloColuna18..D84.1" localSheetId="4">#REF!</definedName>
    <definedName name="RegiãoTítuloColuna18..D84.1">#REF!</definedName>
    <definedName name="RegiãoTítuloColuna19..H96.1" localSheetId="0">#REF!</definedName>
    <definedName name="RegiãoTítuloColuna19..H96.1" localSheetId="1">#REF!</definedName>
    <definedName name="RegiãoTítuloColuna19..H96.1" localSheetId="4">#REF!</definedName>
    <definedName name="RegiãoTítuloColuna19..H96.1">#REF!</definedName>
    <definedName name="RegiãoTítuloColuna2..C14.1" localSheetId="0">#REF!</definedName>
    <definedName name="RegiãoTítuloColuna2..C14.1" localSheetId="1">#REF!</definedName>
    <definedName name="RegiãoTítuloColuna2..C14.1" localSheetId="4">#REF!</definedName>
    <definedName name="RegiãoTítuloColuna2..C14.1">#REF!</definedName>
    <definedName name="RegiãoTítuloColuna20..C98.1" localSheetId="0">#REF!</definedName>
    <definedName name="RegiãoTítuloColuna20..C98.1" localSheetId="1">#REF!</definedName>
    <definedName name="RegiãoTítuloColuna20..C98.1" localSheetId="4">#REF!</definedName>
    <definedName name="RegiãoTítuloColuna20..C98.1">#REF!</definedName>
    <definedName name="RegiãoTítuloColuna21..D98.1" localSheetId="0">#REF!</definedName>
    <definedName name="RegiãoTítuloColuna21..D98.1" localSheetId="1">#REF!</definedName>
    <definedName name="RegiãoTítuloColuna21..D98.1" localSheetId="4">#REF!</definedName>
    <definedName name="RegiãoTítuloColuna21..D98.1">#REF!</definedName>
    <definedName name="RegiãoTítuloColuna22..H110.1" localSheetId="0">#REF!</definedName>
    <definedName name="RegiãoTítuloColuna22..H110.1" localSheetId="1">#REF!</definedName>
    <definedName name="RegiãoTítuloColuna22..H110.1" localSheetId="4">#REF!</definedName>
    <definedName name="RegiãoTítuloColuna22..H110.1">#REF!</definedName>
    <definedName name="RegiãoTítuloColuna23..C112.1" localSheetId="0">#REF!</definedName>
    <definedName name="RegiãoTítuloColuna23..C112.1" localSheetId="1">#REF!</definedName>
    <definedName name="RegiãoTítuloColuna23..C112.1" localSheetId="4">#REF!</definedName>
    <definedName name="RegiãoTítuloColuna23..C112.1">#REF!</definedName>
    <definedName name="RegiãoTítuloColuna24..D112.1" localSheetId="0">#REF!</definedName>
    <definedName name="RegiãoTítuloColuna24..D112.1" localSheetId="1">#REF!</definedName>
    <definedName name="RegiãoTítuloColuna24..D112.1" localSheetId="4">#REF!</definedName>
    <definedName name="RegiãoTítuloColuna24..D112.1">#REF!</definedName>
    <definedName name="RegiãoTítuloColuna25..H124.1" localSheetId="0">#REF!</definedName>
    <definedName name="RegiãoTítuloColuna25..H124.1" localSheetId="1">#REF!</definedName>
    <definedName name="RegiãoTítuloColuna25..H124.1" localSheetId="4">#REF!</definedName>
    <definedName name="RegiãoTítuloColuna25..H124.1">#REF!</definedName>
    <definedName name="RegiãoTítuloColuna26..C126.1" localSheetId="0">#REF!</definedName>
    <definedName name="RegiãoTítuloColuna26..C126.1" localSheetId="1">#REF!</definedName>
    <definedName name="RegiãoTítuloColuna26..C126.1" localSheetId="4">#REF!</definedName>
    <definedName name="RegiãoTítuloColuna26..C126.1">#REF!</definedName>
    <definedName name="RegiãoTítuloColuna27..D126.1" localSheetId="0">#REF!</definedName>
    <definedName name="RegiãoTítuloColuna27..D126.1" localSheetId="1">#REF!</definedName>
    <definedName name="RegiãoTítuloColuna27..D126.1" localSheetId="4">#REF!</definedName>
    <definedName name="RegiãoTítuloColuna27..D126.1">#REF!</definedName>
    <definedName name="RegiãoTítuloColuna28..H138.1" localSheetId="0">#REF!</definedName>
    <definedName name="RegiãoTítuloColuna28..H138.1" localSheetId="1">#REF!</definedName>
    <definedName name="RegiãoTítuloColuna28..H138.1" localSheetId="4">#REF!</definedName>
    <definedName name="RegiãoTítuloColuna28..H138.1">#REF!</definedName>
    <definedName name="RegiãoTítuloColuna29..C140.1" localSheetId="0">#REF!</definedName>
    <definedName name="RegiãoTítuloColuna29..C140.1" localSheetId="1">#REF!</definedName>
    <definedName name="RegiãoTítuloColuna29..C140.1" localSheetId="4">#REF!</definedName>
    <definedName name="RegiãoTítuloColuna29..C140.1">#REF!</definedName>
    <definedName name="RegiãoTítuloColuna3..D14.1" localSheetId="0">#REF!</definedName>
    <definedName name="RegiãoTítuloColuna3..D14.1" localSheetId="1">#REF!</definedName>
    <definedName name="RegiãoTítuloColuna3..D14.1" localSheetId="4">#REF!</definedName>
    <definedName name="RegiãoTítuloColuna3..D14.1">#REF!</definedName>
    <definedName name="RegiãoTítuloColuna30..D140.1" localSheetId="0">#REF!</definedName>
    <definedName name="RegiãoTítuloColuna30..D140.1" localSheetId="1">#REF!</definedName>
    <definedName name="RegiãoTítuloColuna30..D140.1" localSheetId="4">#REF!</definedName>
    <definedName name="RegiãoTítuloColuna30..D140.1">#REF!</definedName>
    <definedName name="RegiãoTítuloColuna31..H152.1" localSheetId="0">#REF!</definedName>
    <definedName name="RegiãoTítuloColuna31..H152.1" localSheetId="1">#REF!</definedName>
    <definedName name="RegiãoTítuloColuna31..H152.1" localSheetId="4">#REF!</definedName>
    <definedName name="RegiãoTítuloColuna31..H152.1">#REF!</definedName>
    <definedName name="RegiãoTítuloColuna32..C154.1" localSheetId="0">#REF!</definedName>
    <definedName name="RegiãoTítuloColuna32..C154.1" localSheetId="1">#REF!</definedName>
    <definedName name="RegiãoTítuloColuna32..C154.1" localSheetId="4">#REF!</definedName>
    <definedName name="RegiãoTítuloColuna32..C154.1">#REF!</definedName>
    <definedName name="RegiãoTítuloColuna33..D154.1" localSheetId="0">#REF!</definedName>
    <definedName name="RegiãoTítuloColuna33..D154.1" localSheetId="1">#REF!</definedName>
    <definedName name="RegiãoTítuloColuna33..D154.1" localSheetId="4">#REF!</definedName>
    <definedName name="RegiãoTítuloColuna33..D154.1">#REF!</definedName>
    <definedName name="RegiãoTítuloColuna34..H166.1" localSheetId="0">#REF!</definedName>
    <definedName name="RegiãoTítuloColuna34..H166.1" localSheetId="1">#REF!</definedName>
    <definedName name="RegiãoTítuloColuna34..H166.1" localSheetId="4">#REF!</definedName>
    <definedName name="RegiãoTítuloColuna34..H166.1">#REF!</definedName>
    <definedName name="RegiãoTítuloColuna35..C168.1" localSheetId="0">#REF!</definedName>
    <definedName name="RegiãoTítuloColuna35..C168.1" localSheetId="1">#REF!</definedName>
    <definedName name="RegiãoTítuloColuna35..C168.1" localSheetId="4">#REF!</definedName>
    <definedName name="RegiãoTítuloColuna35..C168.1">#REF!</definedName>
    <definedName name="RegiãoTítuloColuna36..D168.1" localSheetId="0">#REF!</definedName>
    <definedName name="RegiãoTítuloColuna36..D168.1" localSheetId="1">#REF!</definedName>
    <definedName name="RegiãoTítuloColuna36..D168.1" localSheetId="4">#REF!</definedName>
    <definedName name="RegiãoTítuloColuna36..D168.1">#REF!</definedName>
    <definedName name="RegiãoTítuloColuna4..H26.1" localSheetId="0">#REF!</definedName>
    <definedName name="RegiãoTítuloColuna4..H26.1" localSheetId="1">#REF!</definedName>
    <definedName name="RegiãoTítuloColuna4..H26.1" localSheetId="4">#REF!</definedName>
    <definedName name="RegiãoTítuloColuna4..H26.1">#REF!</definedName>
    <definedName name="RegiãoTítuloColuna5..C28.1" localSheetId="0">#REF!</definedName>
    <definedName name="RegiãoTítuloColuna5..C28.1" localSheetId="1">#REF!</definedName>
    <definedName name="RegiãoTítuloColuna5..C28.1" localSheetId="4">#REF!</definedName>
    <definedName name="RegiãoTítuloColuna5..C28.1">#REF!</definedName>
    <definedName name="RegiãoTítuloColuna6..D28.1" localSheetId="0">#REF!</definedName>
    <definedName name="RegiãoTítuloColuna6..D28.1" localSheetId="1">#REF!</definedName>
    <definedName name="RegiãoTítuloColuna6..D28.1" localSheetId="4">#REF!</definedName>
    <definedName name="RegiãoTítuloColuna6..D28.1">#REF!</definedName>
    <definedName name="RegiãoTítuloColuna7..H40.1" localSheetId="0">#REF!</definedName>
    <definedName name="RegiãoTítuloColuna7..H40.1" localSheetId="1">#REF!</definedName>
    <definedName name="RegiãoTítuloColuna7..H40.1" localSheetId="4">#REF!</definedName>
    <definedName name="RegiãoTítuloColuna7..H40.1">#REF!</definedName>
    <definedName name="RegiãoTítuloColuna8..C42.1" localSheetId="0">#REF!</definedName>
    <definedName name="RegiãoTítuloColuna8..C42.1" localSheetId="1">#REF!</definedName>
    <definedName name="RegiãoTítuloColuna8..C42.1" localSheetId="4">#REF!</definedName>
    <definedName name="RegiãoTítuloColuna8..C42.1">#REF!</definedName>
    <definedName name="RegiãoTítuloColuna9..D42.1" localSheetId="0">#REF!</definedName>
    <definedName name="RegiãoTítuloColuna9..D42.1" localSheetId="1">#REF!</definedName>
    <definedName name="RegiãoTítuloColuna9..D42.1" localSheetId="4">#REF!</definedName>
    <definedName name="RegiãoTítuloColuna9..D42.1">#REF!</definedName>
    <definedName name="RESPONSAVEIS">#REF!</definedName>
    <definedName name="RESPONSÁVEIS">#REF!</definedName>
    <definedName name="SegmentaçãodeDados_DTPG" localSheetId="0">#REF!</definedName>
    <definedName name="SegmentaçãodeDados_DTPG" localSheetId="1">#REF!</definedName>
    <definedName name="SegmentaçãodeDados_DTPG" localSheetId="4">#REF!</definedName>
    <definedName name="SegmentaçãodeDados_DTPG">#REF!</definedName>
    <definedName name="SegmentaçãodeDados_DTPG1" localSheetId="0">#REF!</definedName>
    <definedName name="SegmentaçãodeDados_DTPG1" localSheetId="1">#REF!</definedName>
    <definedName name="SegmentaçãodeDados_DTPG1" localSheetId="4">#REF!</definedName>
    <definedName name="SegmentaçãodeDados_DTPG1">#REF!</definedName>
    <definedName name="SegmentaçãodeDados_DTPG2" localSheetId="0">#REF!</definedName>
    <definedName name="SegmentaçãodeDados_DTPG2" localSheetId="1">#REF!</definedName>
    <definedName name="SegmentaçãodeDados_DTPG2" localSheetId="4">#REF!</definedName>
    <definedName name="SegmentaçãodeDados_DTPG2">#REF!</definedName>
    <definedName name="TESTE" localSheetId="0">#REF!</definedName>
    <definedName name="TESTE" localSheetId="1">#REF!</definedName>
    <definedName name="TESTE" localSheetId="4">#REF!</definedName>
    <definedName name="TESTE">#REF!</definedName>
    <definedName name="ValorDoInícioDaSemana" localSheetId="9">IF([0]!InícioDaSemana="SEGUNDA-FEIRA",2,1)</definedName>
    <definedName name="ValorDoInícioDaSemana" localSheetId="0">IF([0]!InícioDaSemana="SEGUNDA-FEIRA",2,1)</definedName>
    <definedName name="ValorDoInícioDaSemana" localSheetId="1">IF([0]!InícioDaSemana="SEGUNDA-FEIRA",2,1)</definedName>
    <definedName name="ValorDoInícioDaSemana" localSheetId="4">IF([0]!InícioDaSemana="SEGUNDA-FEIRA",2,1)</definedName>
    <definedName name="ValorDoInícioDaSemana">IF([0]!InícioDaSemana="SEGUNDA-FEIRA",2,1)</definedName>
    <definedName name="Vendedor1" localSheetId="9">INDEX('IMAGENS (2)'!$I$4:$I$6,MATCH(AUXILIAR!$C$4,'IMAGENS (2)'!$H$4:$H$6,0))</definedName>
    <definedName name="Vendedor1" localSheetId="11">INDEX('IMAGENS (2)'!$I$4:$I$6,MATCH(AUXILIAR!$C$4,'IMAGENS (2)'!$H$4:$H$6,0))</definedName>
    <definedName name="Vendedor1" localSheetId="10">INDEX('IMAGENS (2)'!$I$4:$I$6,MATCH(AUXILIAR!$C$4,'IMAGENS (2)'!$H$4:$H$6,0))</definedName>
    <definedName name="Vendedor1" localSheetId="5">INDEX('IMAGENS (2)'!$I$4:$I$6,MATCH(AUXILIAR!$C$4,'IMAGENS (2)'!$H$4:$H$6,0))</definedName>
    <definedName name="Vendedor1" localSheetId="12">INDEX('IMAGENS (2)'!$I$4:$I$6,MATCH(AUXILIAR!$C$4,'IMAGENS (2)'!$H$4:$H$6,0))</definedName>
    <definedName name="Vendedor1">INDEX(IMAGENS!$I$4:$I$6,MATCH(#REF!,IMAGENS!$H$4:$H$6,0))</definedName>
    <definedName name="Vendedor2" localSheetId="9">INDEX('IMAGENS (2)'!$I$4:$I$6,MATCH(AUXILIAR!$C$5,'IMAGENS (2)'!$H$4:$H$6,0))</definedName>
    <definedName name="Vendedor2" localSheetId="11">INDEX('IMAGENS (2)'!$I$4:$I$6,MATCH(AUXILIAR!$C$5,'IMAGENS (2)'!$H$4:$H$6,0))</definedName>
    <definedName name="Vendedor2" localSheetId="10">INDEX('IMAGENS (2)'!$I$4:$I$6,MATCH(AUXILIAR!$C$5,'IMAGENS (2)'!$H$4:$H$6,0))</definedName>
    <definedName name="Vendedor2" localSheetId="5">INDEX('IMAGENS (2)'!$I$4:$I$6,MATCH(AUXILIAR!$C$5,'IMAGENS (2)'!$H$4:$H$6,0))</definedName>
    <definedName name="Vendedor2" localSheetId="12">INDEX('IMAGENS (2)'!$I$4:$I$6,MATCH(AUXILIAR!$C$5,'IMAGENS (2)'!$H$4:$H$6,0))</definedName>
    <definedName name="Vendedor2">INDEX(IMAGENS!$I$4:$I$6,MATCH(#REF!,IMAGENS!$H$4:$H$6,0))</definedName>
    <definedName name="Vendedor3" localSheetId="9">INDEX('IMAGENS (2)'!$I$4:$I$6,MATCH(AUXILIAR!$C$6,'IMAGENS (2)'!$H$4:$H$6,0))</definedName>
    <definedName name="Vendedor3" localSheetId="11">INDEX('IMAGENS (2)'!$I$4:$I$6,MATCH(AUXILIAR!$C$6,'IMAGENS (2)'!$H$4:$H$6,0))</definedName>
    <definedName name="Vendedor3" localSheetId="10">INDEX('IMAGENS (2)'!$I$4:$I$6,MATCH(AUXILIAR!$C$6,'IMAGENS (2)'!$H$4:$H$6,0))</definedName>
    <definedName name="Vendedor3" localSheetId="5">INDEX('IMAGENS (2)'!$I$4:$I$6,MATCH(AUXILIAR!$C$6,'IMAGENS (2)'!$H$4:$H$6,0))</definedName>
    <definedName name="Vendedor3" localSheetId="12">INDEX('IMAGENS (2)'!$I$4:$I$6,MATCH(AUXILIAR!$C$6,'IMAGENS (2)'!$H$4:$H$6,0))</definedName>
    <definedName name="Vendedor3">INDEX(IMAGENS!$I$4:$I$6,MATCH(#REF!,IMAGENS!$H$4:$H$6,0))</definedName>
  </definedNames>
  <calcPr calcId="191028"/>
  <pivotCaches>
    <pivotCache cacheId="0" r:id="rId24"/>
    <pivotCache cacheId="1" r:id="rId25"/>
    <pivotCache cacheId="2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3" l="1"/>
  <c r="F8" i="23"/>
  <c r="F6" i="23"/>
  <c r="O10" i="23"/>
  <c r="F17" i="23"/>
  <c r="K17" i="23" s="1"/>
  <c r="J29" i="1"/>
  <c r="J30" i="1"/>
  <c r="J31" i="1"/>
  <c r="J32" i="1"/>
  <c r="J34" i="1"/>
  <c r="J28" i="1"/>
  <c r="J22" i="1"/>
  <c r="J23" i="1"/>
  <c r="J24" i="1"/>
  <c r="J25" i="1"/>
  <c r="J27" i="1"/>
  <c r="J21" i="1"/>
  <c r="J15" i="1"/>
  <c r="J16" i="1"/>
  <c r="J17" i="1"/>
  <c r="J18" i="1"/>
  <c r="J20" i="1"/>
  <c r="J14" i="1"/>
  <c r="J8" i="1"/>
  <c r="J9" i="1"/>
  <c r="J10" i="1"/>
  <c r="J11" i="1"/>
  <c r="J13" i="1"/>
  <c r="J7" i="1"/>
  <c r="J6" i="1"/>
  <c r="I29" i="1"/>
  <c r="I30" i="1"/>
  <c r="I31" i="1"/>
  <c r="I32" i="1"/>
  <c r="I34" i="1"/>
  <c r="I28" i="1"/>
  <c r="I22" i="1"/>
  <c r="I23" i="1"/>
  <c r="I24" i="1"/>
  <c r="I25" i="1"/>
  <c r="I27" i="1"/>
  <c r="I21" i="1"/>
  <c r="I15" i="1"/>
  <c r="I16" i="1"/>
  <c r="I17" i="1"/>
  <c r="I18" i="1"/>
  <c r="I20" i="1"/>
  <c r="I14" i="1"/>
  <c r="I8" i="1"/>
  <c r="I9" i="1"/>
  <c r="I10" i="1"/>
  <c r="I11" i="1"/>
  <c r="I13" i="1"/>
  <c r="I7" i="1"/>
  <c r="I6" i="1"/>
  <c r="H29" i="1"/>
  <c r="H30" i="1"/>
  <c r="H31" i="1"/>
  <c r="H32" i="1"/>
  <c r="H34" i="1"/>
  <c r="H28" i="1"/>
  <c r="H22" i="1"/>
  <c r="H23" i="1"/>
  <c r="H24" i="1"/>
  <c r="H25" i="1"/>
  <c r="H27" i="1"/>
  <c r="H21" i="1"/>
  <c r="H15" i="1"/>
  <c r="H16" i="1"/>
  <c r="H17" i="1"/>
  <c r="H18" i="1"/>
  <c r="H20" i="1"/>
  <c r="H14" i="1"/>
  <c r="H8" i="1"/>
  <c r="H9" i="1"/>
  <c r="H10" i="1"/>
  <c r="H11" i="1"/>
  <c r="H13" i="1"/>
  <c r="H7" i="1"/>
  <c r="H6" i="1"/>
  <c r="G29" i="1"/>
  <c r="G30" i="1"/>
  <c r="G31" i="1"/>
  <c r="G32" i="1"/>
  <c r="G34" i="1"/>
  <c r="G28" i="1"/>
  <c r="G22" i="1"/>
  <c r="G23" i="1"/>
  <c r="G24" i="1"/>
  <c r="G25" i="1"/>
  <c r="G27" i="1"/>
  <c r="G21" i="1"/>
  <c r="G15" i="1"/>
  <c r="G16" i="1"/>
  <c r="G17" i="1"/>
  <c r="G18" i="1"/>
  <c r="G20" i="1"/>
  <c r="G14" i="1"/>
  <c r="G8" i="1"/>
  <c r="G9" i="1"/>
  <c r="G10" i="1"/>
  <c r="G11" i="1"/>
  <c r="G13" i="1"/>
  <c r="G7" i="1"/>
  <c r="G6" i="1"/>
  <c r="R54" i="4"/>
  <c r="R52" i="4"/>
  <c r="R51" i="4"/>
  <c r="R50" i="4"/>
  <c r="R49" i="4"/>
  <c r="Q9" i="4"/>
  <c r="O10" i="4"/>
  <c r="U49" i="4"/>
  <c r="Q7" i="15"/>
  <c r="Q8" i="15"/>
  <c r="Q9" i="15"/>
  <c r="Q6" i="15"/>
  <c r="I8" i="15"/>
  <c r="I9" i="15"/>
  <c r="I10" i="15"/>
  <c r="I11" i="15"/>
  <c r="I12" i="15"/>
  <c r="N23" i="1"/>
  <c r="J22" i="23"/>
  <c r="J23" i="23"/>
  <c r="J24" i="23"/>
  <c r="J21" i="23"/>
  <c r="L18" i="23" l="1"/>
  <c r="Q10" i="4"/>
  <c r="N10" i="4"/>
  <c r="M3" i="15"/>
  <c r="J3" i="15"/>
  <c r="R7" i="15"/>
  <c r="P3" i="15" s="1"/>
  <c r="R8" i="15"/>
  <c r="Q3" i="15" s="1"/>
  <c r="R9" i="15"/>
  <c r="R3" i="15" s="1"/>
  <c r="R6" i="15"/>
  <c r="O3" i="15" s="1"/>
  <c r="G24" i="23"/>
  <c r="G23" i="23"/>
  <c r="G22" i="23"/>
  <c r="G21" i="23"/>
  <c r="D4" i="4"/>
  <c r="D5" i="4"/>
  <c r="D33" i="4" s="1"/>
  <c r="D6" i="4"/>
  <c r="D7" i="4"/>
  <c r="D8" i="4"/>
  <c r="W37" i="4"/>
  <c r="E27" i="23"/>
  <c r="E28" i="23"/>
  <c r="E29" i="23"/>
  <c r="E26" i="23"/>
  <c r="D27" i="23"/>
  <c r="D28" i="23"/>
  <c r="D29" i="23"/>
  <c r="D26" i="23"/>
  <c r="O3" i="4"/>
  <c r="C32" i="4"/>
  <c r="F16" i="23"/>
  <c r="R14" i="23"/>
  <c r="R16" i="23" s="1"/>
  <c r="P14" i="23"/>
  <c r="P16" i="23" s="1"/>
  <c r="O14" i="23"/>
  <c r="N14" i="23"/>
  <c r="N16" i="23" s="1"/>
  <c r="M14" i="23"/>
  <c r="M16" i="23" s="1"/>
  <c r="L14" i="23"/>
  <c r="L16" i="23" s="1"/>
  <c r="K14" i="23"/>
  <c r="K16" i="23" s="1"/>
  <c r="H14" i="23"/>
  <c r="H16" i="23" s="1"/>
  <c r="E14" i="23"/>
  <c r="E16" i="23" s="1"/>
  <c r="D14" i="23"/>
  <c r="R35" i="23"/>
  <c r="Q35" i="23"/>
  <c r="R34" i="23"/>
  <c r="Q34" i="23"/>
  <c r="R33" i="23"/>
  <c r="Q33" i="23"/>
  <c r="R32" i="23"/>
  <c r="Q32" i="23"/>
  <c r="R29" i="23"/>
  <c r="P29" i="23"/>
  <c r="O29" i="23"/>
  <c r="N29" i="23"/>
  <c r="M29" i="23"/>
  <c r="L29" i="23"/>
  <c r="K29" i="23"/>
  <c r="H29" i="23"/>
  <c r="F29" i="23"/>
  <c r="R28" i="23"/>
  <c r="P28" i="23"/>
  <c r="O28" i="23"/>
  <c r="N28" i="23"/>
  <c r="M28" i="23"/>
  <c r="L28" i="23"/>
  <c r="K28" i="23"/>
  <c r="H28" i="23"/>
  <c r="F28" i="23"/>
  <c r="R27" i="23"/>
  <c r="P27" i="23"/>
  <c r="O27" i="23"/>
  <c r="N27" i="23"/>
  <c r="M27" i="23"/>
  <c r="L27" i="23"/>
  <c r="K27" i="23"/>
  <c r="H27" i="23"/>
  <c r="F27" i="23"/>
  <c r="R26" i="23"/>
  <c r="P26" i="23"/>
  <c r="O26" i="23"/>
  <c r="N26" i="23"/>
  <c r="M26" i="23"/>
  <c r="L26" i="23"/>
  <c r="K26" i="23"/>
  <c r="H26" i="23"/>
  <c r="F26" i="23"/>
  <c r="W18" i="23"/>
  <c r="Z15" i="23"/>
  <c r="Q9" i="23"/>
  <c r="U6" i="23" s="1"/>
  <c r="R8" i="23"/>
  <c r="R12" i="23" s="1"/>
  <c r="Q8" i="23"/>
  <c r="P8" i="23"/>
  <c r="P12" i="23" s="1"/>
  <c r="O8" i="23"/>
  <c r="N8" i="23"/>
  <c r="N12" i="23" s="1"/>
  <c r="M8" i="23"/>
  <c r="M12" i="23" s="1"/>
  <c r="L8" i="23"/>
  <c r="L12" i="23" s="1"/>
  <c r="K8" i="23"/>
  <c r="K12" i="23" s="1"/>
  <c r="H8" i="23"/>
  <c r="H12" i="23" s="1"/>
  <c r="E8" i="23"/>
  <c r="E12" i="23" s="1"/>
  <c r="D8" i="23"/>
  <c r="D12" i="23" s="1"/>
  <c r="W6" i="23"/>
  <c r="R6" i="23"/>
  <c r="Q6" i="23"/>
  <c r="P6" i="23"/>
  <c r="O6" i="23"/>
  <c r="N6" i="23"/>
  <c r="M6" i="23"/>
  <c r="L6" i="23"/>
  <c r="K6" i="23"/>
  <c r="H6" i="23"/>
  <c r="E6" i="23"/>
  <c r="D6" i="23"/>
  <c r="W5" i="23"/>
  <c r="V5" i="23"/>
  <c r="U5" i="23"/>
  <c r="S5" i="23"/>
  <c r="S8" i="23" s="1"/>
  <c r="W4" i="23"/>
  <c r="V4" i="23"/>
  <c r="U4" i="23"/>
  <c r="S4" i="23"/>
  <c r="Q10" i="19"/>
  <c r="P9" i="19"/>
  <c r="O12" i="23" l="1"/>
  <c r="O15" i="23"/>
  <c r="S15" i="23" s="1"/>
  <c r="D16" i="23"/>
  <c r="T15" i="23"/>
  <c r="U15" i="23" s="1"/>
  <c r="Q14" i="23"/>
  <c r="Q16" i="23" s="1"/>
  <c r="V6" i="23"/>
  <c r="W22" i="23"/>
  <c r="Q29" i="23"/>
  <c r="Q26" i="23"/>
  <c r="Q28" i="23"/>
  <c r="Q12" i="23"/>
  <c r="S9" i="23"/>
  <c r="S6" i="23"/>
  <c r="Q27" i="23"/>
  <c r="O16" i="23" l="1"/>
  <c r="S14" i="23"/>
  <c r="S16" i="23" s="1"/>
  <c r="T12" i="23"/>
  <c r="S12" i="23"/>
  <c r="W20" i="23"/>
  <c r="W23" i="23" s="1"/>
  <c r="W24" i="23" s="1"/>
  <c r="T8" i="23"/>
  <c r="X22" i="23" l="1"/>
  <c r="X20" i="23"/>
  <c r="G4" i="17" l="1"/>
  <c r="G5" i="17"/>
  <c r="G6" i="17"/>
  <c r="G7" i="17"/>
  <c r="G3" i="17"/>
  <c r="I26" i="15"/>
  <c r="D8" i="19"/>
  <c r="D10" i="19"/>
  <c r="D6" i="19"/>
  <c r="R15" i="4"/>
  <c r="R16" i="4"/>
  <c r="R17" i="4"/>
  <c r="R18" i="4"/>
  <c r="R19" i="4"/>
  <c r="R20" i="4"/>
  <c r="R14" i="4"/>
  <c r="N9" i="19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O28" i="19"/>
  <c r="O27" i="19"/>
  <c r="O26" i="19"/>
  <c r="O25" i="19"/>
  <c r="N26" i="19"/>
  <c r="N27" i="19"/>
  <c r="N28" i="19"/>
  <c r="N25" i="19"/>
  <c r="Q8" i="19"/>
  <c r="H4" i="22"/>
  <c r="H5" i="22"/>
  <c r="H6" i="22"/>
  <c r="H3" i="22"/>
  <c r="H5" i="17" l="1"/>
  <c r="J10" i="15"/>
  <c r="P10" i="19"/>
  <c r="M8" i="19"/>
  <c r="T13" i="19"/>
  <c r="T6" i="19"/>
  <c r="T12" i="19"/>
  <c r="K21" i="19"/>
  <c r="W11" i="19"/>
  <c r="T15" i="19"/>
  <c r="S6" i="19"/>
  <c r="R6" i="19"/>
  <c r="T5" i="19"/>
  <c r="T4" i="19"/>
  <c r="S5" i="19"/>
  <c r="S4" i="19"/>
  <c r="R5" i="19"/>
  <c r="R4" i="19"/>
  <c r="E36" i="1"/>
  <c r="M9" i="1"/>
  <c r="M13" i="1"/>
  <c r="M18" i="1"/>
  <c r="M19" i="1"/>
  <c r="M20" i="1"/>
  <c r="M23" i="1"/>
  <c r="M24" i="1"/>
  <c r="M25" i="1"/>
  <c r="M29" i="1"/>
  <c r="M34" i="1"/>
  <c r="M35" i="1"/>
  <c r="D29" i="4"/>
  <c r="D28" i="4"/>
  <c r="D27" i="4"/>
  <c r="D26" i="4"/>
  <c r="D25" i="4"/>
  <c r="D24" i="4"/>
  <c r="D22" i="4"/>
  <c r="D21" i="4"/>
  <c r="D20" i="4"/>
  <c r="D19" i="4"/>
  <c r="D18" i="4"/>
  <c r="D17" i="4"/>
  <c r="D15" i="4"/>
  <c r="D14" i="4"/>
  <c r="D13" i="4"/>
  <c r="D12" i="4"/>
  <c r="D11" i="4"/>
  <c r="D10" i="4"/>
  <c r="C30" i="4"/>
  <c r="C31" i="4"/>
  <c r="I17" i="15"/>
  <c r="I25" i="15" s="1"/>
  <c r="I19" i="15"/>
  <c r="I27" i="15" s="1"/>
  <c r="I20" i="15"/>
  <c r="I28" i="15" s="1"/>
  <c r="M6" i="1"/>
  <c r="M10" i="1"/>
  <c r="M11" i="1"/>
  <c r="M12" i="1"/>
  <c r="M14" i="1"/>
  <c r="M15" i="1"/>
  <c r="M16" i="1"/>
  <c r="M17" i="1"/>
  <c r="M21" i="1"/>
  <c r="M22" i="1"/>
  <c r="M26" i="1"/>
  <c r="M27" i="1"/>
  <c r="M28" i="1"/>
  <c r="M30" i="1"/>
  <c r="M31" i="1"/>
  <c r="M32" i="1"/>
  <c r="M33" i="1"/>
  <c r="M5" i="1"/>
  <c r="C35" i="1"/>
  <c r="C34" i="1"/>
  <c r="C33" i="1"/>
  <c r="C32" i="1"/>
  <c r="C31" i="1"/>
  <c r="D31" i="1" s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D14" i="1" l="1"/>
  <c r="B14" i="15"/>
  <c r="B138" i="15"/>
  <c r="B107" i="15"/>
  <c r="B76" i="15"/>
  <c r="F30" i="1"/>
  <c r="B30" i="15"/>
  <c r="B154" i="15"/>
  <c r="B123" i="15"/>
  <c r="B92" i="15"/>
  <c r="B69" i="15"/>
  <c r="B7" i="15"/>
  <c r="B131" i="15"/>
  <c r="B100" i="15"/>
  <c r="F23" i="1"/>
  <c r="B85" i="15"/>
  <c r="B147" i="15"/>
  <c r="B116" i="15"/>
  <c r="B23" i="15"/>
  <c r="F31" i="1"/>
  <c r="B93" i="15"/>
  <c r="B155" i="15"/>
  <c r="B31" i="15"/>
  <c r="B124" i="15"/>
  <c r="F8" i="1"/>
  <c r="B101" i="15"/>
  <c r="B70" i="15"/>
  <c r="B8" i="15"/>
  <c r="B132" i="15"/>
  <c r="F16" i="1"/>
  <c r="B109" i="15"/>
  <c r="B16" i="15"/>
  <c r="B140" i="15"/>
  <c r="B78" i="15"/>
  <c r="F24" i="1"/>
  <c r="B117" i="15"/>
  <c r="B24" i="15"/>
  <c r="B148" i="15"/>
  <c r="B86" i="15"/>
  <c r="F32" i="1"/>
  <c r="B125" i="15"/>
  <c r="B32" i="15"/>
  <c r="B156" i="15"/>
  <c r="B94" i="15"/>
  <c r="D9" i="1"/>
  <c r="B133" i="15"/>
  <c r="B102" i="15"/>
  <c r="B9" i="15"/>
  <c r="B71" i="15"/>
  <c r="F17" i="1"/>
  <c r="B141" i="15"/>
  <c r="B17" i="15"/>
  <c r="B79" i="15"/>
  <c r="B110" i="15"/>
  <c r="D25" i="1"/>
  <c r="B149" i="15"/>
  <c r="B87" i="15"/>
  <c r="B25" i="15"/>
  <c r="B118" i="15"/>
  <c r="F33" i="1"/>
  <c r="B157" i="15"/>
  <c r="B126" i="15"/>
  <c r="C126" i="15" s="1"/>
  <c r="B33" i="15"/>
  <c r="B95" i="15"/>
  <c r="B6" i="15"/>
  <c r="B130" i="15"/>
  <c r="B99" i="15"/>
  <c r="B68" i="15"/>
  <c r="F22" i="1"/>
  <c r="B22" i="15"/>
  <c r="B146" i="15"/>
  <c r="B115" i="15"/>
  <c r="B84" i="15"/>
  <c r="D15" i="1"/>
  <c r="B77" i="15"/>
  <c r="B15" i="15"/>
  <c r="B139" i="15"/>
  <c r="B108" i="15"/>
  <c r="F10" i="1"/>
  <c r="B72" i="15"/>
  <c r="B10" i="15"/>
  <c r="B103" i="15"/>
  <c r="B134" i="15"/>
  <c r="F18" i="1"/>
  <c r="B80" i="15"/>
  <c r="B18" i="15"/>
  <c r="B142" i="15"/>
  <c r="B111" i="15"/>
  <c r="F26" i="1"/>
  <c r="B119" i="15"/>
  <c r="B88" i="15"/>
  <c r="B26" i="15"/>
  <c r="B150" i="15"/>
  <c r="F34" i="1"/>
  <c r="B158" i="15"/>
  <c r="C158" i="15" s="1"/>
  <c r="B96" i="15"/>
  <c r="C96" i="15" s="1"/>
  <c r="B34" i="15"/>
  <c r="B127" i="15"/>
  <c r="C127" i="15" s="1"/>
  <c r="D11" i="1"/>
  <c r="B104" i="15"/>
  <c r="B73" i="15"/>
  <c r="B11" i="15"/>
  <c r="B135" i="15"/>
  <c r="F19" i="1"/>
  <c r="B112" i="15"/>
  <c r="B81" i="15"/>
  <c r="B19" i="15"/>
  <c r="B143" i="15"/>
  <c r="F27" i="1"/>
  <c r="B151" i="15"/>
  <c r="B120" i="15"/>
  <c r="B89" i="15"/>
  <c r="B27" i="15"/>
  <c r="F35" i="1"/>
  <c r="B128" i="15"/>
  <c r="B97" i="15"/>
  <c r="C97" i="15" s="1"/>
  <c r="B35" i="15"/>
  <c r="C35" i="15" s="1"/>
  <c r="B159" i="15"/>
  <c r="C159" i="15" s="1"/>
  <c r="F12" i="1"/>
  <c r="B136" i="15"/>
  <c r="B105" i="15"/>
  <c r="B74" i="15"/>
  <c r="B12" i="15"/>
  <c r="F20" i="1"/>
  <c r="B144" i="15"/>
  <c r="B113" i="15"/>
  <c r="B82" i="15"/>
  <c r="B20" i="15"/>
  <c r="F28" i="1"/>
  <c r="B152" i="15"/>
  <c r="B121" i="15"/>
  <c r="B90" i="15"/>
  <c r="B28" i="15"/>
  <c r="B5" i="15"/>
  <c r="B129" i="15"/>
  <c r="B98" i="15"/>
  <c r="B67" i="15"/>
  <c r="F13" i="1"/>
  <c r="B137" i="15"/>
  <c r="B106" i="15"/>
  <c r="B75" i="15"/>
  <c r="B13" i="15"/>
  <c r="F21" i="1"/>
  <c r="B145" i="15"/>
  <c r="B114" i="15"/>
  <c r="B83" i="15"/>
  <c r="B21" i="15"/>
  <c r="F29" i="1"/>
  <c r="B153" i="15"/>
  <c r="B122" i="15"/>
  <c r="B91" i="15"/>
  <c r="B29" i="15"/>
  <c r="F5" i="1"/>
  <c r="L6" i="1"/>
  <c r="F7" i="1"/>
  <c r="U13" i="19"/>
  <c r="U15" i="19"/>
  <c r="T16" i="19"/>
  <c r="T17" i="19" s="1"/>
  <c r="C128" i="15"/>
  <c r="C157" i="15"/>
  <c r="C156" i="15"/>
  <c r="M7" i="1"/>
  <c r="M8" i="1"/>
  <c r="L18" i="1"/>
  <c r="F6" i="1"/>
  <c r="L35" i="1"/>
  <c r="L34" i="1"/>
  <c r="L33" i="1"/>
  <c r="D8" i="1"/>
  <c r="L32" i="1"/>
  <c r="D5" i="1"/>
  <c r="D26" i="1"/>
  <c r="L19" i="1"/>
  <c r="L17" i="1"/>
  <c r="D6" i="1"/>
  <c r="L16" i="1"/>
  <c r="L15" i="1"/>
  <c r="L30" i="1"/>
  <c r="L14" i="1"/>
  <c r="L29" i="1"/>
  <c r="L13" i="1"/>
  <c r="L31" i="1"/>
  <c r="F9" i="1"/>
  <c r="L12" i="1"/>
  <c r="D16" i="1"/>
  <c r="L28" i="1"/>
  <c r="L27" i="1"/>
  <c r="L11" i="1"/>
  <c r="L26" i="1"/>
  <c r="L10" i="1"/>
  <c r="L25" i="1"/>
  <c r="L9" i="1"/>
  <c r="L24" i="1"/>
  <c r="L8" i="1"/>
  <c r="L23" i="1"/>
  <c r="L7" i="1"/>
  <c r="L22" i="1"/>
  <c r="L21" i="1"/>
  <c r="L5" i="1"/>
  <c r="L20" i="1"/>
  <c r="F11" i="1"/>
  <c r="F14" i="1"/>
  <c r="D21" i="1"/>
  <c r="D27" i="1"/>
  <c r="D24" i="1"/>
  <c r="F15" i="1"/>
  <c r="F25" i="1"/>
  <c r="D28" i="1"/>
  <c r="D22" i="1"/>
  <c r="D32" i="1"/>
  <c r="D10" i="1"/>
  <c r="D23" i="1"/>
  <c r="D7" i="1"/>
  <c r="D30" i="1"/>
  <c r="D12" i="1"/>
  <c r="D19" i="1"/>
  <c r="D35" i="1"/>
  <c r="D17" i="1"/>
  <c r="D33" i="1"/>
  <c r="D29" i="1"/>
  <c r="D13" i="1"/>
  <c r="D20" i="1"/>
  <c r="D18" i="1"/>
  <c r="D34" i="1"/>
  <c r="T9" i="1" l="1"/>
  <c r="T5" i="1"/>
  <c r="T7" i="1"/>
  <c r="T6" i="1"/>
  <c r="T8" i="1"/>
  <c r="C100" i="15"/>
  <c r="C106" i="15"/>
  <c r="C107" i="15"/>
  <c r="C114" i="15"/>
  <c r="C115" i="15"/>
  <c r="C118" i="15"/>
  <c r="C122" i="15"/>
  <c r="C123" i="15"/>
  <c r="C102" i="15"/>
  <c r="C105" i="15"/>
  <c r="C108" i="15"/>
  <c r="C110" i="15"/>
  <c r="H4" i="17" l="1"/>
  <c r="J9" i="15"/>
  <c r="M9" i="15"/>
  <c r="C103" i="15"/>
  <c r="C113" i="15"/>
  <c r="C124" i="15"/>
  <c r="C116" i="15"/>
  <c r="C121" i="15"/>
  <c r="C119" i="15"/>
  <c r="C99" i="15"/>
  <c r="C109" i="15"/>
  <c r="C117" i="15"/>
  <c r="C101" i="15"/>
  <c r="C125" i="15"/>
  <c r="C111" i="15"/>
  <c r="C120" i="15"/>
  <c r="C112" i="15"/>
  <c r="C104" i="15"/>
  <c r="C98" i="15"/>
  <c r="AC54" i="4"/>
  <c r="AM54" i="4" s="1"/>
  <c r="AC53" i="4"/>
  <c r="AM53" i="4" s="1"/>
  <c r="AC52" i="4"/>
  <c r="AM52" i="4" s="1"/>
  <c r="AC51" i="4"/>
  <c r="AM51" i="4" s="1"/>
  <c r="AC50" i="4"/>
  <c r="AM50" i="4" s="1"/>
  <c r="AC49" i="4"/>
  <c r="AM49" i="4" s="1"/>
  <c r="AW49" i="4" s="1"/>
  <c r="AC48" i="4"/>
  <c r="AM48" i="4" s="1"/>
  <c r="AW48" i="4" s="1"/>
  <c r="AB4" i="4"/>
  <c r="AB15" i="4" s="1"/>
  <c r="AB5" i="4"/>
  <c r="AB16" i="4" s="1"/>
  <c r="AB6" i="4"/>
  <c r="AL6" i="4" s="1"/>
  <c r="AL17" i="4" s="1"/>
  <c r="AB7" i="4"/>
  <c r="AB18" i="4" s="1"/>
  <c r="AB8" i="4"/>
  <c r="AB19" i="4" s="1"/>
  <c r="AB9" i="4"/>
  <c r="AL9" i="4" s="1"/>
  <c r="AB3" i="4"/>
  <c r="E6" i="19"/>
  <c r="I96" i="3"/>
  <c r="I72" i="3"/>
  <c r="I48" i="3"/>
  <c r="I24" i="3"/>
  <c r="AE54" i="4" l="1"/>
  <c r="I54" i="3" s="1"/>
  <c r="AE53" i="4"/>
  <c r="I53" i="3" s="1"/>
  <c r="AW53" i="4"/>
  <c r="AY53" i="4" s="1"/>
  <c r="I101" i="3" s="1"/>
  <c r="AO53" i="4"/>
  <c r="I77" i="3" s="1"/>
  <c r="AE51" i="4"/>
  <c r="I51" i="3" s="1"/>
  <c r="AE52" i="4"/>
  <c r="I52" i="3" s="1"/>
  <c r="AE50" i="4"/>
  <c r="I50" i="3" s="1"/>
  <c r="AL8" i="4"/>
  <c r="AL19" i="4" s="1"/>
  <c r="AL7" i="4"/>
  <c r="AV7" i="4" s="1"/>
  <c r="AV18" i="4" s="1"/>
  <c r="AL4" i="4"/>
  <c r="AV4" i="4" s="1"/>
  <c r="AV15" i="4" s="1"/>
  <c r="AW51" i="4"/>
  <c r="AY51" i="4" s="1"/>
  <c r="I99" i="3" s="1"/>
  <c r="AO51" i="4"/>
  <c r="I75" i="3" s="1"/>
  <c r="AO54" i="4"/>
  <c r="I78" i="3" s="1"/>
  <c r="AW54" i="4"/>
  <c r="AY54" i="4" s="1"/>
  <c r="I102" i="3" s="1"/>
  <c r="AO50" i="4"/>
  <c r="I74" i="3" s="1"/>
  <c r="AW50" i="4"/>
  <c r="AY50" i="4" s="1"/>
  <c r="I98" i="3" s="1"/>
  <c r="AO52" i="4"/>
  <c r="I76" i="3" s="1"/>
  <c r="AW52" i="4"/>
  <c r="AY52" i="4" s="1"/>
  <c r="I100" i="3" s="1"/>
  <c r="AB20" i="4"/>
  <c r="AV9" i="4"/>
  <c r="AV20" i="4" s="1"/>
  <c r="AL20" i="4"/>
  <c r="AB17" i="4"/>
  <c r="AV6" i="4"/>
  <c r="AV17" i="4" s="1"/>
  <c r="AL5" i="4"/>
  <c r="AL14" i="4"/>
  <c r="AV3" i="4"/>
  <c r="AV14" i="4" s="1"/>
  <c r="AB14" i="4"/>
  <c r="B8" i="3"/>
  <c r="U54" i="4"/>
  <c r="I30" i="3" s="1"/>
  <c r="AU4" i="4"/>
  <c r="E20" i="19"/>
  <c r="F20" i="19"/>
  <c r="G20" i="19"/>
  <c r="H20" i="19"/>
  <c r="I20" i="19"/>
  <c r="J20" i="19"/>
  <c r="K20" i="19"/>
  <c r="L20" i="19"/>
  <c r="M20" i="19"/>
  <c r="N20" i="19"/>
  <c r="O20" i="19"/>
  <c r="E21" i="19"/>
  <c r="F21" i="19"/>
  <c r="G21" i="19"/>
  <c r="H21" i="19"/>
  <c r="I21" i="19"/>
  <c r="J21" i="19"/>
  <c r="L21" i="19"/>
  <c r="M21" i="19"/>
  <c r="N21" i="19"/>
  <c r="O21" i="19"/>
  <c r="E22" i="19"/>
  <c r="F22" i="19"/>
  <c r="G22" i="19"/>
  <c r="H22" i="19"/>
  <c r="I22" i="19"/>
  <c r="J22" i="19"/>
  <c r="K22" i="19"/>
  <c r="L22" i="19"/>
  <c r="M22" i="19"/>
  <c r="N22" i="19"/>
  <c r="O22" i="19"/>
  <c r="O19" i="19"/>
  <c r="N19" i="19"/>
  <c r="M19" i="19"/>
  <c r="L19" i="19"/>
  <c r="K19" i="19"/>
  <c r="J19" i="19"/>
  <c r="I19" i="19"/>
  <c r="H19" i="19"/>
  <c r="G19" i="19"/>
  <c r="F19" i="19"/>
  <c r="E19" i="19"/>
  <c r="D21" i="19"/>
  <c r="D22" i="19"/>
  <c r="D20" i="19"/>
  <c r="D19" i="19"/>
  <c r="AV8" i="4" l="1"/>
  <c r="AV19" i="4" s="1"/>
  <c r="AL18" i="4"/>
  <c r="AL15" i="4"/>
  <c r="L7" i="17"/>
  <c r="C8" i="3"/>
  <c r="K3" i="15"/>
  <c r="D8" i="3"/>
  <c r="AV5" i="4"/>
  <c r="AV16" i="4" s="1"/>
  <c r="AL16" i="4"/>
  <c r="E8" i="3"/>
  <c r="J7" i="17" l="1"/>
  <c r="K10" i="15"/>
  <c r="K18" i="15" s="1"/>
  <c r="K26" i="15" s="1"/>
  <c r="K9" i="15"/>
  <c r="K17" i="15" s="1"/>
  <c r="K25" i="15" s="1"/>
  <c r="M17" i="15"/>
  <c r="M25" i="15" s="1"/>
  <c r="M10" i="15"/>
  <c r="M18" i="15" s="1"/>
  <c r="M26" i="15" s="1"/>
  <c r="C4" i="3"/>
  <c r="E8" i="19"/>
  <c r="E10" i="19" s="1"/>
  <c r="F8" i="19"/>
  <c r="F10" i="19" s="1"/>
  <c r="G8" i="19"/>
  <c r="G10" i="19" s="1"/>
  <c r="H8" i="19"/>
  <c r="H10" i="19" s="1"/>
  <c r="I8" i="19"/>
  <c r="I10" i="19" s="1"/>
  <c r="J8" i="19"/>
  <c r="J10" i="19" s="1"/>
  <c r="K8" i="19"/>
  <c r="K10" i="19" s="1"/>
  <c r="L8" i="19"/>
  <c r="L10" i="19" s="1"/>
  <c r="M10" i="19"/>
  <c r="N8" i="19"/>
  <c r="N10" i="19" s="1"/>
  <c r="O8" i="19"/>
  <c r="O10" i="19" s="1"/>
  <c r="F6" i="19"/>
  <c r="G6" i="19"/>
  <c r="H6" i="19"/>
  <c r="I6" i="19"/>
  <c r="J6" i="19"/>
  <c r="K6" i="19"/>
  <c r="L6" i="19"/>
  <c r="M6" i="19"/>
  <c r="N6" i="19"/>
  <c r="O6" i="19"/>
  <c r="P4" i="19"/>
  <c r="P5" i="19"/>
  <c r="P8" i="19" s="1"/>
  <c r="W49" i="4"/>
  <c r="AG49" i="4" s="1"/>
  <c r="AQ49" i="4" s="1"/>
  <c r="W50" i="4"/>
  <c r="AG50" i="4" s="1"/>
  <c r="AQ50" i="4" s="1"/>
  <c r="W51" i="4"/>
  <c r="AG51" i="4" s="1"/>
  <c r="AQ51" i="4" s="1"/>
  <c r="W52" i="4"/>
  <c r="AG52" i="4" s="1"/>
  <c r="AQ52" i="4" s="1"/>
  <c r="W53" i="4"/>
  <c r="AG53" i="4" s="1"/>
  <c r="AQ53" i="4" s="1"/>
  <c r="W54" i="4"/>
  <c r="AG54" i="4" s="1"/>
  <c r="AQ54" i="4" s="1"/>
  <c r="W48" i="4"/>
  <c r="AG48" i="4" s="1"/>
  <c r="AQ48" i="4" s="1"/>
  <c r="Z49" i="4"/>
  <c r="AJ49" i="4" s="1"/>
  <c r="AT49" i="4" s="1"/>
  <c r="Z50" i="4"/>
  <c r="AJ50" i="4" s="1"/>
  <c r="AT50" i="4" s="1"/>
  <c r="Z51" i="4"/>
  <c r="AJ51" i="4" s="1"/>
  <c r="AT51" i="4" s="1"/>
  <c r="Z52" i="4"/>
  <c r="AJ52" i="4" s="1"/>
  <c r="AT52" i="4" s="1"/>
  <c r="Z53" i="4"/>
  <c r="AJ53" i="4" s="1"/>
  <c r="AT53" i="4" s="1"/>
  <c r="Z54" i="4"/>
  <c r="Z48" i="4"/>
  <c r="AJ48" i="4" s="1"/>
  <c r="AT48" i="4" s="1"/>
  <c r="AC38" i="4"/>
  <c r="AM38" i="4" s="1"/>
  <c r="AW38" i="4" s="1"/>
  <c r="AC39" i="4"/>
  <c r="AM39" i="4" s="1"/>
  <c r="AW39" i="4" s="1"/>
  <c r="AC40" i="4"/>
  <c r="AM40" i="4" s="1"/>
  <c r="AW40" i="4" s="1"/>
  <c r="AC41" i="4"/>
  <c r="AM41" i="4" s="1"/>
  <c r="AW41" i="4" s="1"/>
  <c r="AC42" i="4"/>
  <c r="AM42" i="4" s="1"/>
  <c r="AW42" i="4" s="1"/>
  <c r="AC43" i="4"/>
  <c r="AM43" i="4" s="1"/>
  <c r="AW43" i="4" s="1"/>
  <c r="AC37" i="4"/>
  <c r="AM37" i="4" s="1"/>
  <c r="AW37" i="4" s="1"/>
  <c r="Z38" i="4"/>
  <c r="AJ38" i="4" s="1"/>
  <c r="AT38" i="4" s="1"/>
  <c r="Z39" i="4"/>
  <c r="AJ39" i="4" s="1"/>
  <c r="AT39" i="4" s="1"/>
  <c r="Z40" i="4"/>
  <c r="AJ40" i="4" s="1"/>
  <c r="AT40" i="4" s="1"/>
  <c r="Z41" i="4"/>
  <c r="AJ41" i="4" s="1"/>
  <c r="AT41" i="4" s="1"/>
  <c r="Z42" i="4"/>
  <c r="AJ42" i="4" s="1"/>
  <c r="AT42" i="4" s="1"/>
  <c r="Z43" i="4"/>
  <c r="AJ43" i="4" s="1"/>
  <c r="AT43" i="4" s="1"/>
  <c r="Z37" i="4"/>
  <c r="AJ37" i="4" s="1"/>
  <c r="AT37" i="4" s="1"/>
  <c r="W38" i="4"/>
  <c r="W39" i="4"/>
  <c r="W40" i="4"/>
  <c r="AG40" i="4" s="1"/>
  <c r="W41" i="4"/>
  <c r="W42" i="4"/>
  <c r="AG42" i="4" s="1"/>
  <c r="AQ42" i="4" s="1"/>
  <c r="W43" i="4"/>
  <c r="AG43" i="4" s="1"/>
  <c r="AQ43" i="4" s="1"/>
  <c r="F24" i="3"/>
  <c r="C24" i="3"/>
  <c r="W4" i="4"/>
  <c r="W15" i="4" s="1"/>
  <c r="W5" i="4"/>
  <c r="W16" i="4" s="1"/>
  <c r="W6" i="4"/>
  <c r="W17" i="4" s="1"/>
  <c r="W7" i="4"/>
  <c r="AG7" i="4" s="1"/>
  <c r="AG18" i="4" s="1"/>
  <c r="W8" i="4"/>
  <c r="AG8" i="4" s="1"/>
  <c r="W9" i="4"/>
  <c r="W20" i="4" s="1"/>
  <c r="W3" i="4"/>
  <c r="W14" i="4" s="1"/>
  <c r="N4" i="4"/>
  <c r="N15" i="4" s="1"/>
  <c r="N5" i="4"/>
  <c r="N16" i="4" s="1"/>
  <c r="N6" i="4"/>
  <c r="X6" i="4" s="1"/>
  <c r="X17" i="4" s="1"/>
  <c r="N7" i="4"/>
  <c r="AH7" i="4" s="1"/>
  <c r="N8" i="4"/>
  <c r="N19" i="4" s="1"/>
  <c r="N9" i="4"/>
  <c r="AH9" i="4" s="1"/>
  <c r="AH20" i="4" s="1"/>
  <c r="N3" i="4"/>
  <c r="N14" i="4" s="1"/>
  <c r="M15" i="4"/>
  <c r="M16" i="4"/>
  <c r="M17" i="4"/>
  <c r="M18" i="4"/>
  <c r="M19" i="4"/>
  <c r="M20" i="4"/>
  <c r="M14" i="4"/>
  <c r="AS3" i="4"/>
  <c r="AS4" i="4"/>
  <c r="AS15" i="4" s="1"/>
  <c r="AS5" i="4"/>
  <c r="AS6" i="4"/>
  <c r="AS17" i="4" s="1"/>
  <c r="AS7" i="4"/>
  <c r="AS8" i="4"/>
  <c r="AS19" i="4" s="1"/>
  <c r="AS9" i="4"/>
  <c r="AU9" i="4"/>
  <c r="AU8" i="4"/>
  <c r="AU7" i="4"/>
  <c r="AU6" i="4"/>
  <c r="AU5" i="4"/>
  <c r="AU3" i="4"/>
  <c r="AI3" i="4"/>
  <c r="AI4" i="4"/>
  <c r="AI15" i="4" s="1"/>
  <c r="AI5" i="4"/>
  <c r="AI6" i="4"/>
  <c r="AI17" i="4" s="1"/>
  <c r="AI7" i="4"/>
  <c r="AI8" i="4"/>
  <c r="AI19" i="4" s="1"/>
  <c r="AI9" i="4"/>
  <c r="AK9" i="4"/>
  <c r="AK8" i="4"/>
  <c r="AK7" i="4"/>
  <c r="AK6" i="4"/>
  <c r="AK5" i="4"/>
  <c r="AK4" i="4"/>
  <c r="AK3" i="4"/>
  <c r="AA9" i="4"/>
  <c r="AA8" i="4"/>
  <c r="AA7" i="4"/>
  <c r="AA6" i="4"/>
  <c r="AA5" i="4"/>
  <c r="AA4" i="4"/>
  <c r="AA3" i="4"/>
  <c r="Q8" i="4"/>
  <c r="Q7" i="4"/>
  <c r="Q6" i="4"/>
  <c r="Q5" i="4"/>
  <c r="Q4" i="4"/>
  <c r="Q3" i="4"/>
  <c r="Y3" i="4"/>
  <c r="Y14" i="4" s="1"/>
  <c r="Y4" i="4"/>
  <c r="Y15" i="4" s="1"/>
  <c r="Y5" i="4"/>
  <c r="Y16" i="4" s="1"/>
  <c r="Y6" i="4"/>
  <c r="Y17" i="4" s="1"/>
  <c r="Y7" i="4"/>
  <c r="Y18" i="4" s="1"/>
  <c r="Y8" i="4"/>
  <c r="Y19" i="4" s="1"/>
  <c r="Y9" i="4"/>
  <c r="Y20" i="4" s="1"/>
  <c r="K8" i="4"/>
  <c r="O4" i="4"/>
  <c r="O15" i="4" s="1"/>
  <c r="O5" i="4"/>
  <c r="O16" i="4" s="1"/>
  <c r="O6" i="4"/>
  <c r="O17" i="4" s="1"/>
  <c r="O7" i="4"/>
  <c r="O18" i="4" s="1"/>
  <c r="O8" i="4"/>
  <c r="O19" i="4" s="1"/>
  <c r="O9" i="4"/>
  <c r="O20" i="4" s="1"/>
  <c r="O14" i="4"/>
  <c r="F22" i="10"/>
  <c r="C22" i="10"/>
  <c r="F20" i="10"/>
  <c r="I12" i="10"/>
  <c r="F12" i="10"/>
  <c r="C12" i="10"/>
  <c r="H22" i="10" l="1"/>
  <c r="C3" i="10" s="1"/>
  <c r="C94" i="15"/>
  <c r="C154" i="15"/>
  <c r="C33" i="15"/>
  <c r="C34" i="15"/>
  <c r="C95" i="15"/>
  <c r="C155" i="15"/>
  <c r="AQ40" i="4"/>
  <c r="K9" i="4"/>
  <c r="K14" i="4"/>
  <c r="K20" i="4" s="1"/>
  <c r="C87" i="15"/>
  <c r="C79" i="15"/>
  <c r="C78" i="15"/>
  <c r="C71" i="15"/>
  <c r="C86" i="15"/>
  <c r="C70" i="15"/>
  <c r="C88" i="15"/>
  <c r="C80" i="15"/>
  <c r="C72" i="15"/>
  <c r="C93" i="15"/>
  <c r="C85" i="15"/>
  <c r="C77" i="15"/>
  <c r="C69" i="15"/>
  <c r="C153" i="15"/>
  <c r="C92" i="15"/>
  <c r="C84" i="15"/>
  <c r="C76" i="15"/>
  <c r="C68" i="15"/>
  <c r="C91" i="15"/>
  <c r="C83" i="15"/>
  <c r="C75" i="15"/>
  <c r="C67" i="15"/>
  <c r="C90" i="15"/>
  <c r="C82" i="15"/>
  <c r="C74" i="15"/>
  <c r="C89" i="15"/>
  <c r="C81" i="15"/>
  <c r="C73" i="15"/>
  <c r="P6" i="19"/>
  <c r="N18" i="4"/>
  <c r="X3" i="4"/>
  <c r="X9" i="4"/>
  <c r="AG41" i="4"/>
  <c r="AJ54" i="4"/>
  <c r="AH8" i="4"/>
  <c r="AH19" i="4" s="1"/>
  <c r="AG4" i="4"/>
  <c r="AG15" i="4" s="1"/>
  <c r="AG39" i="4"/>
  <c r="AG37" i="4"/>
  <c r="AG38" i="4"/>
  <c r="N20" i="4"/>
  <c r="W18" i="4"/>
  <c r="AH5" i="4"/>
  <c r="AH16" i="4" s="1"/>
  <c r="X7" i="4"/>
  <c r="X5" i="4"/>
  <c r="AG9" i="4"/>
  <c r="AQ9" i="4" s="1"/>
  <c r="AQ20" i="4" s="1"/>
  <c r="X4" i="4"/>
  <c r="AG6" i="4"/>
  <c r="AR7" i="4"/>
  <c r="AH18" i="4"/>
  <c r="AQ8" i="4"/>
  <c r="AG19" i="4"/>
  <c r="AH6" i="4"/>
  <c r="N17" i="4"/>
  <c r="AG5" i="4"/>
  <c r="AR9" i="4"/>
  <c r="X8" i="4"/>
  <c r="AG3" i="4"/>
  <c r="AH3" i="4"/>
  <c r="W19" i="4"/>
  <c r="AH4" i="4"/>
  <c r="AQ7" i="4"/>
  <c r="AQ18" i="4" s="1"/>
  <c r="AA10" i="4"/>
  <c r="AK10" i="4"/>
  <c r="AU10" i="4"/>
  <c r="AS14" i="4"/>
  <c r="AS16" i="4"/>
  <c r="AS18" i="4"/>
  <c r="AS20" i="4"/>
  <c r="AI14" i="4"/>
  <c r="AI16" i="4"/>
  <c r="AI18" i="4"/>
  <c r="AI20" i="4"/>
  <c r="Q11" i="4"/>
  <c r="AA17" i="4"/>
  <c r="AE40" i="4" s="1"/>
  <c r="Q15" i="4"/>
  <c r="Q19" i="4"/>
  <c r="Q14" i="4"/>
  <c r="Q16" i="4"/>
  <c r="H3" i="17"/>
  <c r="U53" i="4" l="1"/>
  <c r="I29" i="3" s="1"/>
  <c r="R53" i="4"/>
  <c r="I25" i="3"/>
  <c r="F29" i="3"/>
  <c r="G33" i="1" s="1"/>
  <c r="H7" i="17"/>
  <c r="P7" i="17" s="1"/>
  <c r="K12" i="15"/>
  <c r="M12" i="15"/>
  <c r="H6" i="17"/>
  <c r="K11" i="15"/>
  <c r="K19" i="15" s="1"/>
  <c r="U50" i="4"/>
  <c r="I26" i="3" s="1"/>
  <c r="R39" i="4"/>
  <c r="F15" i="3" s="1"/>
  <c r="Y40" i="4"/>
  <c r="AQ41" i="4"/>
  <c r="AT54" i="4"/>
  <c r="K15" i="4"/>
  <c r="K21" i="4" s="1"/>
  <c r="AQ39" i="4"/>
  <c r="F3" i="17"/>
  <c r="AQ38" i="4"/>
  <c r="AQ37" i="4"/>
  <c r="Q18" i="4"/>
  <c r="U52" i="4" s="1"/>
  <c r="I28" i="3" s="1"/>
  <c r="X14" i="4"/>
  <c r="AQ4" i="4"/>
  <c r="AQ15" i="4" s="1"/>
  <c r="X20" i="4"/>
  <c r="AR5" i="4"/>
  <c r="AR16" i="4" s="1"/>
  <c r="AR8" i="4"/>
  <c r="AB40" i="4"/>
  <c r="Q20" i="4"/>
  <c r="AG17" i="4"/>
  <c r="AQ6" i="4"/>
  <c r="AQ17" i="4" s="1"/>
  <c r="X15" i="4"/>
  <c r="X18" i="4"/>
  <c r="AG20" i="4"/>
  <c r="X16" i="4"/>
  <c r="Q17" i="4"/>
  <c r="U51" i="4" s="1"/>
  <c r="I27" i="3" s="1"/>
  <c r="AK19" i="4"/>
  <c r="AI42" i="4" s="1"/>
  <c r="AK18" i="4"/>
  <c r="AI41" i="4" s="1"/>
  <c r="AG16" i="4"/>
  <c r="AQ5" i="4"/>
  <c r="AR3" i="4"/>
  <c r="AH14" i="4"/>
  <c r="AG14" i="4"/>
  <c r="AQ3" i="4"/>
  <c r="AQ14" i="4" s="1"/>
  <c r="AR6" i="4"/>
  <c r="AH17" i="4"/>
  <c r="X19" i="4"/>
  <c r="AR20" i="4"/>
  <c r="AQ19" i="4"/>
  <c r="AH15" i="4"/>
  <c r="AR4" i="4"/>
  <c r="AR18" i="4"/>
  <c r="Y51" i="4"/>
  <c r="AB51" i="4"/>
  <c r="AE37" i="4"/>
  <c r="I37" i="3" s="1"/>
  <c r="R11" i="4"/>
  <c r="U42" i="4"/>
  <c r="O53" i="4"/>
  <c r="U39" i="4"/>
  <c r="O50" i="4"/>
  <c r="U37" i="4"/>
  <c r="I13" i="3" s="1"/>
  <c r="U38" i="4"/>
  <c r="O49" i="4"/>
  <c r="O39" i="4"/>
  <c r="C15" i="3" s="1"/>
  <c r="O38" i="4"/>
  <c r="C14" i="3" s="1"/>
  <c r="R38" i="4"/>
  <c r="F14" i="3" s="1"/>
  <c r="O37" i="4"/>
  <c r="C13" i="3" s="1"/>
  <c r="R37" i="4"/>
  <c r="O42" i="4"/>
  <c r="C18" i="3" s="1"/>
  <c r="G5" i="1" s="1"/>
  <c r="R42" i="4"/>
  <c r="F18" i="3" s="1"/>
  <c r="G12" i="1" s="1"/>
  <c r="L11" i="15"/>
  <c r="L19" i="15" s="1"/>
  <c r="J11" i="15"/>
  <c r="J19" i="15" s="1"/>
  <c r="M11" i="15"/>
  <c r="M19" i="15" s="1"/>
  <c r="M27" i="15" s="1"/>
  <c r="J5" i="17"/>
  <c r="J6" i="17"/>
  <c r="J4" i="17"/>
  <c r="J3" i="17"/>
  <c r="F30" i="3" l="1"/>
  <c r="C4" i="17"/>
  <c r="F7" i="17"/>
  <c r="C7" i="17"/>
  <c r="C5" i="17"/>
  <c r="C6" i="17"/>
  <c r="C3" i="17"/>
  <c r="L3" i="15"/>
  <c r="O41" i="4"/>
  <c r="C17" i="3" s="1"/>
  <c r="F40" i="3"/>
  <c r="C51" i="3"/>
  <c r="I18" i="3"/>
  <c r="G19" i="1" s="1"/>
  <c r="C25" i="3"/>
  <c r="I14" i="3"/>
  <c r="C26" i="3"/>
  <c r="F13" i="3"/>
  <c r="F25" i="3"/>
  <c r="F26" i="3"/>
  <c r="F51" i="3"/>
  <c r="C66" i="3"/>
  <c r="I5" i="1" s="1"/>
  <c r="O40" i="4"/>
  <c r="C16" i="3" s="1"/>
  <c r="I15" i="3"/>
  <c r="C65" i="3"/>
  <c r="C29" i="3"/>
  <c r="G26" i="1" s="1"/>
  <c r="C40" i="3"/>
  <c r="I32" i="3"/>
  <c r="U56" i="4"/>
  <c r="L5" i="17"/>
  <c r="E4" i="3"/>
  <c r="L4" i="17"/>
  <c r="L6" i="17"/>
  <c r="L3" i="17"/>
  <c r="U41" i="4"/>
  <c r="R41" i="4"/>
  <c r="F17" i="3" s="1"/>
  <c r="O52" i="4"/>
  <c r="AA14" i="4"/>
  <c r="Y37" i="4" s="1"/>
  <c r="C37" i="3" s="1"/>
  <c r="AA20" i="4"/>
  <c r="AR19" i="4"/>
  <c r="AI52" i="4"/>
  <c r="AL52" i="4"/>
  <c r="AI53" i="4"/>
  <c r="AL53" i="4"/>
  <c r="F77" i="3" s="1"/>
  <c r="I33" i="1" s="1"/>
  <c r="AL41" i="4"/>
  <c r="AO41" i="4"/>
  <c r="AL42" i="4"/>
  <c r="AO42" i="4"/>
  <c r="I40" i="3"/>
  <c r="O43" i="4"/>
  <c r="C19" i="3" s="1"/>
  <c r="U43" i="4"/>
  <c r="O54" i="4"/>
  <c r="AL10" i="4"/>
  <c r="R40" i="4"/>
  <c r="F16" i="3" s="1"/>
  <c r="R43" i="4"/>
  <c r="F19" i="3" s="1"/>
  <c r="U40" i="4"/>
  <c r="AB10" i="4"/>
  <c r="AK20" i="4"/>
  <c r="AL54" i="4" s="1"/>
  <c r="F78" i="3" s="1"/>
  <c r="AA15" i="4"/>
  <c r="AE38" i="4" s="1"/>
  <c r="AA18" i="4"/>
  <c r="AA16" i="4"/>
  <c r="O51" i="4"/>
  <c r="AK14" i="4"/>
  <c r="AI37" i="4" s="1"/>
  <c r="C61" i="3" s="1"/>
  <c r="AU20" i="4"/>
  <c r="AV54" i="4" s="1"/>
  <c r="F102" i="3" s="1"/>
  <c r="AA19" i="4"/>
  <c r="AK16" i="4"/>
  <c r="AI39" i="4" s="1"/>
  <c r="AK17" i="4"/>
  <c r="AI40" i="4" s="1"/>
  <c r="AU18" i="4"/>
  <c r="AS41" i="4" s="1"/>
  <c r="AK15" i="4"/>
  <c r="AR14" i="4"/>
  <c r="AQ16" i="4"/>
  <c r="AR17" i="4"/>
  <c r="AR15" i="4"/>
  <c r="K7" i="17" l="1"/>
  <c r="O7" i="17" s="1"/>
  <c r="L10" i="15"/>
  <c r="L18" i="15" s="1"/>
  <c r="L26" i="15" s="1"/>
  <c r="L9" i="15"/>
  <c r="L17" i="15" s="1"/>
  <c r="L25" i="15" s="1"/>
  <c r="L12" i="15"/>
  <c r="D4" i="3"/>
  <c r="K4" i="17"/>
  <c r="K5" i="17"/>
  <c r="K6" i="17"/>
  <c r="K3" i="17"/>
  <c r="N7" i="17"/>
  <c r="N11" i="1"/>
  <c r="U45" i="4"/>
  <c r="N8" i="1"/>
  <c r="C30" i="3"/>
  <c r="C63" i="3"/>
  <c r="I65" i="3"/>
  <c r="AE39" i="4"/>
  <c r="Y39" i="4"/>
  <c r="F65" i="3"/>
  <c r="N13" i="1"/>
  <c r="C28" i="3"/>
  <c r="N27" i="1" s="1"/>
  <c r="I19" i="3"/>
  <c r="I38" i="3"/>
  <c r="C77" i="3"/>
  <c r="I26" i="1" s="1"/>
  <c r="C89" i="3"/>
  <c r="F28" i="3"/>
  <c r="F27" i="3"/>
  <c r="I17" i="3"/>
  <c r="N20" i="1" s="1"/>
  <c r="C27" i="3"/>
  <c r="C76" i="3"/>
  <c r="C64" i="3"/>
  <c r="I66" i="3"/>
  <c r="I19" i="1" s="1"/>
  <c r="F66" i="3"/>
  <c r="I12" i="1" s="1"/>
  <c r="F76" i="3"/>
  <c r="I16" i="3"/>
  <c r="AE42" i="4"/>
  <c r="Y42" i="4"/>
  <c r="AE41" i="4"/>
  <c r="Y41" i="4"/>
  <c r="AB54" i="4"/>
  <c r="F54" i="3" s="1"/>
  <c r="AE43" i="4"/>
  <c r="AI38" i="4"/>
  <c r="C62" i="3" s="1"/>
  <c r="AO49" i="4"/>
  <c r="Y38" i="4"/>
  <c r="C38" i="3" s="1"/>
  <c r="AE49" i="4"/>
  <c r="AS52" i="4"/>
  <c r="AV52" i="4"/>
  <c r="AY43" i="4"/>
  <c r="AS54" i="4"/>
  <c r="AV41" i="4"/>
  <c r="AY41" i="4"/>
  <c r="AS43" i="4"/>
  <c r="AV43" i="4"/>
  <c r="AB48" i="4"/>
  <c r="AB37" i="4"/>
  <c r="F37" i="3" s="1"/>
  <c r="Y48" i="4"/>
  <c r="Y43" i="4"/>
  <c r="AB43" i="4"/>
  <c r="Y54" i="4"/>
  <c r="AU19" i="4"/>
  <c r="AS42" i="4" s="1"/>
  <c r="AI50" i="4"/>
  <c r="AL50" i="4"/>
  <c r="AI51" i="4"/>
  <c r="AL51" i="4"/>
  <c r="AI49" i="4"/>
  <c r="AL49" i="4"/>
  <c r="AI48" i="4"/>
  <c r="AL48" i="4"/>
  <c r="AO43" i="4"/>
  <c r="AI54" i="4"/>
  <c r="AL39" i="4"/>
  <c r="AO39" i="4"/>
  <c r="AL38" i="4"/>
  <c r="AO38" i="4"/>
  <c r="AL40" i="4"/>
  <c r="AO40" i="4"/>
  <c r="AL37" i="4"/>
  <c r="AO37" i="4"/>
  <c r="AI43" i="4"/>
  <c r="AL43" i="4"/>
  <c r="AB39" i="4"/>
  <c r="AB42" i="4"/>
  <c r="AB38" i="4"/>
  <c r="AB41" i="4"/>
  <c r="AB52" i="4"/>
  <c r="Y52" i="4"/>
  <c r="Y50" i="4"/>
  <c r="AB50" i="4"/>
  <c r="AB49" i="4"/>
  <c r="Y49" i="4"/>
  <c r="AV10" i="4"/>
  <c r="AU17" i="4"/>
  <c r="AS40" i="4" s="1"/>
  <c r="AU16" i="4"/>
  <c r="AS39" i="4" s="1"/>
  <c r="N6" i="1" s="1"/>
  <c r="AU15" i="4"/>
  <c r="AY49" i="4" s="1"/>
  <c r="AU14" i="4"/>
  <c r="AB53" i="4"/>
  <c r="F53" i="3" s="1"/>
  <c r="H33" i="1" s="1"/>
  <c r="Y53" i="4"/>
  <c r="F86" i="10"/>
  <c r="F64" i="10"/>
  <c r="F39" i="10"/>
  <c r="N34" i="1" l="1"/>
  <c r="N25" i="1"/>
  <c r="N29" i="1"/>
  <c r="N18" i="1"/>
  <c r="N22" i="1"/>
  <c r="N28" i="1"/>
  <c r="N30" i="1"/>
  <c r="N35" i="1"/>
  <c r="N24" i="1"/>
  <c r="N17" i="1"/>
  <c r="N12" i="1"/>
  <c r="N21" i="1"/>
  <c r="N16" i="1"/>
  <c r="N26" i="1"/>
  <c r="N15" i="1"/>
  <c r="N10" i="1"/>
  <c r="N19" i="1"/>
  <c r="N14" i="1"/>
  <c r="N9" i="1"/>
  <c r="AE45" i="4"/>
  <c r="F32" i="3"/>
  <c r="N7" i="1"/>
  <c r="C32" i="3"/>
  <c r="F21" i="3"/>
  <c r="I21" i="3"/>
  <c r="F61" i="3"/>
  <c r="I64" i="3"/>
  <c r="F100" i="3"/>
  <c r="C100" i="3"/>
  <c r="F62" i="3"/>
  <c r="F52" i="3"/>
  <c r="I39" i="3"/>
  <c r="C78" i="3"/>
  <c r="I43" i="3"/>
  <c r="F38" i="3"/>
  <c r="F74" i="3"/>
  <c r="F49" i="3"/>
  <c r="I62" i="3"/>
  <c r="I63" i="3"/>
  <c r="F48" i="3"/>
  <c r="I67" i="3"/>
  <c r="C41" i="3"/>
  <c r="F39" i="3"/>
  <c r="F73" i="3"/>
  <c r="I41" i="3"/>
  <c r="C74" i="3"/>
  <c r="F50" i="3"/>
  <c r="C54" i="3"/>
  <c r="C52" i="3"/>
  <c r="F63" i="3"/>
  <c r="C48" i="3"/>
  <c r="O23" i="1" s="1"/>
  <c r="C39" i="3"/>
  <c r="F41" i="3"/>
  <c r="F42" i="3"/>
  <c r="H12" i="1" s="1"/>
  <c r="F67" i="3"/>
  <c r="C73" i="3"/>
  <c r="I89" i="3"/>
  <c r="C42" i="3"/>
  <c r="H5" i="1" s="1"/>
  <c r="C49" i="3"/>
  <c r="C90" i="3"/>
  <c r="J5" i="1" s="1"/>
  <c r="F43" i="3"/>
  <c r="C72" i="3"/>
  <c r="P23" i="1" s="1"/>
  <c r="F75" i="3"/>
  <c r="F89" i="3"/>
  <c r="I42" i="3"/>
  <c r="H19" i="1" s="1"/>
  <c r="I91" i="3"/>
  <c r="F64" i="3"/>
  <c r="C50" i="3"/>
  <c r="C53" i="3"/>
  <c r="H26" i="1" s="1"/>
  <c r="F72" i="3"/>
  <c r="F91" i="3"/>
  <c r="C87" i="3"/>
  <c r="C88" i="3"/>
  <c r="I61" i="3"/>
  <c r="C75" i="3"/>
  <c r="C102" i="3"/>
  <c r="F42" i="10"/>
  <c r="AE56" i="4"/>
  <c r="I49" i="3"/>
  <c r="I56" i="3" s="1"/>
  <c r="AY56" i="4"/>
  <c r="I97" i="3"/>
  <c r="I104" i="3" s="1"/>
  <c r="AO56" i="4"/>
  <c r="I73" i="3"/>
  <c r="I80" i="3" s="1"/>
  <c r="AS38" i="4"/>
  <c r="AS37" i="4"/>
  <c r="C91" i="3"/>
  <c r="AI45" i="4"/>
  <c r="C67" i="3"/>
  <c r="F41" i="10"/>
  <c r="Y45" i="4"/>
  <c r="C43" i="3"/>
  <c r="AS49" i="4"/>
  <c r="AV49" i="4"/>
  <c r="AS50" i="4"/>
  <c r="AV50" i="4"/>
  <c r="AS51" i="4"/>
  <c r="AV51" i="4"/>
  <c r="AS53" i="4"/>
  <c r="AV53" i="4"/>
  <c r="F101" i="3" s="1"/>
  <c r="J33" i="1" s="1"/>
  <c r="AS48" i="4"/>
  <c r="AV48" i="4"/>
  <c r="AV42" i="4"/>
  <c r="AY42" i="4"/>
  <c r="AV37" i="4"/>
  <c r="AY37" i="4"/>
  <c r="AV38" i="4"/>
  <c r="AY38" i="4"/>
  <c r="AV39" i="4"/>
  <c r="AY39" i="4"/>
  <c r="AV40" i="4"/>
  <c r="AY40" i="4"/>
  <c r="AO45" i="4"/>
  <c r="AB45" i="4"/>
  <c r="AL56" i="4"/>
  <c r="AI56" i="4"/>
  <c r="AL45" i="4"/>
  <c r="C11" i="3"/>
  <c r="AB56" i="4"/>
  <c r="Y56" i="4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31" i="15"/>
  <c r="C32" i="15"/>
  <c r="I27" i="10"/>
  <c r="C74" i="10"/>
  <c r="C62" i="10"/>
  <c r="C63" i="10"/>
  <c r="F62" i="10"/>
  <c r="C53" i="10"/>
  <c r="C52" i="10"/>
  <c r="I52" i="10"/>
  <c r="I53" i="10"/>
  <c r="F52" i="10"/>
  <c r="F53" i="10"/>
  <c r="C39" i="10"/>
  <c r="I29" i="10"/>
  <c r="F29" i="10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D160" i="15"/>
  <c r="G4" i="11"/>
  <c r="G5" i="11"/>
  <c r="G6" i="11"/>
  <c r="G7" i="11"/>
  <c r="N33" i="1" l="1"/>
  <c r="P33" i="1"/>
  <c r="O35" i="1"/>
  <c r="N32" i="1"/>
  <c r="P35" i="1"/>
  <c r="P34" i="1"/>
  <c r="N31" i="1"/>
  <c r="P25" i="1"/>
  <c r="P29" i="1"/>
  <c r="O14" i="1"/>
  <c r="O18" i="1"/>
  <c r="P30" i="1"/>
  <c r="P18" i="1"/>
  <c r="P32" i="1"/>
  <c r="O32" i="1"/>
  <c r="C86" i="3"/>
  <c r="P28" i="1"/>
  <c r="P22" i="1"/>
  <c r="P6" i="1"/>
  <c r="P11" i="1"/>
  <c r="P5" i="1"/>
  <c r="P10" i="1"/>
  <c r="P9" i="1"/>
  <c r="P14" i="1"/>
  <c r="P8" i="1"/>
  <c r="P13" i="1"/>
  <c r="C64" i="10"/>
  <c r="P31" i="1"/>
  <c r="O25" i="1"/>
  <c r="O30" i="1"/>
  <c r="O6" i="1"/>
  <c r="J18" i="15"/>
  <c r="J26" i="15" s="1"/>
  <c r="I3" i="17"/>
  <c r="I7" i="17"/>
  <c r="M7" i="17" s="1"/>
  <c r="I6" i="17"/>
  <c r="I5" i="17"/>
  <c r="I4" i="17"/>
  <c r="P7" i="1"/>
  <c r="P12" i="1"/>
  <c r="O21" i="1"/>
  <c r="O26" i="1"/>
  <c r="F59" i="10"/>
  <c r="F84" i="10"/>
  <c r="F61" i="10"/>
  <c r="I50" i="10"/>
  <c r="P15" i="1"/>
  <c r="P16" i="1"/>
  <c r="F60" i="10"/>
  <c r="P21" i="1"/>
  <c r="I51" i="10"/>
  <c r="P24" i="1"/>
  <c r="P19" i="1"/>
  <c r="P26" i="1"/>
  <c r="F38" i="10"/>
  <c r="O10" i="1"/>
  <c r="O5" i="1"/>
  <c r="O12" i="1"/>
  <c r="O7" i="1"/>
  <c r="O19" i="1"/>
  <c r="F40" i="10"/>
  <c r="O31" i="1"/>
  <c r="O29" i="1"/>
  <c r="O24" i="1"/>
  <c r="F37" i="10"/>
  <c r="O28" i="1"/>
  <c r="F27" i="10"/>
  <c r="O16" i="1"/>
  <c r="O11" i="1"/>
  <c r="J17" i="15"/>
  <c r="J25" i="15" s="1"/>
  <c r="I54" i="10"/>
  <c r="C40" i="10"/>
  <c r="F76" i="10"/>
  <c r="I76" i="10"/>
  <c r="F74" i="10"/>
  <c r="C75" i="10"/>
  <c r="C84" i="10"/>
  <c r="C86" i="10"/>
  <c r="C76" i="10"/>
  <c r="I74" i="10"/>
  <c r="C54" i="10"/>
  <c r="F51" i="10"/>
  <c r="C60" i="10"/>
  <c r="P27" i="1"/>
  <c r="C61" i="10"/>
  <c r="F54" i="10"/>
  <c r="P17" i="1"/>
  <c r="F49" i="10"/>
  <c r="F50" i="10"/>
  <c r="I28" i="10"/>
  <c r="P20" i="1"/>
  <c r="O20" i="1"/>
  <c r="I30" i="10"/>
  <c r="O22" i="1"/>
  <c r="C31" i="10"/>
  <c r="O9" i="1"/>
  <c r="C41" i="10"/>
  <c r="C38" i="10"/>
  <c r="O27" i="1"/>
  <c r="F30" i="10"/>
  <c r="O15" i="1"/>
  <c r="F32" i="10"/>
  <c r="O17" i="1"/>
  <c r="F28" i="10"/>
  <c r="O13" i="1"/>
  <c r="C30" i="10"/>
  <c r="O8" i="1"/>
  <c r="I32" i="10"/>
  <c r="C42" i="10"/>
  <c r="I31" i="10"/>
  <c r="O33" i="1"/>
  <c r="O34" i="1"/>
  <c r="C80" i="3"/>
  <c r="I69" i="3"/>
  <c r="F80" i="3"/>
  <c r="C59" i="10"/>
  <c r="F69" i="3"/>
  <c r="F45" i="3"/>
  <c r="C56" i="3"/>
  <c r="C85" i="3"/>
  <c r="Q5" i="1" s="1"/>
  <c r="I90" i="3"/>
  <c r="J19" i="1" s="1"/>
  <c r="F90" i="3"/>
  <c r="J12" i="1" s="1"/>
  <c r="C37" i="10"/>
  <c r="C101" i="3"/>
  <c r="J26" i="1" s="1"/>
  <c r="I45" i="3"/>
  <c r="F87" i="3"/>
  <c r="F86" i="3"/>
  <c r="I85" i="3"/>
  <c r="F31" i="10"/>
  <c r="F99" i="3"/>
  <c r="I49" i="10"/>
  <c r="C99" i="3"/>
  <c r="C97" i="3"/>
  <c r="F56" i="3"/>
  <c r="I88" i="3"/>
  <c r="F98" i="3"/>
  <c r="F96" i="3"/>
  <c r="C96" i="3"/>
  <c r="Q23" i="1" s="1"/>
  <c r="F88" i="3"/>
  <c r="C98" i="3"/>
  <c r="I86" i="3"/>
  <c r="F85" i="3"/>
  <c r="I87" i="3"/>
  <c r="F97" i="3"/>
  <c r="B4" i="3"/>
  <c r="AP56" i="4"/>
  <c r="AF56" i="4"/>
  <c r="AS45" i="4"/>
  <c r="C69" i="3"/>
  <c r="C59" i="3" s="1"/>
  <c r="C45" i="3"/>
  <c r="C35" i="3" s="1"/>
  <c r="C32" i="10"/>
  <c r="AS56" i="4"/>
  <c r="AV56" i="4"/>
  <c r="AY45" i="4"/>
  <c r="AV45" i="4"/>
  <c r="F6" i="17"/>
  <c r="J12" i="15"/>
  <c r="F5" i="17"/>
  <c r="L8" i="15"/>
  <c r="C72" i="10"/>
  <c r="C73" i="10"/>
  <c r="C51" i="10"/>
  <c r="C50" i="10"/>
  <c r="C49" i="10"/>
  <c r="C29" i="10"/>
  <c r="C28" i="10"/>
  <c r="C27" i="10"/>
  <c r="U5" i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K4" i="4"/>
  <c r="C93" i="3" l="1"/>
  <c r="Q31" i="1"/>
  <c r="Q35" i="1"/>
  <c r="C71" i="10"/>
  <c r="C78" i="10" s="1"/>
  <c r="Q17" i="1"/>
  <c r="Q21" i="1"/>
  <c r="Q24" i="1"/>
  <c r="Q28" i="1"/>
  <c r="Q32" i="1"/>
  <c r="Q18" i="1"/>
  <c r="Q15" i="1"/>
  <c r="C21" i="3"/>
  <c r="I33" i="3" s="1"/>
  <c r="C66" i="10"/>
  <c r="Q25" i="1"/>
  <c r="Q20" i="1"/>
  <c r="Q9" i="1"/>
  <c r="Q14" i="1"/>
  <c r="Q6" i="1"/>
  <c r="Q11" i="1"/>
  <c r="Q22" i="1"/>
  <c r="Q27" i="1"/>
  <c r="Q8" i="1"/>
  <c r="Q13" i="1"/>
  <c r="Q7" i="1"/>
  <c r="F82" i="10"/>
  <c r="Q29" i="1"/>
  <c r="F81" i="10"/>
  <c r="F83" i="10"/>
  <c r="Q30" i="1"/>
  <c r="I36" i="1"/>
  <c r="I37" i="1" s="1"/>
  <c r="Q33" i="1"/>
  <c r="F71" i="10"/>
  <c r="Q12" i="1"/>
  <c r="C81" i="10"/>
  <c r="Q26" i="1"/>
  <c r="C82" i="10"/>
  <c r="I73" i="10"/>
  <c r="I71" i="10"/>
  <c r="Q19" i="1"/>
  <c r="C83" i="10"/>
  <c r="Q34" i="1"/>
  <c r="I75" i="10"/>
  <c r="C85" i="10"/>
  <c r="F75" i="10"/>
  <c r="Q16" i="1"/>
  <c r="F72" i="10"/>
  <c r="I72" i="10"/>
  <c r="F73" i="10"/>
  <c r="H36" i="1"/>
  <c r="H37" i="1" s="1"/>
  <c r="Q10" i="1"/>
  <c r="C104" i="3"/>
  <c r="F93" i="3"/>
  <c r="I93" i="3"/>
  <c r="F104" i="3"/>
  <c r="AZ56" i="4"/>
  <c r="I57" i="3"/>
  <c r="I81" i="3"/>
  <c r="F4" i="17"/>
  <c r="B5" i="17" s="1"/>
  <c r="C83" i="3"/>
  <c r="K8" i="15"/>
  <c r="M8" i="15"/>
  <c r="J8" i="15"/>
  <c r="J16" i="15" s="1"/>
  <c r="N4" i="17"/>
  <c r="O5" i="17"/>
  <c r="P6" i="17"/>
  <c r="O4" i="17"/>
  <c r="M4" i="17"/>
  <c r="M6" i="17"/>
  <c r="N6" i="17"/>
  <c r="P4" i="17"/>
  <c r="O6" i="17"/>
  <c r="M5" i="17"/>
  <c r="N5" i="17"/>
  <c r="P5" i="17"/>
  <c r="F63" i="10"/>
  <c r="F66" i="10" s="1"/>
  <c r="F85" i="10"/>
  <c r="F44" i="10"/>
  <c r="C56" i="10"/>
  <c r="C34" i="10"/>
  <c r="C44" i="10"/>
  <c r="F56" i="10"/>
  <c r="I56" i="10"/>
  <c r="I34" i="10"/>
  <c r="F34" i="10"/>
  <c r="N5" i="1" l="1"/>
  <c r="G36" i="1"/>
  <c r="G37" i="1" s="1"/>
  <c r="F88" i="10"/>
  <c r="B7" i="17"/>
  <c r="B4" i="17"/>
  <c r="B3" i="17"/>
  <c r="B6" i="17"/>
  <c r="F78" i="10"/>
  <c r="C88" i="10"/>
  <c r="I78" i="10"/>
  <c r="J36" i="1"/>
  <c r="J37" i="1" s="1"/>
  <c r="I105" i="3"/>
  <c r="H44" i="10"/>
  <c r="C25" i="10" s="1"/>
  <c r="O3" i="17"/>
  <c r="M3" i="17"/>
  <c r="P3" i="17"/>
  <c r="N3" i="17"/>
  <c r="H66" i="10"/>
  <c r="C47" i="10" s="1"/>
  <c r="H88" i="10" l="1"/>
  <c r="C69" i="10" s="1"/>
  <c r="K20" i="15"/>
  <c r="K28" i="15" s="1"/>
  <c r="K27" i="15"/>
  <c r="K16" i="15"/>
  <c r="K24" i="15" s="1"/>
  <c r="L16" i="15"/>
  <c r="L24" i="15" s="1"/>
  <c r="L27" i="15"/>
  <c r="L20" i="15"/>
  <c r="L28" i="15" s="1"/>
  <c r="M16" i="15"/>
  <c r="M24" i="15" s="1"/>
  <c r="M20" i="15"/>
  <c r="M28" i="15" s="1"/>
  <c r="J20" i="15" l="1"/>
  <c r="J28" i="15" s="1"/>
  <c r="J27" i="15"/>
  <c r="X9" i="1"/>
  <c r="W9" i="1"/>
  <c r="V9" i="1"/>
  <c r="U9" i="1"/>
  <c r="X8" i="1"/>
  <c r="W8" i="1"/>
  <c r="V8" i="1"/>
  <c r="U8" i="1"/>
  <c r="X7" i="1"/>
  <c r="W7" i="1"/>
  <c r="V7" i="1"/>
  <c r="U7" i="1"/>
  <c r="X6" i="1"/>
  <c r="W6" i="1"/>
  <c r="V6" i="1"/>
  <c r="U6" i="1"/>
  <c r="X5" i="1"/>
  <c r="W5" i="1"/>
  <c r="V5" i="1"/>
  <c r="R56" i="4"/>
  <c r="O56" i="4"/>
  <c r="R45" i="4"/>
  <c r="O45" i="4"/>
  <c r="C8" i="4"/>
  <c r="C7" i="4"/>
  <c r="C6" i="4"/>
  <c r="C5" i="4"/>
  <c r="C4" i="4"/>
  <c r="C3" i="4"/>
  <c r="C2" i="4"/>
  <c r="AA9" i="1"/>
  <c r="AA8" i="1"/>
  <c r="AA7" i="1"/>
  <c r="AA6" i="1"/>
  <c r="V56" i="4" l="1"/>
  <c r="J24" i="15"/>
  <c r="AB7" i="1"/>
  <c r="AC7" i="1" s="1"/>
  <c r="AD7" i="1" s="1"/>
  <c r="AE7" i="1" s="1"/>
  <c r="AB9" i="1"/>
  <c r="AC9" i="1" s="1"/>
  <c r="AD9" i="1" s="1"/>
  <c r="AE9" i="1" s="1"/>
  <c r="AB8" i="1"/>
  <c r="AC8" i="1" s="1"/>
  <c r="AD8" i="1" s="1"/>
  <c r="AE8" i="1" s="1"/>
  <c r="AD5" i="1"/>
  <c r="AE5" i="1" s="1"/>
  <c r="AB6" i="1"/>
  <c r="AC6" i="1" s="1"/>
  <c r="AD6" i="1" s="1"/>
  <c r="AE6" i="1" s="1"/>
  <c r="C35" i="2"/>
  <c r="AA5" i="1"/>
  <c r="AB5" i="1"/>
  <c r="AC5" i="1"/>
  <c r="E30" i="2" l="1"/>
  <c r="D31" i="2"/>
  <c r="E32" i="2"/>
  <c r="D29" i="2"/>
  <c r="C25" i="2"/>
  <c r="D20" i="2" s="1"/>
  <c r="D30" i="2" l="1"/>
  <c r="E31" i="2"/>
  <c r="E29" i="2"/>
  <c r="D32" i="2"/>
  <c r="D23" i="2"/>
  <c r="D19" i="2"/>
  <c r="D22" i="2"/>
  <c r="D21" i="2"/>
  <c r="D25" i="2"/>
  <c r="D2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<sst xmlns="http://schemas.openxmlformats.org/spreadsheetml/2006/main" count="1312" uniqueCount="139">
  <si>
    <t>VENDAS - METAS INDIVIDUAIS</t>
  </si>
  <si>
    <t>META MÍNIMA</t>
  </si>
  <si>
    <t>TOP 1</t>
  </si>
  <si>
    <t>TOP 2</t>
  </si>
  <si>
    <t>MASTER</t>
  </si>
  <si>
    <t>VENDAS - ONLINE</t>
  </si>
  <si>
    <t>MÍNIMO</t>
  </si>
  <si>
    <t>MÍNIMA</t>
  </si>
  <si>
    <t>SEMANA 1</t>
  </si>
  <si>
    <t>SEMANA 2</t>
  </si>
  <si>
    <t>SEMANA 3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</si>
  <si>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</si>
  <si>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</si>
  <si>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</si>
  <si>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</si>
  <si>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</si>
  <si>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</si>
  <si>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</si>
  <si>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TOTAL</t>
  </si>
  <si>
    <t>SEMANA 4</t>
  </si>
  <si>
    <t>SEMANA 5</t>
  </si>
  <si>
    <t>SEMANA 6</t>
  </si>
  <si>
    <t>TOTAL DO MÊS</t>
  </si>
  <si>
    <t>CENÁRIO 1</t>
  </si>
  <si>
    <t>CENÁRIO 2</t>
  </si>
  <si>
    <t>CENÁRIO 3</t>
  </si>
  <si>
    <t>CENÁRIO 4</t>
  </si>
  <si>
    <t>MÊS</t>
  </si>
  <si>
    <t>ANO</t>
  </si>
  <si>
    <t xml:space="preserve"> </t>
  </si>
  <si>
    <t>METAS POR DIA - DIFERENÇA</t>
  </si>
  <si>
    <t>VENDAS /SEMANA</t>
  </si>
  <si>
    <t>VENDAS /SEMANA - SOBRAL</t>
  </si>
  <si>
    <t>Valores &gt; 0</t>
  </si>
  <si>
    <t xml:space="preserve">Valores realizados sufientes para suprir a meta. O valor negativo significa a diferença superada na semana. </t>
  </si>
  <si>
    <t>CÓDIGO</t>
  </si>
  <si>
    <t>DATA</t>
  </si>
  <si>
    <t>DIA DA SEMANA</t>
  </si>
  <si>
    <t>VALOR REALIZADO</t>
  </si>
  <si>
    <t>SEMANA</t>
  </si>
  <si>
    <t>Valor</t>
  </si>
  <si>
    <t>TOP2</t>
  </si>
  <si>
    <t>Semana 1</t>
  </si>
  <si>
    <t>Valores &lt; 0</t>
  </si>
  <si>
    <t xml:space="preserve">Valores realizados não sufientes para suprir a meta. O valor positivo significa a diferença não alcançada. </t>
  </si>
  <si>
    <t>Semana 2</t>
  </si>
  <si>
    <t>Semana 3</t>
  </si>
  <si>
    <t>Semana 4</t>
  </si>
  <si>
    <t>Semana 5</t>
  </si>
  <si>
    <t>Total</t>
  </si>
  <si>
    <t>Concluído</t>
  </si>
  <si>
    <t>VALOR</t>
  </si>
  <si>
    <t>%</t>
  </si>
  <si>
    <t>Total Geral</t>
  </si>
  <si>
    <t>VENDA</t>
  </si>
  <si>
    <t>REALIZADO</t>
  </si>
  <si>
    <t>DIVISÃO DAS METAS</t>
  </si>
  <si>
    <t>DIFERENÇA</t>
  </si>
  <si>
    <t>% ALCANCE DA META</t>
  </si>
  <si>
    <t>MELHOR VENDA DIÁRIA</t>
  </si>
  <si>
    <t>MELHOR SEMANA</t>
  </si>
  <si>
    <t>METAS INDIVIDUAIS</t>
  </si>
  <si>
    <t>Rótulos de Linha</t>
  </si>
  <si>
    <t>META INDIVIDUAL</t>
  </si>
  <si>
    <t>VENDEDOR</t>
  </si>
  <si>
    <t>NARA</t>
  </si>
  <si>
    <t>CRIS</t>
  </si>
  <si>
    <t>SHERON</t>
  </si>
  <si>
    <t>VITÓRIA</t>
  </si>
  <si>
    <t>NOME</t>
  </si>
  <si>
    <t>FOTO</t>
  </si>
  <si>
    <t>MELHOR VENDEDORA</t>
  </si>
  <si>
    <t>QUANTIDADE DE VENDEDORAS</t>
  </si>
  <si>
    <t>% ONLINE</t>
  </si>
  <si>
    <t>METAS POR DIA</t>
  </si>
  <si>
    <t>RAISSA</t>
  </si>
  <si>
    <t>RAMLIZ</t>
  </si>
  <si>
    <t>JULIA</t>
  </si>
  <si>
    <t>META VENDEDORA</t>
  </si>
  <si>
    <t>ONLINE</t>
  </si>
  <si>
    <t>LETÍCIA</t>
  </si>
  <si>
    <t>VENDAS /MÊS DIFERENÇA</t>
  </si>
  <si>
    <t>LOJA</t>
  </si>
  <si>
    <t>VENDEDORA</t>
  </si>
  <si>
    <t>KETHLLEN</t>
  </si>
  <si>
    <t>STATUS META</t>
  </si>
  <si>
    <t>COMISSÕES VALORES</t>
  </si>
  <si>
    <t>Ranking</t>
  </si>
  <si>
    <t>VENDAS</t>
  </si>
  <si>
    <t>Valor Total</t>
  </si>
  <si>
    <t>FATURAMENTO</t>
  </si>
  <si>
    <t>META MENSAL</t>
  </si>
  <si>
    <t>PERCENTUAL DE REPRESENTATIVIDADE</t>
  </si>
  <si>
    <t>QUANTIDADE</t>
  </si>
  <si>
    <t>DIAS ÚTEIS</t>
  </si>
  <si>
    <t>MÉDIA/ DIA</t>
  </si>
  <si>
    <t>TOP1</t>
  </si>
  <si>
    <t>VALOR DO DIA DA SEMANA</t>
  </si>
  <si>
    <t>DISTRIBUIÇÃO DA META</t>
  </si>
  <si>
    <t>NÃO</t>
  </si>
  <si>
    <t>SIM</t>
  </si>
  <si>
    <t>SOBRAL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</si>
  <si>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</si>
  <si>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</si>
  <si>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</si>
  <si>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</si>
  <si>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</si>
  <si>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</si>
  <si>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</si>
  <si>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</si>
  <si>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</si>
  <si>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</si>
  <si>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</si>
  <si>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</si>
  <si>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</si>
  <si>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Fat. Máx</t>
  </si>
  <si>
    <t>Fat. Mín</t>
  </si>
  <si>
    <t>Média de Faturamento</t>
  </si>
  <si>
    <t>Tícket Médio</t>
  </si>
  <si>
    <t>Peças por Atendimento</t>
  </si>
  <si>
    <t>TAXA DE CRESCIMENTO 2023/2024</t>
  </si>
  <si>
    <t>TAXA DE CRESCIMENTO ESPERADA 2025</t>
  </si>
  <si>
    <t>FATURAMENTO ESPERADO 2025</t>
  </si>
  <si>
    <t>FATURAMENTO REAL</t>
  </si>
  <si>
    <t>DIFRENÇA</t>
  </si>
  <si>
    <t>JAN - JUL</t>
  </si>
  <si>
    <t>INDIVIDUAL</t>
  </si>
  <si>
    <t>ALINE</t>
  </si>
  <si>
    <t>AIANE</t>
  </si>
  <si>
    <t>TAXA DE CRESCIMENTO</t>
  </si>
  <si>
    <t>SOBRAL - PLANO TRIMESTRAL</t>
  </si>
  <si>
    <t>Detalhes do Valor Total - DIA DA SEMANA: DOMINGO</t>
  </si>
  <si>
    <t>FATURAMENTO ESPERADO 2026</t>
  </si>
  <si>
    <t>Detalhes do Valor Total</t>
  </si>
  <si>
    <t>Individual</t>
  </si>
  <si>
    <t>DIA</t>
  </si>
  <si>
    <t>DIA 28</t>
  </si>
  <si>
    <t>DIA 29</t>
  </si>
  <si>
    <t>DIA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</si>
</sst>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#,#00.00,\ &quot;Mil&quot;"/>
    <numFmt numFmtId="166" formatCode="[&gt;999999]0.0,,\ &quot;M&quot;;0.0,\ &quot;k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u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1848"/>
        <bgColor indexed="64"/>
      </patternFill>
    </fill>
    <fill>
      <patternFill patternType="solid">
        <fgColor rgb="FF0613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6AEA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9" fontId="4" fillId="0" borderId="0" xfId="2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4" xfId="1" applyFont="1" applyBorder="1" applyAlignment="1">
      <alignment horizontal="center"/>
    </xf>
    <xf numFmtId="9" fontId="3" fillId="0" borderId="4" xfId="2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8" fontId="3" fillId="0" borderId="5" xfId="0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8" fontId="3" fillId="0" borderId="8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/>
    <xf numFmtId="44" fontId="0" fillId="0" borderId="0" xfId="0" applyNumberFormat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44" fontId="0" fillId="0" borderId="4" xfId="0" applyNumberFormat="1" applyBorder="1"/>
    <xf numFmtId="8" fontId="3" fillId="0" borderId="4" xfId="1" applyNumberFormat="1" applyFont="1" applyBorder="1" applyAlignment="1">
      <alignment horizontal="center" vertical="center"/>
    </xf>
    <xf numFmtId="44" fontId="0" fillId="8" borderId="4" xfId="0" applyNumberFormat="1" applyFill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3" xfId="0" applyBorder="1" applyAlignment="1">
      <alignment wrapText="1"/>
    </xf>
    <xf numFmtId="44" fontId="0" fillId="0" borderId="0" xfId="0" applyNumberFormat="1"/>
    <xf numFmtId="0" fontId="3" fillId="0" borderId="4" xfId="0" applyFont="1" applyBorder="1"/>
    <xf numFmtId="44" fontId="3" fillId="0" borderId="4" xfId="1" applyFont="1" applyBorder="1"/>
    <xf numFmtId="44" fontId="0" fillId="0" borderId="0" xfId="1" applyFont="1"/>
    <xf numFmtId="0" fontId="3" fillId="0" borderId="10" xfId="0" applyFont="1" applyBorder="1"/>
    <xf numFmtId="44" fontId="3" fillId="0" borderId="10" xfId="0" applyNumberFormat="1" applyFont="1" applyBorder="1"/>
    <xf numFmtId="0" fontId="0" fillId="0" borderId="10" xfId="0" applyBorder="1"/>
    <xf numFmtId="44" fontId="0" fillId="0" borderId="10" xfId="1" applyFont="1" applyBorder="1"/>
    <xf numFmtId="44" fontId="3" fillId="0" borderId="0" xfId="0" applyNumberFormat="1" applyFont="1"/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7" fontId="3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3" fillId="10" borderId="4" xfId="0" applyFont="1" applyFill="1" applyBorder="1"/>
    <xf numFmtId="44" fontId="3" fillId="10" borderId="4" xfId="0" applyNumberFormat="1" applyFont="1" applyFill="1" applyBorder="1"/>
    <xf numFmtId="0" fontId="3" fillId="10" borderId="1" xfId="0" applyFont="1" applyFill="1" applyBorder="1" applyAlignment="1">
      <alignment horizontal="center" vertical="center"/>
    </xf>
    <xf numFmtId="44" fontId="3" fillId="10" borderId="1" xfId="1" applyFont="1" applyFill="1" applyBorder="1" applyAlignment="1">
      <alignment horizontal="center"/>
    </xf>
    <xf numFmtId="0" fontId="0" fillId="0" borderId="0" xfId="0" pivotButton="1"/>
    <xf numFmtId="44" fontId="3" fillId="0" borderId="4" xfId="0" applyNumberFormat="1" applyFont="1" applyBorder="1"/>
    <xf numFmtId="44" fontId="3" fillId="13" borderId="4" xfId="1" applyFont="1" applyFill="1" applyBorder="1" applyAlignment="1">
      <alignment horizontal="center" vertical="center"/>
    </xf>
    <xf numFmtId="0" fontId="4" fillId="11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/>
    </xf>
    <xf numFmtId="0" fontId="0" fillId="12" borderId="11" xfId="0" applyFill="1" applyBorder="1" applyAlignment="1">
      <alignment horizontal="left"/>
    </xf>
    <xf numFmtId="44" fontId="0" fillId="12" borderId="11" xfId="0" applyNumberFormat="1" applyFill="1" applyBorder="1"/>
    <xf numFmtId="10" fontId="3" fillId="0" borderId="4" xfId="2" applyNumberFormat="1" applyFont="1" applyBorder="1" applyAlignment="1">
      <alignment horizontal="center"/>
    </xf>
    <xf numFmtId="14" fontId="0" fillId="16" borderId="4" xfId="0" applyNumberFormat="1" applyFill="1" applyBorder="1" applyAlignment="1">
      <alignment horizontal="center"/>
    </xf>
    <xf numFmtId="44" fontId="0" fillId="16" borderId="4" xfId="1" applyFont="1" applyFill="1" applyBorder="1" applyAlignment="1">
      <alignment horizontal="center"/>
    </xf>
    <xf numFmtId="1" fontId="0" fillId="16" borderId="4" xfId="1" applyNumberFormat="1" applyFont="1" applyFill="1" applyBorder="1" applyAlignment="1">
      <alignment horizontal="center"/>
    </xf>
    <xf numFmtId="14" fontId="0" fillId="15" borderId="4" xfId="0" applyNumberFormat="1" applyFill="1" applyBorder="1" applyAlignment="1">
      <alignment horizontal="center" vertical="center"/>
    </xf>
    <xf numFmtId="44" fontId="0" fillId="15" borderId="4" xfId="1" applyFont="1" applyFill="1" applyBorder="1" applyAlignment="1">
      <alignment horizontal="center" vertical="center"/>
    </xf>
    <xf numFmtId="1" fontId="0" fillId="15" borderId="4" xfId="1" applyNumberFormat="1" applyFon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/>
    </xf>
    <xf numFmtId="44" fontId="0" fillId="15" borderId="4" xfId="1" applyFont="1" applyFill="1" applyBorder="1" applyAlignment="1">
      <alignment horizontal="center"/>
    </xf>
    <xf numFmtId="44" fontId="3" fillId="0" borderId="0" xfId="1" applyFont="1" applyBorder="1"/>
    <xf numFmtId="0" fontId="4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0" fillId="22" borderId="0" xfId="0" applyFill="1"/>
    <xf numFmtId="0" fontId="0" fillId="23" borderId="0" xfId="0" applyFill="1"/>
    <xf numFmtId="44" fontId="0" fillId="23" borderId="0" xfId="0" applyNumberFormat="1" applyFill="1"/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4" fontId="0" fillId="0" borderId="0" xfId="2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4" fontId="3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4" xfId="0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/>
    </xf>
    <xf numFmtId="44" fontId="0" fillId="0" borderId="10" xfId="0" applyNumberFormat="1" applyBorder="1"/>
    <xf numFmtId="0" fontId="10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4" fontId="0" fillId="0" borderId="4" xfId="1" applyFont="1" applyBorder="1"/>
    <xf numFmtId="9" fontId="0" fillId="0" borderId="4" xfId="2" applyFont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44" fontId="3" fillId="0" borderId="0" xfId="1" applyFont="1" applyBorder="1" applyAlignment="1">
      <alignment horizont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13" fillId="0" borderId="0" xfId="1" applyFon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9" fontId="14" fillId="0" borderId="4" xfId="0" applyNumberFormat="1" applyFont="1" applyBorder="1" applyAlignment="1">
      <alignment horizontal="center"/>
    </xf>
    <xf numFmtId="44" fontId="8" fillId="0" borderId="4" xfId="1" applyFont="1" applyBorder="1"/>
    <xf numFmtId="44" fontId="13" fillId="0" borderId="0" xfId="1" applyFont="1"/>
    <xf numFmtId="0" fontId="0" fillId="0" borderId="0" xfId="0" pivotButton="1" applyAlignment="1">
      <alignment horizontal="center"/>
    </xf>
    <xf numFmtId="166" fontId="0" fillId="0" borderId="0" xfId="0" applyNumberFormat="1"/>
    <xf numFmtId="10" fontId="0" fillId="0" borderId="0" xfId="0" applyNumberFormat="1"/>
    <xf numFmtId="14" fontId="0" fillId="25" borderId="4" xfId="0" applyNumberFormat="1" applyFill="1" applyBorder="1" applyAlignment="1">
      <alignment horizontal="center"/>
    </xf>
    <xf numFmtId="44" fontId="0" fillId="25" borderId="4" xfId="1" applyFont="1" applyFill="1" applyBorder="1" applyAlignment="1">
      <alignment horizontal="center"/>
    </xf>
    <xf numFmtId="1" fontId="0" fillId="25" borderId="4" xfId="1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1" fillId="0" borderId="0" xfId="1" applyFont="1" applyAlignment="1">
      <alignment horizontal="center"/>
    </xf>
    <xf numFmtId="14" fontId="0" fillId="26" borderId="4" xfId="0" applyNumberFormat="1" applyFill="1" applyBorder="1" applyAlignment="1">
      <alignment horizontal="center"/>
    </xf>
    <xf numFmtId="44" fontId="0" fillId="26" borderId="4" xfId="1" applyFont="1" applyFill="1" applyBorder="1" applyAlignment="1">
      <alignment horizontal="center"/>
    </xf>
    <xf numFmtId="1" fontId="0" fillId="26" borderId="4" xfId="1" applyNumberFormat="1" applyFont="1" applyFill="1" applyBorder="1" applyAlignment="1">
      <alignment horizontal="center"/>
    </xf>
    <xf numFmtId="44" fontId="2" fillId="7" borderId="9" xfId="1" applyFont="1" applyFill="1" applyBorder="1" applyAlignment="1">
      <alignment horizontal="center"/>
    </xf>
    <xf numFmtId="44" fontId="2" fillId="7" borderId="19" xfId="1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3" fillId="0" borderId="22" xfId="1" applyNumberFormat="1" applyFont="1" applyBorder="1" applyAlignment="1">
      <alignment horizontal="center" vertical="center"/>
    </xf>
    <xf numFmtId="0" fontId="3" fillId="0" borderId="23" xfId="1" applyNumberFormat="1" applyFont="1" applyBorder="1" applyAlignment="1">
      <alignment horizontal="center" vertical="center"/>
    </xf>
    <xf numFmtId="44" fontId="0" fillId="8" borderId="24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2" fillId="6" borderId="25" xfId="0" applyFont="1" applyFill="1" applyBorder="1" applyAlignment="1">
      <alignment horizontal="center" vertical="center"/>
    </xf>
    <xf numFmtId="44" fontId="0" fillId="8" borderId="26" xfId="0" applyNumberFormat="1" applyFill="1" applyBorder="1" applyAlignment="1">
      <alignment horizontal="center" vertical="center"/>
    </xf>
    <xf numFmtId="44" fontId="0" fillId="0" borderId="26" xfId="0" applyNumberFormat="1" applyBorder="1" applyAlignment="1">
      <alignment horizontal="center" vertical="center"/>
    </xf>
    <xf numFmtId="44" fontId="0" fillId="0" borderId="26" xfId="0" applyNumberFormat="1" applyBorder="1" applyAlignment="1">
      <alignment horizontal="center"/>
    </xf>
    <xf numFmtId="44" fontId="0" fillId="8" borderId="27" xfId="0" applyNumberFormat="1" applyFill="1" applyBorder="1" applyAlignment="1">
      <alignment horizontal="center"/>
    </xf>
    <xf numFmtId="44" fontId="2" fillId="7" borderId="28" xfId="1" applyFont="1" applyFill="1" applyBorder="1" applyAlignment="1">
      <alignment horizontal="center"/>
    </xf>
    <xf numFmtId="44" fontId="2" fillId="7" borderId="0" xfId="1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 vertical="center"/>
    </xf>
    <xf numFmtId="0" fontId="3" fillId="0" borderId="22" xfId="1" applyNumberFormat="1" applyFont="1" applyBorder="1" applyAlignment="1">
      <alignment horizontal="center"/>
    </xf>
    <xf numFmtId="8" fontId="0" fillId="0" borderId="26" xfId="0" applyNumberFormat="1" applyBorder="1" applyAlignment="1">
      <alignment horizontal="center"/>
    </xf>
    <xf numFmtId="0" fontId="3" fillId="0" borderId="23" xfId="1" applyNumberFormat="1" applyFont="1" applyBorder="1" applyAlignment="1">
      <alignment horizontal="center"/>
    </xf>
    <xf numFmtId="8" fontId="3" fillId="0" borderId="24" xfId="1" applyNumberFormat="1" applyFont="1" applyBorder="1" applyAlignment="1">
      <alignment horizontal="center" vertical="center"/>
    </xf>
    <xf numFmtId="8" fontId="0" fillId="0" borderId="24" xfId="0" applyNumberFormat="1" applyBorder="1" applyAlignment="1">
      <alignment horizontal="center"/>
    </xf>
    <xf numFmtId="8" fontId="0" fillId="0" borderId="27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27" borderId="4" xfId="0" applyFill="1" applyBorder="1"/>
    <xf numFmtId="9" fontId="0" fillId="0" borderId="0" xfId="2" applyFont="1"/>
    <xf numFmtId="10" fontId="0" fillId="0" borderId="0" xfId="2" applyNumberFormat="1" applyFont="1"/>
    <xf numFmtId="0" fontId="0" fillId="0" borderId="0" xfId="2" applyNumberFormat="1" applyFont="1" applyBorder="1" applyAlignment="1">
      <alignment horizontal="center"/>
    </xf>
    <xf numFmtId="0" fontId="0" fillId="0" borderId="4" xfId="1" applyNumberFormat="1" applyFont="1" applyBorder="1" applyAlignment="1">
      <alignment horizontal="center"/>
    </xf>
    <xf numFmtId="16" fontId="0" fillId="0" borderId="0" xfId="0" applyNumberFormat="1"/>
    <xf numFmtId="14" fontId="0" fillId="28" borderId="4" xfId="0" applyNumberFormat="1" applyFill="1" applyBorder="1" applyAlignment="1">
      <alignment horizontal="center" vertical="center"/>
    </xf>
    <xf numFmtId="14" fontId="0" fillId="28" borderId="4" xfId="0" applyNumberFormat="1" applyFill="1" applyBorder="1" applyAlignment="1">
      <alignment horizontal="center"/>
    </xf>
    <xf numFmtId="44" fontId="0" fillId="28" borderId="4" xfId="1" applyFont="1" applyFill="1" applyBorder="1" applyAlignment="1">
      <alignment horizontal="center"/>
    </xf>
    <xf numFmtId="1" fontId="0" fillId="28" borderId="4" xfId="1" applyNumberFormat="1" applyFont="1" applyFill="1" applyBorder="1" applyAlignment="1">
      <alignment horizontal="center" vertical="center"/>
    </xf>
    <xf numFmtId="44" fontId="0" fillId="0" borderId="0" xfId="2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1" fillId="0" borderId="0" xfId="1" applyFont="1"/>
    <xf numFmtId="0" fontId="3" fillId="0" borderId="10" xfId="0" applyFont="1" applyBorder="1" applyAlignment="1">
      <alignment horizontal="center"/>
    </xf>
    <xf numFmtId="44" fontId="15" fillId="0" borderId="0" xfId="1" applyFont="1"/>
    <xf numFmtId="9" fontId="0" fillId="0" borderId="10" xfId="2" applyFont="1" applyBorder="1" applyAlignment="1">
      <alignment horizontal="center"/>
    </xf>
    <xf numFmtId="44" fontId="0" fillId="0" borderId="10" xfId="2" applyNumberFormat="1" applyFont="1" applyBorder="1" applyAlignment="1">
      <alignment horizontal="center"/>
    </xf>
    <xf numFmtId="44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8" fontId="0" fillId="0" borderId="26" xfId="0" applyNumberFormat="1" applyBorder="1" applyAlignment="1">
      <alignment horizontal="center" vertical="center"/>
    </xf>
    <xf numFmtId="9" fontId="0" fillId="0" borderId="0" xfId="2" applyFont="1" applyAlignment="1">
      <alignment horizontal="center"/>
    </xf>
    <xf numFmtId="4" fontId="0" fillId="0" borderId="0" xfId="0" applyNumberFormat="1"/>
    <xf numFmtId="8" fontId="0" fillId="0" borderId="0" xfId="2" applyNumberFormat="1" applyFont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44" fontId="2" fillId="2" borderId="6" xfId="1" applyFont="1" applyFill="1" applyBorder="1" applyAlignment="1">
      <alignment horizontal="center" vertical="center"/>
    </xf>
    <xf numFmtId="44" fontId="2" fillId="2" borderId="7" xfId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6AEA8"/>
      <color rgb="FF00A859"/>
      <color rgb="FF1E1848"/>
      <color rgb="FFF4F299"/>
      <color rgb="FF061321"/>
      <color rgb="FF540000"/>
      <color rgb="FF04A4DE"/>
      <color rgb="FFEDC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 DIÁRIA</a:t>
            </a:r>
          </a:p>
        </c:rich>
      </c:tx>
      <c:layout>
        <c:manualLayout>
          <c:xMode val="edge"/>
          <c:yMode val="edge"/>
          <c:x val="0.4376218664919395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1"/>
              <c:pt idx="0">
                <c:v>45778</c:v>
              </c:pt>
              <c:pt idx="1">
                <c:v>45779</c:v>
              </c:pt>
              <c:pt idx="2">
                <c:v>45780</c:v>
              </c:pt>
              <c:pt idx="3">
                <c:v>45781</c:v>
              </c:pt>
              <c:pt idx="4">
                <c:v>45782</c:v>
              </c:pt>
              <c:pt idx="5">
                <c:v>45783</c:v>
              </c:pt>
              <c:pt idx="6">
                <c:v>45784</c:v>
              </c:pt>
              <c:pt idx="7">
                <c:v>45785</c:v>
              </c:pt>
              <c:pt idx="8">
                <c:v>45786</c:v>
              </c:pt>
              <c:pt idx="9">
                <c:v>45787</c:v>
              </c:pt>
              <c:pt idx="10">
                <c:v>45788</c:v>
              </c:pt>
              <c:pt idx="11">
                <c:v>45789</c:v>
              </c:pt>
              <c:pt idx="12">
                <c:v>45790</c:v>
              </c:pt>
              <c:pt idx="13">
                <c:v>45791</c:v>
              </c:pt>
              <c:pt idx="14">
                <c:v>45792</c:v>
              </c:pt>
              <c:pt idx="15">
                <c:v>45793</c:v>
              </c:pt>
              <c:pt idx="16">
                <c:v>45794</c:v>
              </c:pt>
              <c:pt idx="17">
                <c:v>45795</c:v>
              </c:pt>
              <c:pt idx="18">
                <c:v>45796</c:v>
              </c:pt>
              <c:pt idx="19">
                <c:v>45797</c:v>
              </c:pt>
              <c:pt idx="20">
                <c:v>45798</c:v>
              </c:pt>
              <c:pt idx="21">
                <c:v>45799</c:v>
              </c:pt>
              <c:pt idx="22">
                <c:v>45800</c:v>
              </c:pt>
              <c:pt idx="23">
                <c:v>45801</c:v>
              </c:pt>
              <c:pt idx="24">
                <c:v>45802</c:v>
              </c:pt>
              <c:pt idx="25">
                <c:v>45803</c:v>
              </c:pt>
              <c:pt idx="26">
                <c:v>45804</c:v>
              </c:pt>
              <c:pt idx="27">
                <c:v>45805</c:v>
              </c:pt>
              <c:pt idx="28">
                <c:v>45806</c:v>
              </c:pt>
              <c:pt idx="29">
                <c:v>45807</c:v>
              </c:pt>
              <c:pt idx="30">
                <c:v>45808</c:v>
              </c:pt>
            </c:numLit>
          </c:cat>
          <c:val>
            <c:numLit>
              <c:formatCode>General</c:formatCode>
              <c:ptCount val="31"/>
            </c:numLit>
          </c:val>
          <c:smooth val="0"/>
          <c:extLst>
            <c:ext xmlns:c16="http://schemas.microsoft.com/office/drawing/2014/chart" uri="{C3380CC4-5D6E-409C-BE32-E72D297353CC}">
              <c16:uniqueId val="{00000000-CAE4-4FAD-91F8-C93FD08E87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64797576"/>
        <c:axId val="365799944"/>
      </c:lineChart>
      <c:catAx>
        <c:axId val="36479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799944"/>
        <c:crosses val="autoZero"/>
        <c:auto val="1"/>
        <c:lblAlgn val="ctr"/>
        <c:lblOffset val="100"/>
        <c:noMultiLvlLbl val="1"/>
      </c:catAx>
      <c:valAx>
        <c:axId val="365799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79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DIA DA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C0E-4083-8727-31C7C288BA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C0E-4083-8727-31C7C288BA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C0E-4083-8727-31C7C288BA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C0E-4083-8727-31C7C288BA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C0E-4083-8727-31C7C288BA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C0E-4083-8727-31C7C288B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RESUMO!$B$19:$B$24</c:f>
              <c:strCache>
                <c:ptCount val="6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</c:strCache>
            </c:strRef>
          </c:cat>
          <c:val>
            <c:numRef>
              <c:f>RESUMO!$C$19:$C$24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F-4C3C-A868-52BE4D0FFBF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3800063896009"/>
          <c:y val="5.1643173397222505E-2"/>
          <c:w val="0.84017445904797727"/>
          <c:h val="0.826792419210964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540000"/>
                </a:gs>
                <a:gs pos="83000">
                  <a:schemeClr val="tx1"/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Planilha1!$G$3:$G$7</c:f>
              <c:strCache>
                <c:ptCount val="5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  <c:pt idx="4">
                  <c:v>JULIA</c:v>
                </c:pt>
              </c:strCache>
            </c:strRef>
          </c:cat>
          <c:val>
            <c:numRef>
              <c:f>Planilha1!$H$3:$H$7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2-4C77-B8EC-BE239E118F1E}"/>
            </c:ext>
          </c:extLst>
        </c:ser>
        <c:ser>
          <c:idx val="5"/>
          <c:order val="5"/>
          <c:tx>
            <c:v>META MÍNIMA</c:v>
          </c:tx>
          <c:spPr>
            <a:gradFill>
              <a:gsLst>
                <a:gs pos="0">
                  <a:srgbClr val="FFFF00"/>
                </a:gs>
                <a:gs pos="100000">
                  <a:schemeClr val="tx1"/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cat>
            <c:strRef>
              <c:f>Planilha1!$G$3:$G$7</c:f>
              <c:strCache>
                <c:ptCount val="5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  <c:pt idx="4">
                  <c:v>JULIA</c:v>
                </c:pt>
              </c:strCache>
            </c:strRef>
          </c:cat>
          <c:val>
            <c:numRef>
              <c:f>Planilha1!$M$3:$M$7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2-4C77-B8EC-BE239E118F1E}"/>
            </c:ext>
          </c:extLst>
        </c:ser>
        <c:ser>
          <c:idx val="6"/>
          <c:order val="6"/>
          <c:tx>
            <c:v>TOP 1</c:v>
          </c:tx>
          <c:spPr>
            <a:gradFill flip="none" rotWithShape="1">
              <a:gsLst>
                <a:gs pos="0">
                  <a:srgbClr val="04A4DE"/>
                </a:gs>
                <a:gs pos="100000">
                  <a:schemeClr val="tx1">
                    <a:lumMod val="99000"/>
                  </a:scheme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Planilha1!$G$3:$G$7</c:f>
              <c:strCache>
                <c:ptCount val="5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  <c:pt idx="4">
                  <c:v>JULIA</c:v>
                </c:pt>
              </c:strCache>
            </c:strRef>
          </c:cat>
          <c:val>
            <c:numRef>
              <c:f>Planilha1!$N$3:$N$7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2-4C77-B8EC-BE239E118F1E}"/>
            </c:ext>
          </c:extLst>
        </c:ser>
        <c:ser>
          <c:idx val="7"/>
          <c:order val="7"/>
          <c:tx>
            <c:v>TOP 2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tx1"/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Planilha1!$G$3:$G$7</c:f>
              <c:strCache>
                <c:ptCount val="5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  <c:pt idx="4">
                  <c:v>JULIA</c:v>
                </c:pt>
              </c:strCache>
            </c:strRef>
          </c:cat>
          <c:val>
            <c:numRef>
              <c:f>Planilha1!$O$3:$O$7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D2-4C77-B8EC-BE239E118F1E}"/>
            </c:ext>
          </c:extLst>
        </c:ser>
        <c:ser>
          <c:idx val="8"/>
          <c:order val="8"/>
          <c:tx>
            <c:v>MASTER</c:v>
          </c:tx>
          <c:spPr>
            <a:gradFill>
              <a:gsLst>
                <a:gs pos="0">
                  <a:srgbClr val="00A859"/>
                </a:gs>
                <a:gs pos="100000">
                  <a:schemeClr val="bg2">
                    <a:lumMod val="10000"/>
                  </a:schemeClr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cat>
            <c:strRef>
              <c:f>Planilha1!$G$3:$G$7</c:f>
              <c:strCache>
                <c:ptCount val="5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  <c:pt idx="4">
                  <c:v>JULIA</c:v>
                </c:pt>
              </c:strCache>
            </c:strRef>
          </c:cat>
          <c:val>
            <c:numRef>
              <c:f>Planilha1!$P$3:$P$7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D2-4C77-B8EC-BE239E11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59627400"/>
        <c:axId val="459624880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FFFF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Planilha1!$G$3:$G$6</c:f>
              <c:strCache>
                <c:ptCount val="4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</c:strCache>
            </c:strRef>
          </c:cat>
          <c:val>
            <c:numRef>
              <c:f>Planilha1!$I$3:$I$7</c:f>
              <c:numCache>
                <c:formatCode>_("R$"* #,##0.00_);_("R$"* \(#,##0.00\);_("R$"* "-"??_);_(@_)</c:formatCode>
                <c:ptCount val="5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D2-4C77-B8EC-BE239E118F1E}"/>
            </c:ext>
          </c:extLst>
        </c:ser>
        <c:ser>
          <c:idx val="2"/>
          <c:order val="2"/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Planilha1!$G$3:$G$6</c:f>
              <c:strCache>
                <c:ptCount val="4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</c:strCache>
            </c:strRef>
          </c:cat>
          <c:val>
            <c:numRef>
              <c:f>Planilha1!$J$3:$J$7</c:f>
              <c:numCache>
                <c:formatCode>_("R$"* #,##0.00_);_("R$"* \(#,##0.00\);_("R$"* "-"??_);_(@_)</c:formatCode>
                <c:ptCount val="5"/>
                <c:pt idx="0">
                  <c:v>26000</c:v>
                </c:pt>
                <c:pt idx="1">
                  <c:v>26000</c:v>
                </c:pt>
                <c:pt idx="2">
                  <c:v>26000</c:v>
                </c:pt>
                <c:pt idx="3">
                  <c:v>26000</c:v>
                </c:pt>
                <c:pt idx="4">
                  <c:v>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D2-4C77-B8EC-BE239E118F1E}"/>
            </c:ext>
          </c:extLst>
        </c:ser>
        <c:ser>
          <c:idx val="3"/>
          <c:order val="3"/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Planilha1!$G$3:$G$6</c:f>
              <c:strCache>
                <c:ptCount val="4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</c:strCache>
            </c:strRef>
          </c:cat>
          <c:val>
            <c:numRef>
              <c:f>Planilha1!$K$3:$K$7</c:f>
              <c:numCache>
                <c:formatCode>_("R$"* #,##0.00_);_("R$"* \(#,##0.00\);_("R$"* "-"??_);_(@_)</c:formatCode>
                <c:ptCount val="5"/>
                <c:pt idx="0">
                  <c:v>32000</c:v>
                </c:pt>
                <c:pt idx="1">
                  <c:v>32000</c:v>
                </c:pt>
                <c:pt idx="2">
                  <c:v>32000</c:v>
                </c:pt>
                <c:pt idx="3">
                  <c:v>32000</c:v>
                </c:pt>
                <c:pt idx="4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2-4C77-B8EC-BE239E118F1E}"/>
            </c:ext>
          </c:extLst>
        </c:ser>
        <c:ser>
          <c:idx val="4"/>
          <c:order val="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Planilha1!$G$3:$G$6</c:f>
              <c:strCache>
                <c:ptCount val="4"/>
                <c:pt idx="0">
                  <c:v>RAISSA</c:v>
                </c:pt>
                <c:pt idx="1">
                  <c:v>RAMLIZ</c:v>
                </c:pt>
                <c:pt idx="2">
                  <c:v>LETÍCIA</c:v>
                </c:pt>
                <c:pt idx="3">
                  <c:v>KETHLLEN</c:v>
                </c:pt>
              </c:strCache>
            </c:strRef>
          </c:cat>
          <c:val>
            <c:numRef>
              <c:f>Planilha1!$L$3:$L$7</c:f>
              <c:numCache>
                <c:formatCode>_("R$"* #,##0.00_);_("R$"* \(#,##0.00\);_("R$"* "-"??_);_(@_)</c:formatCode>
                <c:ptCount val="5"/>
                <c:pt idx="0">
                  <c:v>36000</c:v>
                </c:pt>
                <c:pt idx="1">
                  <c:v>36000</c:v>
                </c:pt>
                <c:pt idx="2">
                  <c:v>36000</c:v>
                </c:pt>
                <c:pt idx="3">
                  <c:v>36000</c:v>
                </c:pt>
                <c:pt idx="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D2-4C77-B8EC-BE239E11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627400"/>
        <c:axId val="459624880"/>
      </c:lineChart>
      <c:catAx>
        <c:axId val="45962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624880"/>
        <c:crosses val="autoZero"/>
        <c:auto val="1"/>
        <c:lblAlgn val="ctr"/>
        <c:lblOffset val="100"/>
        <c:noMultiLvlLbl val="0"/>
      </c:catAx>
      <c:valAx>
        <c:axId val="45962488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4596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58414631560248065"/>
          <c:y val="3.5200164430089671E-3"/>
          <c:w val="0.39598612782191445"/>
          <c:h val="4.9297974456406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56873193881074E-2"/>
          <c:y val="7.575757575757576E-2"/>
          <c:w val="0.87473009476509034"/>
          <c:h val="0.8484848484848485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3FEE03F-51A2-4D19-86D3-08A89FA006B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12-4054-BC46-031AF639C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769189-E0EC-43C4-A925-28A452349FD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A12-4054-BC46-031AF639C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9DA1CF-67AA-4A29-BD00-5B646F41A90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A12-4054-BC46-031AF639C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4D82CF-42AE-4E7E-A843-659A136F532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12-4054-BC46-031AF639C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BAD27E-96C5-4C10-82CB-7D52116FC5A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75-419C-9A8C-483E73C7A2F3}"/>
                </c:ext>
              </c:extLst>
            </c:dLbl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4"/>
              <c:pt idx="0">
                <c:v>CRIS</c:v>
              </c:pt>
              <c:pt idx="1">
                <c:v>VITÓRIA</c:v>
              </c:pt>
              <c:pt idx="2">
                <c:v>VIVI</c:v>
              </c:pt>
              <c:pt idx="3">
                <c:v>SHERON</c:v>
              </c:pt>
            </c:strLit>
          </c:cat>
          <c:val>
            <c:numRef>
              <c:f>Planilha1!$H$3:$H$7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Planilha1!$G$3:$G$7</c15:f>
                <c15:dlblRangeCache>
                  <c:ptCount val="5"/>
                  <c:pt idx="0">
                    <c:v>RAISSA</c:v>
                  </c:pt>
                  <c:pt idx="1">
                    <c:v>RAMLIZ</c:v>
                  </c:pt>
                  <c:pt idx="2">
                    <c:v>LETÍCIA</c:v>
                  </c:pt>
                  <c:pt idx="3">
                    <c:v>KETHLLEN</c:v>
                  </c:pt>
                  <c:pt idx="4">
                    <c:v>JULIA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A12-4054-BC46-031AF639C19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CRIS</c:v>
              </c:pt>
              <c:pt idx="1">
                <c:v>VITÓRIA</c:v>
              </c:pt>
              <c:pt idx="2">
                <c:v>VIVI</c:v>
              </c:pt>
              <c:pt idx="3">
                <c:v>SHERON</c:v>
              </c:pt>
            </c:strLit>
          </c:cat>
          <c:val>
            <c:numRef>
              <c:f>Planilha1!$D$3:$D$7</c:f>
              <c:numCache>
                <c:formatCode>#,#00.00,\ "Mil"</c:formatCode>
                <c:ptCount val="5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2-4054-BC46-031AF639C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57754928"/>
        <c:axId val="257747728"/>
      </c:barChart>
      <c:catAx>
        <c:axId val="257754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7747728"/>
        <c:crossesAt val="0"/>
        <c:auto val="1"/>
        <c:lblAlgn val="ctr"/>
        <c:lblOffset val="100"/>
        <c:noMultiLvlLbl val="0"/>
      </c:catAx>
      <c:valAx>
        <c:axId val="257747728"/>
        <c:scaling>
          <c:orientation val="minMax"/>
          <c:max val="95000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57754928"/>
        <c:crosses val="autoZero"/>
        <c:crossBetween val="between"/>
        <c:majorUnit val="1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png"/><Relationship Id="rId7" Type="http://schemas.openxmlformats.org/officeDocument/2006/relationships/image" Target="../media/image18.emf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6" Type="http://schemas.openxmlformats.org/officeDocument/2006/relationships/image" Target="../media/image17.svg"/><Relationship Id="rId5" Type="http://schemas.openxmlformats.org/officeDocument/2006/relationships/image" Target="../media/image16.png"/><Relationship Id="rId4" Type="http://schemas.openxmlformats.org/officeDocument/2006/relationships/image" Target="../media/image15.svg"/><Relationship Id="rId9" Type="http://schemas.openxmlformats.org/officeDocument/2006/relationships/image" Target="../media/image20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0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29.png"/><Relationship Id="rId5" Type="http://schemas.openxmlformats.org/officeDocument/2006/relationships/chart" Target="../charts/chart4.xml"/><Relationship Id="rId4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323850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D12BE7-A943-4BD7-B518-1F03E8AFC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16</xdr:row>
      <xdr:rowOff>179070</xdr:rowOff>
    </xdr:from>
    <xdr:to>
      <xdr:col>18</xdr:col>
      <xdr:colOff>15240</xdr:colOff>
      <xdr:row>31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2AFD43-AC12-AC51-42EF-3839E59CC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13</xdr:row>
      <xdr:rowOff>22860</xdr:rowOff>
    </xdr:from>
    <xdr:to>
      <xdr:col>2</xdr:col>
      <xdr:colOff>582930</xdr:colOff>
      <xdr:row>18</xdr:row>
      <xdr:rowOff>175260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0B49E90-58CC-4763-83BB-718A5C115378}"/>
            </a:ext>
          </a:extLst>
        </xdr:cNvPr>
        <xdr:cNvSpPr/>
      </xdr:nvSpPr>
      <xdr:spPr>
        <a:xfrm>
          <a:off x="727710" y="240030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6</xdr:row>
      <xdr:rowOff>125730</xdr:rowOff>
    </xdr:from>
    <xdr:to>
      <xdr:col>2</xdr:col>
      <xdr:colOff>582930</xdr:colOff>
      <xdr:row>12</xdr:row>
      <xdr:rowOff>95250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43BD3A90-DFEB-4093-9A90-55F804B1822E}"/>
            </a:ext>
          </a:extLst>
        </xdr:cNvPr>
        <xdr:cNvSpPr/>
      </xdr:nvSpPr>
      <xdr:spPr>
        <a:xfrm>
          <a:off x="727710" y="122301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0</xdr:row>
      <xdr:rowOff>45720</xdr:rowOff>
    </xdr:from>
    <xdr:to>
      <xdr:col>2</xdr:col>
      <xdr:colOff>582930</xdr:colOff>
      <xdr:row>6</xdr:row>
      <xdr:rowOff>15240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DE0AE38C-9A6E-43AA-A544-15FEA7A8E1A9}"/>
            </a:ext>
          </a:extLst>
        </xdr:cNvPr>
        <xdr:cNvSpPr/>
      </xdr:nvSpPr>
      <xdr:spPr>
        <a:xfrm>
          <a:off x="727710" y="4572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398640</xdr:colOff>
      <xdr:row>4</xdr:row>
      <xdr:rowOff>121920</xdr:rowOff>
    </xdr:from>
    <xdr:ext cx="1216514" cy="1036800"/>
    <xdr:pic>
      <xdr:nvPicPr>
        <xdr:cNvPr id="2" name="Imagem 1">
          <a:extLst>
            <a:ext uri="{FF2B5EF4-FFF2-40B4-BE49-F238E27FC236}">
              <a16:creationId xmlns:a16="http://schemas.microsoft.com/office/drawing/2014/main" id="{574F4E98-8D80-4164-9B97-3A19444B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420" y="853440"/>
          <a:ext cx="1216514" cy="1036800"/>
        </a:xfrm>
        <a:prstGeom prst="rect">
          <a:avLst/>
        </a:prstGeom>
      </xdr:spPr>
    </xdr:pic>
    <xdr:clientData/>
  </xdr:oneCellAnchor>
  <xdr:oneCellAnchor>
    <xdr:from>
      <xdr:col>11</xdr:col>
      <xdr:colOff>289180</xdr:colOff>
      <xdr:row>2</xdr:row>
      <xdr:rowOff>637703</xdr:rowOff>
    </xdr:from>
    <xdr:ext cx="1311020" cy="1036321"/>
    <xdr:pic>
      <xdr:nvPicPr>
        <xdr:cNvPr id="3" name="Imagem 2">
          <a:extLst>
            <a:ext uri="{FF2B5EF4-FFF2-40B4-BE49-F238E27FC236}">
              <a16:creationId xmlns:a16="http://schemas.microsoft.com/office/drawing/2014/main" id="{16FBC2C6-FBED-44FF-8137-D43C5DF30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0960" y="546263"/>
          <a:ext cx="1311020" cy="1036321"/>
        </a:xfrm>
        <a:prstGeom prst="rect">
          <a:avLst/>
        </a:prstGeom>
      </xdr:spPr>
    </xdr:pic>
    <xdr:clientData/>
  </xdr:oneCellAnchor>
  <xdr:oneCellAnchor>
    <xdr:from>
      <xdr:col>11</xdr:col>
      <xdr:colOff>403860</xdr:colOff>
      <xdr:row>5</xdr:row>
      <xdr:rowOff>182880</xdr:rowOff>
    </xdr:from>
    <xdr:ext cx="1199375" cy="1036800"/>
    <xdr:pic>
      <xdr:nvPicPr>
        <xdr:cNvPr id="4" name="Imagem 3">
          <a:extLst>
            <a:ext uri="{FF2B5EF4-FFF2-40B4-BE49-F238E27FC236}">
              <a16:creationId xmlns:a16="http://schemas.microsoft.com/office/drawing/2014/main" id="{DF9A148B-B2A0-4E55-B444-38A1EEF7D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097280"/>
          <a:ext cx="1199375" cy="1036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121920</xdr:rowOff>
    </xdr:from>
    <xdr:to>
      <xdr:col>11</xdr:col>
      <xdr:colOff>0</xdr:colOff>
      <xdr:row>23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9340D5C-C353-4FA0-9031-76D3F68FB579}"/>
            </a:ext>
          </a:extLst>
        </xdr:cNvPr>
        <xdr:cNvSpPr/>
      </xdr:nvSpPr>
      <xdr:spPr>
        <a:xfrm>
          <a:off x="5798820" y="2499360"/>
          <a:ext cx="1203960" cy="17145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586740</xdr:colOff>
      <xdr:row>12</xdr:row>
      <xdr:rowOff>38100</xdr:rowOff>
    </xdr:from>
    <xdr:to>
      <xdr:col>6</xdr:col>
      <xdr:colOff>586740</xdr:colOff>
      <xdr:row>23</xdr:row>
      <xdr:rowOff>7620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80E081B-7B54-48D8-872A-36C4ED739F48}"/>
            </a:ext>
          </a:extLst>
        </xdr:cNvPr>
        <xdr:cNvSpPr/>
      </xdr:nvSpPr>
      <xdr:spPr>
        <a:xfrm>
          <a:off x="3375660" y="2232660"/>
          <a:ext cx="1203960" cy="19812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262890</xdr:colOff>
      <xdr:row>12</xdr:row>
      <xdr:rowOff>68580</xdr:rowOff>
    </xdr:from>
    <xdr:ext cx="640080" cy="647700"/>
    <xdr:pic>
      <xdr:nvPicPr>
        <xdr:cNvPr id="4" name="Gráfico 3" descr="Medalha com preenchimento sólido">
          <a:extLst>
            <a:ext uri="{FF2B5EF4-FFF2-40B4-BE49-F238E27FC236}">
              <a16:creationId xmlns:a16="http://schemas.microsoft.com/office/drawing/2014/main" id="{6B056CB0-E957-476C-829A-D9FFA4CC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3790" y="2263140"/>
          <a:ext cx="640080" cy="647700"/>
        </a:xfrm>
        <a:prstGeom prst="rect">
          <a:avLst/>
        </a:prstGeom>
      </xdr:spPr>
    </xdr:pic>
    <xdr:clientData/>
  </xdr:oneCellAnchor>
  <xdr:oneCellAnchor>
    <xdr:from>
      <xdr:col>9</xdr:col>
      <xdr:colOff>285750</xdr:colOff>
      <xdr:row>13</xdr:row>
      <xdr:rowOff>127140</xdr:rowOff>
    </xdr:from>
    <xdr:ext cx="640080" cy="647700"/>
    <xdr:pic>
      <xdr:nvPicPr>
        <xdr:cNvPr id="5" name="Gráfico 4" descr="Faixa de Opções com preenchimento sólido">
          <a:extLst>
            <a:ext uri="{FF2B5EF4-FFF2-40B4-BE49-F238E27FC236}">
              <a16:creationId xmlns:a16="http://schemas.microsoft.com/office/drawing/2014/main" id="{B6ACD7A5-368C-49E8-BBDE-A97DBC45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84570" y="2504580"/>
          <a:ext cx="640080" cy="647700"/>
        </a:xfrm>
        <a:prstGeom prst="rect">
          <a:avLst/>
        </a:prstGeom>
      </xdr:spPr>
    </xdr:pic>
    <xdr:clientData/>
  </xdr:oneCellAnchor>
  <xdr:twoCellAnchor>
    <xdr:from>
      <xdr:col>6</xdr:col>
      <xdr:colOff>601980</xdr:colOff>
      <xdr:row>9</xdr:row>
      <xdr:rowOff>30480</xdr:rowOff>
    </xdr:from>
    <xdr:to>
      <xdr:col>8</xdr:col>
      <xdr:colOff>601980</xdr:colOff>
      <xdr:row>23</xdr:row>
      <xdr:rowOff>7620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09058C5-DA7F-4BBC-9D14-15842FCECABF}"/>
            </a:ext>
          </a:extLst>
        </xdr:cNvPr>
        <xdr:cNvSpPr/>
      </xdr:nvSpPr>
      <xdr:spPr>
        <a:xfrm>
          <a:off x="4594860" y="1676400"/>
          <a:ext cx="1203960" cy="25374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7</xdr:col>
      <xdr:colOff>278130</xdr:colOff>
      <xdr:row>9</xdr:row>
      <xdr:rowOff>94260</xdr:rowOff>
    </xdr:from>
    <xdr:ext cx="640080" cy="647700"/>
    <xdr:pic>
      <xdr:nvPicPr>
        <xdr:cNvPr id="7" name="Gráfico 6" descr="Troféu com preenchimento sólido">
          <a:extLst>
            <a:ext uri="{FF2B5EF4-FFF2-40B4-BE49-F238E27FC236}">
              <a16:creationId xmlns:a16="http://schemas.microsoft.com/office/drawing/2014/main" id="{C5EABBCA-55F6-407D-8766-32E7B649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72990" y="1740180"/>
          <a:ext cx="640080" cy="647700"/>
        </a:xfrm>
        <a:prstGeom prst="rect">
          <a:avLst/>
        </a:prstGeom>
      </xdr:spPr>
    </xdr:pic>
    <xdr:clientData/>
  </xdr:oneCellAnchor>
  <xdr:oneCellAnchor>
    <xdr:from>
      <xdr:col>7</xdr:col>
      <xdr:colOff>451137</xdr:colOff>
      <xdr:row>9</xdr:row>
      <xdr:rowOff>121920</xdr:rowOff>
    </xdr:from>
    <xdr:ext cx="301686" cy="374077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A96755E-ED98-4708-8832-B2D4DFD2AA0E}"/>
            </a:ext>
          </a:extLst>
        </xdr:cNvPr>
        <xdr:cNvSpPr txBox="1"/>
      </xdr:nvSpPr>
      <xdr:spPr>
        <a:xfrm>
          <a:off x="5045997" y="1767840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>
              <a:solidFill>
                <a:schemeClr val="accent6">
                  <a:lumMod val="50000"/>
                </a:schemeClr>
              </a:solidFill>
            </a:rPr>
            <a:t>1</a:t>
          </a:r>
        </a:p>
      </xdr:txBody>
    </xdr:sp>
    <xdr:clientData/>
  </xdr:oneCellAnchor>
  <xdr:oneCellAnchor>
    <xdr:from>
      <xdr:col>5</xdr:col>
      <xdr:colOff>451137</xdr:colOff>
      <xdr:row>13</xdr:row>
      <xdr:rowOff>167640</xdr:rowOff>
    </xdr:from>
    <xdr:ext cx="275653" cy="31149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4289218-0B7F-44ED-BCAA-054B8F93C914}"/>
            </a:ext>
          </a:extLst>
        </xdr:cNvPr>
        <xdr:cNvSpPr txBox="1"/>
      </xdr:nvSpPr>
      <xdr:spPr>
        <a:xfrm>
          <a:off x="3842037" y="254508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accent6">
                  <a:lumMod val="50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473997</xdr:colOff>
      <xdr:row>14</xdr:row>
      <xdr:rowOff>15240</xdr:rowOff>
    </xdr:from>
    <xdr:ext cx="275653" cy="31149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EAEDF75B-B051-49CC-8F41-586B790946DE}"/>
            </a:ext>
          </a:extLst>
        </xdr:cNvPr>
        <xdr:cNvSpPr txBox="1"/>
      </xdr:nvSpPr>
      <xdr:spPr>
        <a:xfrm>
          <a:off x="6272817" y="257556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bg1"/>
              </a:solidFill>
            </a:rPr>
            <a:t>3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586741</xdr:colOff>
          <xdr:row>7</xdr:row>
          <xdr:rowOff>0</xdr:rowOff>
        </xdr:from>
        <xdr:ext cx="1348740" cy="1066800"/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4839B4B8-499E-44AD-AB00-8568F3C1BF3A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2" spid="_x0000_s21327"/>
                </a:ext>
              </a:extLst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75661" y="192786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7</xdr:col>
      <xdr:colOff>367653</xdr:colOff>
      <xdr:row>13</xdr:row>
      <xdr:rowOff>45720</xdr:rowOff>
    </xdr:from>
    <xdr:ext cx="468653" cy="264560"/>
    <xdr:sp macro="" textlink="AUXILIAR!C4">
      <xdr:nvSpPr>
        <xdr:cNvPr id="12" name="CaixaDeTexto 11">
          <a:extLst>
            <a:ext uri="{FF2B5EF4-FFF2-40B4-BE49-F238E27FC236}">
              <a16:creationId xmlns:a16="http://schemas.microsoft.com/office/drawing/2014/main" id="{28628901-80AA-482C-B0DB-F34F6109C5A4}"/>
            </a:ext>
          </a:extLst>
        </xdr:cNvPr>
        <xdr:cNvSpPr txBox="1"/>
      </xdr:nvSpPr>
      <xdr:spPr>
        <a:xfrm>
          <a:off x="4962513" y="2423160"/>
          <a:ext cx="46865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53910FEE-A911-4EE8-8455-088B04113DDB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NARA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7</xdr:col>
      <xdr:colOff>108255</xdr:colOff>
      <xdr:row>14</xdr:row>
      <xdr:rowOff>68580</xdr:rowOff>
    </xdr:from>
    <xdr:ext cx="987450" cy="264560"/>
    <xdr:sp macro="" textlink="AUXILIAR!D4">
      <xdr:nvSpPr>
        <xdr:cNvPr id="13" name="CaixaDeTexto 12">
          <a:extLst>
            <a:ext uri="{FF2B5EF4-FFF2-40B4-BE49-F238E27FC236}">
              <a16:creationId xmlns:a16="http://schemas.microsoft.com/office/drawing/2014/main" id="{F48BE803-BF3A-42E0-8320-F97638DC2D5A}"/>
            </a:ext>
          </a:extLst>
        </xdr:cNvPr>
        <xdr:cNvSpPr txBox="1"/>
      </xdr:nvSpPr>
      <xdr:spPr>
        <a:xfrm>
          <a:off x="4703115" y="262890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0E6E1CEF-1FE7-4EEB-A8B0-6291F0D6DFE4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R$ 22.120,00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9</xdr:col>
      <xdr:colOff>353570</xdr:colOff>
      <xdr:row>17</xdr:row>
      <xdr:rowOff>45720</xdr:rowOff>
    </xdr:from>
    <xdr:ext cx="512063" cy="264560"/>
    <xdr:sp macro="" textlink="AUXILIAR!C6">
      <xdr:nvSpPr>
        <xdr:cNvPr id="14" name="CaixaDeTexto 13">
          <a:extLst>
            <a:ext uri="{FF2B5EF4-FFF2-40B4-BE49-F238E27FC236}">
              <a16:creationId xmlns:a16="http://schemas.microsoft.com/office/drawing/2014/main" id="{140B2082-AB35-4484-BD38-2518324689CF}"/>
            </a:ext>
          </a:extLst>
        </xdr:cNvPr>
        <xdr:cNvSpPr txBox="1"/>
      </xdr:nvSpPr>
      <xdr:spPr>
        <a:xfrm>
          <a:off x="6152390" y="3154680"/>
          <a:ext cx="5120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85438857-4E6B-40AA-96A3-510775941BE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CRIS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9</xdr:col>
      <xdr:colOff>115875</xdr:colOff>
      <xdr:row>18</xdr:row>
      <xdr:rowOff>68580</xdr:rowOff>
    </xdr:from>
    <xdr:ext cx="987450" cy="264560"/>
    <xdr:sp macro="" textlink="AUXILIAR!D6">
      <xdr:nvSpPr>
        <xdr:cNvPr id="15" name="CaixaDeTexto 14">
          <a:extLst>
            <a:ext uri="{FF2B5EF4-FFF2-40B4-BE49-F238E27FC236}">
              <a16:creationId xmlns:a16="http://schemas.microsoft.com/office/drawing/2014/main" id="{C68F4A0A-524E-41E7-A963-861A360E0C81}"/>
            </a:ext>
          </a:extLst>
        </xdr:cNvPr>
        <xdr:cNvSpPr txBox="1"/>
      </xdr:nvSpPr>
      <xdr:spPr>
        <a:xfrm>
          <a:off x="5914695" y="336042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E53BD0D3-3088-41DB-A17A-8EA8E6886704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R$ 25.675,10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213360</xdr:colOff>
      <xdr:row>16</xdr:row>
      <xdr:rowOff>68580</xdr:rowOff>
    </xdr:from>
    <xdr:ext cx="746760" cy="264560"/>
    <xdr:sp macro="" textlink="AUXILIAR!C5">
      <xdr:nvSpPr>
        <xdr:cNvPr id="16" name="CaixaDeTexto 15">
          <a:extLst>
            <a:ext uri="{FF2B5EF4-FFF2-40B4-BE49-F238E27FC236}">
              <a16:creationId xmlns:a16="http://schemas.microsoft.com/office/drawing/2014/main" id="{44832843-248B-4746-9DAB-6C75B75BEA7B}"/>
            </a:ext>
          </a:extLst>
        </xdr:cNvPr>
        <xdr:cNvSpPr txBox="1"/>
      </xdr:nvSpPr>
      <xdr:spPr>
        <a:xfrm>
          <a:off x="3604260" y="2994660"/>
          <a:ext cx="74676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121AB0F0-3E1E-4CFB-86A7-499A76DCEBD7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SHERON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93015</xdr:colOff>
      <xdr:row>17</xdr:row>
      <xdr:rowOff>91440</xdr:rowOff>
    </xdr:from>
    <xdr:ext cx="987450" cy="264560"/>
    <xdr:sp macro="" textlink="AUXILIAR!D5">
      <xdr:nvSpPr>
        <xdr:cNvPr id="17" name="CaixaDeTexto 16">
          <a:extLst>
            <a:ext uri="{FF2B5EF4-FFF2-40B4-BE49-F238E27FC236}">
              <a16:creationId xmlns:a16="http://schemas.microsoft.com/office/drawing/2014/main" id="{45320B60-4E7D-4805-A6A6-100DCCB86BB3}"/>
            </a:ext>
          </a:extLst>
        </xdr:cNvPr>
        <xdr:cNvSpPr txBox="1"/>
      </xdr:nvSpPr>
      <xdr:spPr>
        <a:xfrm>
          <a:off x="3483915" y="320040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73166BE9-07FD-49C7-9370-159B6C611D9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R$ 28.848,00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566700</xdr:colOff>
          <xdr:row>3</xdr:row>
          <xdr:rowOff>170460</xdr:rowOff>
        </xdr:from>
        <xdr:ext cx="1348740" cy="1066800"/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88D02B43-9B73-4F92-B50D-0339AD5D3C4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1" spid="_x0000_s21328"/>
                </a:ext>
              </a:extLst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59580" y="122202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18060</xdr:colOff>
          <xdr:row>8</xdr:row>
          <xdr:rowOff>63780</xdr:rowOff>
        </xdr:from>
        <xdr:ext cx="1348740" cy="1066800"/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1587FB4-CA15-4129-AD3D-A01B4AA1079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3" spid="_x0000_s21329"/>
                </a:ext>
              </a:extLst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816880" y="217452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>
    <xdr:from>
      <xdr:col>0</xdr:col>
      <xdr:colOff>358140</xdr:colOff>
      <xdr:row>2</xdr:row>
      <xdr:rowOff>304800</xdr:rowOff>
    </xdr:from>
    <xdr:to>
      <xdr:col>2</xdr:col>
      <xdr:colOff>403860</xdr:colOff>
      <xdr:row>4</xdr:row>
      <xdr:rowOff>7620</xdr:rowOff>
    </xdr:to>
    <xdr:sp macro="[0]!ATUALIZAR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1A40C8E-A2F4-449D-83F9-3AEB24750646}"/>
            </a:ext>
          </a:extLst>
        </xdr:cNvPr>
        <xdr:cNvSpPr/>
      </xdr:nvSpPr>
      <xdr:spPr>
        <a:xfrm>
          <a:off x="358140" y="548640"/>
          <a:ext cx="1249680" cy="1905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ATUALIZAR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18</xdr:row>
      <xdr:rowOff>38100</xdr:rowOff>
    </xdr:from>
    <xdr:to>
      <xdr:col>8</xdr:col>
      <xdr:colOff>676275</xdr:colOff>
      <xdr:row>23</xdr:row>
      <xdr:rowOff>28575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482F429D-04E5-D479-B8C7-728A7E9C8D42}"/>
            </a:ext>
          </a:extLst>
        </xdr:cNvPr>
        <xdr:cNvGrpSpPr/>
      </xdr:nvGrpSpPr>
      <xdr:grpSpPr>
        <a:xfrm>
          <a:off x="3743325" y="3467100"/>
          <a:ext cx="4371975" cy="942975"/>
          <a:chOff x="3648075" y="3467100"/>
          <a:chExt cx="4095750" cy="942975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8FBE643-7E9C-C4DA-DB8B-3E31AF583E71}"/>
              </a:ext>
            </a:extLst>
          </xdr:cNvPr>
          <xdr:cNvSpPr/>
        </xdr:nvSpPr>
        <xdr:spPr>
          <a:xfrm>
            <a:off x="3648075" y="3714750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6E452026-CFBB-1C4E-905D-7DD78193FE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0102" b="53302"/>
          <a:stretch/>
        </xdr:blipFill>
        <xdr:spPr>
          <a:xfrm>
            <a:off x="6738296" y="3467100"/>
            <a:ext cx="1005529" cy="9429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27</xdr:row>
      <xdr:rowOff>28575</xdr:rowOff>
    </xdr:from>
    <xdr:to>
      <xdr:col>8</xdr:col>
      <xdr:colOff>689921</xdr:colOff>
      <xdr:row>32</xdr:row>
      <xdr:rowOff>28575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C9549A3A-1AE1-9B0E-3D33-854AE3A58F01}"/>
            </a:ext>
          </a:extLst>
        </xdr:cNvPr>
        <xdr:cNvGrpSpPr/>
      </xdr:nvGrpSpPr>
      <xdr:grpSpPr>
        <a:xfrm>
          <a:off x="3743325" y="5172075"/>
          <a:ext cx="4385621" cy="952500"/>
          <a:chOff x="3648075" y="5172075"/>
          <a:chExt cx="4109396" cy="952500"/>
        </a:xfrm>
      </xdr:grpSpPr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E4CF56AB-CE31-FED6-103D-C9B3742732CD}"/>
              </a:ext>
            </a:extLst>
          </xdr:cNvPr>
          <xdr:cNvSpPr/>
        </xdr:nvSpPr>
        <xdr:spPr>
          <a:xfrm>
            <a:off x="3648075" y="5448300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9129F9FC-526A-EF87-20BC-50427CE533B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425" b="52830"/>
          <a:stretch/>
        </xdr:blipFill>
        <xdr:spPr>
          <a:xfrm>
            <a:off x="6738296" y="5172075"/>
            <a:ext cx="1019175" cy="9525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13</xdr:row>
      <xdr:rowOff>142874</xdr:rowOff>
    </xdr:from>
    <xdr:to>
      <xdr:col>8</xdr:col>
      <xdr:colOff>657225</xdr:colOff>
      <xdr:row>18</xdr:row>
      <xdr:rowOff>114299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19072A78-4277-C97D-C08D-87C5D01ACFC0}"/>
            </a:ext>
          </a:extLst>
        </xdr:cNvPr>
        <xdr:cNvGrpSpPr/>
      </xdr:nvGrpSpPr>
      <xdr:grpSpPr>
        <a:xfrm>
          <a:off x="3743325" y="2619374"/>
          <a:ext cx="4352925" cy="923925"/>
          <a:chOff x="3648075" y="2619374"/>
          <a:chExt cx="4076700" cy="923925"/>
        </a:xfrm>
      </xdr:grpSpPr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915FD753-C3CB-BE3E-A12B-2D6F2236C835}"/>
              </a:ext>
            </a:extLst>
          </xdr:cNvPr>
          <xdr:cNvSpPr/>
        </xdr:nvSpPr>
        <xdr:spPr>
          <a:xfrm>
            <a:off x="3648075" y="2847975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EF73896F-4695-C78F-A6B8-C704752B4C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4245" r="51048"/>
          <a:stretch/>
        </xdr:blipFill>
        <xdr:spPr>
          <a:xfrm>
            <a:off x="6738296" y="2619374"/>
            <a:ext cx="986479" cy="92392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23</xdr:row>
      <xdr:rowOff>28575</xdr:rowOff>
    </xdr:from>
    <xdr:to>
      <xdr:col>8</xdr:col>
      <xdr:colOff>676275</xdr:colOff>
      <xdr:row>27</xdr:row>
      <xdr:rowOff>95249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79696A2-9E9D-CDCC-E62C-324E6E7B1BEE}"/>
            </a:ext>
          </a:extLst>
        </xdr:cNvPr>
        <xdr:cNvGrpSpPr/>
      </xdr:nvGrpSpPr>
      <xdr:grpSpPr>
        <a:xfrm>
          <a:off x="3743325" y="4410075"/>
          <a:ext cx="4371975" cy="828674"/>
          <a:chOff x="3648075" y="4410075"/>
          <a:chExt cx="4095750" cy="828674"/>
        </a:xfrm>
      </xdr:grpSpPr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9A0E27F1-D1D3-B81D-5302-7184AB353B40}"/>
              </a:ext>
            </a:extLst>
          </xdr:cNvPr>
          <xdr:cNvSpPr/>
        </xdr:nvSpPr>
        <xdr:spPr>
          <a:xfrm>
            <a:off x="3648075" y="4581525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31D9DE5B-F9B5-DE81-BDFC-6BF50436C99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0575" t="54717" r="-473" b="4245"/>
          <a:stretch/>
        </xdr:blipFill>
        <xdr:spPr>
          <a:xfrm>
            <a:off x="6738296" y="4410075"/>
            <a:ext cx="1005529" cy="828674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514351</xdr:colOff>
      <xdr:row>17</xdr:row>
      <xdr:rowOff>28574</xdr:rowOff>
    </xdr:from>
    <xdr:to>
      <xdr:col>20</xdr:col>
      <xdr:colOff>276225</xdr:colOff>
      <xdr:row>33</xdr:row>
      <xdr:rowOff>132527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30A098C2-5A86-7A1B-56F3-F93F8B79A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84" r="12682"/>
        <a:stretch/>
      </xdr:blipFill>
      <xdr:spPr>
        <a:xfrm>
          <a:off x="6610351" y="3267074"/>
          <a:ext cx="5857874" cy="3151953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absolute">
    <xdr:from>
      <xdr:col>0</xdr:col>
      <xdr:colOff>9525</xdr:colOff>
      <xdr:row>0</xdr:row>
      <xdr:rowOff>4</xdr:rowOff>
    </xdr:from>
    <xdr:to>
      <xdr:col>21</xdr:col>
      <xdr:colOff>0</xdr:colOff>
      <xdr:row>2</xdr:row>
      <xdr:rowOff>161929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BC1CEF2-0220-4FF2-BE40-51FB537C9064}"/>
            </a:ext>
          </a:extLst>
        </xdr:cNvPr>
        <xdr:cNvSpPr/>
      </xdr:nvSpPr>
      <xdr:spPr>
        <a:xfrm rot="5400000">
          <a:off x="6134100" y="-6124571"/>
          <a:ext cx="542925" cy="12792075"/>
        </a:xfrm>
        <a:prstGeom prst="rect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495300</xdr:colOff>
      <xdr:row>19</xdr:row>
      <xdr:rowOff>85725</xdr:rowOff>
    </xdr:from>
    <xdr:to>
      <xdr:col>9</xdr:col>
      <xdr:colOff>409575</xdr:colOff>
      <xdr:row>20</xdr:row>
      <xdr:rowOff>95250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9B9C327-9BD3-4868-9AA2-848EE3F4C6C0}"/>
            </a:ext>
          </a:extLst>
        </xdr:cNvPr>
        <xdr:cNvSpPr txBox="1"/>
      </xdr:nvSpPr>
      <xdr:spPr>
        <a:xfrm>
          <a:off x="4152900" y="3705225"/>
          <a:ext cx="17430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absolute">
    <xdr:from>
      <xdr:col>19</xdr:col>
      <xdr:colOff>47625</xdr:colOff>
      <xdr:row>0</xdr:row>
      <xdr:rowOff>51391</xdr:rowOff>
    </xdr:from>
    <xdr:to>
      <xdr:col>20</xdr:col>
      <xdr:colOff>466725</xdr:colOff>
      <xdr:row>2</xdr:row>
      <xdr:rowOff>95249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476163E-7797-4976-84F6-C331517A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51391"/>
          <a:ext cx="1028700" cy="424858"/>
        </a:xfrm>
        <a:prstGeom prst="rect">
          <a:avLst/>
        </a:prstGeom>
      </xdr:spPr>
    </xdr:pic>
    <xdr:clientData/>
  </xdr:twoCellAnchor>
  <xdr:twoCellAnchor editAs="absolute">
    <xdr:from>
      <xdr:col>0</xdr:col>
      <xdr:colOff>85726</xdr:colOff>
      <xdr:row>0</xdr:row>
      <xdr:rowOff>95250</xdr:rowOff>
    </xdr:from>
    <xdr:to>
      <xdr:col>9</xdr:col>
      <xdr:colOff>561975</xdr:colOff>
      <xdr:row>2</xdr:row>
      <xdr:rowOff>47625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BE61279-7410-4378-AC6A-35DEDBFA2F2B}"/>
            </a:ext>
          </a:extLst>
        </xdr:cNvPr>
        <xdr:cNvSpPr txBox="1"/>
      </xdr:nvSpPr>
      <xdr:spPr>
        <a:xfrm>
          <a:off x="85726" y="95250"/>
          <a:ext cx="5962649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193E9D5-0541-40FF-B64D-5A01B487B1BD}" type="TxLink">
            <a:rPr lang="en-US" sz="14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</a:t>
          </a:fld>
          <a:endParaRPr lang="pt-BR" sz="1400" b="0" i="0" u="none" strike="noStrike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123826</xdr:colOff>
      <xdr:row>16</xdr:row>
      <xdr:rowOff>66676</xdr:rowOff>
    </xdr:from>
    <xdr:to>
      <xdr:col>9</xdr:col>
      <xdr:colOff>476250</xdr:colOff>
      <xdr:row>32</xdr:row>
      <xdr:rowOff>152400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EB9AD739-1A37-CAC9-18E8-300C84778FC7}"/>
            </a:ext>
          </a:extLst>
        </xdr:cNvPr>
        <xdr:cNvSpPr/>
      </xdr:nvSpPr>
      <xdr:spPr>
        <a:xfrm>
          <a:off x="123826" y="3114676"/>
          <a:ext cx="5838824" cy="3133724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161928</xdr:colOff>
      <xdr:row>18</xdr:row>
      <xdr:rowOff>76199</xdr:rowOff>
    </xdr:from>
    <xdr:to>
      <xdr:col>9</xdr:col>
      <xdr:colOff>428626</xdr:colOff>
      <xdr:row>32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9419C99-0B2E-4E52-A983-B0E098D81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152401</xdr:colOff>
      <xdr:row>17</xdr:row>
      <xdr:rowOff>9525</xdr:rowOff>
    </xdr:from>
    <xdr:to>
      <xdr:col>7</xdr:col>
      <xdr:colOff>323851</xdr:colOff>
      <xdr:row>18</xdr:row>
      <xdr:rowOff>66675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A3FCACF-6064-4A5F-8325-BB5F106FF689}"/>
            </a:ext>
          </a:extLst>
        </xdr:cNvPr>
        <xdr:cNvSpPr txBox="1"/>
      </xdr:nvSpPr>
      <xdr:spPr>
        <a:xfrm>
          <a:off x="1371601" y="3248025"/>
          <a:ext cx="32194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Vendas</a:t>
          </a:r>
          <a:r>
            <a:rPr lang="pt-BR" sz="1800" baseline="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Individuais X Metas</a:t>
          </a:r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114301</xdr:colOff>
      <xdr:row>5</xdr:row>
      <xdr:rowOff>19049</xdr:rowOff>
    </xdr:from>
    <xdr:to>
      <xdr:col>9</xdr:col>
      <xdr:colOff>466725</xdr:colOff>
      <xdr:row>6</xdr:row>
      <xdr:rowOff>171450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2D994FA7-5802-44A8-A55A-96EB5FC1F2A5}"/>
            </a:ext>
          </a:extLst>
        </xdr:cNvPr>
        <xdr:cNvSpPr/>
      </xdr:nvSpPr>
      <xdr:spPr>
        <a:xfrm>
          <a:off x="114301" y="971549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123826</xdr:colOff>
      <xdr:row>7</xdr:row>
      <xdr:rowOff>85724</xdr:rowOff>
    </xdr:from>
    <xdr:to>
      <xdr:col>9</xdr:col>
      <xdr:colOff>476250</xdr:colOff>
      <xdr:row>9</xdr:row>
      <xdr:rowOff>47625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1672C0E3-875D-D739-6303-0D70219D2340}"/>
            </a:ext>
          </a:extLst>
        </xdr:cNvPr>
        <xdr:cNvSpPr/>
      </xdr:nvSpPr>
      <xdr:spPr>
        <a:xfrm>
          <a:off x="123826" y="1419224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95251</xdr:colOff>
      <xdr:row>9</xdr:row>
      <xdr:rowOff>76199</xdr:rowOff>
    </xdr:from>
    <xdr:to>
      <xdr:col>9</xdr:col>
      <xdr:colOff>447675</xdr:colOff>
      <xdr:row>11</xdr:row>
      <xdr:rowOff>38100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3ADB201-97F2-5601-A8B8-164A49C61A93}"/>
            </a:ext>
          </a:extLst>
        </xdr:cNvPr>
        <xdr:cNvSpPr/>
      </xdr:nvSpPr>
      <xdr:spPr>
        <a:xfrm>
          <a:off x="95251" y="1790699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95251</xdr:colOff>
      <xdr:row>11</xdr:row>
      <xdr:rowOff>66674</xdr:rowOff>
    </xdr:from>
    <xdr:to>
      <xdr:col>9</xdr:col>
      <xdr:colOff>447675</xdr:colOff>
      <xdr:row>13</xdr:row>
      <xdr:rowOff>28575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4B6BC15-8716-6A41-0890-799F8416D016}"/>
            </a:ext>
          </a:extLst>
        </xdr:cNvPr>
        <xdr:cNvSpPr/>
      </xdr:nvSpPr>
      <xdr:spPr>
        <a:xfrm>
          <a:off x="95251" y="2162174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171451</xdr:colOff>
      <xdr:row>5</xdr:row>
      <xdr:rowOff>57150</xdr:rowOff>
    </xdr:from>
    <xdr:to>
      <xdr:col>2</xdr:col>
      <xdr:colOff>133351</xdr:colOff>
      <xdr:row>6</xdr:row>
      <xdr:rowOff>114300</xdr:rowOff>
    </xdr:to>
    <xdr:sp macro="" textlink="VENDAS_VENDEDOR!H8">
      <xdr:nvSpPr>
        <xdr:cNvPr id="18" name="CaixaDeTexto 17">
          <a:extLst>
            <a:ext uri="{FF2B5EF4-FFF2-40B4-BE49-F238E27FC236}">
              <a16:creationId xmlns:a16="http://schemas.microsoft.com/office/drawing/2014/main" id="{080DE359-E956-4F97-B1D6-C8560A756A65}"/>
            </a:ext>
          </a:extLst>
        </xdr:cNvPr>
        <xdr:cNvSpPr txBox="1"/>
      </xdr:nvSpPr>
      <xdr:spPr>
        <a:xfrm>
          <a:off x="171451" y="1009650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01FF6DF-33AA-4BBA-A344-C5E41027386F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RAISSA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200026</xdr:colOff>
      <xdr:row>7</xdr:row>
      <xdr:rowOff>104775</xdr:rowOff>
    </xdr:from>
    <xdr:to>
      <xdr:col>2</xdr:col>
      <xdr:colOff>161926</xdr:colOff>
      <xdr:row>8</xdr:row>
      <xdr:rowOff>161925</xdr:rowOff>
    </xdr:to>
    <xdr:sp macro="" textlink="VENDAS_VENDEDOR!H9">
      <xdr:nvSpPr>
        <xdr:cNvPr id="19" name="CaixaDeTexto 18">
          <a:extLst>
            <a:ext uri="{FF2B5EF4-FFF2-40B4-BE49-F238E27FC236}">
              <a16:creationId xmlns:a16="http://schemas.microsoft.com/office/drawing/2014/main" id="{E4F1B87E-079C-4E47-A186-DA7C885CD470}"/>
            </a:ext>
          </a:extLst>
        </xdr:cNvPr>
        <xdr:cNvSpPr txBox="1"/>
      </xdr:nvSpPr>
      <xdr:spPr>
        <a:xfrm>
          <a:off x="200026" y="1438275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51E5A4E-71FA-4BA3-A44B-CD2E77D6EBCB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RAMLIZ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190501</xdr:colOff>
      <xdr:row>9</xdr:row>
      <xdr:rowOff>95250</xdr:rowOff>
    </xdr:from>
    <xdr:to>
      <xdr:col>2</xdr:col>
      <xdr:colOff>152401</xdr:colOff>
      <xdr:row>10</xdr:row>
      <xdr:rowOff>152400</xdr:rowOff>
    </xdr:to>
    <xdr:sp macro="" textlink="VENDAS_VENDEDOR!H10">
      <xdr:nvSpPr>
        <xdr:cNvPr id="20" name="CaixaDeTexto 19">
          <a:extLst>
            <a:ext uri="{FF2B5EF4-FFF2-40B4-BE49-F238E27FC236}">
              <a16:creationId xmlns:a16="http://schemas.microsoft.com/office/drawing/2014/main" id="{63813B8D-037F-DDA0-29D7-D9225A7E163E}"/>
            </a:ext>
          </a:extLst>
        </xdr:cNvPr>
        <xdr:cNvSpPr txBox="1"/>
      </xdr:nvSpPr>
      <xdr:spPr>
        <a:xfrm>
          <a:off x="190501" y="1809750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F9D8014-E2EC-4F48-B3D6-BEE26A473C63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LETÍCIA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142876</xdr:colOff>
      <xdr:row>11</xdr:row>
      <xdr:rowOff>123825</xdr:rowOff>
    </xdr:from>
    <xdr:to>
      <xdr:col>2</xdr:col>
      <xdr:colOff>104776</xdr:colOff>
      <xdr:row>12</xdr:row>
      <xdr:rowOff>180975</xdr:rowOff>
    </xdr:to>
    <xdr:sp macro="" textlink="VENDAS_VENDEDOR!H11">
      <xdr:nvSpPr>
        <xdr:cNvPr id="21" name="CaixaDeTexto 20">
          <a:extLst>
            <a:ext uri="{FF2B5EF4-FFF2-40B4-BE49-F238E27FC236}">
              <a16:creationId xmlns:a16="http://schemas.microsoft.com/office/drawing/2014/main" id="{7F6A4CC2-6FBF-2A2B-4392-04FB0C7A9FFC}"/>
            </a:ext>
          </a:extLst>
        </xdr:cNvPr>
        <xdr:cNvSpPr txBox="1"/>
      </xdr:nvSpPr>
      <xdr:spPr>
        <a:xfrm>
          <a:off x="142876" y="2219325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5815A4C-81A2-4517-90B3-2B8EEFC63896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KETHLLEN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200025</xdr:colOff>
      <xdr:row>3</xdr:row>
      <xdr:rowOff>104774</xdr:rowOff>
    </xdr:from>
    <xdr:to>
      <xdr:col>9</xdr:col>
      <xdr:colOff>466725</xdr:colOff>
      <xdr:row>5</xdr:row>
      <xdr:rowOff>66675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EDFC9E3-E657-4FB8-B4E8-75E03F6E8D16}"/>
            </a:ext>
          </a:extLst>
        </xdr:cNvPr>
        <xdr:cNvSpPr/>
      </xdr:nvSpPr>
      <xdr:spPr>
        <a:xfrm>
          <a:off x="1419225" y="676274"/>
          <a:ext cx="4533900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238125</xdr:colOff>
      <xdr:row>3</xdr:row>
      <xdr:rowOff>161925</xdr:rowOff>
    </xdr:from>
    <xdr:to>
      <xdr:col>4</xdr:col>
      <xdr:colOff>85724</xdr:colOff>
      <xdr:row>5</xdr:row>
      <xdr:rowOff>28575</xdr:rowOff>
    </xdr:to>
    <xdr:sp macro="" textlink="VENDAS_VENDEDOR!J7">
      <xdr:nvSpPr>
        <xdr:cNvPr id="23" name="CaixaDeTexto 22">
          <a:extLst>
            <a:ext uri="{FF2B5EF4-FFF2-40B4-BE49-F238E27FC236}">
              <a16:creationId xmlns:a16="http://schemas.microsoft.com/office/drawing/2014/main" id="{A9C5D71D-5682-4934-A4C4-970541F22309}"/>
            </a:ext>
          </a:extLst>
        </xdr:cNvPr>
        <xdr:cNvSpPr txBox="1"/>
      </xdr:nvSpPr>
      <xdr:spPr>
        <a:xfrm>
          <a:off x="1457325" y="733425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0AE8847-42EE-4999-85AA-A2AA8DB44981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META MÍNIMA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146049</xdr:colOff>
      <xdr:row>3</xdr:row>
      <xdr:rowOff>161925</xdr:rowOff>
    </xdr:from>
    <xdr:to>
      <xdr:col>5</xdr:col>
      <xdr:colOff>403223</xdr:colOff>
      <xdr:row>5</xdr:row>
      <xdr:rowOff>28575</xdr:rowOff>
    </xdr:to>
    <xdr:sp macro="" textlink="VENDAS_VENDEDOR!K7">
      <xdr:nvSpPr>
        <xdr:cNvPr id="24" name="CaixaDeTexto 23">
          <a:extLst>
            <a:ext uri="{FF2B5EF4-FFF2-40B4-BE49-F238E27FC236}">
              <a16:creationId xmlns:a16="http://schemas.microsoft.com/office/drawing/2014/main" id="{1358706D-7F90-6409-6388-14E5C95241A1}"/>
            </a:ext>
          </a:extLst>
        </xdr:cNvPr>
        <xdr:cNvSpPr txBox="1"/>
      </xdr:nvSpPr>
      <xdr:spPr>
        <a:xfrm>
          <a:off x="2584449" y="733425"/>
          <a:ext cx="8667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23E9AE-CB77-4D1E-BB3C-FC7588CB609D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TOP 1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558798</xdr:colOff>
      <xdr:row>3</xdr:row>
      <xdr:rowOff>161925</xdr:rowOff>
    </xdr:from>
    <xdr:to>
      <xdr:col>7</xdr:col>
      <xdr:colOff>444499</xdr:colOff>
      <xdr:row>5</xdr:row>
      <xdr:rowOff>28575</xdr:rowOff>
    </xdr:to>
    <xdr:sp macro="" textlink="VENDAS_VENDEDOR!L7">
      <xdr:nvSpPr>
        <xdr:cNvPr id="25" name="CaixaDeTexto 24">
          <a:extLst>
            <a:ext uri="{FF2B5EF4-FFF2-40B4-BE49-F238E27FC236}">
              <a16:creationId xmlns:a16="http://schemas.microsoft.com/office/drawing/2014/main" id="{25BF9B11-27D4-9AA0-4488-9BB1421E48D7}"/>
            </a:ext>
          </a:extLst>
        </xdr:cNvPr>
        <xdr:cNvSpPr txBox="1"/>
      </xdr:nvSpPr>
      <xdr:spPr>
        <a:xfrm>
          <a:off x="3606798" y="733425"/>
          <a:ext cx="1104901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36D7804-D905-481D-94E3-26BD9AFC24CF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TOP 2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581024</xdr:colOff>
      <xdr:row>3</xdr:row>
      <xdr:rowOff>161925</xdr:rowOff>
    </xdr:from>
    <xdr:to>
      <xdr:col>9</xdr:col>
      <xdr:colOff>400049</xdr:colOff>
      <xdr:row>5</xdr:row>
      <xdr:rowOff>28575</xdr:rowOff>
    </xdr:to>
    <xdr:sp macro="" textlink="VENDAS_VENDEDOR!M7">
      <xdr:nvSpPr>
        <xdr:cNvPr id="26" name="CaixaDeTexto 25">
          <a:extLst>
            <a:ext uri="{FF2B5EF4-FFF2-40B4-BE49-F238E27FC236}">
              <a16:creationId xmlns:a16="http://schemas.microsoft.com/office/drawing/2014/main" id="{601AF2C2-AAE0-2F5C-B4BC-7AAB8F08DFC9}"/>
            </a:ext>
          </a:extLst>
        </xdr:cNvPr>
        <xdr:cNvSpPr txBox="1"/>
      </xdr:nvSpPr>
      <xdr:spPr>
        <a:xfrm>
          <a:off x="4848224" y="733425"/>
          <a:ext cx="1038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DEE840-74E2-4D8B-8050-CFE364CB36B0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MASTER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209550</xdr:colOff>
      <xdr:row>5</xdr:row>
      <xdr:rowOff>95250</xdr:rowOff>
    </xdr:from>
    <xdr:to>
      <xdr:col>4</xdr:col>
      <xdr:colOff>57149</xdr:colOff>
      <xdr:row>6</xdr:row>
      <xdr:rowOff>152400</xdr:rowOff>
    </xdr:to>
    <xdr:sp macro="" textlink="VENDAS_VENDEDOR!J8">
      <xdr:nvSpPr>
        <xdr:cNvPr id="27" name="CaixaDeTexto 26">
          <a:extLst>
            <a:ext uri="{FF2B5EF4-FFF2-40B4-BE49-F238E27FC236}">
              <a16:creationId xmlns:a16="http://schemas.microsoft.com/office/drawing/2014/main" id="{57F7306E-18DC-44F0-807A-8006FDD416B4}"/>
            </a:ext>
          </a:extLst>
        </xdr:cNvPr>
        <xdr:cNvSpPr txBox="1"/>
      </xdr:nvSpPr>
      <xdr:spPr>
        <a:xfrm>
          <a:off x="1428750" y="104775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B672772-7192-483C-A721-71B0824DFC9E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-R$ 20.000,00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12699</xdr:colOff>
      <xdr:row>5</xdr:row>
      <xdr:rowOff>95250</xdr:rowOff>
    </xdr:from>
    <xdr:to>
      <xdr:col>5</xdr:col>
      <xdr:colOff>581024</xdr:colOff>
      <xdr:row>6</xdr:row>
      <xdr:rowOff>152400</xdr:rowOff>
    </xdr:to>
    <xdr:sp macro="" textlink="VENDAS_VENDEDOR!K8">
      <xdr:nvSpPr>
        <xdr:cNvPr id="28" name="CaixaDeTexto 27">
          <a:extLst>
            <a:ext uri="{FF2B5EF4-FFF2-40B4-BE49-F238E27FC236}">
              <a16:creationId xmlns:a16="http://schemas.microsoft.com/office/drawing/2014/main" id="{C247F493-5F5A-4266-BBAE-CF65524213EF}"/>
            </a:ext>
          </a:extLst>
        </xdr:cNvPr>
        <xdr:cNvSpPr txBox="1"/>
      </xdr:nvSpPr>
      <xdr:spPr>
        <a:xfrm>
          <a:off x="2451099" y="104775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E8E61B-6ED8-4B31-84F0-3D81CD9BF609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549273</xdr:colOff>
      <xdr:row>5</xdr:row>
      <xdr:rowOff>95250</xdr:rowOff>
    </xdr:from>
    <xdr:to>
      <xdr:col>7</xdr:col>
      <xdr:colOff>434974</xdr:colOff>
      <xdr:row>6</xdr:row>
      <xdr:rowOff>152400</xdr:rowOff>
    </xdr:to>
    <xdr:sp macro="" textlink="VENDAS_VENDEDOR!L8">
      <xdr:nvSpPr>
        <xdr:cNvPr id="29" name="CaixaDeTexto 28">
          <a:extLst>
            <a:ext uri="{FF2B5EF4-FFF2-40B4-BE49-F238E27FC236}">
              <a16:creationId xmlns:a16="http://schemas.microsoft.com/office/drawing/2014/main" id="{22A7F922-E750-4499-B45D-6DF24CDBC6A6}"/>
            </a:ext>
          </a:extLst>
        </xdr:cNvPr>
        <xdr:cNvSpPr txBox="1"/>
      </xdr:nvSpPr>
      <xdr:spPr>
        <a:xfrm>
          <a:off x="3597273" y="104775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C7720B0-0955-415B-9BF3-2868D95D8556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-R$ 32.000,00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485776</xdr:colOff>
      <xdr:row>5</xdr:row>
      <xdr:rowOff>95250</xdr:rowOff>
    </xdr:from>
    <xdr:to>
      <xdr:col>9</xdr:col>
      <xdr:colOff>438150</xdr:colOff>
      <xdr:row>6</xdr:row>
      <xdr:rowOff>152400</xdr:rowOff>
    </xdr:to>
    <xdr:sp macro="" textlink="VENDAS_VENDEDOR!M8">
      <xdr:nvSpPr>
        <xdr:cNvPr id="30" name="CaixaDeTexto 29">
          <a:extLst>
            <a:ext uri="{FF2B5EF4-FFF2-40B4-BE49-F238E27FC236}">
              <a16:creationId xmlns:a16="http://schemas.microsoft.com/office/drawing/2014/main" id="{1DB71ADA-BA33-4BEE-9491-1289745D90C0}"/>
            </a:ext>
          </a:extLst>
        </xdr:cNvPr>
        <xdr:cNvSpPr txBox="1"/>
      </xdr:nvSpPr>
      <xdr:spPr>
        <a:xfrm>
          <a:off x="4752976" y="104775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7C50B77-F388-4A77-BEC9-B647325B92E6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238125</xdr:colOff>
      <xdr:row>7</xdr:row>
      <xdr:rowOff>133350</xdr:rowOff>
    </xdr:from>
    <xdr:to>
      <xdr:col>4</xdr:col>
      <xdr:colOff>85724</xdr:colOff>
      <xdr:row>9</xdr:row>
      <xdr:rowOff>0</xdr:rowOff>
    </xdr:to>
    <xdr:sp macro="" textlink="VENDAS_VENDEDOR!J9">
      <xdr:nvSpPr>
        <xdr:cNvPr id="31" name="CaixaDeTexto 30">
          <a:extLst>
            <a:ext uri="{FF2B5EF4-FFF2-40B4-BE49-F238E27FC236}">
              <a16:creationId xmlns:a16="http://schemas.microsoft.com/office/drawing/2014/main" id="{DCE17D3C-3098-4B33-8394-01967E73569F}"/>
            </a:ext>
          </a:extLst>
        </xdr:cNvPr>
        <xdr:cNvSpPr txBox="1"/>
      </xdr:nvSpPr>
      <xdr:spPr>
        <a:xfrm>
          <a:off x="1457325" y="146685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6658AF3-6FA5-40DF-A920-B4A2C8E8C7BA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-R$ 20.000,00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41274</xdr:colOff>
      <xdr:row>7</xdr:row>
      <xdr:rowOff>133350</xdr:rowOff>
    </xdr:from>
    <xdr:to>
      <xdr:col>5</xdr:col>
      <xdr:colOff>609599</xdr:colOff>
      <xdr:row>9</xdr:row>
      <xdr:rowOff>0</xdr:rowOff>
    </xdr:to>
    <xdr:sp macro="" textlink="VENDAS_VENDEDOR!K9">
      <xdr:nvSpPr>
        <xdr:cNvPr id="32" name="CaixaDeTexto 31">
          <a:extLst>
            <a:ext uri="{FF2B5EF4-FFF2-40B4-BE49-F238E27FC236}">
              <a16:creationId xmlns:a16="http://schemas.microsoft.com/office/drawing/2014/main" id="{637FD907-4FBF-4CE7-A947-6B796F2A6F6B}"/>
            </a:ext>
          </a:extLst>
        </xdr:cNvPr>
        <xdr:cNvSpPr txBox="1"/>
      </xdr:nvSpPr>
      <xdr:spPr>
        <a:xfrm>
          <a:off x="2479674" y="146685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BB800F7-F534-4738-A277-57FED448AC12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577848</xdr:colOff>
      <xdr:row>7</xdr:row>
      <xdr:rowOff>133350</xdr:rowOff>
    </xdr:from>
    <xdr:to>
      <xdr:col>7</xdr:col>
      <xdr:colOff>463549</xdr:colOff>
      <xdr:row>9</xdr:row>
      <xdr:rowOff>0</xdr:rowOff>
    </xdr:to>
    <xdr:sp macro="" textlink="VENDAS_VENDEDOR!L9">
      <xdr:nvSpPr>
        <xdr:cNvPr id="33" name="CaixaDeTexto 32">
          <a:extLst>
            <a:ext uri="{FF2B5EF4-FFF2-40B4-BE49-F238E27FC236}">
              <a16:creationId xmlns:a16="http://schemas.microsoft.com/office/drawing/2014/main" id="{DFEE14D1-3711-4534-8173-CB7E8202E3F3}"/>
            </a:ext>
          </a:extLst>
        </xdr:cNvPr>
        <xdr:cNvSpPr txBox="1"/>
      </xdr:nvSpPr>
      <xdr:spPr>
        <a:xfrm>
          <a:off x="3625848" y="146685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3F7D4B6-3A2B-4ECB-A33C-5143F1CED41C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-R$ 32.000,00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514351</xdr:colOff>
      <xdr:row>7</xdr:row>
      <xdr:rowOff>133350</xdr:rowOff>
    </xdr:from>
    <xdr:to>
      <xdr:col>9</xdr:col>
      <xdr:colOff>466725</xdr:colOff>
      <xdr:row>9</xdr:row>
      <xdr:rowOff>0</xdr:rowOff>
    </xdr:to>
    <xdr:sp macro="" textlink="VENDAS_VENDEDOR!M9">
      <xdr:nvSpPr>
        <xdr:cNvPr id="34" name="CaixaDeTexto 33">
          <a:extLst>
            <a:ext uri="{FF2B5EF4-FFF2-40B4-BE49-F238E27FC236}">
              <a16:creationId xmlns:a16="http://schemas.microsoft.com/office/drawing/2014/main" id="{472920FC-8F33-4489-BC78-FCC986336DA7}"/>
            </a:ext>
          </a:extLst>
        </xdr:cNvPr>
        <xdr:cNvSpPr txBox="1"/>
      </xdr:nvSpPr>
      <xdr:spPr>
        <a:xfrm>
          <a:off x="4781551" y="146685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F593C3-D2C1-49BA-A71A-9F02A8EBF443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209550</xdr:colOff>
      <xdr:row>9</xdr:row>
      <xdr:rowOff>123825</xdr:rowOff>
    </xdr:from>
    <xdr:to>
      <xdr:col>4</xdr:col>
      <xdr:colOff>57149</xdr:colOff>
      <xdr:row>10</xdr:row>
      <xdr:rowOff>180975</xdr:rowOff>
    </xdr:to>
    <xdr:sp macro="" textlink="VENDAS_VENDEDOR!J10">
      <xdr:nvSpPr>
        <xdr:cNvPr id="35" name="CaixaDeTexto 34">
          <a:extLst>
            <a:ext uri="{FF2B5EF4-FFF2-40B4-BE49-F238E27FC236}">
              <a16:creationId xmlns:a16="http://schemas.microsoft.com/office/drawing/2014/main" id="{BC90370B-0E53-458C-ABA8-56DD523E7A33}"/>
            </a:ext>
          </a:extLst>
        </xdr:cNvPr>
        <xdr:cNvSpPr txBox="1"/>
      </xdr:nvSpPr>
      <xdr:spPr>
        <a:xfrm>
          <a:off x="1428750" y="1838325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EE633E6-1584-44B3-8C28-81704D45EC2A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-R$ 20.000,00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12699</xdr:colOff>
      <xdr:row>9</xdr:row>
      <xdr:rowOff>123825</xdr:rowOff>
    </xdr:from>
    <xdr:to>
      <xdr:col>5</xdr:col>
      <xdr:colOff>581024</xdr:colOff>
      <xdr:row>10</xdr:row>
      <xdr:rowOff>180975</xdr:rowOff>
    </xdr:to>
    <xdr:sp macro="" textlink="VENDAS_VENDEDOR!K10">
      <xdr:nvSpPr>
        <xdr:cNvPr id="36" name="CaixaDeTexto 35">
          <a:extLst>
            <a:ext uri="{FF2B5EF4-FFF2-40B4-BE49-F238E27FC236}">
              <a16:creationId xmlns:a16="http://schemas.microsoft.com/office/drawing/2014/main" id="{3E7C8CC0-6FE5-4972-BDB1-8367F683501F}"/>
            </a:ext>
          </a:extLst>
        </xdr:cNvPr>
        <xdr:cNvSpPr txBox="1"/>
      </xdr:nvSpPr>
      <xdr:spPr>
        <a:xfrm>
          <a:off x="2451099" y="1838325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0E0CB52-40EC-44C4-9FE8-425A5F26ABA3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549273</xdr:colOff>
      <xdr:row>9</xdr:row>
      <xdr:rowOff>123825</xdr:rowOff>
    </xdr:from>
    <xdr:to>
      <xdr:col>7</xdr:col>
      <xdr:colOff>434974</xdr:colOff>
      <xdr:row>10</xdr:row>
      <xdr:rowOff>180975</xdr:rowOff>
    </xdr:to>
    <xdr:sp macro="" textlink="VENDAS_VENDEDOR!L10">
      <xdr:nvSpPr>
        <xdr:cNvPr id="37" name="CaixaDeTexto 36">
          <a:extLst>
            <a:ext uri="{FF2B5EF4-FFF2-40B4-BE49-F238E27FC236}">
              <a16:creationId xmlns:a16="http://schemas.microsoft.com/office/drawing/2014/main" id="{DCD41DDF-AA61-4151-8D8F-7BBFAF682220}"/>
            </a:ext>
          </a:extLst>
        </xdr:cNvPr>
        <xdr:cNvSpPr txBox="1"/>
      </xdr:nvSpPr>
      <xdr:spPr>
        <a:xfrm>
          <a:off x="3597273" y="1838325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BE3F424-D7F8-4AD5-9DD8-08D176AD77B6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-R$ 32.000,00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485776</xdr:colOff>
      <xdr:row>9</xdr:row>
      <xdr:rowOff>123825</xdr:rowOff>
    </xdr:from>
    <xdr:to>
      <xdr:col>9</xdr:col>
      <xdr:colOff>438150</xdr:colOff>
      <xdr:row>10</xdr:row>
      <xdr:rowOff>180975</xdr:rowOff>
    </xdr:to>
    <xdr:sp macro="" textlink="VENDAS_VENDEDOR!M10">
      <xdr:nvSpPr>
        <xdr:cNvPr id="38" name="CaixaDeTexto 37">
          <a:extLst>
            <a:ext uri="{FF2B5EF4-FFF2-40B4-BE49-F238E27FC236}">
              <a16:creationId xmlns:a16="http://schemas.microsoft.com/office/drawing/2014/main" id="{7551BCB6-BA8B-4D03-84CF-39BAA748FC2D}"/>
            </a:ext>
          </a:extLst>
        </xdr:cNvPr>
        <xdr:cNvSpPr txBox="1"/>
      </xdr:nvSpPr>
      <xdr:spPr>
        <a:xfrm>
          <a:off x="4752976" y="1838325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55B3642-AFFF-4564-9985-20110A1D2C7E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180975</xdr:colOff>
      <xdr:row>11</xdr:row>
      <xdr:rowOff>133350</xdr:rowOff>
    </xdr:from>
    <xdr:to>
      <xdr:col>4</xdr:col>
      <xdr:colOff>28574</xdr:colOff>
      <xdr:row>13</xdr:row>
      <xdr:rowOff>0</xdr:rowOff>
    </xdr:to>
    <xdr:sp macro="" textlink="VENDAS_VENDEDOR!J11">
      <xdr:nvSpPr>
        <xdr:cNvPr id="39" name="CaixaDeTexto 38">
          <a:extLst>
            <a:ext uri="{FF2B5EF4-FFF2-40B4-BE49-F238E27FC236}">
              <a16:creationId xmlns:a16="http://schemas.microsoft.com/office/drawing/2014/main" id="{7FB8629C-4C83-43F0-AA8D-BD8C1CBE9FFD}"/>
            </a:ext>
          </a:extLst>
        </xdr:cNvPr>
        <xdr:cNvSpPr txBox="1"/>
      </xdr:nvSpPr>
      <xdr:spPr>
        <a:xfrm>
          <a:off x="1400175" y="222885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41CBB8-23EB-4020-B0F4-6D10536AFE85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-R$ 22.000,00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593724</xdr:colOff>
      <xdr:row>11</xdr:row>
      <xdr:rowOff>133350</xdr:rowOff>
    </xdr:from>
    <xdr:to>
      <xdr:col>5</xdr:col>
      <xdr:colOff>552449</xdr:colOff>
      <xdr:row>13</xdr:row>
      <xdr:rowOff>0</xdr:rowOff>
    </xdr:to>
    <xdr:sp macro="" textlink="VENDAS_VENDEDOR!K11">
      <xdr:nvSpPr>
        <xdr:cNvPr id="40" name="CaixaDeTexto 39">
          <a:extLst>
            <a:ext uri="{FF2B5EF4-FFF2-40B4-BE49-F238E27FC236}">
              <a16:creationId xmlns:a16="http://schemas.microsoft.com/office/drawing/2014/main" id="{0EBA9805-AACD-4D94-8232-95DE141095EC}"/>
            </a:ext>
          </a:extLst>
        </xdr:cNvPr>
        <xdr:cNvSpPr txBox="1"/>
      </xdr:nvSpPr>
      <xdr:spPr>
        <a:xfrm>
          <a:off x="2422524" y="222885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E27CF27-3D93-4E22-9371-F0163C696F6F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-R$ 28.000,00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520698</xdr:colOff>
      <xdr:row>11</xdr:row>
      <xdr:rowOff>133350</xdr:rowOff>
    </xdr:from>
    <xdr:to>
      <xdr:col>7</xdr:col>
      <xdr:colOff>406399</xdr:colOff>
      <xdr:row>13</xdr:row>
      <xdr:rowOff>0</xdr:rowOff>
    </xdr:to>
    <xdr:sp macro="" textlink="VENDAS_VENDEDOR!L11">
      <xdr:nvSpPr>
        <xdr:cNvPr id="41" name="CaixaDeTexto 40">
          <a:extLst>
            <a:ext uri="{FF2B5EF4-FFF2-40B4-BE49-F238E27FC236}">
              <a16:creationId xmlns:a16="http://schemas.microsoft.com/office/drawing/2014/main" id="{51EFB26E-EF86-4342-9A57-6B9736E78E7C}"/>
            </a:ext>
          </a:extLst>
        </xdr:cNvPr>
        <xdr:cNvSpPr txBox="1"/>
      </xdr:nvSpPr>
      <xdr:spPr>
        <a:xfrm>
          <a:off x="3568698" y="222885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3CE4E98-8EED-4301-AA0D-D5E9AAB367CB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-R$ 34.000,00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457201</xdr:colOff>
      <xdr:row>11</xdr:row>
      <xdr:rowOff>133350</xdr:rowOff>
    </xdr:from>
    <xdr:to>
      <xdr:col>9</xdr:col>
      <xdr:colOff>409575</xdr:colOff>
      <xdr:row>13</xdr:row>
      <xdr:rowOff>0</xdr:rowOff>
    </xdr:to>
    <xdr:sp macro="" textlink="VENDAS_VENDEDOR!M11">
      <xdr:nvSpPr>
        <xdr:cNvPr id="42" name="CaixaDeTexto 41">
          <a:extLst>
            <a:ext uri="{FF2B5EF4-FFF2-40B4-BE49-F238E27FC236}">
              <a16:creationId xmlns:a16="http://schemas.microsoft.com/office/drawing/2014/main" id="{A4435C33-2C0F-4C92-9489-3BBBB25D702F}"/>
            </a:ext>
          </a:extLst>
        </xdr:cNvPr>
        <xdr:cNvSpPr txBox="1"/>
      </xdr:nvSpPr>
      <xdr:spPr>
        <a:xfrm>
          <a:off x="4724401" y="222885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D2C7850-8874-4684-87B4-5875673DED61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-R$ 40.000,00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9</xdr:col>
      <xdr:colOff>617220</xdr:colOff>
      <xdr:row>4</xdr:row>
      <xdr:rowOff>28576</xdr:rowOff>
    </xdr:from>
    <xdr:to>
      <xdr:col>20</xdr:col>
      <xdr:colOff>535305</xdr:colOff>
      <xdr:row>15</xdr:row>
      <xdr:rowOff>9526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CAE17377-9A7F-40EA-8710-DD9486FFB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760096"/>
          <a:ext cx="6791325" cy="1992630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17</xdr:row>
      <xdr:rowOff>91440</xdr:rowOff>
    </xdr:from>
    <xdr:to>
      <xdr:col>1</xdr:col>
      <xdr:colOff>541020</xdr:colOff>
      <xdr:row>18</xdr:row>
      <xdr:rowOff>102231</xdr:rowOff>
    </xdr:to>
    <xdr:sp macro="" textlink="VENDAS_VENDEDOR!M2">
      <xdr:nvSpPr>
        <xdr:cNvPr id="2" name="CaixaDeTexto 1">
          <a:extLst>
            <a:ext uri="{FF2B5EF4-FFF2-40B4-BE49-F238E27FC236}">
              <a16:creationId xmlns:a16="http://schemas.microsoft.com/office/drawing/2014/main" id="{CB620716-078E-4B96-955A-518E00B382BC}"/>
            </a:ext>
          </a:extLst>
        </xdr:cNvPr>
        <xdr:cNvSpPr txBox="1"/>
      </xdr:nvSpPr>
      <xdr:spPr>
        <a:xfrm>
          <a:off x="220980" y="3200400"/>
          <a:ext cx="944880" cy="193671"/>
        </a:xfrm>
        <a:prstGeom prst="rect">
          <a:avLst/>
        </a:prstGeom>
        <a:solidFill>
          <a:srgbClr val="00A85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7304226-606B-4F5D-864C-73E2F825AFFE}" type="TxLink">
            <a:rPr lang="en-US" sz="1100" b="1" i="0" u="none" strike="noStrike" kern="1200">
              <a:solidFill>
                <a:srgbClr val="FFFFFF"/>
              </a:solidFill>
              <a:latin typeface="Aptos Narrow"/>
            </a:rPr>
            <a:pPr algn="ctr"/>
            <a:t>MASTER</a:t>
          </a:fld>
          <a:endParaRPr lang="pt-BR" sz="900" kern="1200"/>
        </a:p>
      </xdr:txBody>
    </xdr:sp>
    <xdr:clientData/>
  </xdr:twoCellAnchor>
  <xdr:twoCellAnchor>
    <xdr:from>
      <xdr:col>0</xdr:col>
      <xdr:colOff>220980</xdr:colOff>
      <xdr:row>21</xdr:row>
      <xdr:rowOff>17418</xdr:rowOff>
    </xdr:from>
    <xdr:to>
      <xdr:col>1</xdr:col>
      <xdr:colOff>541020</xdr:colOff>
      <xdr:row>22</xdr:row>
      <xdr:rowOff>28209</xdr:rowOff>
    </xdr:to>
    <xdr:sp macro="" textlink="VENDAS_VENDEDOR!L2">
      <xdr:nvSpPr>
        <xdr:cNvPr id="44" name="CaixaDeTexto 43">
          <a:extLst>
            <a:ext uri="{FF2B5EF4-FFF2-40B4-BE49-F238E27FC236}">
              <a16:creationId xmlns:a16="http://schemas.microsoft.com/office/drawing/2014/main" id="{375080DD-3115-43FA-9CC4-ECBBC03A1D3C}"/>
            </a:ext>
          </a:extLst>
        </xdr:cNvPr>
        <xdr:cNvSpPr txBox="1"/>
      </xdr:nvSpPr>
      <xdr:spPr>
        <a:xfrm>
          <a:off x="220980" y="3857898"/>
          <a:ext cx="944880" cy="19367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38D04A7-B97B-40F8-983C-A38BFFDBBDBD}" type="TxLink">
            <a:rPr lang="en-US" sz="1100" b="1" i="0" u="none" strike="noStrike" kern="1200">
              <a:solidFill>
                <a:srgbClr val="FFFFFF"/>
              </a:solidFill>
              <a:latin typeface="Aptos Narrow"/>
              <a:ea typeface="+mn-ea"/>
              <a:cs typeface="+mn-cs"/>
            </a:rPr>
            <a:pPr marL="0" indent="0" algn="ctr"/>
            <a:t>TOP 2</a:t>
          </a:fld>
          <a:endParaRPr lang="pt-BR" sz="900" b="1" i="0" u="none" strike="noStrike" kern="1200">
            <a:solidFill>
              <a:srgbClr val="FFF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26</xdr:row>
      <xdr:rowOff>89265</xdr:rowOff>
    </xdr:from>
    <xdr:to>
      <xdr:col>1</xdr:col>
      <xdr:colOff>541020</xdr:colOff>
      <xdr:row>27</xdr:row>
      <xdr:rowOff>100056</xdr:rowOff>
    </xdr:to>
    <xdr:sp macro="" textlink="VENDAS_VENDEDOR!K3">
      <xdr:nvSpPr>
        <xdr:cNvPr id="50" name="CaixaDeTexto 49">
          <a:extLst>
            <a:ext uri="{FF2B5EF4-FFF2-40B4-BE49-F238E27FC236}">
              <a16:creationId xmlns:a16="http://schemas.microsoft.com/office/drawing/2014/main" id="{E3E1B997-CCEF-4B78-A492-3DB62DCFD76F}"/>
            </a:ext>
          </a:extLst>
        </xdr:cNvPr>
        <xdr:cNvSpPr txBox="1"/>
      </xdr:nvSpPr>
      <xdr:spPr>
        <a:xfrm>
          <a:off x="220980" y="4844145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B6B34B2-88BA-4389-ADD2-191FA395CEBD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R$ 26.000,00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30</xdr:row>
      <xdr:rowOff>15240</xdr:rowOff>
    </xdr:from>
    <xdr:to>
      <xdr:col>1</xdr:col>
      <xdr:colOff>541020</xdr:colOff>
      <xdr:row>31</xdr:row>
      <xdr:rowOff>26031</xdr:rowOff>
    </xdr:to>
    <xdr:sp macro="" textlink="VENDAS_VENDEDOR!J3">
      <xdr:nvSpPr>
        <xdr:cNvPr id="51" name="CaixaDeTexto 50">
          <a:extLst>
            <a:ext uri="{FF2B5EF4-FFF2-40B4-BE49-F238E27FC236}">
              <a16:creationId xmlns:a16="http://schemas.microsoft.com/office/drawing/2014/main" id="{B59AEDBA-9D9F-43BD-BDED-CB7660C2F409}"/>
            </a:ext>
          </a:extLst>
        </xdr:cNvPr>
        <xdr:cNvSpPr txBox="1"/>
      </xdr:nvSpPr>
      <xdr:spPr>
        <a:xfrm>
          <a:off x="220980" y="5501640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549772B-8103-4B26-A34E-90FAC4723CCF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R$ 20.000,00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28</xdr:row>
      <xdr:rowOff>52254</xdr:rowOff>
    </xdr:from>
    <xdr:to>
      <xdr:col>1</xdr:col>
      <xdr:colOff>541020</xdr:colOff>
      <xdr:row>29</xdr:row>
      <xdr:rowOff>63045</xdr:rowOff>
    </xdr:to>
    <xdr:sp macro="" textlink="VENDAS_VENDEDOR!J2">
      <xdr:nvSpPr>
        <xdr:cNvPr id="52" name="CaixaDeTexto 51">
          <a:extLst>
            <a:ext uri="{FF2B5EF4-FFF2-40B4-BE49-F238E27FC236}">
              <a16:creationId xmlns:a16="http://schemas.microsoft.com/office/drawing/2014/main" id="{0A86E819-A7DE-4721-B268-EDBF8A34C1A2}"/>
            </a:ext>
          </a:extLst>
        </xdr:cNvPr>
        <xdr:cNvSpPr txBox="1"/>
      </xdr:nvSpPr>
      <xdr:spPr>
        <a:xfrm>
          <a:off x="220980" y="5172894"/>
          <a:ext cx="944880" cy="1936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976CA2-7C02-45F6-97AF-E857FB0D0569}" type="TxLink">
            <a:rPr lang="en-US" sz="1100" b="1" i="0" u="none" strike="noStrike" kern="120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META MÍNIMA</a:t>
          </a:fld>
          <a:endParaRPr lang="pt-BR" sz="900" b="1" i="0" u="none" strike="noStrike" kern="1200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19</xdr:row>
      <xdr:rowOff>54429</xdr:rowOff>
    </xdr:from>
    <xdr:to>
      <xdr:col>1</xdr:col>
      <xdr:colOff>541020</xdr:colOff>
      <xdr:row>20</xdr:row>
      <xdr:rowOff>65220</xdr:rowOff>
    </xdr:to>
    <xdr:sp macro="" textlink="VENDAS_VENDEDOR!M3">
      <xdr:nvSpPr>
        <xdr:cNvPr id="53" name="CaixaDeTexto 52">
          <a:extLst>
            <a:ext uri="{FF2B5EF4-FFF2-40B4-BE49-F238E27FC236}">
              <a16:creationId xmlns:a16="http://schemas.microsoft.com/office/drawing/2014/main" id="{A971D569-11EF-4EF4-B06E-149CB8577E2B}"/>
            </a:ext>
          </a:extLst>
        </xdr:cNvPr>
        <xdr:cNvSpPr txBox="1"/>
      </xdr:nvSpPr>
      <xdr:spPr>
        <a:xfrm>
          <a:off x="220980" y="3529149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643519F-100A-4D37-8D06-6EC01C505CD2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R$ 36.000,00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24</xdr:row>
      <xdr:rowOff>126276</xdr:rowOff>
    </xdr:from>
    <xdr:to>
      <xdr:col>1</xdr:col>
      <xdr:colOff>541020</xdr:colOff>
      <xdr:row>25</xdr:row>
      <xdr:rowOff>137067</xdr:rowOff>
    </xdr:to>
    <xdr:sp macro="" textlink="VENDAS_VENDEDOR!K2">
      <xdr:nvSpPr>
        <xdr:cNvPr id="54" name="CaixaDeTexto 53">
          <a:extLst>
            <a:ext uri="{FF2B5EF4-FFF2-40B4-BE49-F238E27FC236}">
              <a16:creationId xmlns:a16="http://schemas.microsoft.com/office/drawing/2014/main" id="{7D8B3CC6-4DBD-4CB5-AED7-7281E77BDEA2}"/>
            </a:ext>
          </a:extLst>
        </xdr:cNvPr>
        <xdr:cNvSpPr txBox="1"/>
      </xdr:nvSpPr>
      <xdr:spPr>
        <a:xfrm>
          <a:off x="220980" y="4515396"/>
          <a:ext cx="944880" cy="19367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E5FCB57-D9E2-40CC-9AD6-A1181F88A292}" type="TxLink">
            <a:rPr lang="en-US" sz="1100" b="1" i="0" u="none" strike="noStrike" kern="1200">
              <a:solidFill>
                <a:srgbClr val="FFFFFF"/>
              </a:solidFill>
              <a:latin typeface="Aptos Narrow"/>
              <a:ea typeface="+mn-ea"/>
              <a:cs typeface="+mn-cs"/>
            </a:rPr>
            <a:pPr marL="0" indent="0" algn="ctr"/>
            <a:t>TOP 1</a:t>
          </a:fld>
          <a:endParaRPr lang="pt-BR" sz="900" b="1" i="0" u="none" strike="noStrike" kern="1200">
            <a:solidFill>
              <a:srgbClr val="FFF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22</xdr:row>
      <xdr:rowOff>163287</xdr:rowOff>
    </xdr:from>
    <xdr:to>
      <xdr:col>1</xdr:col>
      <xdr:colOff>541020</xdr:colOff>
      <xdr:row>23</xdr:row>
      <xdr:rowOff>174078</xdr:rowOff>
    </xdr:to>
    <xdr:sp macro="" textlink="VENDAS_VENDEDOR!L3">
      <xdr:nvSpPr>
        <xdr:cNvPr id="55" name="CaixaDeTexto 54">
          <a:extLst>
            <a:ext uri="{FF2B5EF4-FFF2-40B4-BE49-F238E27FC236}">
              <a16:creationId xmlns:a16="http://schemas.microsoft.com/office/drawing/2014/main" id="{8559E69D-3251-4E52-AAD2-02BD445A68EC}"/>
            </a:ext>
          </a:extLst>
        </xdr:cNvPr>
        <xdr:cNvSpPr txBox="1"/>
      </xdr:nvSpPr>
      <xdr:spPr>
        <a:xfrm>
          <a:off x="220980" y="4186647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314D0AC-15A9-4335-BCC6-3129A49B3240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R$ 32.000,00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7620</xdr:colOff>
      <xdr:row>4</xdr:row>
      <xdr:rowOff>91440</xdr:rowOff>
    </xdr:from>
    <xdr:to>
      <xdr:col>20</xdr:col>
      <xdr:colOff>533400</xdr:colOff>
      <xdr:row>14</xdr:row>
      <xdr:rowOff>106680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ACB44AD2-9A71-4736-BB2B-BBB49D182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393065</xdr:colOff>
      <xdr:row>19</xdr:row>
      <xdr:rowOff>83820</xdr:rowOff>
    </xdr:from>
    <xdr:to>
      <xdr:col>18</xdr:col>
      <xdr:colOff>154940</xdr:colOff>
      <xdr:row>30</xdr:row>
      <xdr:rowOff>74295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134FC0F6-3217-45E6-A240-17B7A42D3705}"/>
            </a:ext>
          </a:extLst>
        </xdr:cNvPr>
        <xdr:cNvSpPr/>
      </xdr:nvSpPr>
      <xdr:spPr>
        <a:xfrm>
          <a:off x="10146665" y="3703320"/>
          <a:ext cx="981075" cy="208597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342265</xdr:colOff>
      <xdr:row>22</xdr:row>
      <xdr:rowOff>36194</xdr:rowOff>
    </xdr:from>
    <xdr:to>
      <xdr:col>16</xdr:col>
      <xdr:colOff>104140</xdr:colOff>
      <xdr:row>30</xdr:row>
      <xdr:rowOff>64769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A8D75915-D85F-478B-B492-2738EFB3532C}"/>
            </a:ext>
          </a:extLst>
        </xdr:cNvPr>
        <xdr:cNvSpPr/>
      </xdr:nvSpPr>
      <xdr:spPr>
        <a:xfrm>
          <a:off x="8876665" y="4227194"/>
          <a:ext cx="981075" cy="155257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443865</xdr:colOff>
      <xdr:row>23</xdr:row>
      <xdr:rowOff>102869</xdr:rowOff>
    </xdr:from>
    <xdr:to>
      <xdr:col>20</xdr:col>
      <xdr:colOff>205740</xdr:colOff>
      <xdr:row>30</xdr:row>
      <xdr:rowOff>74295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B6F14C50-D201-476A-9443-7414C51439B5}"/>
            </a:ext>
          </a:extLst>
        </xdr:cNvPr>
        <xdr:cNvSpPr/>
      </xdr:nvSpPr>
      <xdr:spPr>
        <a:xfrm>
          <a:off x="11416665" y="4484369"/>
          <a:ext cx="981075" cy="1304926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415290</xdr:colOff>
      <xdr:row>25</xdr:row>
      <xdr:rowOff>83819</xdr:rowOff>
    </xdr:from>
    <xdr:to>
      <xdr:col>14</xdr:col>
      <xdr:colOff>177165</xdr:colOff>
      <xdr:row>30</xdr:row>
      <xdr:rowOff>112394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2482458D-EFD5-4248-93DD-E371C6517ADA}"/>
            </a:ext>
          </a:extLst>
        </xdr:cNvPr>
        <xdr:cNvSpPr/>
      </xdr:nvSpPr>
      <xdr:spPr>
        <a:xfrm>
          <a:off x="7730490" y="4846319"/>
          <a:ext cx="981075" cy="98107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424815</xdr:colOff>
      <xdr:row>22</xdr:row>
      <xdr:rowOff>112394</xdr:rowOff>
    </xdr:from>
    <xdr:to>
      <xdr:col>18</xdr:col>
      <xdr:colOff>148590</xdr:colOff>
      <xdr:row>24</xdr:row>
      <xdr:rowOff>19049</xdr:rowOff>
    </xdr:to>
    <xdr:sp macro="" textlink="Planilha1!C3">
      <xdr:nvSpPr>
        <xdr:cNvPr id="62" name="CaixaDeTexto 61">
          <a:extLst>
            <a:ext uri="{FF2B5EF4-FFF2-40B4-BE49-F238E27FC236}">
              <a16:creationId xmlns:a16="http://schemas.microsoft.com/office/drawing/2014/main" id="{1B948CA2-0C55-4927-80AD-D36C6F72FE00}"/>
            </a:ext>
          </a:extLst>
        </xdr:cNvPr>
        <xdr:cNvSpPr txBox="1"/>
      </xdr:nvSpPr>
      <xdr:spPr>
        <a:xfrm>
          <a:off x="10178415" y="4303394"/>
          <a:ext cx="942975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C26F50B-08DB-4D82-B3CC-B855B9FB6C5A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0,0 k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14</xdr:col>
      <xdr:colOff>377190</xdr:colOff>
      <xdr:row>23</xdr:row>
      <xdr:rowOff>163830</xdr:rowOff>
    </xdr:from>
    <xdr:to>
      <xdr:col>16</xdr:col>
      <xdr:colOff>125730</xdr:colOff>
      <xdr:row>25</xdr:row>
      <xdr:rowOff>163830</xdr:rowOff>
    </xdr:to>
    <xdr:sp macro="" textlink="Planilha1!C4">
      <xdr:nvSpPr>
        <xdr:cNvPr id="63" name="CaixaDeTexto 62">
          <a:extLst>
            <a:ext uri="{FF2B5EF4-FFF2-40B4-BE49-F238E27FC236}">
              <a16:creationId xmlns:a16="http://schemas.microsoft.com/office/drawing/2014/main" id="{F697D3AD-301B-47B3-BB18-C7F0D3716DB4}"/>
            </a:ext>
          </a:extLst>
        </xdr:cNvPr>
        <xdr:cNvSpPr txBox="1"/>
      </xdr:nvSpPr>
      <xdr:spPr>
        <a:xfrm>
          <a:off x="8911590" y="4545330"/>
          <a:ext cx="96774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35EAF67-86D0-4A35-A2C3-AF669EE64E51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0,0 k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18</xdr:col>
      <xdr:colOff>497205</xdr:colOff>
      <xdr:row>25</xdr:row>
      <xdr:rowOff>57150</xdr:rowOff>
    </xdr:from>
    <xdr:to>
      <xdr:col>20</xdr:col>
      <xdr:colOff>224790</xdr:colOff>
      <xdr:row>27</xdr:row>
      <xdr:rowOff>19050</xdr:rowOff>
    </xdr:to>
    <xdr:sp macro="" textlink="Planilha1!C5">
      <xdr:nvSpPr>
        <xdr:cNvPr id="128" name="CaixaDeTexto 127">
          <a:extLst>
            <a:ext uri="{FF2B5EF4-FFF2-40B4-BE49-F238E27FC236}">
              <a16:creationId xmlns:a16="http://schemas.microsoft.com/office/drawing/2014/main" id="{BDB5FCF8-5888-4C66-A989-1FC82F72466A}"/>
            </a:ext>
          </a:extLst>
        </xdr:cNvPr>
        <xdr:cNvSpPr txBox="1"/>
      </xdr:nvSpPr>
      <xdr:spPr>
        <a:xfrm>
          <a:off x="11470005" y="4819650"/>
          <a:ext cx="94678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26E7A31-034D-4D9A-8E0A-AF568DDD2888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0,0 k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12</xdr:col>
      <xdr:colOff>367665</xdr:colOff>
      <xdr:row>25</xdr:row>
      <xdr:rowOff>186691</xdr:rowOff>
    </xdr:from>
    <xdr:to>
      <xdr:col>14</xdr:col>
      <xdr:colOff>123825</xdr:colOff>
      <xdr:row>27</xdr:row>
      <xdr:rowOff>156211</xdr:rowOff>
    </xdr:to>
    <xdr:sp macro="" textlink="Planilha1!C6">
      <xdr:nvSpPr>
        <xdr:cNvPr id="129" name="CaixaDeTexto 128">
          <a:extLst>
            <a:ext uri="{FF2B5EF4-FFF2-40B4-BE49-F238E27FC236}">
              <a16:creationId xmlns:a16="http://schemas.microsoft.com/office/drawing/2014/main" id="{424B602F-CC96-46F5-AF77-2256323BA183}"/>
            </a:ext>
          </a:extLst>
        </xdr:cNvPr>
        <xdr:cNvSpPr txBox="1"/>
      </xdr:nvSpPr>
      <xdr:spPr>
        <a:xfrm>
          <a:off x="7682865" y="4949191"/>
          <a:ext cx="975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8F8BF94-A7F2-4FA1-B14B-C435D690D9B6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0,0 k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12</xdr:col>
      <xdr:colOff>400050</xdr:colOff>
      <xdr:row>27</xdr:row>
      <xdr:rowOff>104775</xdr:rowOff>
    </xdr:from>
    <xdr:to>
      <xdr:col>14</xdr:col>
      <xdr:colOff>198120</xdr:colOff>
      <xdr:row>30</xdr:row>
      <xdr:rowOff>45720</xdr:rowOff>
    </xdr:to>
    <xdr:sp macro="" textlink="Planilha1!B6">
      <xdr:nvSpPr>
        <xdr:cNvPr id="130" name="CaixaDeTexto 129">
          <a:extLst>
            <a:ext uri="{FF2B5EF4-FFF2-40B4-BE49-F238E27FC236}">
              <a16:creationId xmlns:a16="http://schemas.microsoft.com/office/drawing/2014/main" id="{AA55325F-F9C4-47F3-8B7C-0C98F900483B}"/>
            </a:ext>
          </a:extLst>
        </xdr:cNvPr>
        <xdr:cNvSpPr txBox="1"/>
      </xdr:nvSpPr>
      <xdr:spPr>
        <a:xfrm>
          <a:off x="7715250" y="5248275"/>
          <a:ext cx="1017270" cy="512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594BECE-1F09-4EEB-A094-9F2483B68FE7}" type="TxLink">
            <a:rPr lang="en-US" sz="11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RAISSA</a:t>
          </a:fld>
          <a:endParaRPr lang="pt-BR" sz="11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14</xdr:col>
      <xdr:colOff>369570</xdr:colOff>
      <xdr:row>25</xdr:row>
      <xdr:rowOff>9524</xdr:rowOff>
    </xdr:from>
    <xdr:to>
      <xdr:col>16</xdr:col>
      <xdr:colOff>125730</xdr:colOff>
      <xdr:row>26</xdr:row>
      <xdr:rowOff>156209</xdr:rowOff>
    </xdr:to>
    <xdr:sp macro="" textlink="Planilha1!B4">
      <xdr:nvSpPr>
        <xdr:cNvPr id="131" name="CaixaDeTexto 130">
          <a:extLst>
            <a:ext uri="{FF2B5EF4-FFF2-40B4-BE49-F238E27FC236}">
              <a16:creationId xmlns:a16="http://schemas.microsoft.com/office/drawing/2014/main" id="{B272AF32-C08E-4C68-97FC-A0252F594F3E}"/>
            </a:ext>
          </a:extLst>
        </xdr:cNvPr>
        <xdr:cNvSpPr txBox="1"/>
      </xdr:nvSpPr>
      <xdr:spPr>
        <a:xfrm>
          <a:off x="8903970" y="4772024"/>
          <a:ext cx="975360" cy="337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4A4FBC8-2557-47CF-90B1-8029BFD85333}" type="TxLink">
            <a:rPr lang="en-US" sz="11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RAISSA</a:t>
          </a:fld>
          <a:endParaRPr lang="pt-BR" sz="11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16</xdr:col>
      <xdr:colOff>415290</xdr:colOff>
      <xdr:row>23</xdr:row>
      <xdr:rowOff>83820</xdr:rowOff>
    </xdr:from>
    <xdr:to>
      <xdr:col>18</xdr:col>
      <xdr:colOff>156210</xdr:colOff>
      <xdr:row>25</xdr:row>
      <xdr:rowOff>41910</xdr:rowOff>
    </xdr:to>
    <xdr:sp macro="" textlink="Planilha1!B3">
      <xdr:nvSpPr>
        <xdr:cNvPr id="134" name="CaixaDeTexto 133">
          <a:extLst>
            <a:ext uri="{FF2B5EF4-FFF2-40B4-BE49-F238E27FC236}">
              <a16:creationId xmlns:a16="http://schemas.microsoft.com/office/drawing/2014/main" id="{DD897E98-1A70-4F2C-BC41-30498755A142}"/>
            </a:ext>
          </a:extLst>
        </xdr:cNvPr>
        <xdr:cNvSpPr txBox="1"/>
      </xdr:nvSpPr>
      <xdr:spPr>
        <a:xfrm>
          <a:off x="10168890" y="4465320"/>
          <a:ext cx="960120" cy="339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8ADDEF1-FAE2-4AD7-B78D-875330C08F73}" type="TxLink">
            <a:rPr lang="en-US" sz="11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RAISSA</a:t>
          </a:fld>
          <a:endParaRPr lang="pt-BR" sz="11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18</xdr:col>
      <xdr:colOff>499110</xdr:colOff>
      <xdr:row>26</xdr:row>
      <xdr:rowOff>85724</xdr:rowOff>
    </xdr:from>
    <xdr:to>
      <xdr:col>20</xdr:col>
      <xdr:colOff>255270</xdr:colOff>
      <xdr:row>28</xdr:row>
      <xdr:rowOff>41909</xdr:rowOff>
    </xdr:to>
    <xdr:sp macro="" textlink="Planilha1!B5">
      <xdr:nvSpPr>
        <xdr:cNvPr id="135" name="CaixaDeTexto 134">
          <a:extLst>
            <a:ext uri="{FF2B5EF4-FFF2-40B4-BE49-F238E27FC236}">
              <a16:creationId xmlns:a16="http://schemas.microsoft.com/office/drawing/2014/main" id="{621AC772-2F3C-4A32-9143-253CD31D60B6}"/>
            </a:ext>
          </a:extLst>
        </xdr:cNvPr>
        <xdr:cNvSpPr txBox="1"/>
      </xdr:nvSpPr>
      <xdr:spPr>
        <a:xfrm>
          <a:off x="11471910" y="5038724"/>
          <a:ext cx="975360" cy="337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40F1271-12A9-48D1-B420-0A4CA0000720}" type="TxLink">
            <a:rPr lang="en-US" sz="11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RAISSA</a:t>
          </a:fld>
          <a:endParaRPr lang="pt-BR" sz="11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16</xdr:col>
      <xdr:colOff>213360</xdr:colOff>
      <xdr:row>15</xdr:row>
      <xdr:rowOff>135677</xdr:rowOff>
    </xdr:from>
    <xdr:to>
      <xdr:col>18</xdr:col>
      <xdr:colOff>327660</xdr:colOff>
      <xdr:row>22</xdr:row>
      <xdr:rowOff>127955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F9A9393-12A3-7D67-58F4-7CA849FF3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" t="5340" r="78146" b="66605"/>
        <a:stretch/>
      </xdr:blipFill>
      <xdr:spPr>
        <a:xfrm>
          <a:off x="9966960" y="2993177"/>
          <a:ext cx="1333500" cy="1325778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190446</xdr:colOff>
      <xdr:row>17</xdr:row>
      <xdr:rowOff>83820</xdr:rowOff>
    </xdr:from>
    <xdr:to>
      <xdr:col>16</xdr:col>
      <xdr:colOff>243840</xdr:colOff>
      <xdr:row>24</xdr:row>
      <xdr:rowOff>97746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1507BD2-718F-787C-EF64-7F19647CF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89" t="4936" r="52767" b="66000"/>
        <a:stretch/>
      </xdr:blipFill>
      <xdr:spPr>
        <a:xfrm>
          <a:off x="8724846" y="3322320"/>
          <a:ext cx="1272594" cy="1347426"/>
        </a:xfrm>
        <a:prstGeom prst="rect">
          <a:avLst/>
        </a:prstGeom>
      </xdr:spPr>
    </xdr:pic>
    <xdr:clientData/>
  </xdr:twoCellAnchor>
  <xdr:twoCellAnchor editAs="oneCell">
    <xdr:from>
      <xdr:col>18</xdr:col>
      <xdr:colOff>345369</xdr:colOff>
      <xdr:row>19</xdr:row>
      <xdr:rowOff>53340</xdr:rowOff>
    </xdr:from>
    <xdr:to>
      <xdr:col>20</xdr:col>
      <xdr:colOff>350521</xdr:colOff>
      <xdr:row>25</xdr:row>
      <xdr:rowOff>167640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7BA49632-41F0-4892-9D93-7ADCB84D56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591" t="5138" r="26542" b="66202"/>
        <a:stretch/>
      </xdr:blipFill>
      <xdr:spPr>
        <a:xfrm>
          <a:off x="11318169" y="3672840"/>
          <a:ext cx="1224352" cy="1257300"/>
        </a:xfrm>
        <a:prstGeom prst="rect">
          <a:avLst/>
        </a:prstGeom>
      </xdr:spPr>
    </xdr:pic>
    <xdr:clientData/>
  </xdr:twoCellAnchor>
  <xdr:twoCellAnchor editAs="oneCell">
    <xdr:from>
      <xdr:col>12</xdr:col>
      <xdr:colOff>415291</xdr:colOff>
      <xdr:row>20</xdr:row>
      <xdr:rowOff>114300</xdr:rowOff>
    </xdr:from>
    <xdr:to>
      <xdr:col>14</xdr:col>
      <xdr:colOff>209551</xdr:colOff>
      <xdr:row>26</xdr:row>
      <xdr:rowOff>68580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1F25036-E174-FF5A-7C63-D896C3987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099" t="5744" r="1586" b="66403"/>
        <a:stretch/>
      </xdr:blipFill>
      <xdr:spPr>
        <a:xfrm>
          <a:off x="7730491" y="3924300"/>
          <a:ext cx="1013460" cy="109728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13</xdr:row>
      <xdr:rowOff>142875</xdr:rowOff>
    </xdr:from>
    <xdr:to>
      <xdr:col>2</xdr:col>
      <xdr:colOff>95250</xdr:colOff>
      <xdr:row>15</xdr:row>
      <xdr:rowOff>9525</xdr:rowOff>
    </xdr:to>
    <xdr:sp macro="" textlink="VENDAS_VENDEDOR!H12">
      <xdr:nvSpPr>
        <xdr:cNvPr id="4" name="CaixaDeTexto 3">
          <a:extLst>
            <a:ext uri="{FF2B5EF4-FFF2-40B4-BE49-F238E27FC236}">
              <a16:creationId xmlns:a16="http://schemas.microsoft.com/office/drawing/2014/main" id="{9FFFBBB1-9E67-4691-953B-913F0BB2C670}"/>
            </a:ext>
          </a:extLst>
        </xdr:cNvPr>
        <xdr:cNvSpPr txBox="1"/>
      </xdr:nvSpPr>
      <xdr:spPr>
        <a:xfrm>
          <a:off x="133350" y="2619375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C273491-B090-4009-8244-DD30230A23F9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JULIA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171449</xdr:colOff>
      <xdr:row>13</xdr:row>
      <xdr:rowOff>152400</xdr:rowOff>
    </xdr:from>
    <xdr:to>
      <xdr:col>4</xdr:col>
      <xdr:colOff>19048</xdr:colOff>
      <xdr:row>15</xdr:row>
      <xdr:rowOff>19050</xdr:rowOff>
    </xdr:to>
    <xdr:sp macro="" textlink="VENDAS_VENDEDOR!J12">
      <xdr:nvSpPr>
        <xdr:cNvPr id="5" name="CaixaDeTexto 4">
          <a:extLst>
            <a:ext uri="{FF2B5EF4-FFF2-40B4-BE49-F238E27FC236}">
              <a16:creationId xmlns:a16="http://schemas.microsoft.com/office/drawing/2014/main" id="{2277C15D-A415-4C1E-A728-EE6CD9CB0128}"/>
            </a:ext>
          </a:extLst>
        </xdr:cNvPr>
        <xdr:cNvSpPr txBox="1"/>
      </xdr:nvSpPr>
      <xdr:spPr>
        <a:xfrm>
          <a:off x="1390649" y="262890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9041DB8-EA0A-4B77-8036-5A247280F5F4}" type="TxLink">
            <a:rPr lang="en-US" sz="1050" b="0" i="0" u="none" strike="noStrike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-R$ 20.000,00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584198</xdr:colOff>
      <xdr:row>13</xdr:row>
      <xdr:rowOff>152400</xdr:rowOff>
    </xdr:from>
    <xdr:to>
      <xdr:col>5</xdr:col>
      <xdr:colOff>542923</xdr:colOff>
      <xdr:row>15</xdr:row>
      <xdr:rowOff>19050</xdr:rowOff>
    </xdr:to>
    <xdr:sp macro="" textlink="VENDAS_VENDEDOR!K12">
      <xdr:nvSpPr>
        <xdr:cNvPr id="46" name="CaixaDeTexto 45">
          <a:extLst>
            <a:ext uri="{FF2B5EF4-FFF2-40B4-BE49-F238E27FC236}">
              <a16:creationId xmlns:a16="http://schemas.microsoft.com/office/drawing/2014/main" id="{538E22BE-3205-46D6-A28A-DA38E170596F}"/>
            </a:ext>
          </a:extLst>
        </xdr:cNvPr>
        <xdr:cNvSpPr txBox="1"/>
      </xdr:nvSpPr>
      <xdr:spPr>
        <a:xfrm>
          <a:off x="2412998" y="262890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4C58D81-F947-487E-9CBF-F7BC825AFF99}" type="TxLink">
            <a:rPr lang="en-US" sz="1050" b="0" i="0" u="none" strike="noStrike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-R$ 26.000,00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511172</xdr:colOff>
      <xdr:row>13</xdr:row>
      <xdr:rowOff>152400</xdr:rowOff>
    </xdr:from>
    <xdr:to>
      <xdr:col>7</xdr:col>
      <xdr:colOff>396873</xdr:colOff>
      <xdr:row>15</xdr:row>
      <xdr:rowOff>19050</xdr:rowOff>
    </xdr:to>
    <xdr:sp macro="" textlink="VENDAS_VENDEDOR!L12">
      <xdr:nvSpPr>
        <xdr:cNvPr id="47" name="CaixaDeTexto 46">
          <a:extLst>
            <a:ext uri="{FF2B5EF4-FFF2-40B4-BE49-F238E27FC236}">
              <a16:creationId xmlns:a16="http://schemas.microsoft.com/office/drawing/2014/main" id="{4CA6C801-7353-4F02-BF4B-C22DAEBDC133}"/>
            </a:ext>
          </a:extLst>
        </xdr:cNvPr>
        <xdr:cNvSpPr txBox="1"/>
      </xdr:nvSpPr>
      <xdr:spPr>
        <a:xfrm>
          <a:off x="3559172" y="262890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1CB75C9-BED9-4CAC-8EC4-2D83EB5E88D2}" type="TxLink">
            <a:rPr lang="en-US" sz="1050" b="0" i="0" u="none" strike="noStrike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-R$ 32.000,00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447675</xdr:colOff>
      <xdr:row>13</xdr:row>
      <xdr:rowOff>152400</xdr:rowOff>
    </xdr:from>
    <xdr:to>
      <xdr:col>9</xdr:col>
      <xdr:colOff>400049</xdr:colOff>
      <xdr:row>15</xdr:row>
      <xdr:rowOff>19050</xdr:rowOff>
    </xdr:to>
    <xdr:sp macro="" textlink="VENDAS_VENDEDOR!M12">
      <xdr:nvSpPr>
        <xdr:cNvPr id="48" name="CaixaDeTexto 47">
          <a:extLst>
            <a:ext uri="{FF2B5EF4-FFF2-40B4-BE49-F238E27FC236}">
              <a16:creationId xmlns:a16="http://schemas.microsoft.com/office/drawing/2014/main" id="{7CD7A69A-DEAB-4B52-9143-0373410F9380}"/>
            </a:ext>
          </a:extLst>
        </xdr:cNvPr>
        <xdr:cNvSpPr txBox="1"/>
      </xdr:nvSpPr>
      <xdr:spPr>
        <a:xfrm>
          <a:off x="4714875" y="262890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B0FE631-3C3F-4B93-A14A-E63257E037FB}" type="TxLink">
            <a:rPr lang="en-US" sz="1050" b="0" i="0" u="none" strike="noStrike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-R$ 36.000,00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10</xdr:col>
      <xdr:colOff>571501</xdr:colOff>
      <xdr:row>26</xdr:row>
      <xdr:rowOff>171450</xdr:rowOff>
    </xdr:from>
    <xdr:to>
      <xdr:col>12</xdr:col>
      <xdr:colOff>333376</xdr:colOff>
      <xdr:row>30</xdr:row>
      <xdr:rowOff>85725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84C7DC96-AD92-4445-89B5-A83DFA7FC1A4}"/>
            </a:ext>
          </a:extLst>
        </xdr:cNvPr>
        <xdr:cNvSpPr/>
      </xdr:nvSpPr>
      <xdr:spPr>
        <a:xfrm>
          <a:off x="6667501" y="5124450"/>
          <a:ext cx="981075" cy="67627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504825</xdr:colOff>
      <xdr:row>27</xdr:row>
      <xdr:rowOff>152401</xdr:rowOff>
    </xdr:from>
    <xdr:to>
      <xdr:col>12</xdr:col>
      <xdr:colOff>409574</xdr:colOff>
      <xdr:row>30</xdr:row>
      <xdr:rowOff>160021</xdr:rowOff>
    </xdr:to>
    <xdr:sp macro="" textlink="Planilha1!B7">
      <xdr:nvSpPr>
        <xdr:cNvPr id="56" name="CaixaDeTexto 55">
          <a:extLst>
            <a:ext uri="{FF2B5EF4-FFF2-40B4-BE49-F238E27FC236}">
              <a16:creationId xmlns:a16="http://schemas.microsoft.com/office/drawing/2014/main" id="{F80FC359-65B7-41EA-83BB-EE5591F95827}"/>
            </a:ext>
          </a:extLst>
        </xdr:cNvPr>
        <xdr:cNvSpPr txBox="1"/>
      </xdr:nvSpPr>
      <xdr:spPr>
        <a:xfrm>
          <a:off x="6600825" y="5295901"/>
          <a:ext cx="1123949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637B753-B811-43B2-ADBE-735F14F95C31}" type="TxLink">
            <a:rPr lang="en-US" sz="11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RAISSA</a:t>
          </a:fld>
          <a:endParaRPr lang="pt-BR" sz="11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10</xdr:col>
      <xdr:colOff>571501</xdr:colOff>
      <xdr:row>27</xdr:row>
      <xdr:rowOff>47625</xdr:rowOff>
    </xdr:from>
    <xdr:to>
      <xdr:col>12</xdr:col>
      <xdr:colOff>327661</xdr:colOff>
      <xdr:row>29</xdr:row>
      <xdr:rowOff>17145</xdr:rowOff>
    </xdr:to>
    <xdr:sp macro="" textlink="Planilha1!C7">
      <xdr:nvSpPr>
        <xdr:cNvPr id="133" name="CaixaDeTexto 132">
          <a:extLst>
            <a:ext uri="{FF2B5EF4-FFF2-40B4-BE49-F238E27FC236}">
              <a16:creationId xmlns:a16="http://schemas.microsoft.com/office/drawing/2014/main" id="{AFCF54A1-5C2C-42C0-AE76-99F88B6B2672}"/>
            </a:ext>
          </a:extLst>
        </xdr:cNvPr>
        <xdr:cNvSpPr txBox="1"/>
      </xdr:nvSpPr>
      <xdr:spPr>
        <a:xfrm>
          <a:off x="6667501" y="5191125"/>
          <a:ext cx="975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8FB6C5A-B5AE-45B6-8703-D0196E8C730F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0,0 k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10</xdr:col>
      <xdr:colOff>180975</xdr:colOff>
      <xdr:row>22</xdr:row>
      <xdr:rowOff>183906</xdr:rowOff>
    </xdr:from>
    <xdr:to>
      <xdr:col>13</xdr:col>
      <xdr:colOff>19050</xdr:colOff>
      <xdr:row>28</xdr:row>
      <xdr:rowOff>66674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9AC92E98-6831-AD63-C63F-F8DA4F7C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4374906"/>
          <a:ext cx="1666875" cy="10257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13</xdr:row>
      <xdr:rowOff>22860</xdr:rowOff>
    </xdr:from>
    <xdr:to>
      <xdr:col>2</xdr:col>
      <xdr:colOff>582930</xdr:colOff>
      <xdr:row>18</xdr:row>
      <xdr:rowOff>175260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11BB91A-E649-4904-AD76-3F77D7CB1041}"/>
            </a:ext>
          </a:extLst>
        </xdr:cNvPr>
        <xdr:cNvSpPr/>
      </xdr:nvSpPr>
      <xdr:spPr>
        <a:xfrm>
          <a:off x="735330" y="240030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6</xdr:row>
      <xdr:rowOff>125730</xdr:rowOff>
    </xdr:from>
    <xdr:to>
      <xdr:col>2</xdr:col>
      <xdr:colOff>582930</xdr:colOff>
      <xdr:row>12</xdr:row>
      <xdr:rowOff>95250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19813FB-B335-494C-BDB9-06CAA710F7FD}"/>
            </a:ext>
          </a:extLst>
        </xdr:cNvPr>
        <xdr:cNvSpPr/>
      </xdr:nvSpPr>
      <xdr:spPr>
        <a:xfrm>
          <a:off x="735330" y="122301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0</xdr:row>
      <xdr:rowOff>45720</xdr:rowOff>
    </xdr:from>
    <xdr:to>
      <xdr:col>2</xdr:col>
      <xdr:colOff>582930</xdr:colOff>
      <xdr:row>6</xdr:row>
      <xdr:rowOff>15240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4CDEFDB-337C-43AB-A780-900BA5E2F11C}"/>
            </a:ext>
          </a:extLst>
        </xdr:cNvPr>
        <xdr:cNvSpPr/>
      </xdr:nvSpPr>
      <xdr:spPr>
        <a:xfrm>
          <a:off x="735330" y="4572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32d9eb0d17a7ed3b/Documents/SCORE%20CONTABILIDADE/03%20-%20CONSULTORIA/Maria%20Lima%20Brand/Financeiro/2024/Metas%20e%20Faturamento/Caixa%20Janeiro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23.464859375003" createdVersion="8" refreshedVersion="8" minRefreshableVersion="3" recordCount="31" xr:uid="{00000000-000A-0000-FFFF-FFFF00000000}">
  <cacheSource type="worksheet">
    <worksheetSource name="Tabela35" r:id="rId2"/>
  </cacheSource>
  <cacheFields count="3">
    <cacheField name="DATA" numFmtId="14">
      <sharedItems containsSemiMixedTypes="0" containsNonDate="0" containsDate="1" containsString="0" minDate="2024-01-01T00:00:00" maxDate="2024-02-01T00:00:00"/>
    </cacheField>
    <cacheField name="DIA DA SEMANA" numFmtId="14">
      <sharedItems count="7">
        <s v="SEGUNDA-FEIRA"/>
        <s v="TERÇA-FEIRA"/>
        <s v="QUARTA-FEIRA"/>
        <s v="QUINTA-FEIRA"/>
        <s v="SEXTA-FEIRA"/>
        <s v="SÁBADO"/>
        <s v="DOMINGO"/>
      </sharedItems>
    </cacheField>
    <cacheField name="FATURAMENTO" numFmtId="44">
      <sharedItems containsSemiMixedTypes="0" containsString="0" containsNumber="1" minValue="0" maxValue="4815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60.423817476854" createdVersion="8" refreshedVersion="8" minRefreshableVersion="3" recordCount="120" xr:uid="{5D52CA3B-FF90-4511-8778-EE83E02A4230}">
  <cacheSource type="worksheet">
    <worksheetSource name="VENDAS_VENDEDOR"/>
  </cacheSource>
  <cacheFields count="4">
    <cacheField name="DATA" numFmtId="14">
      <sharedItems containsSemiMixedTypes="0" containsNonDate="0" containsDate="1" containsString="0" minDate="2024-06-01T00:00:00" maxDate="2024-07-01T00:00:00"/>
    </cacheField>
    <cacheField name="DIA DA SEMANA" numFmtId="14">
      <sharedItems containsNonDate="0"/>
    </cacheField>
    <cacheField name="VALOR REALIZADO" numFmtId="44">
      <sharedItems containsString="0" containsBlank="1" containsNumber="1" minValue="319" maxValue="3664"/>
    </cacheField>
    <cacheField name="VENDEDOR" numFmtId="1">
      <sharedItems containsBlank="1" count="5">
        <s v="SHERON"/>
        <s v="CRIS"/>
        <s v="NARA"/>
        <s v="LOJ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Figueira" refreshedDate="45846.239312152778" createdVersion="8" refreshedVersion="8" minRefreshableVersion="3" recordCount="30" xr:uid="{71003AC3-9CE8-4627-824D-351FBDD8E2B7}">
  <cacheSource type="worksheet">
    <worksheetSource name="vendas"/>
  </cacheSource>
  <cacheFields count="3">
    <cacheField name="DATA" numFmtId="14">
      <sharedItems containsSemiMixedTypes="0" containsNonDate="0" containsDate="1" containsString="0" minDate="2025-06-01T00:00:00" maxDate="2025-07-01T00:00:00"/>
    </cacheField>
    <cacheField name="DIA DA SEMANA" numFmtId="14">
      <sharedItems containsBlank="1" count="8">
        <s v="DOMINGO"/>
        <s v="SEGUNDA-FEIRA"/>
        <s v="TERÇA-FEIRA"/>
        <s v="QUARTA-FEIRA"/>
        <s v="QUINTA-FEIRA"/>
        <s v="SEXTA-FEIRA"/>
        <s v="SÁBADO"/>
        <m u="1"/>
      </sharedItems>
    </cacheField>
    <cacheField name="VALOR" numFmtId="44">
      <sharedItems containsSemiMixedTypes="0" containsString="0" containsNumber="1" minValue="0" maxValue="118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1-01T00:00:00"/>
    <x v="0"/>
    <n v="0"/>
  </r>
  <r>
    <d v="2024-01-02T00:00:00"/>
    <x v="1"/>
    <n v="0"/>
  </r>
  <r>
    <d v="2024-01-03T00:00:00"/>
    <x v="2"/>
    <n v="0"/>
  </r>
  <r>
    <d v="2024-01-04T00:00:00"/>
    <x v="3"/>
    <n v="1855"/>
  </r>
  <r>
    <d v="2024-01-05T00:00:00"/>
    <x v="4"/>
    <n v="3842"/>
  </r>
  <r>
    <d v="2024-01-06T00:00:00"/>
    <x v="5"/>
    <n v="4815.3999999999996"/>
  </r>
  <r>
    <d v="2024-01-07T00:00:00"/>
    <x v="6"/>
    <n v="0"/>
  </r>
  <r>
    <d v="2024-01-08T00:00:00"/>
    <x v="0"/>
    <n v="1707"/>
  </r>
  <r>
    <d v="2024-01-09T00:00:00"/>
    <x v="1"/>
    <n v="2564"/>
  </r>
  <r>
    <d v="2024-01-10T00:00:00"/>
    <x v="2"/>
    <n v="1977"/>
  </r>
  <r>
    <d v="2024-01-11T00:00:00"/>
    <x v="3"/>
    <n v="3688"/>
  </r>
  <r>
    <d v="2024-01-12T00:00:00"/>
    <x v="4"/>
    <n v="3308"/>
  </r>
  <r>
    <d v="2024-01-13T00:00:00"/>
    <x v="5"/>
    <n v="3133"/>
  </r>
  <r>
    <d v="2024-01-14T00:00:00"/>
    <x v="6"/>
    <n v="0"/>
  </r>
  <r>
    <d v="2024-01-15T00:00:00"/>
    <x v="0"/>
    <n v="269"/>
  </r>
  <r>
    <d v="2024-01-16T00:00:00"/>
    <x v="1"/>
    <n v="1599"/>
  </r>
  <r>
    <d v="2024-01-17T00:00:00"/>
    <x v="2"/>
    <n v="943"/>
  </r>
  <r>
    <d v="2024-01-18T00:00:00"/>
    <x v="3"/>
    <n v="3994"/>
  </r>
  <r>
    <d v="2024-01-19T00:00:00"/>
    <x v="4"/>
    <n v="2110"/>
  </r>
  <r>
    <d v="2024-01-20T00:00:00"/>
    <x v="5"/>
    <n v="2782"/>
  </r>
  <r>
    <d v="2024-01-21T00:00:00"/>
    <x v="6"/>
    <n v="0"/>
  </r>
  <r>
    <d v="2024-01-22T00:00:00"/>
    <x v="0"/>
    <n v="784"/>
  </r>
  <r>
    <d v="2024-01-23T00:00:00"/>
    <x v="1"/>
    <n v="1073"/>
  </r>
  <r>
    <d v="2024-01-24T00:00:00"/>
    <x v="2"/>
    <n v="2281"/>
  </r>
  <r>
    <d v="2024-01-25T00:00:00"/>
    <x v="3"/>
    <n v="3291"/>
  </r>
  <r>
    <d v="2024-01-26T00:00:00"/>
    <x v="4"/>
    <n v="1831"/>
  </r>
  <r>
    <d v="2024-01-27T00:00:00"/>
    <x v="5"/>
    <n v="2075"/>
  </r>
  <r>
    <d v="2024-01-28T00:00:00"/>
    <x v="6"/>
    <n v="0"/>
  </r>
  <r>
    <d v="2024-01-29T00:00:00"/>
    <x v="0"/>
    <n v="1572"/>
  </r>
  <r>
    <d v="2024-01-30T00:00:00"/>
    <x v="1"/>
    <n v="2108"/>
  </r>
  <r>
    <d v="2024-01-31T00:00:00"/>
    <x v="2"/>
    <n v="28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4-06-01T00:00:00"/>
    <s v="SÁBADO"/>
    <n v="2425"/>
    <x v="0"/>
  </r>
  <r>
    <d v="2024-06-02T00:00:00"/>
    <s v="DOMINGO"/>
    <m/>
    <x v="0"/>
  </r>
  <r>
    <d v="2024-06-03T00:00:00"/>
    <s v="SEGUNDA-FEIRA"/>
    <n v="3378"/>
    <x v="0"/>
  </r>
  <r>
    <d v="2024-06-04T00:00:00"/>
    <s v="TERÇA-FEIRA"/>
    <n v="321"/>
    <x v="0"/>
  </r>
  <r>
    <d v="2024-06-05T00:00:00"/>
    <s v="QUARTA-FEIRA"/>
    <n v="1493"/>
    <x v="0"/>
  </r>
  <r>
    <d v="2024-06-06T00:00:00"/>
    <s v="QUINTA-FEIRA"/>
    <n v="3222"/>
    <x v="0"/>
  </r>
  <r>
    <d v="2024-06-07T00:00:00"/>
    <s v="SEXTA-FEIRA"/>
    <n v="2505"/>
    <x v="0"/>
  </r>
  <r>
    <d v="2024-06-08T00:00:00"/>
    <s v="SÁBADO"/>
    <n v="1519"/>
    <x v="0"/>
  </r>
  <r>
    <d v="2024-06-09T00:00:00"/>
    <s v="DOMINGO"/>
    <m/>
    <x v="0"/>
  </r>
  <r>
    <d v="2024-06-10T00:00:00"/>
    <s v="SEGUNDA-FEIRA"/>
    <n v="2793"/>
    <x v="0"/>
  </r>
  <r>
    <d v="2024-06-11T00:00:00"/>
    <s v="TERÇA-FEIRA"/>
    <n v="2335"/>
    <x v="0"/>
  </r>
  <r>
    <d v="2024-06-12T00:00:00"/>
    <s v="QUARTA-FEIRA"/>
    <n v="2271"/>
    <x v="0"/>
  </r>
  <r>
    <d v="2024-06-13T00:00:00"/>
    <s v="QUINTA-FEIRA"/>
    <n v="726"/>
    <x v="0"/>
  </r>
  <r>
    <d v="2024-06-14T00:00:00"/>
    <s v="SEXTA-FEIRA"/>
    <n v="2196"/>
    <x v="0"/>
  </r>
  <r>
    <d v="2024-06-15T00:00:00"/>
    <s v="SÁBADO"/>
    <n v="3664"/>
    <x v="0"/>
  </r>
  <r>
    <d v="2024-06-16T00:00:00"/>
    <s v="DOMINGO"/>
    <m/>
    <x v="0"/>
  </r>
  <r>
    <d v="2024-06-17T00:00:00"/>
    <s v="SEGUNDA-FEIRA"/>
    <m/>
    <x v="0"/>
  </r>
  <r>
    <d v="2024-06-18T00:00:00"/>
    <s v="TERÇA-FEIRA"/>
    <m/>
    <x v="0"/>
  </r>
  <r>
    <d v="2024-06-19T00:00:00"/>
    <s v="QUARTA-FEIRA"/>
    <m/>
    <x v="0"/>
  </r>
  <r>
    <d v="2024-06-20T00:00:00"/>
    <s v="QUINTA-FEIRA"/>
    <m/>
    <x v="0"/>
  </r>
  <r>
    <d v="2024-06-21T00:00:00"/>
    <s v="SEXTA-FEIRA"/>
    <m/>
    <x v="0"/>
  </r>
  <r>
    <d v="2024-06-22T00:00:00"/>
    <s v="SÁBADO"/>
    <m/>
    <x v="0"/>
  </r>
  <r>
    <d v="2024-06-23T00:00:00"/>
    <s v="DOMINGO"/>
    <m/>
    <x v="0"/>
  </r>
  <r>
    <d v="2024-06-24T00:00:00"/>
    <s v="SEGUNDA-FEIRA"/>
    <m/>
    <x v="0"/>
  </r>
  <r>
    <d v="2024-06-25T00:00:00"/>
    <s v="TERÇA-FEIRA"/>
    <m/>
    <x v="0"/>
  </r>
  <r>
    <d v="2024-06-26T00:00:00"/>
    <s v="QUARTA-FEIRA"/>
    <m/>
    <x v="0"/>
  </r>
  <r>
    <d v="2024-06-27T00:00:00"/>
    <s v="QUINTA-FEIRA"/>
    <m/>
    <x v="0"/>
  </r>
  <r>
    <d v="2024-06-28T00:00:00"/>
    <s v="SEXTA-FEIRA"/>
    <m/>
    <x v="0"/>
  </r>
  <r>
    <d v="2024-06-29T00:00:00"/>
    <s v="SÁBADO"/>
    <m/>
    <x v="0"/>
  </r>
  <r>
    <d v="2024-06-30T00:00:00"/>
    <s v="DOMINGO"/>
    <m/>
    <x v="0"/>
  </r>
  <r>
    <d v="2024-06-01T00:00:00"/>
    <s v="SÁBADO"/>
    <n v="2055"/>
    <x v="1"/>
  </r>
  <r>
    <d v="2024-06-02T00:00:00"/>
    <s v="DOMINGO"/>
    <m/>
    <x v="1"/>
  </r>
  <r>
    <d v="2024-06-03T00:00:00"/>
    <s v="SEGUNDA-FEIRA"/>
    <n v="3210"/>
    <x v="1"/>
  </r>
  <r>
    <d v="2024-06-04T00:00:00"/>
    <s v="TERÇA-FEIRA"/>
    <n v="955"/>
    <x v="1"/>
  </r>
  <r>
    <d v="2024-06-05T00:00:00"/>
    <s v="QUARTA-FEIRA"/>
    <n v="1636"/>
    <x v="1"/>
  </r>
  <r>
    <d v="2024-06-06T00:00:00"/>
    <s v="QUINTA-FEIRA"/>
    <n v="2600"/>
    <x v="1"/>
  </r>
  <r>
    <d v="2024-06-07T00:00:00"/>
    <s v="SEXTA-FEIRA"/>
    <n v="2525"/>
    <x v="1"/>
  </r>
  <r>
    <d v="2024-06-08T00:00:00"/>
    <s v="SÁBADO"/>
    <n v="3522"/>
    <x v="1"/>
  </r>
  <r>
    <d v="2024-06-09T00:00:00"/>
    <s v="DOMINGO"/>
    <m/>
    <x v="1"/>
  </r>
  <r>
    <d v="2024-06-10T00:00:00"/>
    <s v="SEGUNDA-FEIRA"/>
    <n v="467"/>
    <x v="1"/>
  </r>
  <r>
    <d v="2024-06-11T00:00:00"/>
    <s v="TERÇA-FEIRA"/>
    <n v="2559.1"/>
    <x v="1"/>
  </r>
  <r>
    <d v="2024-06-12T00:00:00"/>
    <s v="QUARTA-FEIRA"/>
    <n v="1624"/>
    <x v="1"/>
  </r>
  <r>
    <d v="2024-06-13T00:00:00"/>
    <s v="QUINTA-FEIRA"/>
    <n v="993"/>
    <x v="1"/>
  </r>
  <r>
    <d v="2024-06-14T00:00:00"/>
    <s v="SEXTA-FEIRA"/>
    <n v="1676"/>
    <x v="1"/>
  </r>
  <r>
    <d v="2024-06-15T00:00:00"/>
    <s v="SÁBADO"/>
    <n v="1853"/>
    <x v="1"/>
  </r>
  <r>
    <d v="2024-06-16T00:00:00"/>
    <s v="DOMINGO"/>
    <m/>
    <x v="1"/>
  </r>
  <r>
    <d v="2024-06-17T00:00:00"/>
    <s v="SEGUNDA-FEIRA"/>
    <m/>
    <x v="1"/>
  </r>
  <r>
    <d v="2024-06-18T00:00:00"/>
    <s v="TERÇA-FEIRA"/>
    <m/>
    <x v="1"/>
  </r>
  <r>
    <d v="2024-06-19T00:00:00"/>
    <s v="QUARTA-FEIRA"/>
    <m/>
    <x v="1"/>
  </r>
  <r>
    <d v="2024-06-20T00:00:00"/>
    <s v="QUINTA-FEIRA"/>
    <m/>
    <x v="1"/>
  </r>
  <r>
    <d v="2024-06-21T00:00:00"/>
    <s v="SEXTA-FEIRA"/>
    <m/>
    <x v="1"/>
  </r>
  <r>
    <d v="2024-06-22T00:00:00"/>
    <s v="SÁBADO"/>
    <m/>
    <x v="1"/>
  </r>
  <r>
    <d v="2024-06-23T00:00:00"/>
    <s v="DOMINGO"/>
    <m/>
    <x v="1"/>
  </r>
  <r>
    <d v="2024-06-24T00:00:00"/>
    <s v="SEGUNDA-FEIRA"/>
    <m/>
    <x v="1"/>
  </r>
  <r>
    <d v="2024-06-25T00:00:00"/>
    <s v="TERÇA-FEIRA"/>
    <m/>
    <x v="1"/>
  </r>
  <r>
    <d v="2024-06-26T00:00:00"/>
    <s v="QUARTA-FEIRA"/>
    <m/>
    <x v="1"/>
  </r>
  <r>
    <d v="2024-06-27T00:00:00"/>
    <s v="QUINTA-FEIRA"/>
    <m/>
    <x v="1"/>
  </r>
  <r>
    <d v="2024-06-28T00:00:00"/>
    <s v="SEXTA-FEIRA"/>
    <m/>
    <x v="1"/>
  </r>
  <r>
    <d v="2024-06-29T00:00:00"/>
    <s v="SÁBADO"/>
    <m/>
    <x v="1"/>
  </r>
  <r>
    <d v="2024-06-30T00:00:00"/>
    <s v="DOMINGO"/>
    <m/>
    <x v="1"/>
  </r>
  <r>
    <d v="2024-06-01T00:00:00"/>
    <s v="SÁBADO"/>
    <n v="745"/>
    <x v="2"/>
  </r>
  <r>
    <d v="2024-06-02T00:00:00"/>
    <s v="DOMINGO"/>
    <m/>
    <x v="2"/>
  </r>
  <r>
    <d v="2024-06-03T00:00:00"/>
    <s v="SEGUNDA-FEIRA"/>
    <n v="456"/>
    <x v="2"/>
  </r>
  <r>
    <d v="2024-06-04T00:00:00"/>
    <s v="TERÇA-FEIRA"/>
    <n v="524"/>
    <x v="2"/>
  </r>
  <r>
    <d v="2024-06-05T00:00:00"/>
    <s v="QUARTA-FEIRA"/>
    <n v="1324"/>
    <x v="2"/>
  </r>
  <r>
    <d v="2024-06-06T00:00:00"/>
    <s v="QUINTA-FEIRA"/>
    <n v="2803"/>
    <x v="2"/>
  </r>
  <r>
    <d v="2024-06-07T00:00:00"/>
    <s v="SEXTA-FEIRA"/>
    <n v="2314"/>
    <x v="2"/>
  </r>
  <r>
    <d v="2024-06-08T00:00:00"/>
    <s v="SÁBADO"/>
    <n v="2301"/>
    <x v="2"/>
  </r>
  <r>
    <d v="2024-06-09T00:00:00"/>
    <s v="DOMINGO"/>
    <m/>
    <x v="2"/>
  </r>
  <r>
    <d v="2024-06-10T00:00:00"/>
    <s v="SEGUNDA-FEIRA"/>
    <n v="2334"/>
    <x v="2"/>
  </r>
  <r>
    <d v="2024-06-11T00:00:00"/>
    <s v="TERÇA-FEIRA"/>
    <n v="1583"/>
    <x v="2"/>
  </r>
  <r>
    <d v="2024-06-12T00:00:00"/>
    <s v="QUARTA-FEIRA"/>
    <n v="1333"/>
    <x v="2"/>
  </r>
  <r>
    <d v="2024-06-13T00:00:00"/>
    <s v="QUINTA-FEIRA"/>
    <n v="1847"/>
    <x v="2"/>
  </r>
  <r>
    <d v="2024-06-14T00:00:00"/>
    <s v="SEXTA-FEIRA"/>
    <n v="1479"/>
    <x v="2"/>
  </r>
  <r>
    <d v="2024-06-15T00:00:00"/>
    <s v="SÁBADO"/>
    <n v="3077"/>
    <x v="2"/>
  </r>
  <r>
    <d v="2024-06-16T00:00:00"/>
    <s v="DOMINGO"/>
    <m/>
    <x v="2"/>
  </r>
  <r>
    <d v="2024-06-17T00:00:00"/>
    <s v="SEGUNDA-FEIRA"/>
    <m/>
    <x v="2"/>
  </r>
  <r>
    <d v="2024-06-18T00:00:00"/>
    <s v="TERÇA-FEIRA"/>
    <m/>
    <x v="2"/>
  </r>
  <r>
    <d v="2024-06-19T00:00:00"/>
    <s v="QUARTA-FEIRA"/>
    <m/>
    <x v="2"/>
  </r>
  <r>
    <d v="2024-06-20T00:00:00"/>
    <s v="QUINTA-FEIRA"/>
    <m/>
    <x v="2"/>
  </r>
  <r>
    <d v="2024-06-21T00:00:00"/>
    <s v="SEXTA-FEIRA"/>
    <m/>
    <x v="2"/>
  </r>
  <r>
    <d v="2024-06-22T00:00:00"/>
    <s v="SÁBADO"/>
    <m/>
    <x v="2"/>
  </r>
  <r>
    <d v="2024-06-23T00:00:00"/>
    <s v="DOMINGO"/>
    <m/>
    <x v="2"/>
  </r>
  <r>
    <d v="2024-06-24T00:00:00"/>
    <s v="SEGUNDA-FEIRA"/>
    <m/>
    <x v="2"/>
  </r>
  <r>
    <d v="2024-06-25T00:00:00"/>
    <s v="TERÇA-FEIRA"/>
    <m/>
    <x v="2"/>
  </r>
  <r>
    <d v="2024-06-26T00:00:00"/>
    <s v="QUARTA-FEIRA"/>
    <m/>
    <x v="2"/>
  </r>
  <r>
    <d v="2024-06-27T00:00:00"/>
    <s v="QUINTA-FEIRA"/>
    <m/>
    <x v="2"/>
  </r>
  <r>
    <d v="2024-06-28T00:00:00"/>
    <s v="SEXTA-FEIRA"/>
    <m/>
    <x v="2"/>
  </r>
  <r>
    <d v="2024-06-29T00:00:00"/>
    <s v="SÁBADO"/>
    <m/>
    <x v="2"/>
  </r>
  <r>
    <d v="2024-06-30T00:00:00"/>
    <s v="DOMINGO"/>
    <m/>
    <x v="2"/>
  </r>
  <r>
    <d v="2024-06-01T00:00:00"/>
    <s v="SÁBADO"/>
    <n v="1289"/>
    <x v="3"/>
  </r>
  <r>
    <d v="2024-06-02T00:00:00"/>
    <s v="DOMINGO"/>
    <m/>
    <x v="3"/>
  </r>
  <r>
    <d v="2024-06-03T00:00:00"/>
    <s v="SEGUNDA-FEIRA"/>
    <n v="379"/>
    <x v="3"/>
  </r>
  <r>
    <d v="2024-06-04T00:00:00"/>
    <s v="TERÇA-FEIRA"/>
    <n v="1386"/>
    <x v="3"/>
  </r>
  <r>
    <d v="2024-06-05T00:00:00"/>
    <s v="QUARTA-FEIRA"/>
    <n v="333"/>
    <x v="3"/>
  </r>
  <r>
    <d v="2024-06-06T00:00:00"/>
    <s v="QUINTA-FEIRA"/>
    <n v="400"/>
    <x v="3"/>
  </r>
  <r>
    <d v="2024-06-07T00:00:00"/>
    <s v="SEXTA-FEIRA"/>
    <n v="1219"/>
    <x v="3"/>
  </r>
  <r>
    <d v="2024-06-08T00:00:00"/>
    <s v="SÁBADO"/>
    <n v="1742"/>
    <x v="3"/>
  </r>
  <r>
    <d v="2024-06-09T00:00:00"/>
    <s v="DOMINGO"/>
    <m/>
    <x v="3"/>
  </r>
  <r>
    <d v="2024-06-10T00:00:00"/>
    <s v="SEGUNDA-FEIRA"/>
    <n v="1286"/>
    <x v="3"/>
  </r>
  <r>
    <d v="2024-06-11T00:00:00"/>
    <s v="TERÇA-FEIRA"/>
    <n v="1612"/>
    <x v="3"/>
  </r>
  <r>
    <d v="2024-06-12T00:00:00"/>
    <s v="QUARTA-FEIRA"/>
    <n v="1599"/>
    <x v="3"/>
  </r>
  <r>
    <d v="2024-06-13T00:00:00"/>
    <s v="QUINTA-FEIRA"/>
    <n v="1610"/>
    <x v="3"/>
  </r>
  <r>
    <d v="2024-06-14T00:00:00"/>
    <s v="SEXTA-FEIRA"/>
    <n v="2280"/>
    <x v="3"/>
  </r>
  <r>
    <d v="2024-06-15T00:00:00"/>
    <s v="SÁBADO"/>
    <n v="319"/>
    <x v="3"/>
  </r>
  <r>
    <d v="2024-06-16T00:00:00"/>
    <s v="DOMINGO"/>
    <m/>
    <x v="3"/>
  </r>
  <r>
    <d v="2024-06-17T00:00:00"/>
    <s v="SEGUNDA-FEIRA"/>
    <m/>
    <x v="3"/>
  </r>
  <r>
    <d v="2024-06-18T00:00:00"/>
    <s v="TERÇA-FEIRA"/>
    <m/>
    <x v="3"/>
  </r>
  <r>
    <d v="2024-06-19T00:00:00"/>
    <s v="QUARTA-FEIRA"/>
    <m/>
    <x v="3"/>
  </r>
  <r>
    <d v="2024-06-20T00:00:00"/>
    <s v="QUINTA-FEIRA"/>
    <m/>
    <x v="3"/>
  </r>
  <r>
    <d v="2024-06-21T00:00:00"/>
    <s v="SEXTA-FEIRA"/>
    <m/>
    <x v="3"/>
  </r>
  <r>
    <d v="2024-06-22T00:00:00"/>
    <s v="SÁBADO"/>
    <m/>
    <x v="3"/>
  </r>
  <r>
    <d v="2024-06-23T00:00:00"/>
    <s v="DOMINGO"/>
    <m/>
    <x v="3"/>
  </r>
  <r>
    <d v="2024-06-24T00:00:00"/>
    <s v="SEGUNDA-FEIRA"/>
    <m/>
    <x v="3"/>
  </r>
  <r>
    <d v="2024-06-25T00:00:00"/>
    <s v="TERÇA-FEIRA"/>
    <m/>
    <x v="3"/>
  </r>
  <r>
    <d v="2024-06-26T00:00:00"/>
    <s v="QUARTA-FEIRA"/>
    <m/>
    <x v="3"/>
  </r>
  <r>
    <d v="2024-06-27T00:00:00"/>
    <s v="QUINTA-FEIRA"/>
    <m/>
    <x v="3"/>
  </r>
  <r>
    <d v="2024-06-28T00:00:00"/>
    <s v="SEXTA-FEIRA"/>
    <m/>
    <x v="3"/>
  </r>
  <r>
    <d v="2024-06-29T00:00:00"/>
    <s v="SÁBADO"/>
    <m/>
    <x v="3"/>
  </r>
  <r>
    <d v="2024-06-30T00:00:00"/>
    <s v="DOMINGO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1T00:00:00"/>
    <x v="0"/>
    <n v="0"/>
  </r>
  <r>
    <d v="2025-06-02T00:00:00"/>
    <x v="1"/>
    <n v="3898"/>
  </r>
  <r>
    <d v="2025-06-03T00:00:00"/>
    <x v="2"/>
    <n v="3090"/>
  </r>
  <r>
    <d v="2025-06-04T00:00:00"/>
    <x v="3"/>
    <n v="3819"/>
  </r>
  <r>
    <d v="2025-06-05T00:00:00"/>
    <x v="4"/>
    <n v="9233.9"/>
  </r>
  <r>
    <d v="2025-06-06T00:00:00"/>
    <x v="5"/>
    <n v="9573.2999999999993"/>
  </r>
  <r>
    <d v="2025-06-07T00:00:00"/>
    <x v="6"/>
    <n v="7524"/>
  </r>
  <r>
    <d v="2025-06-08T00:00:00"/>
    <x v="0"/>
    <n v="0"/>
  </r>
  <r>
    <d v="2025-06-09T00:00:00"/>
    <x v="1"/>
    <n v="5775"/>
  </r>
  <r>
    <d v="2025-06-10T00:00:00"/>
    <x v="2"/>
    <n v="10648"/>
  </r>
  <r>
    <d v="2025-06-11T00:00:00"/>
    <x v="3"/>
    <n v="10186"/>
  </r>
  <r>
    <d v="2025-06-12T00:00:00"/>
    <x v="4"/>
    <n v="11864"/>
  </r>
  <r>
    <d v="2025-06-13T00:00:00"/>
    <x v="5"/>
    <n v="9302"/>
  </r>
  <r>
    <d v="2025-06-14T00:00:00"/>
    <x v="6"/>
    <n v="8213"/>
  </r>
  <r>
    <d v="2025-06-15T00:00:00"/>
    <x v="0"/>
    <n v="0"/>
  </r>
  <r>
    <d v="2025-06-16T00:00:00"/>
    <x v="1"/>
    <n v="5795.6"/>
  </r>
  <r>
    <d v="2025-06-17T00:00:00"/>
    <x v="2"/>
    <n v="3283.7"/>
  </r>
  <r>
    <d v="2025-06-18T00:00:00"/>
    <x v="3"/>
    <n v="7521.7"/>
  </r>
  <r>
    <d v="2025-06-19T00:00:00"/>
    <x v="4"/>
    <n v="3726"/>
  </r>
  <r>
    <d v="2025-06-20T00:00:00"/>
    <x v="5"/>
    <n v="6669"/>
  </r>
  <r>
    <d v="2025-06-21T00:00:00"/>
    <x v="6"/>
    <n v="7044.2"/>
  </r>
  <r>
    <d v="2025-06-22T00:00:00"/>
    <x v="0"/>
    <n v="0"/>
  </r>
  <r>
    <d v="2025-06-23T00:00:00"/>
    <x v="1"/>
    <n v="6519.07"/>
  </r>
  <r>
    <d v="2025-06-24T00:00:00"/>
    <x v="2"/>
    <n v="5641.7"/>
  </r>
  <r>
    <d v="2025-06-25T00:00:00"/>
    <x v="3"/>
    <n v="5344.6"/>
  </r>
  <r>
    <d v="2025-06-26T00:00:00"/>
    <x v="4"/>
    <n v="8820.9"/>
  </r>
  <r>
    <d v="2025-06-27T00:00:00"/>
    <x v="5"/>
    <n v="5583.5"/>
  </r>
  <r>
    <d v="2025-06-28T00:00:00"/>
    <x v="6"/>
    <n v="6585.3"/>
  </r>
  <r>
    <d v="2025-06-29T00:00:00"/>
    <x v="0"/>
    <n v="0"/>
  </r>
  <r>
    <d v="2025-06-30T00:00:00"/>
    <x v="1"/>
    <n v="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BA9BA-15E2-41B9-B988-B9B0E297A3E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 DA SEMANA">
  <location ref="F2:H10" firstHeaderRow="0" firstDataRow="1" firstDataCol="1"/>
  <pivotFields count="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m="1" x="7"/>
        <item t="default"/>
      </items>
    </pivotField>
    <pivotField name="VALOR2"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Total" fld="2" baseField="1" baseItem="0" numFmtId="44"/>
    <dataField name="%" fld="2" showDataAs="percentOfTotal" baseField="1" baseItem="2" numFmtId="10"/>
  </dataFields>
  <formats count="1">
    <format dxfId="1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C303A-0585-4005-86A7-AF49E4E5587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 DA SEMANA">
  <location ref="D3:F11" firstHeaderRow="0" firstDataRow="1" firstDataCol="1"/>
  <pivotFields count="3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numFmtId="4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" fld="2" baseField="1" baseItem="0" numFmtId="44"/>
    <dataField name="%" fld="2" showDataAs="percentOfTotal" baseField="1" baseItem="2" numFmtId="10"/>
  </dataFields>
  <formats count="6"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4B0E2-209E-489E-A81E-3710D9A15A1C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:D7" firstHeaderRow="1" firstDataRow="1" firstDataCol="1"/>
  <pivotFields count="4">
    <pivotField showAll="0"/>
    <pivotField showAll="0"/>
    <pivotField dataField="1" showAll="0"/>
    <pivotField axis="axisRow" showAll="0">
      <items count="6">
        <item x="2"/>
        <item x="0"/>
        <item h="1" m="1" x="4"/>
        <item x="1"/>
        <item h="1" x="3"/>
        <item t="default"/>
      </items>
    </pivotField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META INDIVIDUAL" fld="2" baseField="0" baseItem="0" numFmtId="44"/>
  </dataFields>
  <formats count="1"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77553-E39E-4333-8892-706E3C54A443}" name="Tabela37" displayName="Tabela37" ref="C4:J36" totalsRowCount="1" headerRowDxfId="148" dataDxfId="147">
  <autoFilter ref="C4:J35" xr:uid="{46F77553-E39E-4333-8892-706E3C54A443}"/>
  <tableColumns count="8">
    <tableColumn id="1" xr3:uid="{3909CC02-4F36-4F7D-B5CC-1EF9BACF66E0}" name="DATA" totalsRowLabel="Total" dataDxfId="146" totalsRowDxfId="145">
      <calculatedColumnFormula>DATE($J$2,$J$1,B5)</calculatedColumnFormula>
    </tableColumn>
    <tableColumn id="8" xr3:uid="{1F433A05-A19C-45D0-AE50-C5F420059A80}" name="DIA DA SEMANA" dataDxfId="144" totalsRowDxfId="143">
      <calculatedColumnFormula>UPPER(TEXT(C5,"dddd"))</calculatedColumnFormula>
    </tableColumn>
    <tableColumn id="2" xr3:uid="{A65808D3-7EFA-4CB0-82BB-0A4B235CA32F}" name="VALOR REALIZADO" totalsRowFunction="sum" dataDxfId="142" totalsRowDxfId="141"/>
    <tableColumn id="3" xr3:uid="{E98B1215-0DC8-4D5C-B7E5-54AD2A5AAFC8}" name="SEMANA" dataDxfId="140" totalsRowDxfId="139">
      <calculatedColumnFormula>"Semana " &amp; INT((DAY(C5)+WEEKDAY(DATE(YEAR(C5),MONTH(C5),1),1)-2)/7)+1</calculatedColumnFormula>
    </tableColumn>
    <tableColumn id="4" xr3:uid="{9748AA4E-A35E-4490-B2DB-55B9B0E722FC}" name="META MÍNIMA" totalsRowFunction="sum" dataDxfId="138" totalsRowDxfId="137"/>
    <tableColumn id="5" xr3:uid="{C0A7814A-EF07-4A89-B411-9D2290FF629D}" name="TOP 1" totalsRowFunction="sum" dataDxfId="136" totalsRowDxfId="135"/>
    <tableColumn id="6" xr3:uid="{B15708C8-682B-4C3D-BAE8-EA145A7E3F7E}" name="TOP 2" totalsRowFunction="sum" dataDxfId="134" totalsRowDxfId="133"/>
    <tableColumn id="7" xr3:uid="{EED4E697-8BC9-496B-AD1A-EF0E8659D8C3}" name="MASTER" totalsRowFunction="sum" dataDxfId="132" totalsRowDxfId="1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AFF0E3-9E9F-4200-81C1-C36EA4270F1F}" name="Tabela15" displayName="Tabela15" ref="A3:C33" totalsRowShown="0">
  <autoFilter ref="A3:C33" xr:uid="{ACAFF0E3-9E9F-4200-81C1-C36EA4270F1F}"/>
  <tableColumns count="3">
    <tableColumn id="1" xr3:uid="{90B35A7A-1697-49B0-B400-DCEA2B96FAAD}" name="DATA" dataDxfId="130"/>
    <tableColumn id="2" xr3:uid="{68A5B08E-1FC6-4ECC-A4C7-F9549DA5C1B0}" name="DIA DA SEMANA"/>
    <tableColumn id="3" xr3:uid="{BBE4816E-B8E1-4D49-8862-6A06BC05B6DA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vendas" displayName="vendas" ref="B1:D32" totalsRowShown="0" headerRowDxfId="128">
  <autoFilter ref="B1:D32" xr:uid="{00000000-0009-0000-0100-000002000000}"/>
  <tableColumns count="3">
    <tableColumn id="1" xr3:uid="{00000000-0010-0000-0000-000001000000}" name="DATA" dataDxfId="127"/>
    <tableColumn id="2" xr3:uid="{00000000-0010-0000-0000-000002000000}" name="DIA DA SEMANA" dataDxfId="126">
      <calculatedColumnFormula>UPPER(TEXT(B2,"dddd"))</calculatedColumnFormula>
    </tableColumn>
    <tableColumn id="3" xr3:uid="{00000000-0010-0000-0000-000003000000}" name="VALOR" dataDxfId="125" dataCellStyle="Moeda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4EC0F2-9372-4F59-ABD4-4873CF70D193}" name="Tabela6" displayName="Tabela6" ref="M2:R11" totalsRowCount="1" headerRowDxfId="124">
  <autoFilter ref="M2:R10" xr:uid="{744EC0F2-9372-4F59-ABD4-4873CF70D193}"/>
  <tableColumns count="6">
    <tableColumn id="1" xr3:uid="{DC7E8603-E50A-48AD-A6E3-73354071B010}" name="MÊS" totalsRowLabel="Total" dataDxfId="123" totalsRowDxfId="122"/>
    <tableColumn id="2" xr3:uid="{5C3A1BBA-7911-499B-A39D-67711C51A556}" name="ANO" dataDxfId="121" totalsRowDxfId="120">
      <calculatedColumnFormula>$G$1</calculatedColumnFormula>
    </tableColumn>
    <tableColumn id="3" xr3:uid="{3C85FE64-287B-4005-91AC-215326CF0F7A}" name="META MENSAL" dataDxfId="119" totalsRowDxfId="118">
      <calculatedColumnFormula>$K$2</calculatedColumnFormula>
    </tableColumn>
    <tableColumn id="4" xr3:uid="{B1A45CB9-962D-4662-B6BA-2450088FC256}" name="DIA DA SEMANA" dataDxfId="117" totalsRowDxfId="116"/>
    <tableColumn id="5" xr3:uid="{85D5DCD8-2A18-45BF-A631-E920891E2E1E}" name="PERCENTUAL DE REPRESENTATIVIDADE" totalsRowFunction="sum" dataDxfId="115" totalsRowDxfId="114" dataCellStyle="Porcentagem">
      <calculatedColumnFormula>H3</calculatedColumnFormula>
    </tableColumn>
    <tableColumn id="6" xr3:uid="{0E9AD6F2-56A0-4F45-99BD-5A3422AFA93B}" name="QUANTIDADE" totalsRowFunction="sum" dataDxfId="113" totalsRowDxfId="112" dataCellStyle="Porcentagem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8C9BBE-2C4A-4FAB-B71B-6F8437478C7D}" name="Tabela68" displayName="Tabela68" ref="M13:R20" totalsRowShown="0" headerRowDxfId="111">
  <autoFilter ref="M13:R20" xr:uid="{F78C9BBE-2C4A-4FAB-B71B-6F8437478C7D}"/>
  <tableColumns count="6">
    <tableColumn id="1" xr3:uid="{66A39457-4984-4F71-ABED-BC3D612FA3D3}" name="MÊS" dataDxfId="110">
      <calculatedColumnFormula>M3</calculatedColumnFormula>
    </tableColumn>
    <tableColumn id="2" xr3:uid="{63B47441-F0D1-4F2F-8274-F9D48C5609F2}" name="ANO" dataDxfId="109">
      <calculatedColumnFormula>N3</calculatedColumnFormula>
    </tableColumn>
    <tableColumn id="3" xr3:uid="{BC9CF91A-FF03-4A05-8506-069DEAFC1F7B}" name="META MENSAL" dataDxfId="108">
      <calculatedColumnFormula>O3</calculatedColumnFormula>
    </tableColumn>
    <tableColumn id="4" xr3:uid="{A729F591-C979-49C0-B880-C86A472079B0}" name="DIA DA SEMANA" dataDxfId="107"/>
    <tableColumn id="5" xr3:uid="{7BACC290-6404-4D61-90B7-E44CFB81A660}" name="VALOR DO DIA DA SEMANA" dataDxfId="106" dataCellStyle="Porcentagem">
      <calculatedColumnFormula>(O3*Q3)/Tabela68[[#This Row],[QUANTIDADE]]</calculatedColumnFormula>
    </tableColumn>
    <tableColumn id="6" xr3:uid="{C5DB084D-1604-43EA-8E27-2F190813A174}" name="QUANTIDADE" dataDxfId="105" dataCellStyle="Porcentagem">
      <calculatedColumnFormula>R3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4A21B0-3556-4E08-BDBF-C5E882EA8EA0}" name="Tabela69" displayName="Tabela69" ref="W2:AB10" totalsRowCount="1" headerRowDxfId="104">
  <autoFilter ref="W2:AB9" xr:uid="{8F4A21B0-3556-4E08-BDBF-C5E882EA8EA0}"/>
  <tableColumns count="6">
    <tableColumn id="1" xr3:uid="{1A1ED27B-4F61-4E0C-BEB2-18A43A9CF10B}" name="MÊS" totalsRowLabel="Total" dataDxfId="103" totalsRowDxfId="102">
      <calculatedColumnFormula>Tabela6[[#This Row],[MÊS]]</calculatedColumnFormula>
    </tableColumn>
    <tableColumn id="2" xr3:uid="{158E1EE5-9D57-4C4E-A10B-0EA27A55EE19}" name="ANO" dataDxfId="101" totalsRowDxfId="100">
      <calculatedColumnFormula>Tabela6[[#This Row],[ANO]]</calculatedColumnFormula>
    </tableColumn>
    <tableColumn id="3" xr3:uid="{3B32A839-CA0A-4DE1-8CE8-904879F004AF}" name="META MENSAL" dataDxfId="99" totalsRowDxfId="98">
      <calculatedColumnFormula>$K$7</calculatedColumnFormula>
    </tableColumn>
    <tableColumn id="4" xr3:uid="{DE06D5CA-D252-481F-8810-4998CC0AD6DA}" name="DIA DA SEMANA" dataDxfId="97" totalsRowDxfId="96"/>
    <tableColumn id="5" xr3:uid="{ED33051C-3767-4E7F-B9EC-D098E930A882}" name="PERCENTUAL DE REPRESENTATIVIDADE" totalsRowFunction="sum" dataDxfId="95" totalsRowDxfId="94" dataCellStyle="Porcentagem"/>
    <tableColumn id="6" xr3:uid="{8624F00E-1F70-4792-A231-B8715BDC9888}" name="QUANTIDADE" totalsRowFunction="sum" dataDxfId="93" totalsRowDxfId="92" dataCellStyle="Porcentagem">
      <calculatedColumnFormula>Tabela6[[#This Row],[QUANTIDADE]]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76675F-6C59-4F1F-A89B-F1B3755A8CE3}" name="Tabela6810" displayName="Tabela6810" ref="W13:AB20" totalsRowShown="0" headerRowDxfId="91">
  <autoFilter ref="W13:AB20" xr:uid="{D976675F-6C59-4F1F-A89B-F1B3755A8CE3}"/>
  <tableColumns count="6">
    <tableColumn id="1" xr3:uid="{0565AB3B-FED4-41A8-A436-2E58E073073B}" name="MÊS" dataDxfId="90">
      <calculatedColumnFormula>W3</calculatedColumnFormula>
    </tableColumn>
    <tableColumn id="2" xr3:uid="{C3FCAFB5-B979-4C9E-8A4B-3814A8A0E39D}" name="ANO" dataDxfId="89">
      <calculatedColumnFormula>X3</calculatedColumnFormula>
    </tableColumn>
    <tableColumn id="3" xr3:uid="{CAF55F7A-28F4-48C3-A971-BFF910651B41}" name="META MENSAL" dataDxfId="88">
      <calculatedColumnFormula>Y3</calculatedColumnFormula>
    </tableColumn>
    <tableColumn id="4" xr3:uid="{B12ED85D-8ACA-4C37-B9C7-58C513A2174D}" name="DIA DA SEMANA" dataDxfId="87"/>
    <tableColumn id="5" xr3:uid="{14030F25-D5EB-4DB0-BBC1-F2091DE47CF6}" name="VALOR DO DIA DA SEMANA" dataDxfId="86" dataCellStyle="Porcentagem">
      <calculatedColumnFormula>(Y3*AA3)/Tabela6810[[#This Row],[QUANTIDADE]]</calculatedColumnFormula>
    </tableColumn>
    <tableColumn id="6" xr3:uid="{72479836-9521-412F-80E5-23D4A270D3CA}" name="QUANTIDADE" dataDxfId="85" dataCellStyle="Porcentagem">
      <calculatedColumnFormula>AB3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FAFA01-2819-4046-845A-CB255A54CE1B}" name="Tabela6911" displayName="Tabela6911" ref="AG2:AL10" totalsRowCount="1" headerRowDxfId="84">
  <autoFilter ref="AG2:AL9" xr:uid="{D3FAFA01-2819-4046-845A-CB255A54CE1B}"/>
  <tableColumns count="6">
    <tableColumn id="1" xr3:uid="{CBFEEED9-342B-4CF5-A263-6EC0AB2ADDC7}" name="MÊS" totalsRowLabel="Total" dataDxfId="83" totalsRowDxfId="82">
      <calculatedColumnFormula>Tabela69[[#This Row],[MÊS]]</calculatedColumnFormula>
    </tableColumn>
    <tableColumn id="2" xr3:uid="{A2DDD482-30EA-41BF-B63E-A1274E3E5360}" name="ANO" dataDxfId="81" totalsRowDxfId="80">
      <calculatedColumnFormula>Tabela6[[#This Row],[ANO]]</calculatedColumnFormula>
    </tableColumn>
    <tableColumn id="3" xr3:uid="{DA0970CB-857C-47AC-B81C-80C6F60CB6D4}" name="META MENSAL" dataDxfId="79" totalsRowDxfId="78">
      <calculatedColumnFormula>$K$13</calculatedColumnFormula>
    </tableColumn>
    <tableColumn id="4" xr3:uid="{2301F852-BEF8-4577-8299-E07A6458280D}" name="DIA DA SEMANA" dataDxfId="77" totalsRowDxfId="76"/>
    <tableColumn id="5" xr3:uid="{7E6839E9-9BED-412B-96B0-C01BC41B91C9}" name="PERCENTUAL DE REPRESENTATIVIDADE" totalsRowFunction="sum" dataDxfId="75" totalsRowDxfId="74" dataCellStyle="Porcentagem"/>
    <tableColumn id="6" xr3:uid="{2D25A8E6-AC12-4C19-93D8-619EFFB55F3E}" name="QUANTIDADE" totalsRowFunction="sum" dataDxfId="73" totalsRowDxfId="72" dataCellStyle="Porcentagem">
      <calculatedColumnFormula>Tabela69[[#This Row],[QUANTIDADE]]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C9C07C-CF0D-41E7-9BD8-9ADB4CAF90B5}" name="Tabela681012" displayName="Tabela681012" ref="AG13:AL20" totalsRowShown="0" headerRowDxfId="71">
  <autoFilter ref="AG13:AL20" xr:uid="{55C9C07C-CF0D-41E7-9BD8-9ADB4CAF90B5}"/>
  <tableColumns count="6">
    <tableColumn id="1" xr3:uid="{F9993341-48C9-4AB0-90AE-C8C472EF4F1B}" name="MÊS" dataDxfId="70">
      <calculatedColumnFormula>AG3</calculatedColumnFormula>
    </tableColumn>
    <tableColumn id="2" xr3:uid="{8E72D5D5-86FA-46A9-BA62-9BA5B5D65E57}" name="ANO" dataDxfId="69">
      <calculatedColumnFormula>AH3</calculatedColumnFormula>
    </tableColumn>
    <tableColumn id="3" xr3:uid="{14F8E2AC-F772-4997-91EE-7E90C36D0DFC}" name="META MENSAL" dataDxfId="68">
      <calculatedColumnFormula>AI3</calculatedColumnFormula>
    </tableColumn>
    <tableColumn id="4" xr3:uid="{F545D542-A4E6-491E-BE83-5BCD110C00E4}" name="DIA DA SEMANA" dataDxfId="67"/>
    <tableColumn id="5" xr3:uid="{C5318451-E322-4E68-BD7F-456B5F31826A}" name="VALOR DO DIA DA SEMANA" dataDxfId="66" dataCellStyle="Porcentagem">
      <calculatedColumnFormula>(AI3*AK3)/Tabela681012[[#This Row],[QUANTIDADE]]</calculatedColumnFormula>
    </tableColumn>
    <tableColumn id="6" xr3:uid="{FD10B648-4E13-400C-AC68-E05EFADDE6F2}" name="QUANTIDADE" dataDxfId="65" dataCellStyle="Porcentagem">
      <calculatedColumnFormula>AL3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CF3584-1C32-4AD1-8496-410604A3A076}" name="Tabela691113" displayName="Tabela691113" ref="AQ2:AV10" totalsRowCount="1" headerRowDxfId="64">
  <autoFilter ref="AQ2:AV9" xr:uid="{F2CF3584-1C32-4AD1-8496-410604A3A076}"/>
  <tableColumns count="6">
    <tableColumn id="1" xr3:uid="{131BE99E-6AA6-49B8-9721-599520EF34CA}" name="MÊS" totalsRowLabel="Total" dataDxfId="63" totalsRowDxfId="62">
      <calculatedColumnFormula>Tabela6911[[#This Row],[MÊS]]</calculatedColumnFormula>
    </tableColumn>
    <tableColumn id="2" xr3:uid="{3A457118-25E7-4A9B-A0AF-EBAB0F5ADEA8}" name="ANO" dataDxfId="61" totalsRowDxfId="60">
      <calculatedColumnFormula>Tabela6911[[#This Row],[ANO]]</calculatedColumnFormula>
    </tableColumn>
    <tableColumn id="3" xr3:uid="{50268208-D9E3-4103-87CE-E96B172DF503}" name="META MENSAL" dataDxfId="59" totalsRowDxfId="58">
      <calculatedColumnFormula>$K$19</calculatedColumnFormula>
    </tableColumn>
    <tableColumn id="4" xr3:uid="{DE201FBB-8C1B-494A-B433-9CAD549B8621}" name="DIA DA SEMANA" dataDxfId="57" totalsRowDxfId="56"/>
    <tableColumn id="5" xr3:uid="{D754BBBE-37FD-4708-8BC8-F62A0BE879EF}" name="PERCENTUAL DE REPRESENTATIVIDADE" totalsRowFunction="sum" dataDxfId="55" totalsRowDxfId="54" dataCellStyle="Porcentagem"/>
    <tableColumn id="6" xr3:uid="{A90D7DD4-C41F-4EEF-87C0-5D785362B722}" name="QUANTIDADE" totalsRowFunction="sum" dataDxfId="53" totalsRowDxfId="52" dataCellStyle="Porcentagem">
      <calculatedColumnFormula>Tabela6911[[#This Row],[QUANTIDADE]]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973E7D-AAC7-4907-B297-E084FD7F815C}" name="Tabela68101214" displayName="Tabela68101214" ref="AQ13:AV20" totalsRowShown="0" headerRowDxfId="51">
  <autoFilter ref="AQ13:AV20" xr:uid="{9E973E7D-AAC7-4907-B297-E084FD7F815C}"/>
  <tableColumns count="6">
    <tableColumn id="1" xr3:uid="{8A9B7CAE-1650-4311-AE5B-28724760F431}" name="MÊS" dataDxfId="50">
      <calculatedColumnFormula>AQ3</calculatedColumnFormula>
    </tableColumn>
    <tableColumn id="2" xr3:uid="{E77E22F0-DC80-46A2-B380-F87264A5793F}" name="ANO" dataDxfId="49">
      <calculatedColumnFormula>AR3</calculatedColumnFormula>
    </tableColumn>
    <tableColumn id="3" xr3:uid="{4927390A-F896-4665-AB42-E149535072B9}" name="META MENSAL" dataDxfId="48">
      <calculatedColumnFormula>AS3</calculatedColumnFormula>
    </tableColumn>
    <tableColumn id="4" xr3:uid="{E290E0AC-E2F9-43C4-A382-F19DF1B0C410}" name="DIA DA SEMANA" dataDxfId="47"/>
    <tableColumn id="5" xr3:uid="{8C1C96AB-CCD9-477C-8D04-E0D3574D1588}" name="VALOR DO DIA DA SEMANA" dataDxfId="46" dataCellStyle="Porcentagem">
      <calculatedColumnFormula>(AS3*AU3)/Tabela68101214[[#This Row],[QUANTIDADE]]</calculatedColumnFormula>
    </tableColumn>
    <tableColumn id="6" xr3:uid="{518D1DBE-E025-4973-B9CF-936428EDD07C}" name="QUANTIDADE" dataDxfId="45" dataCellStyle="Porcentagem">
      <calculatedColumnFormula>AV3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4A878-E3FE-4DB5-9A2B-F8509BAB3F70}" name="VENDAS_VENDEDOR" displayName="VENDAS_VENDEDOR" ref="B4:E160" totalsRowCount="1" headerRowDxfId="44" dataDxfId="43">
  <autoFilter ref="B4:E159" xr:uid="{68C4A878-E3FE-4DB5-9A2B-F8509BAB3F70}"/>
  <tableColumns count="4">
    <tableColumn id="1" xr3:uid="{8306251D-B0F7-4E8A-9DB6-8C8515C54073}" name="DATA" totalsRowLabel="Total" dataDxfId="42" totalsRowDxfId="41"/>
    <tableColumn id="8" xr3:uid="{38E4D3F8-D6BB-4F9D-B60C-1D826FBFF2BE}" name="DIA DA SEMANA" dataDxfId="40" totalsRowDxfId="39">
      <calculatedColumnFormula>UPPER(TEXT(B5,"dddd"))</calculatedColumnFormula>
    </tableColumn>
    <tableColumn id="2" xr3:uid="{F2572D8A-E683-46FC-9AB4-E48412B64F97}" name="VALOR REALIZADO" totalsRowFunction="sum" dataDxfId="38" totalsRowDxfId="37" dataCellStyle="Moeda"/>
    <tableColumn id="9" xr3:uid="{4A11E5D4-605C-4334-8E6A-02E0D152E368}" name="VENDEDOR" dataDxfId="36" totalsRowDxfId="35" dataCellStyle="Moeda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90D9FE-85B0-4B3B-8B3F-A8661C90034D}" name="Tabela44" displayName="Tabela44" ref="D3:E6" totalsRowShown="0" headerRowDxfId="27">
  <autoFilter ref="D3:E6" xr:uid="{02B9BAC3-B079-4297-95DC-3C06540DFD49}"/>
  <tableColumns count="2">
    <tableColumn id="1" xr3:uid="{D56DD498-29BF-4735-871A-F7AB2F93C040}" name="NOME" dataDxfId="26"/>
    <tableColumn id="2" xr3:uid="{833C3DBE-5413-44F7-A77A-CB96D0583CA6}" name="FO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1C2B4E-448E-4ABE-88B7-B6C1319A529E}" name="Tabela14" displayName="Tabela14" ref="A3:C8" totalsRowShown="0">
  <autoFilter ref="A3:C8" xr:uid="{E01C2B4E-448E-4ABE-88B7-B6C1319A529E}"/>
  <tableColumns count="3">
    <tableColumn id="1" xr3:uid="{CF3908E1-59B7-4D44-80AB-66E70EF08B4A}" name="DATA" dataDxfId="25"/>
    <tableColumn id="2" xr3:uid="{AE58242F-8155-40A6-8E01-725EF30F97C8}" name="DIA DA SEMANA"/>
    <tableColumn id="3" xr3:uid="{DD1F8B40-1354-4366-B392-A0CB6F7E76BD}" name="VALO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D3:E6" totalsRowShown="0" headerRowDxfId="24">
  <autoFilter ref="D3:E6" xr:uid="{00000000-0009-0000-0100-000004000000}"/>
  <tableColumns count="2">
    <tableColumn id="1" xr3:uid="{00000000-0010-0000-0300-000001000000}" name="NOME" dataDxfId="23"/>
    <tableColumn id="2" xr3:uid="{00000000-0010-0000-0300-000002000000}" name="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B1:I105"/>
  <sheetViews>
    <sheetView showGridLines="0" topLeftCell="A51" zoomScale="80" zoomScaleNormal="80" workbookViewId="0">
      <selection activeCell="E113" sqref="E113"/>
    </sheetView>
  </sheetViews>
  <sheetFormatPr defaultColWidth="8.7109375" defaultRowHeight="15" x14ac:dyDescent="0.25"/>
  <cols>
    <col min="1" max="1" width="3.42578125" customWidth="1"/>
    <col min="2" max="2" width="15.7109375" bestFit="1" customWidth="1"/>
    <col min="3" max="3" width="15.140625" bestFit="1" customWidth="1"/>
    <col min="4" max="4" width="13.7109375" bestFit="1" customWidth="1"/>
    <col min="5" max="5" width="15.7109375" bestFit="1" customWidth="1"/>
    <col min="6" max="6" width="13.7109375" bestFit="1" customWidth="1"/>
    <col min="8" max="8" width="17.42578125" bestFit="1" customWidth="1"/>
    <col min="9" max="9" width="15.140625" bestFit="1" customWidth="1"/>
  </cols>
  <sheetData>
    <row r="1" spans="2:9" ht="15.75" thickBot="1" x14ac:dyDescent="0.3"/>
    <row r="2" spans="2:9" ht="15.75" thickBot="1" x14ac:dyDescent="0.3">
      <c r="B2" s="186" t="s">
        <v>0</v>
      </c>
      <c r="C2" s="187"/>
      <c r="D2" s="187"/>
      <c r="E2" s="187"/>
    </row>
    <row r="3" spans="2:9" x14ac:dyDescent="0.25">
      <c r="B3" s="76" t="s">
        <v>1</v>
      </c>
      <c r="C3" s="77" t="s">
        <v>2</v>
      </c>
      <c r="D3" s="78" t="s">
        <v>3</v>
      </c>
      <c r="E3" s="79" t="s">
        <v>4</v>
      </c>
    </row>
    <row r="4" spans="2:9" x14ac:dyDescent="0.25">
      <c r="B4" s="38">
        <f>VENDAS_VENDEDOR!J3</f>
        <v>20000</v>
      </c>
      <c r="C4" s="38">
        <f>VENDAS_VENDEDOR!K3</f>
        <v>26000</v>
      </c>
      <c r="D4" s="38">
        <f>VENDAS_VENDEDOR!L3</f>
        <v>32000</v>
      </c>
      <c r="E4" s="38">
        <f>VENDAS_VENDEDOR!M3</f>
        <v>36000</v>
      </c>
    </row>
    <row r="5" spans="2:9" ht="15.75" thickBot="1" x14ac:dyDescent="0.3"/>
    <row r="6" spans="2:9" ht="15.75" thickBot="1" x14ac:dyDescent="0.3">
      <c r="B6" s="186" t="s">
        <v>5</v>
      </c>
      <c r="C6" s="187"/>
      <c r="D6" s="187"/>
      <c r="E6" s="187"/>
    </row>
    <row r="7" spans="2:9" x14ac:dyDescent="0.25">
      <c r="B7" s="76" t="s">
        <v>1</v>
      </c>
      <c r="C7" s="77" t="s">
        <v>2</v>
      </c>
      <c r="D7" s="78" t="s">
        <v>3</v>
      </c>
      <c r="E7" s="79" t="s">
        <v>4</v>
      </c>
    </row>
    <row r="8" spans="2:9" x14ac:dyDescent="0.25">
      <c r="B8" s="38">
        <f>VENDAS_VENDEDOR!O3</f>
        <v>22000</v>
      </c>
      <c r="C8" s="38">
        <f>VENDAS_VENDEDOR!P3</f>
        <v>28000</v>
      </c>
      <c r="D8" s="38">
        <f>VENDAS_VENDEDOR!Q3</f>
        <v>34000</v>
      </c>
      <c r="E8" s="38">
        <f>VENDAS_VENDEDOR!R3</f>
        <v>40000</v>
      </c>
    </row>
    <row r="10" spans="2:9" ht="21" x14ac:dyDescent="0.35">
      <c r="B10" s="185" t="s">
        <v>6</v>
      </c>
      <c r="C10" s="185"/>
      <c r="D10" s="185"/>
      <c r="E10" s="185"/>
      <c r="F10" s="185"/>
      <c r="G10" s="185"/>
      <c r="H10" s="185"/>
      <c r="I10" s="185"/>
    </row>
    <row r="11" spans="2:9" x14ac:dyDescent="0.25">
      <c r="B11" s="40" t="s">
        <v>7</v>
      </c>
      <c r="C11" s="41" t="str">
        <f>H32</f>
        <v>TOTAL</v>
      </c>
    </row>
    <row r="12" spans="2:9" x14ac:dyDescent="0.25">
      <c r="B12" s="184" t="s">
        <v>8</v>
      </c>
      <c r="C12" s="184"/>
      <c r="E12" s="184" t="s">
        <v>9</v>
      </c>
      <c r="F12" s="184"/>
      <c r="H12" s="184" t="s">
        <v>10</v>
      </c>
      <c r="I12" s="184"/>
    </row>
    <row r="13" spans="2:9" x14ac:dyDescent="0.25">
      <c r="B13" t="s">
        <v>11</v>
      </c>
      <c r="C13" s="50" t="str">
        <f>SOBRAL!O37</f>
        <v/>
      </c>
      <c r="E13" t="s">
        <v>11</v>
      </c>
      <c r="F13" s="33" t="str">
        <f>SOBRAL!R37</f>
        <v/>
      </c>
      <c r="H13" t="s">
        <v>11</v>
      </c>
      <c r="I13" s="33" t="str">
        <f>SOBRAL!U37</f>
        <v/>
      </c>
    </row>
    <row r="14" spans="2:9" x14ac:dyDescent="0.25">
      <c r="B14" t="s">
        <v>12</v>
      </c>
      <c r="C14" s="50" t="str">
        <f>SOBRAL!O38</f>
        <v/>
      </c>
      <c r="E14" t="s">
        <v>12</v>
      </c>
      <c r="F14" s="33">
        <f>SOBRAL!R38</f>
        <v>4767.5176412355468</v>
      </c>
      <c r="G14" s="36"/>
      <c r="H14" t="s">
        <v>12</v>
      </c>
      <c r="I14" s="33">
        <f>SOBRAL!U38</f>
        <v>4767.5176412355468</v>
      </c>
    </row>
    <row r="15" spans="2:9" x14ac:dyDescent="0.25">
      <c r="B15" t="s">
        <v>13</v>
      </c>
      <c r="C15" s="50" t="str">
        <f>SOBRAL!O39</f>
        <v/>
      </c>
      <c r="E15" t="s">
        <v>13</v>
      </c>
      <c r="F15" s="33">
        <f>SOBRAL!R39</f>
        <v>4768.9337978784042</v>
      </c>
      <c r="G15" s="36"/>
      <c r="H15" t="s">
        <v>13</v>
      </c>
      <c r="I15" s="33">
        <f>SOBRAL!U39</f>
        <v>4768.9337978784042</v>
      </c>
    </row>
    <row r="16" spans="2:9" x14ac:dyDescent="0.25">
      <c r="B16" t="s">
        <v>14</v>
      </c>
      <c r="C16" s="50" t="str">
        <f>SOBRAL!O40</f>
        <v/>
      </c>
      <c r="E16" t="s">
        <v>14</v>
      </c>
      <c r="F16" s="33">
        <f>SOBRAL!R40</f>
        <v>5654.3789000295619</v>
      </c>
      <c r="G16" s="36"/>
      <c r="H16" t="s">
        <v>14</v>
      </c>
      <c r="I16" s="33">
        <f>SOBRAL!U40</f>
        <v>5654.3789000295619</v>
      </c>
    </row>
    <row r="17" spans="2:9" x14ac:dyDescent="0.25">
      <c r="B17" t="s">
        <v>15</v>
      </c>
      <c r="C17" s="50" t="str">
        <f>SOBRAL!O41</f>
        <v/>
      </c>
      <c r="E17" t="s">
        <v>15</v>
      </c>
      <c r="F17" s="33">
        <f>SOBRAL!R41</f>
        <v>7079.6890070712852</v>
      </c>
      <c r="G17" s="36"/>
      <c r="H17" t="s">
        <v>15</v>
      </c>
      <c r="I17" s="33">
        <f>SOBRAL!U41</f>
        <v>7079.6890070712852</v>
      </c>
    </row>
    <row r="18" spans="2:9" x14ac:dyDescent="0.25">
      <c r="B18" t="s">
        <v>16</v>
      </c>
      <c r="C18" s="50" t="str">
        <f>SOBRAL!O42</f>
        <v/>
      </c>
      <c r="E18" t="s">
        <v>16</v>
      </c>
      <c r="F18" s="33">
        <f>SOBRAL!R42</f>
        <v>6550.0506311321069</v>
      </c>
      <c r="G18" s="36"/>
      <c r="H18" t="s">
        <v>16</v>
      </c>
      <c r="I18" s="33">
        <f>SOBRAL!U42</f>
        <v>6550.0506311321069</v>
      </c>
    </row>
    <row r="19" spans="2:9" x14ac:dyDescent="0.25">
      <c r="B19" s="42" t="s">
        <v>17</v>
      </c>
      <c r="C19" s="50">
        <f>SOBRAL!O43</f>
        <v>4943.5440181224758</v>
      </c>
      <c r="E19" s="42" t="s">
        <v>17</v>
      </c>
      <c r="F19" s="33">
        <f>SOBRAL!R43</f>
        <v>4943.5440181224758</v>
      </c>
      <c r="G19" s="36"/>
      <c r="H19" s="42" t="s">
        <v>17</v>
      </c>
      <c r="I19" s="100">
        <f>SOBRAL!U43</f>
        <v>4943.5440181224758</v>
      </c>
    </row>
    <row r="21" spans="2:9" x14ac:dyDescent="0.25">
      <c r="B21" s="22" t="s">
        <v>18</v>
      </c>
      <c r="C21" s="44">
        <f>SUM(C14:C19)</f>
        <v>4943.5440181224758</v>
      </c>
      <c r="E21" s="22" t="s">
        <v>18</v>
      </c>
      <c r="F21" s="44">
        <f>SUM(F14:F19)</f>
        <v>33764.113995469379</v>
      </c>
      <c r="H21" s="22" t="s">
        <v>18</v>
      </c>
      <c r="I21" s="44">
        <f>SUM(I14:I19)</f>
        <v>33764.113995469379</v>
      </c>
    </row>
    <row r="23" spans="2:9" x14ac:dyDescent="0.25">
      <c r="B23" s="184" t="s">
        <v>19</v>
      </c>
      <c r="C23" s="184"/>
      <c r="E23" s="184" t="s">
        <v>20</v>
      </c>
      <c r="F23" s="184"/>
      <c r="H23" s="184" t="s">
        <v>21</v>
      </c>
      <c r="I23" s="184"/>
    </row>
    <row r="24" spans="2:9" x14ac:dyDescent="0.25">
      <c r="B24" t="s">
        <v>11</v>
      </c>
      <c r="C24" s="36">
        <f>SOBRAL!O48</f>
        <v>0</v>
      </c>
      <c r="E24" t="s">
        <v>11</v>
      </c>
      <c r="F24" s="36">
        <f>SOBRAL!R48</f>
        <v>0</v>
      </c>
      <c r="H24" t="s">
        <v>11</v>
      </c>
      <c r="I24" s="33">
        <f>SOBRAL!U48</f>
        <v>0</v>
      </c>
    </row>
    <row r="25" spans="2:9" x14ac:dyDescent="0.25">
      <c r="B25" t="s">
        <v>12</v>
      </c>
      <c r="C25" s="36">
        <f>SOBRAL!O49</f>
        <v>4767.5176412355468</v>
      </c>
      <c r="E25" t="s">
        <v>12</v>
      </c>
      <c r="F25" s="36">
        <f>SOBRAL!R49</f>
        <v>4767.5176412355468</v>
      </c>
      <c r="H25" t="s">
        <v>12</v>
      </c>
      <c r="I25" s="33" t="str">
        <f>SOBRAL!U49</f>
        <v/>
      </c>
    </row>
    <row r="26" spans="2:9" x14ac:dyDescent="0.25">
      <c r="B26" t="s">
        <v>13</v>
      </c>
      <c r="C26" s="36">
        <f>SOBRAL!O50</f>
        <v>4768.9337978784042</v>
      </c>
      <c r="E26" t="s">
        <v>13</v>
      </c>
      <c r="F26" s="36">
        <f>SOBRAL!R50</f>
        <v>4768.9337978784042</v>
      </c>
      <c r="H26" t="s">
        <v>13</v>
      </c>
      <c r="I26" s="33" t="str">
        <f>SOBRAL!U50</f>
        <v/>
      </c>
    </row>
    <row r="27" spans="2:9" x14ac:dyDescent="0.25">
      <c r="B27" t="s">
        <v>14</v>
      </c>
      <c r="C27" s="36">
        <f>SOBRAL!O51</f>
        <v>5654.3789000295619</v>
      </c>
      <c r="E27" t="s">
        <v>14</v>
      </c>
      <c r="F27" s="36">
        <f>SOBRAL!R51</f>
        <v>5654.3789000295619</v>
      </c>
      <c r="H27" t="s">
        <v>14</v>
      </c>
      <c r="I27" s="33" t="str">
        <f>SOBRAL!U51</f>
        <v/>
      </c>
    </row>
    <row r="28" spans="2:9" x14ac:dyDescent="0.25">
      <c r="B28" t="s">
        <v>15</v>
      </c>
      <c r="C28" s="36">
        <f>SOBRAL!O52</f>
        <v>7079.6890070712852</v>
      </c>
      <c r="E28" t="s">
        <v>15</v>
      </c>
      <c r="F28" s="36">
        <f>SOBRAL!R52</f>
        <v>7079.6890070712852</v>
      </c>
      <c r="H28" t="s">
        <v>15</v>
      </c>
      <c r="I28" s="33" t="str">
        <f>SOBRAL!U52</f>
        <v/>
      </c>
    </row>
    <row r="29" spans="2:9" x14ac:dyDescent="0.25">
      <c r="B29" t="s">
        <v>16</v>
      </c>
      <c r="C29" s="36">
        <f>SOBRAL!O53</f>
        <v>6550.0506311321069</v>
      </c>
      <c r="E29" t="s">
        <v>16</v>
      </c>
      <c r="F29" s="36">
        <f>SOBRAL!R53</f>
        <v>6550.0506311321069</v>
      </c>
      <c r="H29" t="s">
        <v>16</v>
      </c>
      <c r="I29" s="33" t="str">
        <f>SOBRAL!U53</f>
        <v/>
      </c>
    </row>
    <row r="30" spans="2:9" x14ac:dyDescent="0.25">
      <c r="B30" s="42" t="s">
        <v>17</v>
      </c>
      <c r="C30" s="101">
        <f>SOBRAL!O54</f>
        <v>4943.5440181224758</v>
      </c>
      <c r="E30" s="42" t="s">
        <v>17</v>
      </c>
      <c r="F30" s="101">
        <f>SOBRAL!R54</f>
        <v>4943.5440181224758</v>
      </c>
      <c r="H30" s="42" t="s">
        <v>17</v>
      </c>
      <c r="I30" s="100" t="str">
        <f>SOBRAL!U54</f>
        <v/>
      </c>
    </row>
    <row r="32" spans="2:9" x14ac:dyDescent="0.25">
      <c r="B32" s="22" t="s">
        <v>18</v>
      </c>
      <c r="C32" s="44">
        <f>SUM(C25:C30)</f>
        <v>33764.113995469379</v>
      </c>
      <c r="E32" s="22" t="s">
        <v>18</v>
      </c>
      <c r="F32" s="44">
        <f>SUM(F25:F30)</f>
        <v>33764.113995469379</v>
      </c>
      <c r="H32" s="22" t="s">
        <v>18</v>
      </c>
      <c r="I32" s="44">
        <f>SUM(I25:I30)</f>
        <v>0</v>
      </c>
    </row>
    <row r="33" spans="2:9" x14ac:dyDescent="0.25">
      <c r="H33" s="22" t="s">
        <v>22</v>
      </c>
      <c r="I33" s="44">
        <f>C21+F21+I21+C32+F32+I32</f>
        <v>140000</v>
      </c>
    </row>
    <row r="34" spans="2:9" ht="21" x14ac:dyDescent="0.35">
      <c r="B34" s="185" t="s">
        <v>2</v>
      </c>
      <c r="C34" s="185"/>
      <c r="D34" s="185"/>
      <c r="E34" s="185"/>
      <c r="F34" s="185"/>
      <c r="G34" s="185"/>
      <c r="H34" s="185"/>
      <c r="I34" s="185"/>
    </row>
    <row r="35" spans="2:9" x14ac:dyDescent="0.25">
      <c r="B35" s="40" t="s">
        <v>2</v>
      </c>
      <c r="C35" s="41" t="str">
        <f>H56</f>
        <v>TOTAL</v>
      </c>
    </row>
    <row r="36" spans="2:9" x14ac:dyDescent="0.25">
      <c r="B36" s="184" t="s">
        <v>8</v>
      </c>
      <c r="C36" s="184"/>
      <c r="E36" s="184" t="s">
        <v>9</v>
      </c>
      <c r="F36" s="184"/>
      <c r="H36" s="184" t="s">
        <v>10</v>
      </c>
      <c r="I36" s="184"/>
    </row>
    <row r="37" spans="2:9" x14ac:dyDescent="0.25">
      <c r="B37" t="s">
        <v>11</v>
      </c>
      <c r="C37" s="36" t="str">
        <f>SOBRAL!Y37</f>
        <v/>
      </c>
      <c r="E37" t="s">
        <v>11</v>
      </c>
      <c r="F37" s="36" t="str">
        <f>SOBRAL!AB37</f>
        <v/>
      </c>
      <c r="H37" t="s">
        <v>11</v>
      </c>
      <c r="I37" s="36" t="str">
        <f>SOBRAL!AE37</f>
        <v/>
      </c>
    </row>
    <row r="38" spans="2:9" x14ac:dyDescent="0.25">
      <c r="B38" t="s">
        <v>12</v>
      </c>
      <c r="C38" s="36" t="str">
        <f>SOBRAL!Y38</f>
        <v/>
      </c>
      <c r="E38" t="s">
        <v>12</v>
      </c>
      <c r="F38" s="36">
        <f>SOBRAL!AB38</f>
        <v>5789.1285643574502</v>
      </c>
      <c r="G38" s="36"/>
      <c r="H38" t="s">
        <v>12</v>
      </c>
      <c r="I38" s="36">
        <f>SOBRAL!AE38</f>
        <v>5789.1285643574502</v>
      </c>
    </row>
    <row r="39" spans="2:9" x14ac:dyDescent="0.25">
      <c r="B39" t="s">
        <v>13</v>
      </c>
      <c r="C39" s="36" t="str">
        <f>SOBRAL!Y39</f>
        <v/>
      </c>
      <c r="E39" t="s">
        <v>13</v>
      </c>
      <c r="F39" s="36">
        <f>SOBRAL!AB39</f>
        <v>5790.8481831380623</v>
      </c>
      <c r="G39" s="36"/>
      <c r="H39" t="s">
        <v>13</v>
      </c>
      <c r="I39" s="36">
        <f>SOBRAL!AE39</f>
        <v>5790.8481831380623</v>
      </c>
    </row>
    <row r="40" spans="2:9" x14ac:dyDescent="0.25">
      <c r="B40" t="s">
        <v>14</v>
      </c>
      <c r="C40" s="36" t="str">
        <f>SOBRAL!Y40</f>
        <v/>
      </c>
      <c r="E40" t="s">
        <v>14</v>
      </c>
      <c r="F40" s="36">
        <f>SOBRAL!AB40</f>
        <v>6866.0315214644679</v>
      </c>
      <c r="G40" s="36"/>
      <c r="H40" t="s">
        <v>14</v>
      </c>
      <c r="I40" s="36">
        <f>SOBRAL!AE40</f>
        <v>6866.0315214644679</v>
      </c>
    </row>
    <row r="41" spans="2:9" x14ac:dyDescent="0.25">
      <c r="B41" t="s">
        <v>15</v>
      </c>
      <c r="C41" s="36" t="str">
        <f>SOBRAL!Y41</f>
        <v/>
      </c>
      <c r="E41" t="s">
        <v>15</v>
      </c>
      <c r="F41" s="36">
        <f>SOBRAL!AB41</f>
        <v>8596.7652228722745</v>
      </c>
      <c r="G41" s="36"/>
      <c r="H41" t="s">
        <v>15</v>
      </c>
      <c r="I41" s="36">
        <f>SOBRAL!AE41</f>
        <v>8596.7652228722745</v>
      </c>
    </row>
    <row r="42" spans="2:9" x14ac:dyDescent="0.25">
      <c r="B42" t="s">
        <v>16</v>
      </c>
      <c r="C42" s="36" t="str">
        <f>SOBRAL!Y42</f>
        <v/>
      </c>
      <c r="E42" t="s">
        <v>16</v>
      </c>
      <c r="F42" s="36">
        <f>SOBRAL!AB42</f>
        <v>7953.6329092318447</v>
      </c>
      <c r="G42" s="36"/>
      <c r="H42" t="s">
        <v>16</v>
      </c>
      <c r="I42" s="36">
        <f>SOBRAL!AE42</f>
        <v>7953.6329092318447</v>
      </c>
    </row>
    <row r="43" spans="2:9" x14ac:dyDescent="0.25">
      <c r="B43" s="42" t="s">
        <v>17</v>
      </c>
      <c r="C43" s="101">
        <f>SOBRAL!Y43</f>
        <v>6002.8748791487214</v>
      </c>
      <c r="E43" s="42" t="s">
        <v>17</v>
      </c>
      <c r="F43" s="101">
        <f>SOBRAL!AB43</f>
        <v>6002.8748791487214</v>
      </c>
      <c r="G43" s="36"/>
      <c r="H43" s="42" t="s">
        <v>17</v>
      </c>
      <c r="I43" s="101">
        <f>SOBRAL!AE43</f>
        <v>6002.8748791487214</v>
      </c>
    </row>
    <row r="45" spans="2:9" x14ac:dyDescent="0.25">
      <c r="B45" s="22" t="s">
        <v>18</v>
      </c>
      <c r="C45" s="44">
        <f>SUM(C38:C43)</f>
        <v>6002.8748791487214</v>
      </c>
      <c r="E45" s="22" t="s">
        <v>18</v>
      </c>
      <c r="F45" s="44">
        <f>SUM(F38:F43)</f>
        <v>40999.281280212825</v>
      </c>
      <c r="H45" s="22" t="s">
        <v>18</v>
      </c>
      <c r="I45" s="44">
        <f>SUM(I38:I43)</f>
        <v>40999.281280212825</v>
      </c>
    </row>
    <row r="47" spans="2:9" x14ac:dyDescent="0.25">
      <c r="B47" s="184" t="s">
        <v>19</v>
      </c>
      <c r="C47" s="184"/>
      <c r="E47" s="184" t="s">
        <v>20</v>
      </c>
      <c r="F47" s="184"/>
      <c r="H47" s="184" t="s">
        <v>21</v>
      </c>
      <c r="I47" s="184"/>
    </row>
    <row r="48" spans="2:9" x14ac:dyDescent="0.25">
      <c r="B48" t="s">
        <v>11</v>
      </c>
      <c r="C48" s="36" t="str">
        <f>SOBRAL!Y48</f>
        <v/>
      </c>
      <c r="E48" t="s">
        <v>11</v>
      </c>
      <c r="F48" s="36" t="str">
        <f>SOBRAL!AB48</f>
        <v/>
      </c>
      <c r="H48" t="s">
        <v>11</v>
      </c>
      <c r="I48" s="33">
        <f>SOBRAL!AE48</f>
        <v>0</v>
      </c>
    </row>
    <row r="49" spans="2:9" x14ac:dyDescent="0.25">
      <c r="B49" t="s">
        <v>12</v>
      </c>
      <c r="C49" s="36">
        <f>SOBRAL!Y49</f>
        <v>5789.1285643574502</v>
      </c>
      <c r="E49" t="s">
        <v>12</v>
      </c>
      <c r="F49" s="36">
        <f>SOBRAL!AB49</f>
        <v>5789.1285643574502</v>
      </c>
      <c r="H49" t="s">
        <v>12</v>
      </c>
      <c r="I49" s="33" t="str">
        <f>SOBRAL!AE49</f>
        <v/>
      </c>
    </row>
    <row r="50" spans="2:9" x14ac:dyDescent="0.25">
      <c r="B50" t="s">
        <v>13</v>
      </c>
      <c r="C50" s="36">
        <f>SOBRAL!Y50</f>
        <v>5790.8481831380623</v>
      </c>
      <c r="E50" t="s">
        <v>13</v>
      </c>
      <c r="F50" s="36">
        <f>SOBRAL!AB50</f>
        <v>5790.8481831380623</v>
      </c>
      <c r="H50" t="s">
        <v>13</v>
      </c>
      <c r="I50" s="33" t="str">
        <f>SOBRAL!AE50</f>
        <v/>
      </c>
    </row>
    <row r="51" spans="2:9" x14ac:dyDescent="0.25">
      <c r="B51" t="s">
        <v>14</v>
      </c>
      <c r="C51" s="36">
        <f>SOBRAL!Y51</f>
        <v>6866.0315214644679</v>
      </c>
      <c r="E51" t="s">
        <v>14</v>
      </c>
      <c r="F51" s="36">
        <f>SOBRAL!AB51</f>
        <v>6866.0315214644679</v>
      </c>
      <c r="H51" t="s">
        <v>14</v>
      </c>
      <c r="I51" s="33" t="str">
        <f>SOBRAL!AE51</f>
        <v/>
      </c>
    </row>
    <row r="52" spans="2:9" x14ac:dyDescent="0.25">
      <c r="B52" t="s">
        <v>15</v>
      </c>
      <c r="C52" s="36">
        <f>SOBRAL!Y52</f>
        <v>8596.7652228722745</v>
      </c>
      <c r="E52" t="s">
        <v>15</v>
      </c>
      <c r="F52" s="36">
        <f>SOBRAL!AB52</f>
        <v>8596.7652228722745</v>
      </c>
      <c r="H52" t="s">
        <v>15</v>
      </c>
      <c r="I52" s="33" t="str">
        <f>SOBRAL!AE52</f>
        <v/>
      </c>
    </row>
    <row r="53" spans="2:9" x14ac:dyDescent="0.25">
      <c r="B53" t="s">
        <v>16</v>
      </c>
      <c r="C53" s="36">
        <f>SOBRAL!Y53</f>
        <v>7953.6329092318447</v>
      </c>
      <c r="E53" t="s">
        <v>16</v>
      </c>
      <c r="F53" s="36">
        <f>SOBRAL!AB53</f>
        <v>7953.6329092318447</v>
      </c>
      <c r="H53" t="s">
        <v>16</v>
      </c>
      <c r="I53" s="33" t="str">
        <f>SOBRAL!AE53</f>
        <v/>
      </c>
    </row>
    <row r="54" spans="2:9" x14ac:dyDescent="0.25">
      <c r="B54" s="42" t="s">
        <v>17</v>
      </c>
      <c r="C54" s="101">
        <f>SOBRAL!Y54</f>
        <v>6002.8748791487214</v>
      </c>
      <c r="E54" s="42" t="s">
        <v>17</v>
      </c>
      <c r="F54" s="101">
        <f>SOBRAL!AB54</f>
        <v>6002.8748791487214</v>
      </c>
      <c r="H54" s="42" t="s">
        <v>17</v>
      </c>
      <c r="I54" s="101" t="str">
        <f>SOBRAL!AE54</f>
        <v/>
      </c>
    </row>
    <row r="56" spans="2:9" x14ac:dyDescent="0.25">
      <c r="B56" s="22" t="s">
        <v>18</v>
      </c>
      <c r="C56" s="44">
        <f>SUM(C49:C54)</f>
        <v>40999.281280212825</v>
      </c>
      <c r="E56" s="22" t="s">
        <v>18</v>
      </c>
      <c r="F56" s="44">
        <f>SUM(F49:F54)</f>
        <v>40999.281280212825</v>
      </c>
      <c r="H56" s="22" t="s">
        <v>18</v>
      </c>
      <c r="I56" s="44">
        <f>SUM(I49:I54)</f>
        <v>0</v>
      </c>
    </row>
    <row r="57" spans="2:9" x14ac:dyDescent="0.25">
      <c r="H57" s="22" t="s">
        <v>22</v>
      </c>
      <c r="I57" s="44">
        <f>C45+F45+I45+C56+F56+I56</f>
        <v>170000.00000000003</v>
      </c>
    </row>
    <row r="58" spans="2:9" ht="21" x14ac:dyDescent="0.35">
      <c r="B58" s="185" t="s">
        <v>3</v>
      </c>
      <c r="C58" s="185"/>
      <c r="D58" s="185"/>
      <c r="E58" s="185"/>
      <c r="F58" s="185"/>
      <c r="G58" s="185"/>
      <c r="H58" s="185"/>
      <c r="I58" s="185"/>
    </row>
    <row r="59" spans="2:9" x14ac:dyDescent="0.25">
      <c r="B59" s="40" t="s">
        <v>3</v>
      </c>
      <c r="C59" s="41" t="str">
        <f>H80</f>
        <v>TOTAL</v>
      </c>
    </row>
    <row r="60" spans="2:9" x14ac:dyDescent="0.25">
      <c r="B60" s="184" t="s">
        <v>8</v>
      </c>
      <c r="C60" s="184"/>
      <c r="E60" s="184" t="s">
        <v>9</v>
      </c>
      <c r="F60" s="184"/>
      <c r="H60" s="184" t="s">
        <v>10</v>
      </c>
      <c r="I60" s="184"/>
    </row>
    <row r="61" spans="2:9" x14ac:dyDescent="0.25">
      <c r="B61" t="s">
        <v>11</v>
      </c>
      <c r="C61" s="36" t="str">
        <f>SOBRAL!AI37</f>
        <v/>
      </c>
      <c r="E61" t="s">
        <v>11</v>
      </c>
      <c r="F61" s="36" t="str">
        <f>SOBRAL!AL37</f>
        <v/>
      </c>
      <c r="H61" t="s">
        <v>11</v>
      </c>
      <c r="I61" s="36" t="str">
        <f>SOBRAL!AO37</f>
        <v/>
      </c>
    </row>
    <row r="62" spans="2:9" x14ac:dyDescent="0.25">
      <c r="B62" t="s">
        <v>12</v>
      </c>
      <c r="C62" s="36" t="str">
        <f>SOBRAL!AI38</f>
        <v/>
      </c>
      <c r="E62" t="s">
        <v>12</v>
      </c>
      <c r="F62" s="36">
        <f>SOBRAL!AL38</f>
        <v>6810.7394874793526</v>
      </c>
      <c r="G62" s="36"/>
      <c r="H62" t="s">
        <v>12</v>
      </c>
      <c r="I62" s="36">
        <f>SOBRAL!AO38</f>
        <v>6810.7394874793526</v>
      </c>
    </row>
    <row r="63" spans="2:9" x14ac:dyDescent="0.25">
      <c r="B63" t="s">
        <v>13</v>
      </c>
      <c r="C63" s="36" t="str">
        <f>SOBRAL!AI39</f>
        <v/>
      </c>
      <c r="E63" t="s">
        <v>13</v>
      </c>
      <c r="F63" s="36">
        <f>SOBRAL!AL39</f>
        <v>6812.7625683977203</v>
      </c>
      <c r="G63" s="36"/>
      <c r="H63" t="s">
        <v>13</v>
      </c>
      <c r="I63" s="36">
        <f>SOBRAL!AO39</f>
        <v>6812.7625683977203</v>
      </c>
    </row>
    <row r="64" spans="2:9" x14ac:dyDescent="0.25">
      <c r="B64" t="s">
        <v>14</v>
      </c>
      <c r="C64" s="36" t="str">
        <f>SOBRAL!AI40</f>
        <v/>
      </c>
      <c r="E64" t="s">
        <v>14</v>
      </c>
      <c r="F64" s="36">
        <f>SOBRAL!AL40</f>
        <v>8077.6841428993748</v>
      </c>
      <c r="G64" s="36"/>
      <c r="H64" t="s">
        <v>14</v>
      </c>
      <c r="I64" s="36">
        <f>SOBRAL!AO40</f>
        <v>8077.6841428993748</v>
      </c>
    </row>
    <row r="65" spans="2:9" x14ac:dyDescent="0.25">
      <c r="B65" t="s">
        <v>15</v>
      </c>
      <c r="C65" s="36" t="str">
        <f>SOBRAL!AI41</f>
        <v/>
      </c>
      <c r="E65" t="s">
        <v>15</v>
      </c>
      <c r="F65" s="36">
        <f>SOBRAL!AL41</f>
        <v>10113.841438673264</v>
      </c>
      <c r="G65" s="36"/>
      <c r="H65" t="s">
        <v>15</v>
      </c>
      <c r="I65" s="36">
        <f>SOBRAL!AO41</f>
        <v>10113.841438673264</v>
      </c>
    </row>
    <row r="66" spans="2:9" x14ac:dyDescent="0.25">
      <c r="B66" t="s">
        <v>16</v>
      </c>
      <c r="C66" s="36" t="str">
        <f>SOBRAL!AI42</f>
        <v/>
      </c>
      <c r="E66" t="s">
        <v>16</v>
      </c>
      <c r="F66" s="36">
        <f>SOBRAL!AL42</f>
        <v>9357.2151873315815</v>
      </c>
      <c r="G66" s="36"/>
      <c r="H66" t="s">
        <v>16</v>
      </c>
      <c r="I66" s="36">
        <f>SOBRAL!AO42</f>
        <v>9357.2151873315815</v>
      </c>
    </row>
    <row r="67" spans="2:9" x14ac:dyDescent="0.25">
      <c r="B67" s="42" t="s">
        <v>17</v>
      </c>
      <c r="C67" s="101">
        <f>SOBRAL!AI43</f>
        <v>7062.2057401749653</v>
      </c>
      <c r="E67" s="42" t="s">
        <v>17</v>
      </c>
      <c r="F67" s="101">
        <f>SOBRAL!AL43</f>
        <v>7062.2057401749653</v>
      </c>
      <c r="G67" s="36"/>
      <c r="H67" s="42" t="s">
        <v>17</v>
      </c>
      <c r="I67" s="101">
        <f>SOBRAL!AO43</f>
        <v>7062.2057401749653</v>
      </c>
    </row>
    <row r="69" spans="2:9" x14ac:dyDescent="0.25">
      <c r="B69" s="22" t="s">
        <v>18</v>
      </c>
      <c r="C69" s="44">
        <f>SUM(C62:C67)</f>
        <v>7062.2057401749653</v>
      </c>
      <c r="E69" s="22" t="s">
        <v>18</v>
      </c>
      <c r="F69" s="44">
        <f>SUM(F62:F67)</f>
        <v>48234.448564956256</v>
      </c>
      <c r="H69" s="22" t="s">
        <v>18</v>
      </c>
      <c r="I69" s="44">
        <f>SUM(I62:I67)</f>
        <v>48234.448564956256</v>
      </c>
    </row>
    <row r="71" spans="2:9" x14ac:dyDescent="0.25">
      <c r="B71" s="184" t="s">
        <v>19</v>
      </c>
      <c r="C71" s="184"/>
      <c r="E71" s="184" t="s">
        <v>20</v>
      </c>
      <c r="F71" s="184"/>
      <c r="H71" s="184" t="s">
        <v>21</v>
      </c>
      <c r="I71" s="184"/>
    </row>
    <row r="72" spans="2:9" x14ac:dyDescent="0.25">
      <c r="B72" t="s">
        <v>11</v>
      </c>
      <c r="C72" s="36" t="str">
        <f>SOBRAL!AI48</f>
        <v/>
      </c>
      <c r="E72" t="s">
        <v>11</v>
      </c>
      <c r="F72" s="36" t="str">
        <f>SOBRAL!AL48</f>
        <v/>
      </c>
      <c r="H72" t="s">
        <v>11</v>
      </c>
      <c r="I72" s="33">
        <f>SOBRAL!AO48</f>
        <v>0</v>
      </c>
    </row>
    <row r="73" spans="2:9" x14ac:dyDescent="0.25">
      <c r="B73" t="s">
        <v>12</v>
      </c>
      <c r="C73" s="36">
        <f>SOBRAL!AI49</f>
        <v>6810.7394874793526</v>
      </c>
      <c r="E73" t="s">
        <v>12</v>
      </c>
      <c r="F73" s="36">
        <f>SOBRAL!AL49</f>
        <v>6810.7394874793526</v>
      </c>
      <c r="H73" t="s">
        <v>12</v>
      </c>
      <c r="I73" s="33" t="str">
        <f>SOBRAL!AO49</f>
        <v/>
      </c>
    </row>
    <row r="74" spans="2:9" x14ac:dyDescent="0.25">
      <c r="B74" t="s">
        <v>13</v>
      </c>
      <c r="C74" s="36">
        <f>SOBRAL!AI50</f>
        <v>6812.7625683977203</v>
      </c>
      <c r="E74" t="s">
        <v>13</v>
      </c>
      <c r="F74" s="36">
        <f>SOBRAL!AL50</f>
        <v>6812.7625683977203</v>
      </c>
      <c r="H74" t="s">
        <v>13</v>
      </c>
      <c r="I74" s="33" t="str">
        <f>SOBRAL!AO50</f>
        <v/>
      </c>
    </row>
    <row r="75" spans="2:9" x14ac:dyDescent="0.25">
      <c r="B75" t="s">
        <v>14</v>
      </c>
      <c r="C75" s="36">
        <f>SOBRAL!AI51</f>
        <v>8077.6841428993748</v>
      </c>
      <c r="E75" t="s">
        <v>14</v>
      </c>
      <c r="F75" s="36">
        <f>SOBRAL!AL51</f>
        <v>8077.6841428993748</v>
      </c>
      <c r="H75" t="s">
        <v>14</v>
      </c>
      <c r="I75" s="33" t="str">
        <f>SOBRAL!AO51</f>
        <v/>
      </c>
    </row>
    <row r="76" spans="2:9" x14ac:dyDescent="0.25">
      <c r="B76" t="s">
        <v>15</v>
      </c>
      <c r="C76" s="36">
        <f>SOBRAL!AI52</f>
        <v>10113.841438673264</v>
      </c>
      <c r="E76" t="s">
        <v>15</v>
      </c>
      <c r="F76" s="36">
        <f>SOBRAL!AL52</f>
        <v>10113.841438673264</v>
      </c>
      <c r="H76" t="s">
        <v>15</v>
      </c>
      <c r="I76" s="33" t="str">
        <f>SOBRAL!AO52</f>
        <v/>
      </c>
    </row>
    <row r="77" spans="2:9" x14ac:dyDescent="0.25">
      <c r="B77" t="s">
        <v>16</v>
      </c>
      <c r="C77" s="36">
        <f>SOBRAL!AI53</f>
        <v>9357.2151873315815</v>
      </c>
      <c r="E77" t="s">
        <v>16</v>
      </c>
      <c r="F77" s="36">
        <f>SOBRAL!AL53</f>
        <v>9357.2151873315815</v>
      </c>
      <c r="H77" t="s">
        <v>16</v>
      </c>
      <c r="I77" s="33" t="str">
        <f>SOBRAL!AO53</f>
        <v/>
      </c>
    </row>
    <row r="78" spans="2:9" x14ac:dyDescent="0.25">
      <c r="B78" s="42" t="s">
        <v>17</v>
      </c>
      <c r="C78" s="101">
        <f>SOBRAL!AI54</f>
        <v>7062.2057401749653</v>
      </c>
      <c r="E78" s="42" t="s">
        <v>17</v>
      </c>
      <c r="F78" s="101">
        <f>SOBRAL!AL54</f>
        <v>7062.2057401749653</v>
      </c>
      <c r="H78" s="42" t="s">
        <v>17</v>
      </c>
      <c r="I78" s="101" t="str">
        <f>SOBRAL!AO54</f>
        <v/>
      </c>
    </row>
    <row r="80" spans="2:9" x14ac:dyDescent="0.25">
      <c r="B80" s="22" t="s">
        <v>18</v>
      </c>
      <c r="C80" s="44">
        <f>SUM(C73:C78)</f>
        <v>48234.448564956256</v>
      </c>
      <c r="E80" s="22" t="s">
        <v>18</v>
      </c>
      <c r="F80" s="44">
        <f>SUM(F73:F78)</f>
        <v>48234.448564956256</v>
      </c>
      <c r="H80" s="22" t="s">
        <v>18</v>
      </c>
      <c r="I80" s="44">
        <f>SUM(I73:I78)</f>
        <v>0</v>
      </c>
    </row>
    <row r="81" spans="2:9" x14ac:dyDescent="0.25">
      <c r="H81" s="22" t="s">
        <v>22</v>
      </c>
      <c r="I81" s="44">
        <f>C69+F69+I69+C80+F80+I80</f>
        <v>200000</v>
      </c>
    </row>
    <row r="82" spans="2:9" ht="21" x14ac:dyDescent="0.35">
      <c r="B82" s="185" t="s">
        <v>4</v>
      </c>
      <c r="C82" s="185"/>
      <c r="D82" s="185"/>
      <c r="E82" s="185"/>
      <c r="F82" s="185"/>
      <c r="G82" s="185"/>
      <c r="H82" s="185"/>
      <c r="I82" s="185"/>
    </row>
    <row r="83" spans="2:9" x14ac:dyDescent="0.25">
      <c r="B83" s="40" t="s">
        <v>4</v>
      </c>
      <c r="C83" s="41" t="str">
        <f>H104</f>
        <v>TOTAL</v>
      </c>
    </row>
    <row r="84" spans="2:9" x14ac:dyDescent="0.25">
      <c r="B84" s="184" t="s">
        <v>8</v>
      </c>
      <c r="C84" s="184"/>
      <c r="E84" s="184" t="s">
        <v>9</v>
      </c>
      <c r="F84" s="184"/>
      <c r="H84" s="184" t="s">
        <v>10</v>
      </c>
      <c r="I84" s="184"/>
    </row>
    <row r="85" spans="2:9" x14ac:dyDescent="0.25">
      <c r="B85" t="s">
        <v>11</v>
      </c>
      <c r="C85" s="36" t="str">
        <f>SOBRAL!AS37</f>
        <v/>
      </c>
      <c r="E85" t="s">
        <v>11</v>
      </c>
      <c r="F85" s="36" t="str">
        <f>SOBRAL!AV37</f>
        <v/>
      </c>
      <c r="H85" t="s">
        <v>11</v>
      </c>
      <c r="I85" s="36" t="str">
        <f>SOBRAL!AY37</f>
        <v/>
      </c>
    </row>
    <row r="86" spans="2:9" x14ac:dyDescent="0.25">
      <c r="B86" t="s">
        <v>12</v>
      </c>
      <c r="C86" s="36" t="str">
        <f>SOBRAL!AS38</f>
        <v/>
      </c>
      <c r="E86" t="s">
        <v>12</v>
      </c>
      <c r="F86" s="36">
        <f>SOBRAL!AV38</f>
        <v>7832.350410601256</v>
      </c>
      <c r="G86" s="36"/>
      <c r="H86" t="s">
        <v>12</v>
      </c>
      <c r="I86" s="36">
        <f>SOBRAL!AY38</f>
        <v>7832.350410601256</v>
      </c>
    </row>
    <row r="87" spans="2:9" x14ac:dyDescent="0.25">
      <c r="B87" t="s">
        <v>13</v>
      </c>
      <c r="C87" s="36" t="str">
        <f>SOBRAL!AS39</f>
        <v/>
      </c>
      <c r="E87" t="s">
        <v>13</v>
      </c>
      <c r="F87" s="36">
        <f>SOBRAL!AV39</f>
        <v>7834.6769536573784</v>
      </c>
      <c r="G87" s="36"/>
      <c r="H87" t="s">
        <v>13</v>
      </c>
      <c r="I87" s="36">
        <f>SOBRAL!AY39</f>
        <v>7834.6769536573784</v>
      </c>
    </row>
    <row r="88" spans="2:9" x14ac:dyDescent="0.25">
      <c r="B88" t="s">
        <v>14</v>
      </c>
      <c r="C88" s="36" t="str">
        <f>SOBRAL!AS40</f>
        <v/>
      </c>
      <c r="E88" t="s">
        <v>14</v>
      </c>
      <c r="F88" s="36">
        <f>SOBRAL!AV40</f>
        <v>9289.3367643342808</v>
      </c>
      <c r="G88" s="36"/>
      <c r="H88" t="s">
        <v>14</v>
      </c>
      <c r="I88" s="36">
        <f>SOBRAL!AY40</f>
        <v>9289.3367643342808</v>
      </c>
    </row>
    <row r="89" spans="2:9" x14ac:dyDescent="0.25">
      <c r="B89" t="s">
        <v>15</v>
      </c>
      <c r="C89" s="36" t="str">
        <f>SOBRAL!AS41</f>
        <v/>
      </c>
      <c r="E89" t="s">
        <v>15</v>
      </c>
      <c r="F89" s="36">
        <f>SOBRAL!AV41</f>
        <v>11630.917654474253</v>
      </c>
      <c r="G89" s="36"/>
      <c r="H89" t="s">
        <v>15</v>
      </c>
      <c r="I89" s="36">
        <f>SOBRAL!AY41</f>
        <v>11630.917654474253</v>
      </c>
    </row>
    <row r="90" spans="2:9" x14ac:dyDescent="0.25">
      <c r="B90" t="s">
        <v>16</v>
      </c>
      <c r="C90" s="36" t="str">
        <f>SOBRAL!AS42</f>
        <v/>
      </c>
      <c r="E90" t="s">
        <v>16</v>
      </c>
      <c r="F90" s="36">
        <f>SOBRAL!AV42</f>
        <v>10760.797465431318</v>
      </c>
      <c r="G90" s="36"/>
      <c r="H90" t="s">
        <v>16</v>
      </c>
      <c r="I90" s="36">
        <f>SOBRAL!AY42</f>
        <v>10760.797465431318</v>
      </c>
    </row>
    <row r="91" spans="2:9" x14ac:dyDescent="0.25">
      <c r="B91" s="42" t="s">
        <v>17</v>
      </c>
      <c r="C91" s="101">
        <f>SOBRAL!AS43</f>
        <v>8121.5366012012109</v>
      </c>
      <c r="E91" s="42" t="s">
        <v>17</v>
      </c>
      <c r="F91" s="101">
        <f>SOBRAL!AV43</f>
        <v>8121.5366012012109</v>
      </c>
      <c r="G91" s="36"/>
      <c r="H91" s="42" t="s">
        <v>17</v>
      </c>
      <c r="I91" s="101">
        <f>SOBRAL!AY43</f>
        <v>8121.5366012012109</v>
      </c>
    </row>
    <row r="93" spans="2:9" x14ac:dyDescent="0.25">
      <c r="B93" s="22" t="s">
        <v>18</v>
      </c>
      <c r="C93" s="44">
        <f>SUM(C86:C91)</f>
        <v>8121.5366012012109</v>
      </c>
      <c r="E93" s="22" t="s">
        <v>18</v>
      </c>
      <c r="F93" s="44">
        <f>SUM(F86:F91)</f>
        <v>55469.615849699694</v>
      </c>
      <c r="H93" s="22" t="s">
        <v>18</v>
      </c>
      <c r="I93" s="44">
        <f>SUM(I86:I91)</f>
        <v>55469.615849699694</v>
      </c>
    </row>
    <row r="95" spans="2:9" x14ac:dyDescent="0.25">
      <c r="B95" s="184" t="s">
        <v>19</v>
      </c>
      <c r="C95" s="184"/>
      <c r="E95" s="184" t="s">
        <v>20</v>
      </c>
      <c r="F95" s="184"/>
      <c r="H95" s="184" t="s">
        <v>21</v>
      </c>
      <c r="I95" s="184"/>
    </row>
    <row r="96" spans="2:9" x14ac:dyDescent="0.25">
      <c r="B96" t="s">
        <v>11</v>
      </c>
      <c r="C96" s="36" t="str">
        <f>SOBRAL!AS48</f>
        <v/>
      </c>
      <c r="E96" t="s">
        <v>11</v>
      </c>
      <c r="F96" s="36" t="str">
        <f>SOBRAL!AV48</f>
        <v/>
      </c>
      <c r="H96" t="s">
        <v>11</v>
      </c>
      <c r="I96" s="33">
        <f>SOBRAL!AY48</f>
        <v>0</v>
      </c>
    </row>
    <row r="97" spans="2:9" x14ac:dyDescent="0.25">
      <c r="B97" t="s">
        <v>12</v>
      </c>
      <c r="C97" s="36">
        <f>SOBRAL!AS49</f>
        <v>7832.350410601256</v>
      </c>
      <c r="E97" t="s">
        <v>12</v>
      </c>
      <c r="F97" s="36">
        <f>SOBRAL!AV49</f>
        <v>7832.350410601256</v>
      </c>
      <c r="H97" t="s">
        <v>12</v>
      </c>
      <c r="I97" s="33" t="str">
        <f>SOBRAL!AY49</f>
        <v/>
      </c>
    </row>
    <row r="98" spans="2:9" x14ac:dyDescent="0.25">
      <c r="B98" t="s">
        <v>13</v>
      </c>
      <c r="C98" s="36">
        <f>SOBRAL!AS50</f>
        <v>7834.6769536573784</v>
      </c>
      <c r="E98" t="s">
        <v>13</v>
      </c>
      <c r="F98" s="36">
        <f>SOBRAL!AV50</f>
        <v>7834.6769536573784</v>
      </c>
      <c r="H98" t="s">
        <v>13</v>
      </c>
      <c r="I98" s="33" t="str">
        <f>SOBRAL!AY50</f>
        <v/>
      </c>
    </row>
    <row r="99" spans="2:9" x14ac:dyDescent="0.25">
      <c r="B99" t="s">
        <v>14</v>
      </c>
      <c r="C99" s="36">
        <f>SOBRAL!AS51</f>
        <v>9289.3367643342808</v>
      </c>
      <c r="E99" t="s">
        <v>14</v>
      </c>
      <c r="F99" s="36">
        <f>SOBRAL!AV51</f>
        <v>9289.3367643342808</v>
      </c>
      <c r="H99" t="s">
        <v>14</v>
      </c>
      <c r="I99" s="33" t="str">
        <f>SOBRAL!AY51</f>
        <v/>
      </c>
    </row>
    <row r="100" spans="2:9" x14ac:dyDescent="0.25">
      <c r="B100" t="s">
        <v>15</v>
      </c>
      <c r="C100" s="36">
        <f>SOBRAL!AS52</f>
        <v>11630.917654474253</v>
      </c>
      <c r="E100" t="s">
        <v>15</v>
      </c>
      <c r="F100" s="36">
        <f>SOBRAL!AV52</f>
        <v>11630.917654474253</v>
      </c>
      <c r="H100" t="s">
        <v>15</v>
      </c>
      <c r="I100" s="33" t="str">
        <f>SOBRAL!AY52</f>
        <v/>
      </c>
    </row>
    <row r="101" spans="2:9" x14ac:dyDescent="0.25">
      <c r="B101" t="s">
        <v>16</v>
      </c>
      <c r="C101" s="36">
        <f>SOBRAL!AS53</f>
        <v>10760.797465431318</v>
      </c>
      <c r="E101" t="s">
        <v>16</v>
      </c>
      <c r="F101" s="36">
        <f>SOBRAL!AV53</f>
        <v>10760.797465431318</v>
      </c>
      <c r="H101" t="s">
        <v>16</v>
      </c>
      <c r="I101" s="33" t="str">
        <f>SOBRAL!AY53</f>
        <v/>
      </c>
    </row>
    <row r="102" spans="2:9" x14ac:dyDescent="0.25">
      <c r="B102" s="42" t="s">
        <v>17</v>
      </c>
      <c r="C102" s="101">
        <f>SOBRAL!AS54</f>
        <v>8121.5366012012109</v>
      </c>
      <c r="E102" s="42" t="s">
        <v>17</v>
      </c>
      <c r="F102" s="101">
        <f>SOBRAL!AV54</f>
        <v>8121.5366012012109</v>
      </c>
      <c r="H102" s="42" t="s">
        <v>17</v>
      </c>
      <c r="I102" s="101" t="str">
        <f>SOBRAL!AY54</f>
        <v/>
      </c>
    </row>
    <row r="104" spans="2:9" x14ac:dyDescent="0.25">
      <c r="B104" s="22" t="s">
        <v>18</v>
      </c>
      <c r="C104" s="44">
        <f>SUM(C97:C102)</f>
        <v>55469.615849699694</v>
      </c>
      <c r="E104" s="22" t="s">
        <v>18</v>
      </c>
      <c r="F104" s="44">
        <f>SUM(F97:F102)</f>
        <v>55469.615849699694</v>
      </c>
      <c r="H104" s="22" t="s">
        <v>18</v>
      </c>
      <c r="I104" s="44">
        <f>SUM(I97:I102)</f>
        <v>0</v>
      </c>
    </row>
    <row r="105" spans="2:9" x14ac:dyDescent="0.25">
      <c r="H105" s="22" t="s">
        <v>22</v>
      </c>
      <c r="I105" s="44">
        <f>C93+F93+I93+C104+F104+I104</f>
        <v>230000</v>
      </c>
    </row>
  </sheetData>
  <mergeCells count="30">
    <mergeCell ref="B2:E2"/>
    <mergeCell ref="B6:E6"/>
    <mergeCell ref="B10:I10"/>
    <mergeCell ref="B12:C12"/>
    <mergeCell ref="E12:F12"/>
    <mergeCell ref="H12:I12"/>
    <mergeCell ref="B23:C23"/>
    <mergeCell ref="E23:F23"/>
    <mergeCell ref="B34:I34"/>
    <mergeCell ref="B36:C36"/>
    <mergeCell ref="E36:F36"/>
    <mergeCell ref="H36:I36"/>
    <mergeCell ref="H23:I23"/>
    <mergeCell ref="B47:C47"/>
    <mergeCell ref="E47:F47"/>
    <mergeCell ref="B58:I58"/>
    <mergeCell ref="B60:C60"/>
    <mergeCell ref="E60:F60"/>
    <mergeCell ref="H60:I60"/>
    <mergeCell ref="H47:I47"/>
    <mergeCell ref="B95:C95"/>
    <mergeCell ref="E95:F95"/>
    <mergeCell ref="B71:C71"/>
    <mergeCell ref="E71:F71"/>
    <mergeCell ref="B82:I82"/>
    <mergeCell ref="B84:C84"/>
    <mergeCell ref="E84:F84"/>
    <mergeCell ref="H84:I84"/>
    <mergeCell ref="H71:I71"/>
    <mergeCell ref="H95:I95"/>
  </mergeCells>
  <pageMargins left="0.25" right="0.25" top="0.75" bottom="0.75" header="0.3" footer="0.3"/>
  <pageSetup paperSize="9" scale="73" orientation="portrait" r:id="rId1"/>
  <rowBreaks count="1" manualBreakCount="1"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FFFF00"/>
  </sheetPr>
  <dimension ref="B2:I88"/>
  <sheetViews>
    <sheetView showGridLines="0" zoomScale="80" zoomScaleNormal="80" workbookViewId="0">
      <selection activeCell="C31" sqref="C31"/>
    </sheetView>
  </sheetViews>
  <sheetFormatPr defaultColWidth="8.7109375" defaultRowHeight="15" x14ac:dyDescent="0.25"/>
  <cols>
    <col min="1" max="1" width="3.42578125" customWidth="1"/>
    <col min="2" max="2" width="14.42578125" bestFit="1" customWidth="1"/>
    <col min="3" max="3" width="15.140625" bestFit="1" customWidth="1"/>
    <col min="5" max="5" width="14.42578125" bestFit="1" customWidth="1"/>
    <col min="6" max="6" width="13.7109375" bestFit="1" customWidth="1"/>
    <col min="8" max="8" width="17.42578125" bestFit="1" customWidth="1"/>
    <col min="9" max="9" width="14" bestFit="1" customWidth="1"/>
  </cols>
  <sheetData>
    <row r="2" spans="2:9" ht="21" x14ac:dyDescent="0.35">
      <c r="B2" s="185" t="s">
        <v>23</v>
      </c>
      <c r="C2" s="185"/>
      <c r="D2" s="185"/>
      <c r="E2" s="185"/>
      <c r="F2" s="185"/>
      <c r="G2" s="185"/>
      <c r="H2" s="185"/>
      <c r="I2" s="185"/>
    </row>
    <row r="3" spans="2:9" x14ac:dyDescent="0.25">
      <c r="B3" s="40" t="s">
        <v>7</v>
      </c>
      <c r="C3" s="41">
        <f>H22</f>
        <v>110000.00344513505</v>
      </c>
    </row>
    <row r="4" spans="2:9" x14ac:dyDescent="0.25">
      <c r="B4" s="184" t="s">
        <v>8</v>
      </c>
      <c r="C4" s="184"/>
      <c r="E4" s="184" t="s">
        <v>9</v>
      </c>
      <c r="F4" s="184"/>
      <c r="H4" s="184" t="s">
        <v>10</v>
      </c>
      <c r="I4" s="184"/>
    </row>
    <row r="5" spans="2:9" x14ac:dyDescent="0.25">
      <c r="B5" t="s">
        <v>12</v>
      </c>
      <c r="C5" s="39"/>
      <c r="E5" t="s">
        <v>12</v>
      </c>
      <c r="F5" s="39">
        <v>1996.5956497675916</v>
      </c>
      <c r="G5" s="36"/>
      <c r="H5" t="s">
        <v>12</v>
      </c>
      <c r="I5" s="39">
        <v>1996.5956497675916</v>
      </c>
    </row>
    <row r="6" spans="2:9" x14ac:dyDescent="0.25">
      <c r="B6" t="s">
        <v>13</v>
      </c>
      <c r="C6" s="39"/>
      <c r="E6" t="s">
        <v>13</v>
      </c>
      <c r="F6" s="39">
        <v>3171.293483816527</v>
      </c>
      <c r="G6" s="36"/>
      <c r="H6" t="s">
        <v>13</v>
      </c>
      <c r="I6" s="39">
        <v>3171.293483816527</v>
      </c>
    </row>
    <row r="7" spans="2:9" x14ac:dyDescent="0.25">
      <c r="B7" t="s">
        <v>14</v>
      </c>
      <c r="C7" s="39"/>
      <c r="E7" t="s">
        <v>14</v>
      </c>
      <c r="F7" s="39">
        <v>3430.6474212808507</v>
      </c>
      <c r="G7" s="36"/>
      <c r="H7" t="s">
        <v>14</v>
      </c>
      <c r="I7" s="39">
        <v>3430.6474212808507</v>
      </c>
    </row>
    <row r="8" spans="2:9" x14ac:dyDescent="0.25">
      <c r="B8" t="s">
        <v>15</v>
      </c>
      <c r="C8" s="39">
        <v>5310.0859545749472</v>
      </c>
      <c r="E8" t="s">
        <v>15</v>
      </c>
      <c r="F8" s="39">
        <v>5310.0859545749472</v>
      </c>
      <c r="G8" s="36"/>
      <c r="H8" t="s">
        <v>15</v>
      </c>
      <c r="I8" s="39">
        <v>5310.0859545749472</v>
      </c>
    </row>
    <row r="9" spans="2:9" x14ac:dyDescent="0.25">
      <c r="B9" t="s">
        <v>16</v>
      </c>
      <c r="C9" s="39">
        <v>4632.6456697997146</v>
      </c>
      <c r="E9" t="s">
        <v>16</v>
      </c>
      <c r="F9" s="39">
        <v>4632.6456697997146</v>
      </c>
      <c r="G9" s="36"/>
      <c r="H9" t="s">
        <v>16</v>
      </c>
      <c r="I9" s="39">
        <v>4632.6456697997146</v>
      </c>
    </row>
    <row r="10" spans="2:9" x14ac:dyDescent="0.25">
      <c r="B10" s="42" t="s">
        <v>17</v>
      </c>
      <c r="C10" s="43">
        <v>5301.2718207603693</v>
      </c>
      <c r="E10" s="42" t="s">
        <v>17</v>
      </c>
      <c r="F10" s="43">
        <v>5301.2718207603693</v>
      </c>
      <c r="G10" s="36"/>
      <c r="H10" s="42" t="s">
        <v>17</v>
      </c>
      <c r="I10" s="43">
        <v>5301.2718207603693</v>
      </c>
    </row>
    <row r="12" spans="2:9" x14ac:dyDescent="0.25">
      <c r="B12" s="22" t="s">
        <v>18</v>
      </c>
      <c r="C12" s="44">
        <f>SUM(C5:C10)</f>
        <v>15244.003445135029</v>
      </c>
      <c r="E12" s="22" t="s">
        <v>18</v>
      </c>
      <c r="F12" s="44">
        <f>SUM(F5:F10)</f>
        <v>23842.54</v>
      </c>
      <c r="H12" s="22" t="s">
        <v>18</v>
      </c>
      <c r="I12" s="44">
        <f>SUM(I5:I10)</f>
        <v>23842.54</v>
      </c>
    </row>
    <row r="14" spans="2:9" x14ac:dyDescent="0.25">
      <c r="B14" s="184" t="s">
        <v>19</v>
      </c>
      <c r="C14" s="184"/>
      <c r="E14" s="184" t="s">
        <v>20</v>
      </c>
      <c r="F14" s="184"/>
    </row>
    <row r="15" spans="2:9" x14ac:dyDescent="0.25">
      <c r="B15" t="s">
        <v>12</v>
      </c>
      <c r="C15" s="39">
        <v>1996.5956497675916</v>
      </c>
      <c r="E15" t="s">
        <v>12</v>
      </c>
      <c r="F15" s="39">
        <v>1996.5956497675916</v>
      </c>
    </row>
    <row r="16" spans="2:9" x14ac:dyDescent="0.25">
      <c r="B16" t="s">
        <v>13</v>
      </c>
      <c r="C16" s="39">
        <v>3171.293483816527</v>
      </c>
      <c r="E16" t="s">
        <v>13</v>
      </c>
      <c r="F16" s="39">
        <v>3171.293483816527</v>
      </c>
    </row>
    <row r="17" spans="2:9" x14ac:dyDescent="0.25">
      <c r="B17" t="s">
        <v>14</v>
      </c>
      <c r="C17" s="39">
        <v>3430.6474212808507</v>
      </c>
      <c r="E17" t="s">
        <v>14</v>
      </c>
      <c r="F17" s="39">
        <v>3430.6474212808507</v>
      </c>
    </row>
    <row r="18" spans="2:9" x14ac:dyDescent="0.25">
      <c r="B18" t="s">
        <v>15</v>
      </c>
      <c r="C18" s="39">
        <v>5310.0859545749472</v>
      </c>
      <c r="E18" t="s">
        <v>15</v>
      </c>
      <c r="F18" s="39">
        <v>5310.0859545749472</v>
      </c>
    </row>
    <row r="19" spans="2:9" x14ac:dyDescent="0.25">
      <c r="B19" t="s">
        <v>16</v>
      </c>
      <c r="C19" s="39">
        <v>4632.6456697997146</v>
      </c>
      <c r="E19" t="s">
        <v>16</v>
      </c>
      <c r="F19" s="39">
        <v>4632.6456697997146</v>
      </c>
    </row>
    <row r="20" spans="2:9" x14ac:dyDescent="0.25">
      <c r="B20" s="42" t="s">
        <v>17</v>
      </c>
      <c r="C20" s="43">
        <v>5301.2718207603693</v>
      </c>
      <c r="E20" s="42" t="s">
        <v>17</v>
      </c>
      <c r="F20" s="43">
        <f>5301.27182076037-614.16</f>
        <v>4687.1118207603704</v>
      </c>
    </row>
    <row r="21" spans="2:9" x14ac:dyDescent="0.25">
      <c r="H21" s="45" t="s">
        <v>22</v>
      </c>
    </row>
    <row r="22" spans="2:9" x14ac:dyDescent="0.25">
      <c r="B22" s="22" t="s">
        <v>18</v>
      </c>
      <c r="C22" s="44">
        <f>SUM(C15:C20)</f>
        <v>23842.54</v>
      </c>
      <c r="E22" s="22" t="s">
        <v>18</v>
      </c>
      <c r="F22" s="44">
        <f>SUM(F15:F20)</f>
        <v>23228.380000000005</v>
      </c>
      <c r="H22" s="44">
        <f>F22+C22+C12+F12+I12</f>
        <v>110000.00344513505</v>
      </c>
    </row>
    <row r="24" spans="2:9" ht="21" x14ac:dyDescent="0.35">
      <c r="B24" s="185" t="s">
        <v>24</v>
      </c>
      <c r="C24" s="185"/>
      <c r="D24" s="185"/>
      <c r="E24" s="185"/>
      <c r="F24" s="185"/>
      <c r="G24" s="185"/>
      <c r="H24" s="185"/>
      <c r="I24" s="185"/>
    </row>
    <row r="25" spans="2:9" x14ac:dyDescent="0.25">
      <c r="B25" s="40" t="s">
        <v>2</v>
      </c>
      <c r="C25" s="41" t="e">
        <f>H44*3</f>
        <v>#VALUE!</v>
      </c>
    </row>
    <row r="26" spans="2:9" x14ac:dyDescent="0.25">
      <c r="B26" s="184" t="s">
        <v>8</v>
      </c>
      <c r="C26" s="184"/>
      <c r="E26" s="184" t="s">
        <v>9</v>
      </c>
      <c r="F26" s="184"/>
      <c r="H26" s="184" t="s">
        <v>10</v>
      </c>
      <c r="I26" s="184"/>
    </row>
    <row r="27" spans="2:9" x14ac:dyDescent="0.25">
      <c r="B27" t="s">
        <v>12</v>
      </c>
      <c r="C27" s="39" t="e">
        <f>'METAS -  SOBRAL'!C38/2</f>
        <v>#VALUE!</v>
      </c>
      <c r="E27" t="s">
        <v>12</v>
      </c>
      <c r="F27" s="39">
        <f>'METAS -  SOBRAL'!F38/3</f>
        <v>1929.7095214524834</v>
      </c>
      <c r="G27" s="36"/>
      <c r="H27" t="s">
        <v>12</v>
      </c>
      <c r="I27" s="39">
        <f>'METAS -  SOBRAL'!I38/3</f>
        <v>1929.7095214524834</v>
      </c>
    </row>
    <row r="28" spans="2:9" x14ac:dyDescent="0.25">
      <c r="B28" t="s">
        <v>13</v>
      </c>
      <c r="C28" s="39" t="e">
        <f>'METAS -  SOBRAL'!C39/2</f>
        <v>#VALUE!</v>
      </c>
      <c r="E28" t="s">
        <v>13</v>
      </c>
      <c r="F28" s="39">
        <f>'METAS -  SOBRAL'!F39/3</f>
        <v>1930.2827277126873</v>
      </c>
      <c r="G28" s="36"/>
      <c r="H28" t="s">
        <v>13</v>
      </c>
      <c r="I28" s="39">
        <f>'METAS -  SOBRAL'!I39/3</f>
        <v>1930.2827277126873</v>
      </c>
    </row>
    <row r="29" spans="2:9" x14ac:dyDescent="0.25">
      <c r="B29" t="s">
        <v>14</v>
      </c>
      <c r="C29" s="39" t="e">
        <f>'METAS -  SOBRAL'!C40/2</f>
        <v>#VALUE!</v>
      </c>
      <c r="E29" t="s">
        <v>14</v>
      </c>
      <c r="F29" s="39">
        <f>'METAS -  SOBRAL'!F40/3</f>
        <v>2288.6771738214893</v>
      </c>
      <c r="G29" s="36"/>
      <c r="H29" t="s">
        <v>14</v>
      </c>
      <c r="I29" s="39">
        <f>'METAS -  SOBRAL'!I40/3</f>
        <v>2288.6771738214893</v>
      </c>
    </row>
    <row r="30" spans="2:9" x14ac:dyDescent="0.25">
      <c r="B30" t="s">
        <v>15</v>
      </c>
      <c r="C30" s="39" t="e">
        <f>'METAS -  SOBRAL'!C41/3</f>
        <v>#VALUE!</v>
      </c>
      <c r="E30" t="s">
        <v>15</v>
      </c>
      <c r="F30" s="39">
        <f>'METAS -  SOBRAL'!F41/3</f>
        <v>2865.5884076240914</v>
      </c>
      <c r="G30" s="36"/>
      <c r="H30" t="s">
        <v>15</v>
      </c>
      <c r="I30" s="39">
        <f>'METAS -  SOBRAL'!I41/3</f>
        <v>2865.5884076240914</v>
      </c>
    </row>
    <row r="31" spans="2:9" x14ac:dyDescent="0.25">
      <c r="B31" t="s">
        <v>16</v>
      </c>
      <c r="C31" s="39" t="e">
        <f>'METAS -  SOBRAL'!C42/3</f>
        <v>#VALUE!</v>
      </c>
      <c r="E31" t="s">
        <v>16</v>
      </c>
      <c r="F31" s="39">
        <f>'METAS -  SOBRAL'!F42/3</f>
        <v>2651.2109697439482</v>
      </c>
      <c r="G31" s="36"/>
      <c r="H31" t="s">
        <v>16</v>
      </c>
      <c r="I31" s="39">
        <f>'METAS -  SOBRAL'!I42/3</f>
        <v>2651.2109697439482</v>
      </c>
    </row>
    <row r="32" spans="2:9" x14ac:dyDescent="0.25">
      <c r="B32" s="42" t="s">
        <v>17</v>
      </c>
      <c r="C32" s="43">
        <f>'METAS -  SOBRAL'!C43/3</f>
        <v>2000.9582930495737</v>
      </c>
      <c r="E32" s="42" t="s">
        <v>17</v>
      </c>
      <c r="F32" s="43">
        <f>'METAS -  SOBRAL'!F43/3</f>
        <v>2000.9582930495737</v>
      </c>
      <c r="G32" s="36"/>
      <c r="H32" s="42" t="s">
        <v>17</v>
      </c>
      <c r="I32" s="43">
        <f>'METAS -  SOBRAL'!I43/3</f>
        <v>2000.9582930495737</v>
      </c>
    </row>
    <row r="34" spans="2:9" x14ac:dyDescent="0.25">
      <c r="B34" s="22" t="s">
        <v>18</v>
      </c>
      <c r="C34" s="44" t="e">
        <f>SUM(C27:C32)</f>
        <v>#VALUE!</v>
      </c>
      <c r="E34" s="22" t="s">
        <v>18</v>
      </c>
      <c r="F34" s="44">
        <f>SUM(F27:F32)</f>
        <v>13666.427093404274</v>
      </c>
      <c r="H34" s="22" t="s">
        <v>18</v>
      </c>
      <c r="I34" s="44">
        <f>SUM(I27:I32)</f>
        <v>13666.427093404274</v>
      </c>
    </row>
    <row r="36" spans="2:9" x14ac:dyDescent="0.25">
      <c r="B36" s="184" t="s">
        <v>19</v>
      </c>
      <c r="C36" s="184"/>
      <c r="E36" s="184" t="s">
        <v>20</v>
      </c>
      <c r="F36" s="184"/>
    </row>
    <row r="37" spans="2:9" x14ac:dyDescent="0.25">
      <c r="B37" t="s">
        <v>12</v>
      </c>
      <c r="C37" s="39">
        <f>'METAS -  SOBRAL'!C49/3</f>
        <v>1929.7095214524834</v>
      </c>
      <c r="E37" t="s">
        <v>12</v>
      </c>
      <c r="F37" s="39">
        <f>'METAS -  SOBRAL'!F49/3</f>
        <v>1929.7095214524834</v>
      </c>
    </row>
    <row r="38" spans="2:9" x14ac:dyDescent="0.25">
      <c r="B38" t="s">
        <v>13</v>
      </c>
      <c r="C38" s="39">
        <f>'METAS -  SOBRAL'!C50/3</f>
        <v>1930.2827277126873</v>
      </c>
      <c r="E38" t="s">
        <v>13</v>
      </c>
      <c r="F38" s="39">
        <f>'METAS -  SOBRAL'!F50/3</f>
        <v>1930.2827277126873</v>
      </c>
    </row>
    <row r="39" spans="2:9" x14ac:dyDescent="0.25">
      <c r="B39" t="s">
        <v>14</v>
      </c>
      <c r="C39" s="39">
        <f>'METAS -  SOBRAL'!C51/3</f>
        <v>2288.6771738214893</v>
      </c>
      <c r="E39" t="s">
        <v>14</v>
      </c>
      <c r="F39" s="39">
        <f>'METAS -  SOBRAL'!F51/3</f>
        <v>2288.6771738214893</v>
      </c>
    </row>
    <row r="40" spans="2:9" x14ac:dyDescent="0.25">
      <c r="B40" t="s">
        <v>15</v>
      </c>
      <c r="C40" s="39">
        <f>'METAS -  SOBRAL'!C52/3</f>
        <v>2865.5884076240914</v>
      </c>
      <c r="E40" t="s">
        <v>15</v>
      </c>
      <c r="F40" s="39">
        <f>'METAS -  SOBRAL'!F52/3</f>
        <v>2865.5884076240914</v>
      </c>
    </row>
    <row r="41" spans="2:9" x14ac:dyDescent="0.25">
      <c r="B41" t="s">
        <v>16</v>
      </c>
      <c r="C41" s="39">
        <f>'METAS -  SOBRAL'!C53/3</f>
        <v>2651.2109697439482</v>
      </c>
      <c r="E41" t="s">
        <v>16</v>
      </c>
      <c r="F41" s="39">
        <f>'METAS -  SOBRAL'!F53/3</f>
        <v>2651.2109697439482</v>
      </c>
    </row>
    <row r="42" spans="2:9" x14ac:dyDescent="0.25">
      <c r="B42" s="42" t="s">
        <v>17</v>
      </c>
      <c r="C42" s="43">
        <f>'METAS -  SOBRAL'!C54/3</f>
        <v>2000.9582930495737</v>
      </c>
      <c r="E42" s="42" t="s">
        <v>17</v>
      </c>
      <c r="F42" s="39">
        <f>'METAS -  SOBRAL'!F54/3</f>
        <v>2000.9582930495737</v>
      </c>
    </row>
    <row r="43" spans="2:9" x14ac:dyDescent="0.25">
      <c r="H43" s="45" t="s">
        <v>22</v>
      </c>
    </row>
    <row r="44" spans="2:9" x14ac:dyDescent="0.25">
      <c r="B44" s="22" t="s">
        <v>18</v>
      </c>
      <c r="C44" s="44">
        <f>SUM(C37:C42)</f>
        <v>13666.427093404274</v>
      </c>
      <c r="E44" s="22" t="s">
        <v>18</v>
      </c>
      <c r="F44" s="44">
        <f>SUM(F37:F42)</f>
        <v>13666.427093404274</v>
      </c>
      <c r="H44" s="44" t="e">
        <f>F44+C44+C34+F34+I34</f>
        <v>#VALUE!</v>
      </c>
      <c r="I44" s="36"/>
    </row>
    <row r="46" spans="2:9" ht="21" x14ac:dyDescent="0.35">
      <c r="B46" s="185" t="s">
        <v>25</v>
      </c>
      <c r="C46" s="185"/>
      <c r="D46" s="185"/>
      <c r="E46" s="185"/>
      <c r="F46" s="185"/>
      <c r="G46" s="185"/>
      <c r="H46" s="185"/>
      <c r="I46" s="185"/>
    </row>
    <row r="47" spans="2:9" x14ac:dyDescent="0.25">
      <c r="B47" s="40" t="s">
        <v>3</v>
      </c>
      <c r="C47" s="41" t="e">
        <f>H66*3</f>
        <v>#VALUE!</v>
      </c>
    </row>
    <row r="48" spans="2:9" x14ac:dyDescent="0.25">
      <c r="B48" s="184" t="s">
        <v>8</v>
      </c>
      <c r="C48" s="184"/>
      <c r="E48" s="184" t="s">
        <v>9</v>
      </c>
      <c r="F48" s="184"/>
      <c r="H48" s="184" t="s">
        <v>10</v>
      </c>
      <c r="I48" s="184"/>
    </row>
    <row r="49" spans="2:9" x14ac:dyDescent="0.25">
      <c r="B49" t="s">
        <v>12</v>
      </c>
      <c r="C49" s="39" t="e">
        <f>'METAS -  SOBRAL'!C62/2</f>
        <v>#VALUE!</v>
      </c>
      <c r="E49" t="s">
        <v>12</v>
      </c>
      <c r="F49" s="39">
        <f>'METAS -  SOBRAL'!F62/3</f>
        <v>2270.2464958264509</v>
      </c>
      <c r="G49" s="36"/>
      <c r="H49" t="s">
        <v>12</v>
      </c>
      <c r="I49" s="39">
        <f>'METAS -  SOBRAL'!I62/3</f>
        <v>2270.2464958264509</v>
      </c>
    </row>
    <row r="50" spans="2:9" x14ac:dyDescent="0.25">
      <c r="B50" t="s">
        <v>13</v>
      </c>
      <c r="C50" s="39" t="e">
        <f>'METAS -  SOBRAL'!C63/2</f>
        <v>#VALUE!</v>
      </c>
      <c r="E50" t="s">
        <v>13</v>
      </c>
      <c r="F50" s="39">
        <f>'METAS -  SOBRAL'!F63/3</f>
        <v>2270.9208561325736</v>
      </c>
      <c r="G50" s="36"/>
      <c r="H50" t="s">
        <v>13</v>
      </c>
      <c r="I50" s="39">
        <f>'METAS -  SOBRAL'!I63/3</f>
        <v>2270.9208561325736</v>
      </c>
    </row>
    <row r="51" spans="2:9" x14ac:dyDescent="0.25">
      <c r="B51" t="s">
        <v>14</v>
      </c>
      <c r="C51" s="39" t="e">
        <f>'METAS -  SOBRAL'!C64/2</f>
        <v>#VALUE!</v>
      </c>
      <c r="E51" t="s">
        <v>14</v>
      </c>
      <c r="F51" s="39">
        <f>'METAS -  SOBRAL'!F64/3</f>
        <v>2692.5613809664583</v>
      </c>
      <c r="G51" s="36"/>
      <c r="H51" t="s">
        <v>14</v>
      </c>
      <c r="I51" s="39">
        <f>'METAS -  SOBRAL'!I64/3</f>
        <v>2692.5613809664583</v>
      </c>
    </row>
    <row r="52" spans="2:9" x14ac:dyDescent="0.25">
      <c r="B52" t="s">
        <v>15</v>
      </c>
      <c r="C52" s="39" t="e">
        <f>'METAS -  SOBRAL'!C65/3</f>
        <v>#VALUE!</v>
      </c>
      <c r="E52" t="s">
        <v>15</v>
      </c>
      <c r="F52" s="39">
        <f>'METAS -  SOBRAL'!F65/3</f>
        <v>3371.2804795577545</v>
      </c>
      <c r="G52" s="36"/>
      <c r="H52" t="s">
        <v>15</v>
      </c>
      <c r="I52" s="39">
        <f>'METAS -  SOBRAL'!I65/3</f>
        <v>3371.2804795577545</v>
      </c>
    </row>
    <row r="53" spans="2:9" x14ac:dyDescent="0.25">
      <c r="B53" t="s">
        <v>16</v>
      </c>
      <c r="C53" s="39" t="e">
        <f>'METAS -  SOBRAL'!C66/3</f>
        <v>#VALUE!</v>
      </c>
      <c r="E53" t="s">
        <v>16</v>
      </c>
      <c r="F53" s="39">
        <f>'METAS -  SOBRAL'!F66/3</f>
        <v>3119.071729110527</v>
      </c>
      <c r="G53" s="36"/>
      <c r="H53" t="s">
        <v>16</v>
      </c>
      <c r="I53" s="39">
        <f>'METAS -  SOBRAL'!I66/3</f>
        <v>3119.071729110527</v>
      </c>
    </row>
    <row r="54" spans="2:9" x14ac:dyDescent="0.25">
      <c r="B54" s="42" t="s">
        <v>17</v>
      </c>
      <c r="C54" s="43">
        <f>'METAS -  SOBRAL'!C67/3</f>
        <v>2354.0685800583219</v>
      </c>
      <c r="E54" s="42" t="s">
        <v>17</v>
      </c>
      <c r="F54" s="43">
        <f>'METAS -  SOBRAL'!F67/3</f>
        <v>2354.0685800583219</v>
      </c>
      <c r="G54" s="36"/>
      <c r="H54" s="42" t="s">
        <v>17</v>
      </c>
      <c r="I54" s="43">
        <f>'METAS -  SOBRAL'!I67/3</f>
        <v>2354.0685800583219</v>
      </c>
    </row>
    <row r="56" spans="2:9" x14ac:dyDescent="0.25">
      <c r="B56" s="22" t="s">
        <v>18</v>
      </c>
      <c r="C56" s="44" t="e">
        <f>SUM(C49:C54)</f>
        <v>#VALUE!</v>
      </c>
      <c r="E56" s="22" t="s">
        <v>18</v>
      </c>
      <c r="F56" s="44">
        <f>SUM(F49:F54)</f>
        <v>16078.149521652085</v>
      </c>
      <c r="H56" s="22" t="s">
        <v>18</v>
      </c>
      <c r="I56" s="44">
        <f>SUM(I49:I54)</f>
        <v>16078.149521652085</v>
      </c>
    </row>
    <row r="58" spans="2:9" x14ac:dyDescent="0.25">
      <c r="B58" s="184" t="s">
        <v>19</v>
      </c>
      <c r="C58" s="184"/>
      <c r="E58" s="184" t="s">
        <v>20</v>
      </c>
      <c r="F58" s="184"/>
    </row>
    <row r="59" spans="2:9" x14ac:dyDescent="0.25">
      <c r="B59" t="s">
        <v>12</v>
      </c>
      <c r="C59" s="39">
        <f>'METAS -  SOBRAL'!C73/3</f>
        <v>2270.2464958264509</v>
      </c>
      <c r="E59" t="s">
        <v>12</v>
      </c>
      <c r="F59" s="39">
        <f>'METAS -  SOBRAL'!F73/3</f>
        <v>2270.2464958264509</v>
      </c>
    </row>
    <row r="60" spans="2:9" x14ac:dyDescent="0.25">
      <c r="B60" t="s">
        <v>13</v>
      </c>
      <c r="C60" s="39">
        <f>'METAS -  SOBRAL'!C74/3</f>
        <v>2270.9208561325736</v>
      </c>
      <c r="E60" t="s">
        <v>13</v>
      </c>
      <c r="F60" s="39">
        <f>'METAS -  SOBRAL'!F74/3</f>
        <v>2270.9208561325736</v>
      </c>
    </row>
    <row r="61" spans="2:9" x14ac:dyDescent="0.25">
      <c r="B61" t="s">
        <v>14</v>
      </c>
      <c r="C61" s="39">
        <f>'METAS -  SOBRAL'!C75/3</f>
        <v>2692.5613809664583</v>
      </c>
      <c r="E61" t="s">
        <v>14</v>
      </c>
      <c r="F61" s="39">
        <f>'METAS -  SOBRAL'!F75/3</f>
        <v>2692.5613809664583</v>
      </c>
    </row>
    <row r="62" spans="2:9" x14ac:dyDescent="0.25">
      <c r="B62" t="s">
        <v>15</v>
      </c>
      <c r="C62" s="39">
        <f>'METAS -  SOBRAL'!C76/3</f>
        <v>3371.2804795577545</v>
      </c>
      <c r="E62" t="s">
        <v>15</v>
      </c>
      <c r="F62" s="39">
        <f>'METAS -  SOBRAL'!F76/3</f>
        <v>3371.2804795577545</v>
      </c>
    </row>
    <row r="63" spans="2:9" x14ac:dyDescent="0.25">
      <c r="B63" t="s">
        <v>16</v>
      </c>
      <c r="C63" s="39">
        <f>'METAS -  SOBRAL'!C77/3</f>
        <v>3119.071729110527</v>
      </c>
      <c r="E63" t="s">
        <v>16</v>
      </c>
      <c r="F63" s="39">
        <f>'METAS -  SOBRAL'!F77/3</f>
        <v>3119.071729110527</v>
      </c>
    </row>
    <row r="64" spans="2:9" x14ac:dyDescent="0.25">
      <c r="B64" s="42" t="s">
        <v>17</v>
      </c>
      <c r="C64" s="43">
        <f>'METAS -  SOBRAL'!C78/3</f>
        <v>2354.0685800583219</v>
      </c>
      <c r="E64" s="42" t="s">
        <v>17</v>
      </c>
      <c r="F64" s="43">
        <f>'METAS -  SOBRAL'!F78/3</f>
        <v>2354.0685800583219</v>
      </c>
    </row>
    <row r="65" spans="2:9" x14ac:dyDescent="0.25">
      <c r="H65" s="45" t="s">
        <v>22</v>
      </c>
    </row>
    <row r="66" spans="2:9" x14ac:dyDescent="0.25">
      <c r="B66" s="22" t="s">
        <v>18</v>
      </c>
      <c r="C66" s="44">
        <f>SUM(C59:C64)</f>
        <v>16078.149521652085</v>
      </c>
      <c r="E66" s="22" t="s">
        <v>18</v>
      </c>
      <c r="F66" s="44">
        <f>SUM(F59:F64)</f>
        <v>16078.149521652085</v>
      </c>
      <c r="H66" s="44" t="e">
        <f>F66+C66+C56+F56+I56</f>
        <v>#VALUE!</v>
      </c>
      <c r="I66" s="36"/>
    </row>
    <row r="68" spans="2:9" ht="21" x14ac:dyDescent="0.35">
      <c r="B68" s="185" t="s">
        <v>26</v>
      </c>
      <c r="C68" s="185"/>
      <c r="D68" s="185"/>
      <c r="E68" s="185"/>
      <c r="F68" s="185"/>
      <c r="G68" s="185"/>
      <c r="H68" s="185"/>
      <c r="I68" s="185"/>
    </row>
    <row r="69" spans="2:9" x14ac:dyDescent="0.25">
      <c r="B69" s="40" t="s">
        <v>4</v>
      </c>
      <c r="C69" s="41" t="e">
        <f>H88*3</f>
        <v>#VALUE!</v>
      </c>
    </row>
    <row r="70" spans="2:9" x14ac:dyDescent="0.25">
      <c r="B70" s="188" t="s">
        <v>8</v>
      </c>
      <c r="C70" s="188"/>
      <c r="E70" s="184" t="s">
        <v>9</v>
      </c>
      <c r="F70" s="184"/>
      <c r="H70" s="184" t="s">
        <v>10</v>
      </c>
      <c r="I70" s="184"/>
    </row>
    <row r="71" spans="2:9" x14ac:dyDescent="0.25">
      <c r="B71" t="s">
        <v>12</v>
      </c>
      <c r="C71" s="39" t="e">
        <f>'METAS -  SOBRAL'!C86/2</f>
        <v>#VALUE!</v>
      </c>
      <c r="E71" t="s">
        <v>12</v>
      </c>
      <c r="F71" s="39">
        <f>'METAS -  SOBRAL'!F86/3</f>
        <v>2610.7834702004188</v>
      </c>
      <c r="G71" s="36"/>
      <c r="H71" t="s">
        <v>12</v>
      </c>
      <c r="I71" s="39">
        <f>'METAS -  SOBRAL'!I86/3</f>
        <v>2610.7834702004188</v>
      </c>
    </row>
    <row r="72" spans="2:9" x14ac:dyDescent="0.25">
      <c r="B72" t="s">
        <v>13</v>
      </c>
      <c r="C72" s="39" t="e">
        <f>'METAS -  SOBRAL'!C87/2</f>
        <v>#VALUE!</v>
      </c>
      <c r="E72" t="s">
        <v>13</v>
      </c>
      <c r="F72" s="39">
        <f>'METAS -  SOBRAL'!F87/3</f>
        <v>2611.5589845524596</v>
      </c>
      <c r="G72" s="36"/>
      <c r="H72" t="s">
        <v>13</v>
      </c>
      <c r="I72" s="39">
        <f>'METAS -  SOBRAL'!I87/3</f>
        <v>2611.5589845524596</v>
      </c>
    </row>
    <row r="73" spans="2:9" x14ac:dyDescent="0.25">
      <c r="B73" t="s">
        <v>14</v>
      </c>
      <c r="C73" s="39" t="e">
        <f>'METAS -  SOBRAL'!C88/2</f>
        <v>#VALUE!</v>
      </c>
      <c r="E73" t="s">
        <v>14</v>
      </c>
      <c r="F73" s="39">
        <f>'METAS -  SOBRAL'!F88/3</f>
        <v>3096.4455881114268</v>
      </c>
      <c r="G73" s="36"/>
      <c r="H73" t="s">
        <v>14</v>
      </c>
      <c r="I73" s="39">
        <f>'METAS -  SOBRAL'!I88/3</f>
        <v>3096.4455881114268</v>
      </c>
    </row>
    <row r="74" spans="2:9" x14ac:dyDescent="0.25">
      <c r="B74" t="s">
        <v>15</v>
      </c>
      <c r="C74" s="39" t="e">
        <f>'METAS -  SOBRAL'!C89/3</f>
        <v>#VALUE!</v>
      </c>
      <c r="E74" t="s">
        <v>15</v>
      </c>
      <c r="F74" s="39">
        <f>'METAS -  SOBRAL'!F89/3</f>
        <v>3876.9725514914176</v>
      </c>
      <c r="G74" s="36"/>
      <c r="H74" t="s">
        <v>15</v>
      </c>
      <c r="I74" s="39">
        <f>'METAS -  SOBRAL'!I89/3</f>
        <v>3876.9725514914176</v>
      </c>
    </row>
    <row r="75" spans="2:9" x14ac:dyDescent="0.25">
      <c r="B75" t="s">
        <v>16</v>
      </c>
      <c r="C75" s="39" t="e">
        <f>'METAS -  SOBRAL'!C90/3</f>
        <v>#VALUE!</v>
      </c>
      <c r="E75" t="s">
        <v>16</v>
      </c>
      <c r="F75" s="39">
        <f>'METAS -  SOBRAL'!F90/3</f>
        <v>3586.9324884771063</v>
      </c>
      <c r="G75" s="36"/>
      <c r="H75" t="s">
        <v>16</v>
      </c>
      <c r="I75" s="39">
        <f>'METAS -  SOBRAL'!I90/3</f>
        <v>3586.9324884771063</v>
      </c>
    </row>
    <row r="76" spans="2:9" x14ac:dyDescent="0.25">
      <c r="B76" s="42" t="s">
        <v>17</v>
      </c>
      <c r="C76" s="43">
        <f>'METAS -  SOBRAL'!C91/3</f>
        <v>2707.1788670670703</v>
      </c>
      <c r="E76" s="42" t="s">
        <v>17</v>
      </c>
      <c r="F76" s="39">
        <f>'METAS -  SOBRAL'!F91/3</f>
        <v>2707.1788670670703</v>
      </c>
      <c r="G76" s="36"/>
      <c r="H76" s="42" t="s">
        <v>17</v>
      </c>
      <c r="I76" s="43">
        <f>'METAS -  SOBRAL'!I91/3</f>
        <v>2707.1788670670703</v>
      </c>
    </row>
    <row r="78" spans="2:9" x14ac:dyDescent="0.25">
      <c r="B78" s="22" t="s">
        <v>18</v>
      </c>
      <c r="C78" s="44" t="e">
        <f>SUM(C71:C76)</f>
        <v>#VALUE!</v>
      </c>
      <c r="E78" s="22" t="s">
        <v>18</v>
      </c>
      <c r="F78" s="44">
        <f>SUM(F71:F76)</f>
        <v>18489.871949899898</v>
      </c>
      <c r="H78" s="22" t="s">
        <v>18</v>
      </c>
      <c r="I78" s="44">
        <f>SUM(I71:I76)</f>
        <v>18489.871949899898</v>
      </c>
    </row>
    <row r="80" spans="2:9" x14ac:dyDescent="0.25">
      <c r="B80" s="184" t="s">
        <v>19</v>
      </c>
      <c r="C80" s="184"/>
      <c r="E80" s="184" t="s">
        <v>20</v>
      </c>
      <c r="F80" s="184"/>
    </row>
    <row r="81" spans="2:9" x14ac:dyDescent="0.25">
      <c r="B81" t="s">
        <v>12</v>
      </c>
      <c r="C81" s="39">
        <f>'METAS -  SOBRAL'!C97/3</f>
        <v>2610.7834702004188</v>
      </c>
      <c r="E81" t="s">
        <v>12</v>
      </c>
      <c r="F81" s="39">
        <f>'METAS -  SOBRAL'!F97/3</f>
        <v>2610.7834702004188</v>
      </c>
    </row>
    <row r="82" spans="2:9" x14ac:dyDescent="0.25">
      <c r="B82" t="s">
        <v>13</v>
      </c>
      <c r="C82" s="39">
        <f>'METAS -  SOBRAL'!C98/3</f>
        <v>2611.5589845524596</v>
      </c>
      <c r="E82" t="s">
        <v>13</v>
      </c>
      <c r="F82" s="39">
        <f>'METAS -  SOBRAL'!F98/3</f>
        <v>2611.5589845524596</v>
      </c>
    </row>
    <row r="83" spans="2:9" x14ac:dyDescent="0.25">
      <c r="B83" t="s">
        <v>14</v>
      </c>
      <c r="C83" s="39">
        <f>'METAS -  SOBRAL'!C99/3</f>
        <v>3096.4455881114268</v>
      </c>
      <c r="E83" t="s">
        <v>14</v>
      </c>
      <c r="F83" s="39">
        <f>'METAS -  SOBRAL'!F99/3</f>
        <v>3096.4455881114268</v>
      </c>
    </row>
    <row r="84" spans="2:9" x14ac:dyDescent="0.25">
      <c r="B84" t="s">
        <v>15</v>
      </c>
      <c r="C84" s="39">
        <f>'METAS -  SOBRAL'!C100/3</f>
        <v>3876.9725514914176</v>
      </c>
      <c r="E84" t="s">
        <v>15</v>
      </c>
      <c r="F84" s="39">
        <f>'METAS -  SOBRAL'!F100/3</f>
        <v>3876.9725514914176</v>
      </c>
    </row>
    <row r="85" spans="2:9" x14ac:dyDescent="0.25">
      <c r="B85" t="s">
        <v>16</v>
      </c>
      <c r="C85" s="39">
        <f>'METAS -  SOBRAL'!C101/3</f>
        <v>3586.9324884771063</v>
      </c>
      <c r="E85" t="s">
        <v>16</v>
      </c>
      <c r="F85" s="39">
        <f>'METAS -  SOBRAL'!F101/3</f>
        <v>3586.9324884771063</v>
      </c>
    </row>
    <row r="86" spans="2:9" x14ac:dyDescent="0.25">
      <c r="B86" s="42" t="s">
        <v>17</v>
      </c>
      <c r="C86" s="43">
        <f>'METAS -  SOBRAL'!C102/3</f>
        <v>2707.1788670670703</v>
      </c>
      <c r="E86" s="42" t="s">
        <v>17</v>
      </c>
      <c r="F86" s="43">
        <f>'METAS -  SOBRAL'!F102/3</f>
        <v>2707.1788670670703</v>
      </c>
    </row>
    <row r="87" spans="2:9" x14ac:dyDescent="0.25">
      <c r="H87" s="45" t="s">
        <v>22</v>
      </c>
    </row>
    <row r="88" spans="2:9" x14ac:dyDescent="0.25">
      <c r="B88" s="22" t="s">
        <v>18</v>
      </c>
      <c r="C88" s="44">
        <f>SUM(C81:C86)</f>
        <v>18489.871949899898</v>
      </c>
      <c r="E88" s="22" t="s">
        <v>18</v>
      </c>
      <c r="F88" s="44">
        <f>SUM(F81:F86)</f>
        <v>18489.871949899898</v>
      </c>
      <c r="H88" s="44" t="e">
        <f>F88+C88+C78+F78+I78</f>
        <v>#VALUE!</v>
      </c>
      <c r="I88" s="36"/>
    </row>
  </sheetData>
  <mergeCells count="24">
    <mergeCell ref="B2:I2"/>
    <mergeCell ref="B4:C4"/>
    <mergeCell ref="E4:F4"/>
    <mergeCell ref="H4:I4"/>
    <mergeCell ref="B14:C14"/>
    <mergeCell ref="E14:F14"/>
    <mergeCell ref="B24:I24"/>
    <mergeCell ref="B26:C26"/>
    <mergeCell ref="E26:F26"/>
    <mergeCell ref="H26:I26"/>
    <mergeCell ref="B36:C36"/>
    <mergeCell ref="E36:F36"/>
    <mergeCell ref="B46:I46"/>
    <mergeCell ref="B48:C48"/>
    <mergeCell ref="E48:F48"/>
    <mergeCell ref="H48:I48"/>
    <mergeCell ref="B58:C58"/>
    <mergeCell ref="E58:F58"/>
    <mergeCell ref="B68:I68"/>
    <mergeCell ref="B70:C70"/>
    <mergeCell ref="E70:F70"/>
    <mergeCell ref="H70:I70"/>
    <mergeCell ref="B80:C80"/>
    <mergeCell ref="E80:F80"/>
  </mergeCells>
  <pageMargins left="0.25" right="0.25" top="0.75" bottom="0.75" header="0.3" footer="0.3"/>
  <pageSetup paperSize="9" scale="73" orientation="portrait" r:id="rId1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tabColor rgb="FFFFFF00"/>
  </sheetPr>
  <dimension ref="B1:AH37"/>
  <sheetViews>
    <sheetView showGridLines="0" topLeftCell="A4" zoomScale="80" zoomScaleNormal="80" workbookViewId="0">
      <selection activeCell="C5" sqref="C5"/>
    </sheetView>
  </sheetViews>
  <sheetFormatPr defaultColWidth="8.7109375" defaultRowHeight="15" x14ac:dyDescent="0.25"/>
  <cols>
    <col min="1" max="1" width="12" bestFit="1" customWidth="1"/>
    <col min="2" max="2" width="11.42578125" style="18" bestFit="1" customWidth="1"/>
    <col min="3" max="3" width="14.42578125" style="1" bestFit="1" customWidth="1"/>
    <col min="4" max="4" width="26.7109375" style="1" bestFit="1" customWidth="1"/>
    <col min="5" max="5" width="33.42578125" style="2" bestFit="1" customWidth="1"/>
    <col min="6" max="6" width="18.140625" style="3" bestFit="1" customWidth="1"/>
    <col min="7" max="7" width="23.42578125" style="1" bestFit="1" customWidth="1"/>
    <col min="8" max="10" width="20.7109375" style="1" bestFit="1" customWidth="1"/>
    <col min="11" max="11" width="3.42578125" customWidth="1"/>
    <col min="12" max="12" width="12.42578125" bestFit="1" customWidth="1"/>
    <col min="13" max="13" width="13.7109375" bestFit="1" customWidth="1"/>
    <col min="14" max="14" width="17.140625" bestFit="1" customWidth="1"/>
    <col min="15" max="16" width="15" bestFit="1" customWidth="1"/>
    <col min="17" max="17" width="15.7109375" bestFit="1" customWidth="1"/>
    <col min="18" max="18" width="3.42578125" customWidth="1"/>
    <col min="19" max="19" width="14" bestFit="1" customWidth="1"/>
    <col min="20" max="20" width="26.7109375" bestFit="1" customWidth="1"/>
    <col min="21" max="21" width="17.140625" bestFit="1" customWidth="1"/>
    <col min="22" max="24" width="16.42578125" bestFit="1" customWidth="1"/>
    <col min="25" max="25" width="4.42578125" customWidth="1"/>
    <col min="26" max="26" width="14" bestFit="1" customWidth="1"/>
    <col min="27" max="27" width="26.7109375" bestFit="1" customWidth="1"/>
    <col min="28" max="28" width="17.140625" bestFit="1" customWidth="1"/>
    <col min="29" max="31" width="15.28515625" bestFit="1" customWidth="1"/>
    <col min="32" max="32" width="4.42578125" customWidth="1"/>
    <col min="33" max="33" width="14.42578125" bestFit="1" customWidth="1"/>
    <col min="34" max="34" width="47.7109375" bestFit="1" customWidth="1"/>
  </cols>
  <sheetData>
    <row r="1" spans="2:34" x14ac:dyDescent="0.25">
      <c r="I1" s="97" t="s">
        <v>27</v>
      </c>
      <c r="J1" s="97">
        <v>5</v>
      </c>
      <c r="K1" s="1"/>
    </row>
    <row r="2" spans="2:34" ht="15.75" thickBot="1" x14ac:dyDescent="0.3">
      <c r="I2" s="97" t="s">
        <v>28</v>
      </c>
      <c r="J2" s="97">
        <v>2026</v>
      </c>
    </row>
    <row r="3" spans="2:34" ht="45.75" thickBot="1" x14ac:dyDescent="0.3">
      <c r="B3" s="193" t="s">
        <v>29</v>
      </c>
      <c r="C3" s="193"/>
      <c r="D3" s="193"/>
      <c r="E3" s="193"/>
      <c r="F3" s="193"/>
      <c r="G3" s="193"/>
      <c r="H3" s="193"/>
      <c r="I3" s="193"/>
      <c r="J3" s="193"/>
      <c r="L3" s="186" t="s">
        <v>30</v>
      </c>
      <c r="M3" s="187"/>
      <c r="N3" s="187"/>
      <c r="O3" s="187"/>
      <c r="P3" s="187"/>
      <c r="Q3" s="187"/>
      <c r="S3" s="189" t="s">
        <v>31</v>
      </c>
      <c r="T3" s="190"/>
      <c r="U3" s="190"/>
      <c r="V3" s="190"/>
      <c r="W3" s="190"/>
      <c r="X3" s="191"/>
      <c r="Y3" s="139"/>
      <c r="Z3" s="186" t="s">
        <v>32</v>
      </c>
      <c r="AA3" s="187"/>
      <c r="AB3" s="187"/>
      <c r="AC3" s="187"/>
      <c r="AD3" s="187"/>
      <c r="AE3" s="192"/>
      <c r="AG3" s="16" t="s">
        <v>33</v>
      </c>
      <c r="AH3" s="17" t="s">
        <v>34</v>
      </c>
    </row>
    <row r="4" spans="2:34" ht="15.75" thickBot="1" x14ac:dyDescent="0.3">
      <c r="B4" s="125" t="s">
        <v>35</v>
      </c>
      <c r="C4" s="18" t="s">
        <v>36</v>
      </c>
      <c r="D4" s="18" t="s">
        <v>37</v>
      </c>
      <c r="E4" s="19" t="s">
        <v>38</v>
      </c>
      <c r="F4" s="20" t="s">
        <v>39</v>
      </c>
      <c r="G4" s="7" t="s">
        <v>1</v>
      </c>
      <c r="H4" s="13" t="s">
        <v>2</v>
      </c>
      <c r="I4" s="14" t="s">
        <v>3</v>
      </c>
      <c r="J4" s="15" t="s">
        <v>4</v>
      </c>
      <c r="K4" s="20"/>
      <c r="L4" s="21" t="s">
        <v>36</v>
      </c>
      <c r="M4" s="21" t="s">
        <v>40</v>
      </c>
      <c r="N4" s="7" t="s">
        <v>1</v>
      </c>
      <c r="O4" s="13" t="s">
        <v>2</v>
      </c>
      <c r="P4" s="14" t="s">
        <v>41</v>
      </c>
      <c r="Q4" s="15" t="s">
        <v>4</v>
      </c>
      <c r="S4" s="131" t="s">
        <v>39</v>
      </c>
      <c r="T4" s="132" t="s">
        <v>38</v>
      </c>
      <c r="U4" s="133" t="s">
        <v>1</v>
      </c>
      <c r="V4" s="134" t="s">
        <v>2</v>
      </c>
      <c r="W4" s="135" t="s">
        <v>41</v>
      </c>
      <c r="X4" s="140" t="s">
        <v>4</v>
      </c>
      <c r="Z4" s="145" t="s">
        <v>39</v>
      </c>
      <c r="AA4" s="146" t="s">
        <v>38</v>
      </c>
      <c r="AB4" s="7" t="s">
        <v>1</v>
      </c>
      <c r="AC4" s="13" t="s">
        <v>2</v>
      </c>
      <c r="AD4" s="14" t="s">
        <v>41</v>
      </c>
      <c r="AE4" s="147" t="s">
        <v>4</v>
      </c>
      <c r="AG4" s="22"/>
      <c r="AH4" s="22"/>
    </row>
    <row r="5" spans="2:34" ht="45.75" thickBot="1" x14ac:dyDescent="0.3">
      <c r="B5" s="84">
        <v>1</v>
      </c>
      <c r="C5" s="126">
        <f>DATE($J$2,$J$1,B5)</f>
        <v>46143</v>
      </c>
      <c r="D5" s="19" t="str">
        <f t="shared" ref="D5:D34" si="0">UPPER(TEXT(C5,"dddd"))</f>
        <v>SEXTA-FEIRA</v>
      </c>
      <c r="E5" s="19"/>
      <c r="F5" s="20" t="str">
        <f>"Semana " &amp; INT((DAY(C5)+WEEKDAY(DATE(YEAR(C5),MONTH(C5),1),1)-2)/7)+1</f>
        <v>Semana 1</v>
      </c>
      <c r="G5" s="23" t="str">
        <f>'METAS -  SOBRAL'!C18</f>
        <v/>
      </c>
      <c r="H5" s="23" t="str">
        <f>'METAS -  SOBRAL'!C42</f>
        <v/>
      </c>
      <c r="I5" s="23" t="str">
        <f>'METAS -  SOBRAL'!C66</f>
        <v/>
      </c>
      <c r="J5" s="23" t="str">
        <f>'METAS -  SOBRAL'!C90</f>
        <v/>
      </c>
      <c r="L5" s="24">
        <f>Tabela37[[#This Row],[DATA]]</f>
        <v>46143</v>
      </c>
      <c r="M5" s="27">
        <f>Tabela37[[#This Row],[VALOR REALIZADO]]</f>
        <v>0</v>
      </c>
      <c r="N5" s="25" t="str">
        <f>IFERROR(E5-Tabela37[[#This Row],[META MÍNIMA]],"")</f>
        <v/>
      </c>
      <c r="O5" s="25" t="str">
        <f>IFERROR(E5-Tabela37[[#This Row],[TOP 1]],"")</f>
        <v/>
      </c>
      <c r="P5" s="25" t="str">
        <f>IFERROR(E5-Tabela37[[#This Row],[TOP 2]],"")</f>
        <v/>
      </c>
      <c r="Q5" s="25" t="str">
        <f>IFERROR(E5-Tabela37[[#This Row],[MASTER]],"")</f>
        <v/>
      </c>
      <c r="S5" s="136" t="s">
        <v>42</v>
      </c>
      <c r="T5" s="26">
        <f>SUMIF($F$5:$F$35,S5,$E$5:$E$35)</f>
        <v>0</v>
      </c>
      <c r="U5" s="27">
        <f>SUM('METAS -  SOBRAL'!C14:C19)</f>
        <v>4943.5440181224758</v>
      </c>
      <c r="V5" s="27">
        <f>SUM('METAS -  SOBRAL'!C38:C43)</f>
        <v>6002.8748791487214</v>
      </c>
      <c r="W5" s="27">
        <f>SUM('METAS -  SOBRAL'!C62:C67)</f>
        <v>7062.2057401749653</v>
      </c>
      <c r="X5" s="141">
        <f>SUM('METAS -  SOBRAL'!C86:C91)</f>
        <v>8121.5366012012109</v>
      </c>
      <c r="Z5" s="136">
        <v>1</v>
      </c>
      <c r="AA5" s="26">
        <f>T5</f>
        <v>0</v>
      </c>
      <c r="AB5" s="28">
        <f>$T$5-U5</f>
        <v>-4943.5440181224758</v>
      </c>
      <c r="AC5" s="28">
        <f>$T$5-V5</f>
        <v>-6002.8748791487214</v>
      </c>
      <c r="AD5" s="28">
        <f>$T$5-W5</f>
        <v>-7062.2057401749653</v>
      </c>
      <c r="AE5" s="179">
        <f>IF(AD5="","",$T$5-X5)</f>
        <v>-8121.5366012012109</v>
      </c>
      <c r="AG5" s="29" t="s">
        <v>43</v>
      </c>
      <c r="AH5" s="17" t="s">
        <v>44</v>
      </c>
    </row>
    <row r="6" spans="2:34" x14ac:dyDescent="0.25">
      <c r="B6" s="84">
        <v>2</v>
      </c>
      <c r="C6" s="126">
        <f t="shared" ref="C6:C35" si="1">DATE($J$2,$J$1,B6)</f>
        <v>46144</v>
      </c>
      <c r="D6" s="19" t="str">
        <f t="shared" si="0"/>
        <v>SÁBADO</v>
      </c>
      <c r="E6" s="19"/>
      <c r="F6" s="20" t="str">
        <f t="shared" ref="F6:F35" si="2">"Semana " &amp; INT((DAY(C6)+WEEKDAY(DATE(YEAR(C6),MONTH(C6),1),1)-2)/7)+1</f>
        <v>Semana 1</v>
      </c>
      <c r="G6" s="23">
        <f>'METAS -  SOBRAL'!C19</f>
        <v>4943.5440181224758</v>
      </c>
      <c r="H6" s="23">
        <f>'METAS -  SOBRAL'!C43</f>
        <v>6002.8748791487214</v>
      </c>
      <c r="I6" s="23">
        <f>'METAS -  SOBRAL'!C67</f>
        <v>7062.2057401749653</v>
      </c>
      <c r="J6" s="23">
        <f>'METAS -  SOBRAL'!C91</f>
        <v>8121.5366012012109</v>
      </c>
      <c r="L6" s="24">
        <f>Tabela37[[#This Row],[DATA]]</f>
        <v>46144</v>
      </c>
      <c r="M6" s="27">
        <f>Tabela37[[#This Row],[VALOR REALIZADO]]</f>
        <v>0</v>
      </c>
      <c r="N6" s="25">
        <f>IFERROR(E6-Tabela37[[#This Row],[META MÍNIMA]],"")</f>
        <v>-4943.5440181224758</v>
      </c>
      <c r="O6" s="25">
        <f>IFERROR(E6-Tabela37[[#This Row],[TOP 1]],"")</f>
        <v>-6002.8748791487214</v>
      </c>
      <c r="P6" s="25">
        <f>IFERROR(E6-Tabela37[[#This Row],[TOP 2]],"")</f>
        <v>-7062.2057401749653</v>
      </c>
      <c r="Q6" s="25">
        <f>IFERROR(E6-Tabela37[[#This Row],[MASTER]],"")</f>
        <v>-8121.5366012012109</v>
      </c>
      <c r="S6" s="136" t="s">
        <v>45</v>
      </c>
      <c r="T6" s="26">
        <f t="shared" ref="T6:T9" si="3">SUMIF($F$5:$F$35,S6,$E$5:$E$35)</f>
        <v>0</v>
      </c>
      <c r="U6" s="30">
        <f>SUM('METAS -  SOBRAL'!F14:F19)</f>
        <v>33764.113995469379</v>
      </c>
      <c r="V6" s="30">
        <f>SUM('METAS -  SOBRAL'!F38:F43)</f>
        <v>40999.281280212825</v>
      </c>
      <c r="W6" s="30">
        <f>SUM('METAS -  SOBRAL'!F62:F67)</f>
        <v>48234.448564956256</v>
      </c>
      <c r="X6" s="142">
        <f>SUM('METAS -  SOBRAL'!F86:F91)</f>
        <v>55469.615849699694</v>
      </c>
      <c r="Z6" s="148">
        <v>2</v>
      </c>
      <c r="AA6" s="26">
        <f>T6</f>
        <v>0</v>
      </c>
      <c r="AB6" s="31">
        <f>IF(AA6="","",$T$6-U6)</f>
        <v>-33764.113995469379</v>
      </c>
      <c r="AC6" s="31">
        <f>IF(AB6="","",$T$6-V6)</f>
        <v>-40999.281280212825</v>
      </c>
      <c r="AD6" s="31">
        <f>IF(AC6="","",$T$6-W6)</f>
        <v>-48234.448564956256</v>
      </c>
      <c r="AE6" s="149">
        <f>IF(AD6="","",$T$6-X6)</f>
        <v>-55469.615849699694</v>
      </c>
    </row>
    <row r="7" spans="2:34" x14ac:dyDescent="0.25">
      <c r="B7" s="84">
        <v>3</v>
      </c>
      <c r="C7" s="126">
        <f t="shared" si="1"/>
        <v>46145</v>
      </c>
      <c r="D7" s="19" t="str">
        <f t="shared" si="0"/>
        <v>DOMINGO</v>
      </c>
      <c r="E7" s="19"/>
      <c r="F7" s="20" t="str">
        <f t="shared" si="2"/>
        <v>Semana 2</v>
      </c>
      <c r="G7" s="23" t="str">
        <f>'METAS -  SOBRAL'!F13</f>
        <v/>
      </c>
      <c r="H7" s="23" t="str">
        <f>'METAS -  SOBRAL'!F37</f>
        <v/>
      </c>
      <c r="I7" s="23" t="str">
        <f>'METAS -  SOBRAL'!F61</f>
        <v/>
      </c>
      <c r="J7" s="23" t="str">
        <f>'METAS -  SOBRAL'!F85</f>
        <v/>
      </c>
      <c r="L7" s="24">
        <f>Tabela37[[#This Row],[DATA]]</f>
        <v>46145</v>
      </c>
      <c r="M7" s="27">
        <f>Tabela37[[#This Row],[VALOR REALIZADO]]</f>
        <v>0</v>
      </c>
      <c r="N7" s="25" t="str">
        <f>IFERROR(E7-Tabela37[[#This Row],[META MÍNIMA]],"")</f>
        <v/>
      </c>
      <c r="O7" s="25" t="str">
        <f>IFERROR(E7-Tabela37[[#This Row],[TOP 1]],"")</f>
        <v/>
      </c>
      <c r="P7" s="25" t="str">
        <f>IFERROR(E7-Tabela37[[#This Row],[TOP 2]],"")</f>
        <v/>
      </c>
      <c r="Q7" s="25" t="str">
        <f>IFERROR(E7-Tabela37[[#This Row],[MASTER]],"")</f>
        <v/>
      </c>
      <c r="S7" s="136" t="s">
        <v>46</v>
      </c>
      <c r="T7" s="26">
        <f t="shared" si="3"/>
        <v>0</v>
      </c>
      <c r="U7" s="27">
        <f>SUM('METAS -  SOBRAL'!I14:I19)</f>
        <v>33764.113995469379</v>
      </c>
      <c r="V7" s="27">
        <f>SUM('METAS -  SOBRAL'!I38:I43)</f>
        <v>40999.281280212825</v>
      </c>
      <c r="W7" s="27">
        <f>SUM('METAS -  SOBRAL'!I62:I67)</f>
        <v>48234.448564956256</v>
      </c>
      <c r="X7" s="141">
        <f>SUM('METAS -  SOBRAL'!I86:I91)</f>
        <v>55469.615849699694</v>
      </c>
      <c r="Z7" s="148">
        <v>3</v>
      </c>
      <c r="AA7" s="26">
        <f>T7</f>
        <v>0</v>
      </c>
      <c r="AB7" s="31">
        <f>IF(AA7="","",$T$7-U7)</f>
        <v>-33764.113995469379</v>
      </c>
      <c r="AC7" s="31">
        <f>IF(AB7="","",$T$7-V7)</f>
        <v>-40999.281280212825</v>
      </c>
      <c r="AD7" s="31">
        <f>IF(AC7="","",$T$7-W7)</f>
        <v>-48234.448564956256</v>
      </c>
      <c r="AE7" s="149">
        <f>IF(AD7="","",$T$7-X7)</f>
        <v>-55469.615849699694</v>
      </c>
    </row>
    <row r="8" spans="2:34" x14ac:dyDescent="0.25">
      <c r="B8" s="84">
        <v>4</v>
      </c>
      <c r="C8" s="32">
        <f t="shared" si="1"/>
        <v>46146</v>
      </c>
      <c r="D8" s="2" t="str">
        <f t="shared" si="0"/>
        <v>SEGUNDA-FEIRA</v>
      </c>
      <c r="E8" s="19"/>
      <c r="F8" s="20" t="str">
        <f t="shared" si="2"/>
        <v>Semana 2</v>
      </c>
      <c r="G8" s="23">
        <f>'METAS -  SOBRAL'!F14</f>
        <v>4767.5176412355468</v>
      </c>
      <c r="H8" s="23">
        <f>'METAS -  SOBRAL'!F38</f>
        <v>5789.1285643574502</v>
      </c>
      <c r="I8" s="23">
        <f>'METAS -  SOBRAL'!F62</f>
        <v>6810.7394874793526</v>
      </c>
      <c r="J8" s="23">
        <f>'METAS -  SOBRAL'!F86</f>
        <v>7832.350410601256</v>
      </c>
      <c r="L8" s="24">
        <f>Tabela37[[#This Row],[DATA]]</f>
        <v>46146</v>
      </c>
      <c r="M8" s="27">
        <f>Tabela37[[#This Row],[VALOR REALIZADO]]</f>
        <v>0</v>
      </c>
      <c r="N8" s="25">
        <f>IFERROR(E8-Tabela37[[#This Row],[META MÍNIMA]],"")</f>
        <v>-4767.5176412355468</v>
      </c>
      <c r="O8" s="25">
        <f>IFERROR(E8-Tabela37[[#This Row],[TOP 1]],"")</f>
        <v>-5789.1285643574502</v>
      </c>
      <c r="P8" s="25">
        <f>IFERROR(E8-Tabela37[[#This Row],[TOP 2]],"")</f>
        <v>-6810.7394874793526</v>
      </c>
      <c r="Q8" s="25">
        <f>IFERROR(E8-Tabela37[[#This Row],[MASTER]],"")</f>
        <v>-7832.350410601256</v>
      </c>
      <c r="S8" s="136" t="s">
        <v>47</v>
      </c>
      <c r="T8" s="26">
        <f t="shared" si="3"/>
        <v>0</v>
      </c>
      <c r="U8" s="34">
        <f>SUM('METAS -  SOBRAL'!C25:C30)</f>
        <v>33764.113995469379</v>
      </c>
      <c r="V8" s="34">
        <f>SUM('METAS -  SOBRAL'!C49:C54)</f>
        <v>40999.281280212825</v>
      </c>
      <c r="W8" s="34">
        <f>SUM('METAS -  SOBRAL'!C73:C78)</f>
        <v>48234.448564956256</v>
      </c>
      <c r="X8" s="143">
        <f>SUM('METAS -  SOBRAL'!C97:C102)</f>
        <v>55469.615849699694</v>
      </c>
      <c r="Z8" s="148">
        <v>4</v>
      </c>
      <c r="AA8" s="26">
        <f>T8</f>
        <v>0</v>
      </c>
      <c r="AB8" s="31">
        <f>IF(AA8="","",$T$8-U8)</f>
        <v>-33764.113995469379</v>
      </c>
      <c r="AC8" s="31">
        <f>IF(AB8="","",$T$8-V8)</f>
        <v>-40999.281280212825</v>
      </c>
      <c r="AD8" s="31">
        <f>IF(AC8="","",$T$8-W8)</f>
        <v>-48234.448564956256</v>
      </c>
      <c r="AE8" s="149">
        <f>IF(AD8="","",$T$8-X8)</f>
        <v>-55469.615849699694</v>
      </c>
    </row>
    <row r="9" spans="2:34" ht="15.75" thickBot="1" x14ac:dyDescent="0.3">
      <c r="B9" s="84">
        <v>5</v>
      </c>
      <c r="C9" s="32">
        <f t="shared" si="1"/>
        <v>46147</v>
      </c>
      <c r="D9" s="2" t="str">
        <f t="shared" si="0"/>
        <v>TERÇA-FEIRA</v>
      </c>
      <c r="E9" s="19"/>
      <c r="F9" s="20" t="str">
        <f t="shared" si="2"/>
        <v>Semana 2</v>
      </c>
      <c r="G9" s="23">
        <f>'METAS -  SOBRAL'!F15</f>
        <v>4768.9337978784042</v>
      </c>
      <c r="H9" s="23">
        <f>'METAS -  SOBRAL'!F39</f>
        <v>5790.8481831380623</v>
      </c>
      <c r="I9" s="23">
        <f>'METAS -  SOBRAL'!F63</f>
        <v>6812.7625683977203</v>
      </c>
      <c r="J9" s="23">
        <f>'METAS -  SOBRAL'!F87</f>
        <v>7834.6769536573784</v>
      </c>
      <c r="L9" s="24">
        <f>Tabela37[[#This Row],[DATA]]</f>
        <v>46147</v>
      </c>
      <c r="M9" s="27">
        <f>Tabela37[[#This Row],[VALOR REALIZADO]]</f>
        <v>0</v>
      </c>
      <c r="N9" s="25">
        <f>IFERROR(E9-Tabela37[[#This Row],[META MÍNIMA]],"")</f>
        <v>-4768.9337978784042</v>
      </c>
      <c r="O9" s="25">
        <f>IFERROR(E9-Tabela37[[#This Row],[TOP 1]],"")</f>
        <v>-5790.8481831380623</v>
      </c>
      <c r="P9" s="25">
        <f>IFERROR(E9-Tabela37[[#This Row],[TOP 2]],"")</f>
        <v>-6812.7625683977203</v>
      </c>
      <c r="Q9" s="25">
        <f>IFERROR(E9-Tabela37[[#This Row],[MASTER]],"")</f>
        <v>-7834.6769536573784</v>
      </c>
      <c r="S9" s="137" t="s">
        <v>48</v>
      </c>
      <c r="T9" s="26">
        <f t="shared" si="3"/>
        <v>0</v>
      </c>
      <c r="U9" s="138">
        <f>SUM('METAS -  SOBRAL'!F25:F30)</f>
        <v>33764.113995469379</v>
      </c>
      <c r="V9" s="138">
        <f>SUM('METAS -  SOBRAL'!F49:F54)</f>
        <v>40999.281280212825</v>
      </c>
      <c r="W9" s="138">
        <f>SUM('METAS -  SOBRAL'!F73:F78)</f>
        <v>48234.448564956256</v>
      </c>
      <c r="X9" s="144">
        <f>SUM('METAS -  SOBRAL'!F97:F102)</f>
        <v>55469.615849699694</v>
      </c>
      <c r="Z9" s="150">
        <v>5</v>
      </c>
      <c r="AA9" s="151">
        <f>T9</f>
        <v>0</v>
      </c>
      <c r="AB9" s="152">
        <f>IF(AA9="","",$T$9-U9)</f>
        <v>-33764.113995469379</v>
      </c>
      <c r="AC9" s="152">
        <f>IF(AB9="","",$T$9-V9)</f>
        <v>-40999.281280212825</v>
      </c>
      <c r="AD9" s="152">
        <f>IF(AC9="","",$T$9-W9)</f>
        <v>-48234.448564956256</v>
      </c>
      <c r="AE9" s="153">
        <f>IF(AD9="","",$T$9-X9)</f>
        <v>-55469.615849699694</v>
      </c>
    </row>
    <row r="10" spans="2:34" ht="15.75" thickBot="1" x14ac:dyDescent="0.3">
      <c r="B10" s="84">
        <v>6</v>
      </c>
      <c r="C10" s="32">
        <f t="shared" si="1"/>
        <v>46148</v>
      </c>
      <c r="D10" s="2" t="str">
        <f t="shared" si="0"/>
        <v>QUARTA-FEIRA</v>
      </c>
      <c r="E10" s="19"/>
      <c r="F10" s="20" t="str">
        <f t="shared" si="2"/>
        <v>Semana 2</v>
      </c>
      <c r="G10" s="23">
        <f>'METAS -  SOBRAL'!F16</f>
        <v>5654.3789000295619</v>
      </c>
      <c r="H10" s="23">
        <f>'METAS -  SOBRAL'!F40</f>
        <v>6866.0315214644679</v>
      </c>
      <c r="I10" s="23">
        <f>'METAS -  SOBRAL'!F64</f>
        <v>8077.6841428993748</v>
      </c>
      <c r="J10" s="23">
        <f>'METAS -  SOBRAL'!F88</f>
        <v>9289.3367643342808</v>
      </c>
      <c r="L10" s="24">
        <f>Tabela37[[#This Row],[DATA]]</f>
        <v>46148</v>
      </c>
      <c r="M10" s="27">
        <f>Tabela37[[#This Row],[VALOR REALIZADO]]</f>
        <v>0</v>
      </c>
      <c r="N10" s="25">
        <f>IFERROR(E10-Tabela37[[#This Row],[META MÍNIMA]],"")</f>
        <v>-5654.3789000295619</v>
      </c>
      <c r="O10" s="25">
        <f>IFERROR(E10-Tabela37[[#This Row],[TOP 1]],"")</f>
        <v>-6866.0315214644679</v>
      </c>
      <c r="P10" s="25">
        <f>IFERROR(E10-Tabela37[[#This Row],[TOP 2]],"")</f>
        <v>-8077.6841428993748</v>
      </c>
      <c r="Q10" s="25">
        <f>IFERROR(E10-Tabela37[[#This Row],[MASTER]],"")</f>
        <v>-9289.3367643342808</v>
      </c>
      <c r="AH10" s="35"/>
    </row>
    <row r="11" spans="2:34" x14ac:dyDescent="0.25">
      <c r="B11" s="84">
        <v>7</v>
      </c>
      <c r="C11" s="32">
        <f t="shared" si="1"/>
        <v>46149</v>
      </c>
      <c r="D11" s="2" t="str">
        <f t="shared" si="0"/>
        <v>QUINTA-FEIRA</v>
      </c>
      <c r="E11" s="19"/>
      <c r="F11" s="20" t="str">
        <f t="shared" si="2"/>
        <v>Semana 2</v>
      </c>
      <c r="G11" s="23">
        <f>'METAS -  SOBRAL'!F17</f>
        <v>7079.6890070712852</v>
      </c>
      <c r="H11" s="23">
        <f>'METAS -  SOBRAL'!F41</f>
        <v>8596.7652228722745</v>
      </c>
      <c r="I11" s="23">
        <f>'METAS -  SOBRAL'!F65</f>
        <v>10113.841438673264</v>
      </c>
      <c r="J11" s="23">
        <f>'METAS -  SOBRAL'!F89</f>
        <v>11630.917654474253</v>
      </c>
      <c r="L11" s="24">
        <f>Tabela37[[#This Row],[DATA]]</f>
        <v>46149</v>
      </c>
      <c r="M11" s="27">
        <f>Tabela37[[#This Row],[VALOR REALIZADO]]</f>
        <v>0</v>
      </c>
      <c r="N11" s="25">
        <f>IFERROR(E11-Tabela37[[#This Row],[META MÍNIMA]],"")</f>
        <v>-7079.6890070712852</v>
      </c>
      <c r="O11" s="25">
        <f>IFERROR(E11-Tabela37[[#This Row],[TOP 1]],"")</f>
        <v>-8596.7652228722745</v>
      </c>
      <c r="P11" s="25">
        <f>IFERROR(E11-Tabela37[[#This Row],[TOP 2]],"")</f>
        <v>-10113.841438673264</v>
      </c>
      <c r="Q11" s="25">
        <f>IFERROR(E11-Tabela37[[#This Row],[MASTER]],"")</f>
        <v>-11630.917654474253</v>
      </c>
    </row>
    <row r="12" spans="2:34" x14ac:dyDescent="0.25">
      <c r="B12" s="84">
        <v>8</v>
      </c>
      <c r="C12" s="32">
        <f t="shared" si="1"/>
        <v>46150</v>
      </c>
      <c r="D12" s="2" t="str">
        <f t="shared" si="0"/>
        <v>SEXTA-FEIRA</v>
      </c>
      <c r="E12" s="19"/>
      <c r="F12" s="20" t="str">
        <f t="shared" si="2"/>
        <v>Semana 2</v>
      </c>
      <c r="G12" s="23">
        <f>'METAS -  SOBRAL'!F18</f>
        <v>6550.0506311321069</v>
      </c>
      <c r="H12" s="23">
        <f>'METAS -  SOBRAL'!F42</f>
        <v>7953.6329092318447</v>
      </c>
      <c r="I12" s="23">
        <f>'METAS -  SOBRAL'!F66</f>
        <v>9357.2151873315815</v>
      </c>
      <c r="J12" s="23">
        <f>'METAS -  SOBRAL'!F90</f>
        <v>10760.797465431318</v>
      </c>
      <c r="L12" s="24">
        <f>Tabela37[[#This Row],[DATA]]</f>
        <v>46150</v>
      </c>
      <c r="M12" s="27">
        <f>Tabela37[[#This Row],[VALOR REALIZADO]]</f>
        <v>0</v>
      </c>
      <c r="N12" s="25">
        <f>IFERROR(E12-Tabela37[[#This Row],[META MÍNIMA]],"")</f>
        <v>-6550.0506311321069</v>
      </c>
      <c r="O12" s="25">
        <f>IFERROR(E12-Tabela37[[#This Row],[TOP 1]],"")</f>
        <v>-7953.6329092318447</v>
      </c>
      <c r="P12" s="25">
        <f>IFERROR(E12-Tabela37[[#This Row],[TOP 2]],"")</f>
        <v>-9357.2151873315815</v>
      </c>
      <c r="Q12" s="25">
        <f>IFERROR(E12-Tabela37[[#This Row],[MASTER]],"")</f>
        <v>-10760.797465431318</v>
      </c>
    </row>
    <row r="13" spans="2:34" x14ac:dyDescent="0.25">
      <c r="B13" s="84">
        <v>9</v>
      </c>
      <c r="C13" s="32">
        <f t="shared" si="1"/>
        <v>46151</v>
      </c>
      <c r="D13" s="2" t="str">
        <f>UPPER(TEXT(C13,"dddd"))</f>
        <v>SÁBADO</v>
      </c>
      <c r="E13" s="19"/>
      <c r="F13" s="20" t="str">
        <f t="shared" si="2"/>
        <v>Semana 2</v>
      </c>
      <c r="G13" s="23">
        <f>'METAS -  SOBRAL'!F19</f>
        <v>4943.5440181224758</v>
      </c>
      <c r="H13" s="23">
        <f>'METAS -  SOBRAL'!F43</f>
        <v>6002.8748791487214</v>
      </c>
      <c r="I13" s="23">
        <f>'METAS -  SOBRAL'!F67</f>
        <v>7062.2057401749653</v>
      </c>
      <c r="J13" s="23">
        <f>'METAS -  SOBRAL'!F91</f>
        <v>8121.5366012012109</v>
      </c>
      <c r="L13" s="24">
        <f>Tabela37[[#This Row],[DATA]]</f>
        <v>46151</v>
      </c>
      <c r="M13" s="27">
        <f>Tabela37[[#This Row],[VALOR REALIZADO]]</f>
        <v>0</v>
      </c>
      <c r="N13" s="25">
        <f>IFERROR(E13-Tabela37[[#This Row],[META MÍNIMA]],"")</f>
        <v>-4943.5440181224758</v>
      </c>
      <c r="O13" s="25">
        <f>IFERROR(E13-Tabela37[[#This Row],[TOP 1]],"")</f>
        <v>-6002.8748791487214</v>
      </c>
      <c r="P13" s="25">
        <f>IFERROR(E13-Tabela37[[#This Row],[TOP 2]],"")</f>
        <v>-7062.2057401749653</v>
      </c>
      <c r="Q13" s="25">
        <f>IFERROR(E13-Tabela37[[#This Row],[MASTER]],"")</f>
        <v>-8121.5366012012109</v>
      </c>
    </row>
    <row r="14" spans="2:34" x14ac:dyDescent="0.25">
      <c r="B14" s="84">
        <v>10</v>
      </c>
      <c r="C14" s="32">
        <f t="shared" si="1"/>
        <v>46152</v>
      </c>
      <c r="D14" s="2" t="str">
        <f t="shared" si="0"/>
        <v>DOMINGO</v>
      </c>
      <c r="E14" s="19"/>
      <c r="F14" s="20" t="str">
        <f t="shared" si="2"/>
        <v>Semana 3</v>
      </c>
      <c r="G14" s="23" t="str">
        <f>'METAS -  SOBRAL'!I13</f>
        <v/>
      </c>
      <c r="H14" s="23" t="str">
        <f>'METAS -  SOBRAL'!I37</f>
        <v/>
      </c>
      <c r="I14" s="23" t="str">
        <f>'METAS -  SOBRAL'!I61</f>
        <v/>
      </c>
      <c r="J14" s="23" t="str">
        <f>'METAS -  SOBRAL'!I85</f>
        <v/>
      </c>
      <c r="L14" s="24">
        <f>Tabela37[[#This Row],[DATA]]</f>
        <v>46152</v>
      </c>
      <c r="M14" s="27">
        <f>Tabela37[[#This Row],[VALOR REALIZADO]]</f>
        <v>0</v>
      </c>
      <c r="N14" s="25" t="str">
        <f>IFERROR(E14-Tabela37[[#This Row],[META MÍNIMA]],"")</f>
        <v/>
      </c>
      <c r="O14" s="25" t="str">
        <f>IFERROR(E14-Tabela37[[#This Row],[TOP 1]],"")</f>
        <v/>
      </c>
      <c r="P14" s="25" t="str">
        <f>IFERROR(E14-Tabela37[[#This Row],[TOP 2]],"")</f>
        <v/>
      </c>
      <c r="Q14" s="25" t="str">
        <f>IFERROR(E14-Tabela37[[#This Row],[MASTER]],"")</f>
        <v/>
      </c>
    </row>
    <row r="15" spans="2:34" x14ac:dyDescent="0.25">
      <c r="B15" s="84">
        <v>11</v>
      </c>
      <c r="C15" s="32">
        <f t="shared" si="1"/>
        <v>46153</v>
      </c>
      <c r="D15" s="2" t="str">
        <f t="shared" si="0"/>
        <v>SEGUNDA-FEIRA</v>
      </c>
      <c r="E15" s="19"/>
      <c r="F15" s="20" t="str">
        <f t="shared" si="2"/>
        <v>Semana 3</v>
      </c>
      <c r="G15" s="23">
        <f>'METAS -  SOBRAL'!I14</f>
        <v>4767.5176412355468</v>
      </c>
      <c r="H15" s="23">
        <f>'METAS -  SOBRAL'!I38</f>
        <v>5789.1285643574502</v>
      </c>
      <c r="I15" s="23">
        <f>'METAS -  SOBRAL'!I62</f>
        <v>6810.7394874793526</v>
      </c>
      <c r="J15" s="23">
        <f>'METAS -  SOBRAL'!I86</f>
        <v>7832.350410601256</v>
      </c>
      <c r="L15" s="24">
        <f>Tabela37[[#This Row],[DATA]]</f>
        <v>46153</v>
      </c>
      <c r="M15" s="27">
        <f>Tabela37[[#This Row],[VALOR REALIZADO]]</f>
        <v>0</v>
      </c>
      <c r="N15" s="25">
        <f>IFERROR(E15-Tabela37[[#This Row],[META MÍNIMA]],"")</f>
        <v>-4767.5176412355468</v>
      </c>
      <c r="O15" s="25">
        <f>IFERROR(E15-Tabela37[[#This Row],[TOP 1]],"")</f>
        <v>-5789.1285643574502</v>
      </c>
      <c r="P15" s="25">
        <f>IFERROR(E15-Tabela37[[#This Row],[TOP 2]],"")</f>
        <v>-6810.7394874793526</v>
      </c>
      <c r="Q15" s="25">
        <f>IFERROR(E15-Tabela37[[#This Row],[MASTER]],"")</f>
        <v>-7832.350410601256</v>
      </c>
    </row>
    <row r="16" spans="2:34" x14ac:dyDescent="0.25">
      <c r="B16" s="84">
        <v>12</v>
      </c>
      <c r="C16" s="32">
        <f t="shared" si="1"/>
        <v>46154</v>
      </c>
      <c r="D16" s="2" t="str">
        <f t="shared" si="0"/>
        <v>TERÇA-FEIRA</v>
      </c>
      <c r="E16" s="19"/>
      <c r="F16" s="20" t="str">
        <f t="shared" si="2"/>
        <v>Semana 3</v>
      </c>
      <c r="G16" s="23">
        <f>'METAS -  SOBRAL'!I15</f>
        <v>4768.9337978784042</v>
      </c>
      <c r="H16" s="23">
        <f>'METAS -  SOBRAL'!I39</f>
        <v>5790.8481831380623</v>
      </c>
      <c r="I16" s="23">
        <f>'METAS -  SOBRAL'!I63</f>
        <v>6812.7625683977203</v>
      </c>
      <c r="J16" s="23">
        <f>'METAS -  SOBRAL'!I87</f>
        <v>7834.6769536573784</v>
      </c>
      <c r="L16" s="24">
        <f>Tabela37[[#This Row],[DATA]]</f>
        <v>46154</v>
      </c>
      <c r="M16" s="27">
        <f>Tabela37[[#This Row],[VALOR REALIZADO]]</f>
        <v>0</v>
      </c>
      <c r="N16" s="25">
        <f>IFERROR(E16-Tabela37[[#This Row],[META MÍNIMA]],"")</f>
        <v>-4768.9337978784042</v>
      </c>
      <c r="O16" s="25">
        <f>IFERROR(E16-Tabela37[[#This Row],[TOP 1]],"")</f>
        <v>-5790.8481831380623</v>
      </c>
      <c r="P16" s="25">
        <f>IFERROR(E16-Tabela37[[#This Row],[TOP 2]],"")</f>
        <v>-6812.7625683977203</v>
      </c>
      <c r="Q16" s="25">
        <f>IFERROR(E16-Tabela37[[#This Row],[MASTER]],"")</f>
        <v>-7834.6769536573784</v>
      </c>
    </row>
    <row r="17" spans="2:17" x14ac:dyDescent="0.25">
      <c r="B17" s="84">
        <v>13</v>
      </c>
      <c r="C17" s="32">
        <f t="shared" si="1"/>
        <v>46155</v>
      </c>
      <c r="D17" s="2" t="str">
        <f t="shared" si="0"/>
        <v>QUARTA-FEIRA</v>
      </c>
      <c r="E17" s="19"/>
      <c r="F17" s="20" t="str">
        <f t="shared" si="2"/>
        <v>Semana 3</v>
      </c>
      <c r="G17" s="23">
        <f>'METAS -  SOBRAL'!I16</f>
        <v>5654.3789000295619</v>
      </c>
      <c r="H17" s="23">
        <f>'METAS -  SOBRAL'!I40</f>
        <v>6866.0315214644679</v>
      </c>
      <c r="I17" s="23">
        <f>'METAS -  SOBRAL'!I64</f>
        <v>8077.6841428993748</v>
      </c>
      <c r="J17" s="23">
        <f>'METAS -  SOBRAL'!I88</f>
        <v>9289.3367643342808</v>
      </c>
      <c r="L17" s="24">
        <f>Tabela37[[#This Row],[DATA]]</f>
        <v>46155</v>
      </c>
      <c r="M17" s="27">
        <f>Tabela37[[#This Row],[VALOR REALIZADO]]</f>
        <v>0</v>
      </c>
      <c r="N17" s="25">
        <f>IFERROR(E17-Tabela37[[#This Row],[META MÍNIMA]],"")</f>
        <v>-5654.3789000295619</v>
      </c>
      <c r="O17" s="25">
        <f>IFERROR(E17-Tabela37[[#This Row],[TOP 1]],"")</f>
        <v>-6866.0315214644679</v>
      </c>
      <c r="P17" s="25">
        <f>IFERROR(E17-Tabela37[[#This Row],[TOP 2]],"")</f>
        <v>-8077.6841428993748</v>
      </c>
      <c r="Q17" s="25">
        <f>IFERROR(E17-Tabela37[[#This Row],[MASTER]],"")</f>
        <v>-9289.3367643342808</v>
      </c>
    </row>
    <row r="18" spans="2:17" x14ac:dyDescent="0.25">
      <c r="B18" s="84">
        <v>14</v>
      </c>
      <c r="C18" s="32">
        <f t="shared" si="1"/>
        <v>46156</v>
      </c>
      <c r="D18" s="2" t="str">
        <f t="shared" si="0"/>
        <v>QUINTA-FEIRA</v>
      </c>
      <c r="E18" s="19"/>
      <c r="F18" s="20" t="str">
        <f t="shared" si="2"/>
        <v>Semana 3</v>
      </c>
      <c r="G18" s="23">
        <f>'METAS -  SOBRAL'!I17</f>
        <v>7079.6890070712852</v>
      </c>
      <c r="H18" s="23">
        <f>'METAS -  SOBRAL'!I41</f>
        <v>8596.7652228722745</v>
      </c>
      <c r="I18" s="23">
        <f>'METAS -  SOBRAL'!I65</f>
        <v>10113.841438673264</v>
      </c>
      <c r="J18" s="23">
        <f>'METAS -  SOBRAL'!I89</f>
        <v>11630.917654474253</v>
      </c>
      <c r="L18" s="24">
        <f>Tabela37[[#This Row],[DATA]]</f>
        <v>46156</v>
      </c>
      <c r="M18" s="27">
        <f>Tabela37[[#This Row],[VALOR REALIZADO]]</f>
        <v>0</v>
      </c>
      <c r="N18" s="25">
        <f>IFERROR(E18-Tabela37[[#This Row],[META MÍNIMA]],"")</f>
        <v>-7079.6890070712852</v>
      </c>
      <c r="O18" s="25">
        <f>IFERROR(E18-Tabela37[[#This Row],[TOP 1]],"")</f>
        <v>-8596.7652228722745</v>
      </c>
      <c r="P18" s="25">
        <f>IFERROR(E18-Tabela37[[#This Row],[TOP 2]],"")</f>
        <v>-10113.841438673264</v>
      </c>
      <c r="Q18" s="25">
        <f>IFERROR(E18-Tabela37[[#This Row],[MASTER]],"")</f>
        <v>-11630.917654474253</v>
      </c>
    </row>
    <row r="19" spans="2:17" x14ac:dyDescent="0.25">
      <c r="B19" s="84">
        <v>15</v>
      </c>
      <c r="C19" s="32">
        <f t="shared" si="1"/>
        <v>46157</v>
      </c>
      <c r="D19" s="2" t="str">
        <f t="shared" si="0"/>
        <v>SEXTA-FEIRA</v>
      </c>
      <c r="E19" s="19"/>
      <c r="F19" s="20" t="str">
        <f t="shared" si="2"/>
        <v>Semana 3</v>
      </c>
      <c r="G19" s="23">
        <f>'METAS -  SOBRAL'!I18</f>
        <v>6550.0506311321069</v>
      </c>
      <c r="H19" s="23">
        <f>'METAS -  SOBRAL'!I42</f>
        <v>7953.6329092318447</v>
      </c>
      <c r="I19" s="23">
        <f>'METAS -  SOBRAL'!I66</f>
        <v>9357.2151873315815</v>
      </c>
      <c r="J19" s="23">
        <f>'METAS -  SOBRAL'!I90</f>
        <v>10760.797465431318</v>
      </c>
      <c r="L19" s="24">
        <f>Tabela37[[#This Row],[DATA]]</f>
        <v>46157</v>
      </c>
      <c r="M19" s="27">
        <f>Tabela37[[#This Row],[VALOR REALIZADO]]</f>
        <v>0</v>
      </c>
      <c r="N19" s="25">
        <f>IFERROR(E19-Tabela37[[#This Row],[META MÍNIMA]],"")</f>
        <v>-6550.0506311321069</v>
      </c>
      <c r="O19" s="25">
        <f>IFERROR(E19-Tabela37[[#This Row],[TOP 1]],"")</f>
        <v>-7953.6329092318447</v>
      </c>
      <c r="P19" s="25">
        <f>IFERROR(E19-Tabela37[[#This Row],[TOP 2]],"")</f>
        <v>-9357.2151873315815</v>
      </c>
      <c r="Q19" s="25">
        <f>IFERROR(E19-Tabela37[[#This Row],[MASTER]],"")</f>
        <v>-10760.797465431318</v>
      </c>
    </row>
    <row r="20" spans="2:17" x14ac:dyDescent="0.25">
      <c r="B20" s="84">
        <v>16</v>
      </c>
      <c r="C20" s="32">
        <f t="shared" si="1"/>
        <v>46158</v>
      </c>
      <c r="D20" s="2" t="str">
        <f t="shared" si="0"/>
        <v>SÁBADO</v>
      </c>
      <c r="E20" s="19"/>
      <c r="F20" s="20" t="str">
        <f t="shared" si="2"/>
        <v>Semana 3</v>
      </c>
      <c r="G20" s="23">
        <f>'METAS -  SOBRAL'!I19</f>
        <v>4943.5440181224758</v>
      </c>
      <c r="H20" s="23">
        <f>'METAS -  SOBRAL'!I43</f>
        <v>6002.8748791487214</v>
      </c>
      <c r="I20" s="23">
        <f>'METAS -  SOBRAL'!I67</f>
        <v>7062.2057401749653</v>
      </c>
      <c r="J20" s="23">
        <f>'METAS -  SOBRAL'!I91</f>
        <v>8121.5366012012109</v>
      </c>
      <c r="L20" s="24">
        <f>Tabela37[[#This Row],[DATA]]</f>
        <v>46158</v>
      </c>
      <c r="M20" s="27">
        <f>Tabela37[[#This Row],[VALOR REALIZADO]]</f>
        <v>0</v>
      </c>
      <c r="N20" s="25">
        <f>IFERROR(E20-Tabela37[[#This Row],[META MÍNIMA]],"")</f>
        <v>-4943.5440181224758</v>
      </c>
      <c r="O20" s="25">
        <f>IFERROR(E20-Tabela37[[#This Row],[TOP 1]],"")</f>
        <v>-6002.8748791487214</v>
      </c>
      <c r="P20" s="25">
        <f>IFERROR(E20-Tabela37[[#This Row],[TOP 2]],"")</f>
        <v>-7062.2057401749653</v>
      </c>
      <c r="Q20" s="25">
        <f>IFERROR(E20-Tabela37[[#This Row],[MASTER]],"")</f>
        <v>-8121.5366012012109</v>
      </c>
    </row>
    <row r="21" spans="2:17" x14ac:dyDescent="0.25">
      <c r="B21" s="84">
        <v>17</v>
      </c>
      <c r="C21" s="32">
        <f t="shared" si="1"/>
        <v>46159</v>
      </c>
      <c r="D21" s="2" t="str">
        <f t="shared" si="0"/>
        <v>DOMINGO</v>
      </c>
      <c r="E21" s="19"/>
      <c r="F21" s="20" t="str">
        <f t="shared" si="2"/>
        <v>Semana 4</v>
      </c>
      <c r="G21" s="23">
        <f>'METAS -  SOBRAL'!C24</f>
        <v>0</v>
      </c>
      <c r="H21" s="23" t="str">
        <f>'METAS -  SOBRAL'!C48</f>
        <v/>
      </c>
      <c r="I21" s="23" t="str">
        <f>'METAS -  SOBRAL'!C72</f>
        <v/>
      </c>
      <c r="J21" s="23" t="str">
        <f>'METAS -  SOBRAL'!C96</f>
        <v/>
      </c>
      <c r="L21" s="24">
        <f>Tabela37[[#This Row],[DATA]]</f>
        <v>46159</v>
      </c>
      <c r="M21" s="27">
        <f>Tabela37[[#This Row],[VALOR REALIZADO]]</f>
        <v>0</v>
      </c>
      <c r="N21" s="25">
        <f>IFERROR(E21-Tabela37[[#This Row],[META MÍNIMA]],"")</f>
        <v>0</v>
      </c>
      <c r="O21" s="25" t="str">
        <f>IFERROR(E21-Tabela37[[#This Row],[TOP 1]],"")</f>
        <v/>
      </c>
      <c r="P21" s="25" t="str">
        <f>IFERROR(E21-Tabela37[[#This Row],[TOP 2]],"")</f>
        <v/>
      </c>
      <c r="Q21" s="25" t="str">
        <f>IFERROR(E21-Tabela37[[#This Row],[MASTER]],"")</f>
        <v/>
      </c>
    </row>
    <row r="22" spans="2:17" x14ac:dyDescent="0.25">
      <c r="B22" s="84">
        <v>18</v>
      </c>
      <c r="C22" s="32">
        <f t="shared" si="1"/>
        <v>46160</v>
      </c>
      <c r="D22" s="2" t="str">
        <f t="shared" si="0"/>
        <v>SEGUNDA-FEIRA</v>
      </c>
      <c r="E22" s="19"/>
      <c r="F22" s="20" t="str">
        <f t="shared" si="2"/>
        <v>Semana 4</v>
      </c>
      <c r="G22" s="23">
        <f>'METAS -  SOBRAL'!C25</f>
        <v>4767.5176412355468</v>
      </c>
      <c r="H22" s="23">
        <f>'METAS -  SOBRAL'!C49</f>
        <v>5789.1285643574502</v>
      </c>
      <c r="I22" s="23">
        <f>'METAS -  SOBRAL'!C73</f>
        <v>6810.7394874793526</v>
      </c>
      <c r="J22" s="23">
        <f>'METAS -  SOBRAL'!C97</f>
        <v>7832.350410601256</v>
      </c>
      <c r="L22" s="24">
        <f>Tabela37[[#This Row],[DATA]]</f>
        <v>46160</v>
      </c>
      <c r="M22" s="27">
        <f>Tabela37[[#This Row],[VALOR REALIZADO]]</f>
        <v>0</v>
      </c>
      <c r="N22" s="25">
        <f>IFERROR(E22-Tabela37[[#This Row],[META MÍNIMA]],"")</f>
        <v>-4767.5176412355468</v>
      </c>
      <c r="O22" s="25">
        <f>IFERROR(E22-Tabela37[[#This Row],[TOP 1]],"")</f>
        <v>-5789.1285643574502</v>
      </c>
      <c r="P22" s="25">
        <f>IFERROR(E22-Tabela37[[#This Row],[TOP 2]],"")</f>
        <v>-6810.7394874793526</v>
      </c>
      <c r="Q22" s="25">
        <f>IFERROR(E22-Tabela37[[#This Row],[MASTER]],"")</f>
        <v>-7832.350410601256</v>
      </c>
    </row>
    <row r="23" spans="2:17" x14ac:dyDescent="0.25">
      <c r="B23" s="84">
        <v>19</v>
      </c>
      <c r="C23" s="32">
        <f t="shared" si="1"/>
        <v>46161</v>
      </c>
      <c r="D23" s="2" t="str">
        <f t="shared" si="0"/>
        <v>TERÇA-FEIRA</v>
      </c>
      <c r="E23" s="19"/>
      <c r="F23" s="20" t="str">
        <f t="shared" si="2"/>
        <v>Semana 4</v>
      </c>
      <c r="G23" s="23">
        <f>'METAS -  SOBRAL'!C26</f>
        <v>4768.9337978784042</v>
      </c>
      <c r="H23" s="23">
        <f>'METAS -  SOBRAL'!C50</f>
        <v>5790.8481831380623</v>
      </c>
      <c r="I23" s="23">
        <f>'METAS -  SOBRAL'!C74</f>
        <v>6812.7625683977203</v>
      </c>
      <c r="J23" s="23">
        <f>'METAS -  SOBRAL'!C98</f>
        <v>7834.6769536573784</v>
      </c>
      <c r="L23" s="24">
        <f>Tabela37[[#This Row],[DATA]]</f>
        <v>46161</v>
      </c>
      <c r="M23" s="27">
        <f>Tabela37[[#This Row],[VALOR REALIZADO]]</f>
        <v>0</v>
      </c>
      <c r="N23" s="25">
        <f>IFERROR(E23-Tabela37[[#This Row],[META MÍNIMA]],"")</f>
        <v>-4768.9337978784042</v>
      </c>
      <c r="O23" s="25">
        <f>IFERROR(E23-Tabela37[[#This Row],[TOP 1]],"")</f>
        <v>-5790.8481831380623</v>
      </c>
      <c r="P23" s="25">
        <f>IFERROR(E23-Tabela37[[#This Row],[TOP 2]],"")</f>
        <v>-6812.7625683977203</v>
      </c>
      <c r="Q23" s="25">
        <f>IFERROR(E23-Tabela37[[#This Row],[MASTER]],"")</f>
        <v>-7834.6769536573784</v>
      </c>
    </row>
    <row r="24" spans="2:17" x14ac:dyDescent="0.25">
      <c r="B24" s="84">
        <v>20</v>
      </c>
      <c r="C24" s="32">
        <f t="shared" si="1"/>
        <v>46162</v>
      </c>
      <c r="D24" s="2" t="str">
        <f t="shared" si="0"/>
        <v>QUARTA-FEIRA</v>
      </c>
      <c r="E24" s="19"/>
      <c r="F24" s="20" t="str">
        <f t="shared" si="2"/>
        <v>Semana 4</v>
      </c>
      <c r="G24" s="23">
        <f>'METAS -  SOBRAL'!C27</f>
        <v>5654.3789000295619</v>
      </c>
      <c r="H24" s="23">
        <f>'METAS -  SOBRAL'!C51</f>
        <v>6866.0315214644679</v>
      </c>
      <c r="I24" s="23">
        <f>'METAS -  SOBRAL'!C75</f>
        <v>8077.6841428993748</v>
      </c>
      <c r="J24" s="23">
        <f>'METAS -  SOBRAL'!C99</f>
        <v>9289.3367643342808</v>
      </c>
      <c r="L24" s="24">
        <f>Tabela37[[#This Row],[DATA]]</f>
        <v>46162</v>
      </c>
      <c r="M24" s="27">
        <f>Tabela37[[#This Row],[VALOR REALIZADO]]</f>
        <v>0</v>
      </c>
      <c r="N24" s="25">
        <f>IFERROR(E24-Tabela37[[#This Row],[META MÍNIMA]],"")</f>
        <v>-5654.3789000295619</v>
      </c>
      <c r="O24" s="25">
        <f>IFERROR(E24-Tabela37[[#This Row],[TOP 1]],"")</f>
        <v>-6866.0315214644679</v>
      </c>
      <c r="P24" s="25">
        <f>IFERROR(E24-Tabela37[[#This Row],[TOP 2]],"")</f>
        <v>-8077.6841428993748</v>
      </c>
      <c r="Q24" s="25">
        <f>IFERROR(E24-Tabela37[[#This Row],[MASTER]],"")</f>
        <v>-9289.3367643342808</v>
      </c>
    </row>
    <row r="25" spans="2:17" x14ac:dyDescent="0.25">
      <c r="B25" s="84">
        <v>21</v>
      </c>
      <c r="C25" s="32">
        <f t="shared" si="1"/>
        <v>46163</v>
      </c>
      <c r="D25" s="2" t="str">
        <f t="shared" si="0"/>
        <v>QUINTA-FEIRA</v>
      </c>
      <c r="E25" s="19"/>
      <c r="F25" s="20" t="str">
        <f t="shared" si="2"/>
        <v>Semana 4</v>
      </c>
      <c r="G25" s="23">
        <f>'METAS -  SOBRAL'!C28</f>
        <v>7079.6890070712852</v>
      </c>
      <c r="H25" s="23">
        <f>'METAS -  SOBRAL'!C52</f>
        <v>8596.7652228722745</v>
      </c>
      <c r="I25" s="23">
        <f>'METAS -  SOBRAL'!C76</f>
        <v>10113.841438673264</v>
      </c>
      <c r="J25" s="23">
        <f>'METAS -  SOBRAL'!C100</f>
        <v>11630.917654474253</v>
      </c>
      <c r="L25" s="24">
        <f>Tabela37[[#This Row],[DATA]]</f>
        <v>46163</v>
      </c>
      <c r="M25" s="27">
        <f>Tabela37[[#This Row],[VALOR REALIZADO]]</f>
        <v>0</v>
      </c>
      <c r="N25" s="25">
        <f>IFERROR(E25-Tabela37[[#This Row],[META MÍNIMA]],"")</f>
        <v>-7079.6890070712852</v>
      </c>
      <c r="O25" s="25">
        <f>IFERROR(E25-Tabela37[[#This Row],[TOP 1]],"")</f>
        <v>-8596.7652228722745</v>
      </c>
      <c r="P25" s="25">
        <f>IFERROR(E25-Tabela37[[#This Row],[TOP 2]],"")</f>
        <v>-10113.841438673264</v>
      </c>
      <c r="Q25" s="25">
        <f>IFERROR(E25-Tabela37[[#This Row],[MASTER]],"")</f>
        <v>-11630.917654474253</v>
      </c>
    </row>
    <row r="26" spans="2:17" x14ac:dyDescent="0.25">
      <c r="B26" s="84">
        <v>22</v>
      </c>
      <c r="C26" s="32">
        <f t="shared" si="1"/>
        <v>46164</v>
      </c>
      <c r="D26" s="2" t="str">
        <f t="shared" si="0"/>
        <v>SEXTA-FEIRA</v>
      </c>
      <c r="E26" s="19"/>
      <c r="F26" s="20" t="str">
        <f t="shared" si="2"/>
        <v>Semana 4</v>
      </c>
      <c r="G26" s="23">
        <f>'METAS -  SOBRAL'!C29</f>
        <v>6550.0506311321069</v>
      </c>
      <c r="H26" s="23">
        <f>'METAS -  SOBRAL'!C53</f>
        <v>7953.6329092318447</v>
      </c>
      <c r="I26" s="23">
        <f>'METAS -  SOBRAL'!C77</f>
        <v>9357.2151873315815</v>
      </c>
      <c r="J26" s="23">
        <f>'METAS -  SOBRAL'!C101</f>
        <v>10760.797465431318</v>
      </c>
      <c r="L26" s="24">
        <f>Tabela37[[#This Row],[DATA]]</f>
        <v>46164</v>
      </c>
      <c r="M26" s="27">
        <f>Tabela37[[#This Row],[VALOR REALIZADO]]</f>
        <v>0</v>
      </c>
      <c r="N26" s="25">
        <f>IFERROR(E26-Tabela37[[#This Row],[META MÍNIMA]],"")</f>
        <v>-6550.0506311321069</v>
      </c>
      <c r="O26" s="25">
        <f>IFERROR(E26-Tabela37[[#This Row],[TOP 1]],"")</f>
        <v>-7953.6329092318447</v>
      </c>
      <c r="P26" s="25">
        <f>IFERROR(E26-Tabela37[[#This Row],[TOP 2]],"")</f>
        <v>-9357.2151873315815</v>
      </c>
      <c r="Q26" s="25">
        <f>IFERROR(E26-Tabela37[[#This Row],[MASTER]],"")</f>
        <v>-10760.797465431318</v>
      </c>
    </row>
    <row r="27" spans="2:17" x14ac:dyDescent="0.25">
      <c r="B27" s="84">
        <v>23</v>
      </c>
      <c r="C27" s="32">
        <f t="shared" si="1"/>
        <v>46165</v>
      </c>
      <c r="D27" s="2" t="str">
        <f t="shared" si="0"/>
        <v>SÁBADO</v>
      </c>
      <c r="E27" s="19"/>
      <c r="F27" s="20" t="str">
        <f t="shared" si="2"/>
        <v>Semana 4</v>
      </c>
      <c r="G27" s="23">
        <f>'METAS -  SOBRAL'!C30</f>
        <v>4943.5440181224758</v>
      </c>
      <c r="H27" s="23">
        <f>'METAS -  SOBRAL'!C54</f>
        <v>6002.8748791487214</v>
      </c>
      <c r="I27" s="23">
        <f>'METAS -  SOBRAL'!C78</f>
        <v>7062.2057401749653</v>
      </c>
      <c r="J27" s="23">
        <f>'METAS -  SOBRAL'!C102</f>
        <v>8121.5366012012109</v>
      </c>
      <c r="L27" s="24">
        <f>Tabela37[[#This Row],[DATA]]</f>
        <v>46165</v>
      </c>
      <c r="M27" s="27">
        <f>Tabela37[[#This Row],[VALOR REALIZADO]]</f>
        <v>0</v>
      </c>
      <c r="N27" s="25">
        <f>IFERROR(E27-Tabela37[[#This Row],[META MÍNIMA]],"")</f>
        <v>-4943.5440181224758</v>
      </c>
      <c r="O27" s="25">
        <f>IFERROR(E27-Tabela37[[#This Row],[TOP 1]],"")</f>
        <v>-6002.8748791487214</v>
      </c>
      <c r="P27" s="25">
        <f>IFERROR(E27-Tabela37[[#This Row],[TOP 2]],"")</f>
        <v>-7062.2057401749653</v>
      </c>
      <c r="Q27" s="25">
        <f>IFERROR(E27-Tabela37[[#This Row],[MASTER]],"")</f>
        <v>-8121.5366012012109</v>
      </c>
    </row>
    <row r="28" spans="2:17" x14ac:dyDescent="0.25">
      <c r="B28" s="84">
        <v>24</v>
      </c>
      <c r="C28" s="32">
        <f t="shared" si="1"/>
        <v>46166</v>
      </c>
      <c r="D28" s="127" t="str">
        <f t="shared" si="0"/>
        <v>DOMINGO</v>
      </c>
      <c r="E28" s="19"/>
      <c r="F28" s="20" t="str">
        <f t="shared" si="2"/>
        <v>Semana 5</v>
      </c>
      <c r="G28" s="23">
        <f>'METAS -  SOBRAL'!F24</f>
        <v>0</v>
      </c>
      <c r="H28" s="23" t="str">
        <f>'METAS -  SOBRAL'!F48</f>
        <v/>
      </c>
      <c r="I28" s="23" t="str">
        <f>'METAS -  SOBRAL'!F72</f>
        <v/>
      </c>
      <c r="J28" s="23" t="str">
        <f>'METAS -  SOBRAL'!F96</f>
        <v/>
      </c>
      <c r="L28" s="24">
        <f>Tabela37[[#This Row],[DATA]]</f>
        <v>46166</v>
      </c>
      <c r="M28" s="27">
        <f>Tabela37[[#This Row],[VALOR REALIZADO]]</f>
        <v>0</v>
      </c>
      <c r="N28" s="25">
        <f>IFERROR(E28-Tabela37[[#This Row],[META MÍNIMA]],"")</f>
        <v>0</v>
      </c>
      <c r="O28" s="25" t="str">
        <f>IFERROR(E28-Tabela37[[#This Row],[TOP 1]],"")</f>
        <v/>
      </c>
      <c r="P28" s="25" t="str">
        <f>IFERROR(E28-Tabela37[[#This Row],[TOP 2]],"")</f>
        <v/>
      </c>
      <c r="Q28" s="25" t="str">
        <f>IFERROR(E28-Tabela37[[#This Row],[MASTER]],"")</f>
        <v/>
      </c>
    </row>
    <row r="29" spans="2:17" x14ac:dyDescent="0.25">
      <c r="B29" s="84">
        <v>25</v>
      </c>
      <c r="C29" s="32">
        <f t="shared" si="1"/>
        <v>46167</v>
      </c>
      <c r="D29" s="127" t="str">
        <f t="shared" si="0"/>
        <v>SEGUNDA-FEIRA</v>
      </c>
      <c r="E29" s="19"/>
      <c r="F29" s="20" t="str">
        <f t="shared" si="2"/>
        <v>Semana 5</v>
      </c>
      <c r="G29" s="23">
        <f>'METAS -  SOBRAL'!F25</f>
        <v>4767.5176412355468</v>
      </c>
      <c r="H29" s="23">
        <f>'METAS -  SOBRAL'!F49</f>
        <v>5789.1285643574502</v>
      </c>
      <c r="I29" s="23">
        <f>'METAS -  SOBRAL'!F73</f>
        <v>6810.7394874793526</v>
      </c>
      <c r="J29" s="23">
        <f>'METAS -  SOBRAL'!F97</f>
        <v>7832.350410601256</v>
      </c>
      <c r="L29" s="24">
        <f>Tabela37[[#This Row],[DATA]]</f>
        <v>46167</v>
      </c>
      <c r="M29" s="27">
        <f>Tabela37[[#This Row],[VALOR REALIZADO]]</f>
        <v>0</v>
      </c>
      <c r="N29" s="25">
        <f>IFERROR(E29-Tabela37[[#This Row],[META MÍNIMA]],"")</f>
        <v>-4767.5176412355468</v>
      </c>
      <c r="O29" s="25">
        <f>IFERROR(E29-Tabela37[[#This Row],[TOP 1]],"")</f>
        <v>-5789.1285643574502</v>
      </c>
      <c r="P29" s="25">
        <f>IFERROR(E29-Tabela37[[#This Row],[TOP 2]],"")</f>
        <v>-6810.7394874793526</v>
      </c>
      <c r="Q29" s="25">
        <f>IFERROR(E29-Tabela37[[#This Row],[MASTER]],"")</f>
        <v>-7832.350410601256</v>
      </c>
    </row>
    <row r="30" spans="2:17" x14ac:dyDescent="0.25">
      <c r="B30" s="84">
        <v>26</v>
      </c>
      <c r="C30" s="32">
        <f t="shared" si="1"/>
        <v>46168</v>
      </c>
      <c r="D30" s="127" t="str">
        <f t="shared" si="0"/>
        <v>TERÇA-FEIRA</v>
      </c>
      <c r="E30" s="19"/>
      <c r="F30" s="20" t="str">
        <f t="shared" si="2"/>
        <v>Semana 5</v>
      </c>
      <c r="G30" s="23">
        <f>'METAS -  SOBRAL'!F26</f>
        <v>4768.9337978784042</v>
      </c>
      <c r="H30" s="23">
        <f>'METAS -  SOBRAL'!F50</f>
        <v>5790.8481831380623</v>
      </c>
      <c r="I30" s="23">
        <f>'METAS -  SOBRAL'!F74</f>
        <v>6812.7625683977203</v>
      </c>
      <c r="J30" s="23">
        <f>'METAS -  SOBRAL'!F98</f>
        <v>7834.6769536573784</v>
      </c>
      <c r="L30" s="24">
        <f>Tabela37[[#This Row],[DATA]]</f>
        <v>46168</v>
      </c>
      <c r="M30" s="27">
        <f>Tabela37[[#This Row],[VALOR REALIZADO]]</f>
        <v>0</v>
      </c>
      <c r="N30" s="25">
        <f>IFERROR(E30-Tabela37[[#This Row],[META MÍNIMA]],"")</f>
        <v>-4768.9337978784042</v>
      </c>
      <c r="O30" s="25">
        <f>IFERROR(E30-Tabela37[[#This Row],[TOP 1]],"")</f>
        <v>-5790.8481831380623</v>
      </c>
      <c r="P30" s="25">
        <f>IFERROR(E30-Tabela37[[#This Row],[TOP 2]],"")</f>
        <v>-6812.7625683977203</v>
      </c>
      <c r="Q30" s="25">
        <f>IFERROR(E30-Tabela37[[#This Row],[MASTER]],"")</f>
        <v>-7834.6769536573784</v>
      </c>
    </row>
    <row r="31" spans="2:17" x14ac:dyDescent="0.25">
      <c r="B31" s="84">
        <v>27</v>
      </c>
      <c r="C31" s="32">
        <f t="shared" si="1"/>
        <v>46169</v>
      </c>
      <c r="D31" s="127" t="str">
        <f t="shared" si="0"/>
        <v>QUARTA-FEIRA</v>
      </c>
      <c r="E31" s="19"/>
      <c r="F31" s="20" t="str">
        <f t="shared" si="2"/>
        <v>Semana 5</v>
      </c>
      <c r="G31" s="23">
        <f>'METAS -  SOBRAL'!F27</f>
        <v>5654.3789000295619</v>
      </c>
      <c r="H31" s="23">
        <f>'METAS -  SOBRAL'!F51</f>
        <v>6866.0315214644679</v>
      </c>
      <c r="I31" s="23">
        <f>'METAS -  SOBRAL'!F75</f>
        <v>8077.6841428993748</v>
      </c>
      <c r="J31" s="23">
        <f>'METAS -  SOBRAL'!F99</f>
        <v>9289.3367643342808</v>
      </c>
      <c r="L31" s="24">
        <f>Tabela37[[#This Row],[DATA]]</f>
        <v>46169</v>
      </c>
      <c r="M31" s="27">
        <f>Tabela37[[#This Row],[VALOR REALIZADO]]</f>
        <v>0</v>
      </c>
      <c r="N31" s="25">
        <f>IFERROR(E31-Tabela37[[#This Row],[META MÍNIMA]],"")</f>
        <v>-5654.3789000295619</v>
      </c>
      <c r="O31" s="25">
        <f>IFERROR(E31-Tabela37[[#This Row],[TOP 1]],"")</f>
        <v>-6866.0315214644679</v>
      </c>
      <c r="P31" s="25">
        <f>IFERROR(E31-Tabela37[[#This Row],[TOP 2]],"")</f>
        <v>-8077.6841428993748</v>
      </c>
      <c r="Q31" s="25">
        <f>IFERROR(E31-Tabela37[[#This Row],[MASTER]],"")</f>
        <v>-9289.3367643342808</v>
      </c>
    </row>
    <row r="32" spans="2:17" x14ac:dyDescent="0.25">
      <c r="B32" s="84">
        <v>28</v>
      </c>
      <c r="C32" s="32">
        <f t="shared" si="1"/>
        <v>46170</v>
      </c>
      <c r="D32" s="127" t="str">
        <f t="shared" si="0"/>
        <v>QUINTA-FEIRA</v>
      </c>
      <c r="E32" s="19"/>
      <c r="F32" s="20" t="str">
        <f t="shared" si="2"/>
        <v>Semana 5</v>
      </c>
      <c r="G32" s="23">
        <f>'METAS -  SOBRAL'!F28</f>
        <v>7079.6890070712852</v>
      </c>
      <c r="H32" s="23">
        <f>'METAS -  SOBRAL'!F52</f>
        <v>8596.7652228722745</v>
      </c>
      <c r="I32" s="23">
        <f>'METAS -  SOBRAL'!F76</f>
        <v>10113.841438673264</v>
      </c>
      <c r="J32" s="23">
        <f>'METAS -  SOBRAL'!F100</f>
        <v>11630.917654474253</v>
      </c>
      <c r="L32" s="24">
        <f>Tabela37[[#This Row],[DATA]]</f>
        <v>46170</v>
      </c>
      <c r="M32" s="27">
        <f>Tabela37[[#This Row],[VALOR REALIZADO]]</f>
        <v>0</v>
      </c>
      <c r="N32" s="25">
        <f>IFERROR(E32-Tabela37[[#This Row],[META MÍNIMA]],"")</f>
        <v>-7079.6890070712852</v>
      </c>
      <c r="O32" s="25">
        <f>IFERROR(E32-Tabela37[[#This Row],[TOP 1]],"")</f>
        <v>-8596.7652228722745</v>
      </c>
      <c r="P32" s="25">
        <f>IFERROR(E32-Tabela37[[#This Row],[TOP 2]],"")</f>
        <v>-10113.841438673264</v>
      </c>
      <c r="Q32" s="25">
        <f>IFERROR(E32-Tabela37[[#This Row],[MASTER]],"")</f>
        <v>-11630.917654474253</v>
      </c>
    </row>
    <row r="33" spans="2:17" x14ac:dyDescent="0.25">
      <c r="B33" s="84">
        <v>29</v>
      </c>
      <c r="C33" s="32">
        <f t="shared" si="1"/>
        <v>46171</v>
      </c>
      <c r="D33" s="127" t="str">
        <f t="shared" si="0"/>
        <v>SEXTA-FEIRA</v>
      </c>
      <c r="E33" s="19"/>
      <c r="F33" s="20" t="str">
        <f t="shared" si="2"/>
        <v>Semana 5</v>
      </c>
      <c r="G33" s="23">
        <f>'METAS -  SOBRAL'!F29</f>
        <v>6550.0506311321069</v>
      </c>
      <c r="H33" s="23">
        <f>'METAS -  SOBRAL'!F53</f>
        <v>7953.6329092318447</v>
      </c>
      <c r="I33" s="23">
        <f>'METAS -  SOBRAL'!F77</f>
        <v>9357.2151873315815</v>
      </c>
      <c r="J33" s="23">
        <f>'METAS -  SOBRAL'!F101</f>
        <v>10760.797465431318</v>
      </c>
      <c r="L33" s="24">
        <f>Tabela37[[#This Row],[DATA]]</f>
        <v>46171</v>
      </c>
      <c r="M33" s="27">
        <f>Tabela37[[#This Row],[VALOR REALIZADO]]</f>
        <v>0</v>
      </c>
      <c r="N33" s="25">
        <f>IFERROR(E33-Tabela37[[#This Row],[META MÍNIMA]],"")</f>
        <v>-6550.0506311321069</v>
      </c>
      <c r="O33" s="25">
        <f>IFERROR(E33-Tabela37[[#This Row],[TOP 1]],"")</f>
        <v>-7953.6329092318447</v>
      </c>
      <c r="P33" s="25">
        <f>IFERROR(E33-Tabela37[[#This Row],[TOP 2]],"")</f>
        <v>-9357.2151873315815</v>
      </c>
      <c r="Q33" s="25">
        <f>IFERROR(E33-Tabela37[[#This Row],[MASTER]],"")</f>
        <v>-10760.797465431318</v>
      </c>
    </row>
    <row r="34" spans="2:17" x14ac:dyDescent="0.25">
      <c r="B34" s="84">
        <v>30</v>
      </c>
      <c r="C34" s="32">
        <f t="shared" si="1"/>
        <v>46172</v>
      </c>
      <c r="D34" s="127" t="str">
        <f t="shared" si="0"/>
        <v>SÁBADO</v>
      </c>
      <c r="E34" s="19"/>
      <c r="F34" s="20" t="str">
        <f t="shared" si="2"/>
        <v>Semana 5</v>
      </c>
      <c r="G34" s="23">
        <f>'METAS -  SOBRAL'!F30</f>
        <v>4943.5440181224758</v>
      </c>
      <c r="H34" s="23">
        <f>'METAS -  SOBRAL'!F54</f>
        <v>6002.8748791487214</v>
      </c>
      <c r="I34" s="23">
        <f>'METAS -  SOBRAL'!F78</f>
        <v>7062.2057401749653</v>
      </c>
      <c r="J34" s="23">
        <f>'METAS -  SOBRAL'!F102</f>
        <v>8121.5366012012109</v>
      </c>
      <c r="L34" s="24">
        <f>Tabela37[[#This Row],[DATA]]</f>
        <v>46172</v>
      </c>
      <c r="M34" s="27">
        <f>Tabela37[[#This Row],[VALOR REALIZADO]]</f>
        <v>0</v>
      </c>
      <c r="N34" s="25">
        <f>IFERROR(E34-Tabela37[[#This Row],[META MÍNIMA]],"")</f>
        <v>-4943.5440181224758</v>
      </c>
      <c r="O34" s="25">
        <f>IFERROR(E34-Tabela37[[#This Row],[TOP 1]],"")</f>
        <v>-6002.8748791487214</v>
      </c>
      <c r="P34" s="25">
        <f>IFERROR(E34-Tabela37[[#This Row],[TOP 2]],"")</f>
        <v>-7062.2057401749653</v>
      </c>
      <c r="Q34" s="25">
        <f>IFERROR(E34-Tabela37[[#This Row],[MASTER]],"")</f>
        <v>-8121.5366012012109</v>
      </c>
    </row>
    <row r="35" spans="2:17" x14ac:dyDescent="0.25">
      <c r="B35" s="84">
        <v>31</v>
      </c>
      <c r="C35" s="32">
        <f t="shared" si="1"/>
        <v>46173</v>
      </c>
      <c r="D35" s="127" t="str">
        <f>UPPER(TEXT(C35,"dddd"))</f>
        <v>DOMINGO</v>
      </c>
      <c r="E35" s="19"/>
      <c r="F35" s="20" t="str">
        <f t="shared" si="2"/>
        <v>Semana 6</v>
      </c>
      <c r="G35" s="23"/>
      <c r="H35" s="23"/>
      <c r="I35" s="23"/>
      <c r="J35" s="23"/>
      <c r="L35" s="24">
        <f>Tabela37[[#This Row],[DATA]]</f>
        <v>46173</v>
      </c>
      <c r="M35" s="27">
        <f>Tabela37[[#This Row],[VALOR REALIZADO]]</f>
        <v>0</v>
      </c>
      <c r="N35" s="25">
        <f>IFERROR(E35-Tabela37[[#This Row],[META MÍNIMA]],"")</f>
        <v>0</v>
      </c>
      <c r="O35" s="25">
        <f>IFERROR(E35-Tabela37[[#This Row],[TOP 1]],"")</f>
        <v>0</v>
      </c>
      <c r="P35" s="25">
        <f>IFERROR(E35-Tabela37[[#This Row],[TOP 2]],"")</f>
        <v>0</v>
      </c>
      <c r="Q35" s="25">
        <f>IFERROR(E35-Tabela37[[#This Row],[MASTER]],"")</f>
        <v>0</v>
      </c>
    </row>
    <row r="36" spans="2:17" x14ac:dyDescent="0.25">
      <c r="C36" s="1" t="s">
        <v>49</v>
      </c>
      <c r="E36" s="33">
        <f>SUBTOTAL(109,Tabela37[VALOR REALIZADO])</f>
        <v>0</v>
      </c>
      <c r="F36" s="1"/>
      <c r="G36" s="33">
        <f>SUBTOTAL(109,Tabela37[META MÍNIMA])</f>
        <v>140000</v>
      </c>
      <c r="H36" s="33">
        <f>SUBTOTAL(109,Tabela37[TOP 1])</f>
        <v>170000.00000000003</v>
      </c>
      <c r="I36" s="33">
        <f>SUBTOTAL(109,Tabela37[TOP 2])</f>
        <v>200000</v>
      </c>
      <c r="J36" s="33">
        <f>SUBTOTAL(109,Tabela37[MASTER])</f>
        <v>230000.00000000012</v>
      </c>
    </row>
    <row r="37" spans="2:17" x14ac:dyDescent="0.25">
      <c r="F37" s="167" t="s">
        <v>50</v>
      </c>
      <c r="G37" s="10">
        <f>Tabela37[[#Totals],[VALOR REALIZADO]]/Tabela37[[#Totals],[META MÍNIMA]]</f>
        <v>0</v>
      </c>
      <c r="H37" s="10">
        <f>Tabela37[[#Totals],[VALOR REALIZADO]]/Tabela37[[#Totals],[TOP 1]]</f>
        <v>0</v>
      </c>
      <c r="I37" s="10">
        <f>Tabela37[[#Totals],[VALOR REALIZADO]]/Tabela37[[#Totals],[TOP 2]]</f>
        <v>0</v>
      </c>
      <c r="J37" s="10">
        <f>Tabela37[[#Totals],[VALOR REALIZADO]]/Tabela37[[#Totals],[MASTER]]</f>
        <v>0</v>
      </c>
    </row>
  </sheetData>
  <mergeCells count="4">
    <mergeCell ref="L3:Q3"/>
    <mergeCell ref="S3:X3"/>
    <mergeCell ref="Z3:AE3"/>
    <mergeCell ref="B3:J3"/>
  </mergeCells>
  <phoneticPr fontId="11" type="noConversion"/>
  <conditionalFormatting sqref="N5:Q35">
    <cfRule type="cellIs" dxfId="22" priority="5" operator="lessThan">
      <formula>0</formula>
    </cfRule>
    <cfRule type="cellIs" dxfId="21" priority="6" operator="greaterThan">
      <formula>0</formula>
    </cfRule>
  </conditionalFormatting>
  <conditionalFormatting sqref="AB5:AE9">
    <cfRule type="cellIs" dxfId="20" priority="7" operator="greaterThan">
      <formula>0</formula>
    </cfRule>
    <cfRule type="cellIs" dxfId="19" priority="8" operator="lessThan">
      <formula>0</formula>
    </cfRule>
  </conditionalFormatting>
  <conditionalFormatting sqref="AG3">
    <cfRule type="cellIs" dxfId="18" priority="3" operator="greaterThan">
      <formula>0</formula>
    </cfRule>
    <cfRule type="cellIs" dxfId="17" priority="4" operator="lessThan">
      <formula>0</formula>
    </cfRule>
  </conditionalFormatting>
  <dataValidations count="1">
    <dataValidation type="list" allowBlank="1" showInputMessage="1" showErrorMessage="1" sqref="J1" xr:uid="{80EA522A-37E7-4D86-AED5-1193DD4CEC88}">
      <formula1>"1,2,3,4,5,6,7,8,9,10,11,12"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4BF2-760C-4B42-A629-F793C66FB987}">
  <sheetPr>
    <tabColor rgb="FFFFFF00"/>
  </sheetPr>
  <dimension ref="A1:C33"/>
  <sheetViews>
    <sheetView workbookViewId="0"/>
  </sheetViews>
  <sheetFormatPr defaultColWidth="8.85546875" defaultRowHeight="15" x14ac:dyDescent="0.25"/>
  <cols>
    <col min="1" max="1" width="10.42578125" bestFit="1" customWidth="1"/>
    <col min="2" max="2" width="17.42578125" customWidth="1"/>
    <col min="3" max="3" width="9.28515625" bestFit="1" customWidth="1"/>
  </cols>
  <sheetData>
    <row r="1" spans="1:3" x14ac:dyDescent="0.25">
      <c r="A1" s="22" t="s">
        <v>133</v>
      </c>
    </row>
    <row r="3" spans="1:3" x14ac:dyDescent="0.25">
      <c r="A3" t="s">
        <v>36</v>
      </c>
      <c r="B3" t="s">
        <v>37</v>
      </c>
      <c r="C3" t="s">
        <v>51</v>
      </c>
    </row>
    <row r="4" spans="1:3" x14ac:dyDescent="0.25">
      <c r="A4" s="46">
        <v>45809</v>
      </c>
      <c r="B4" t="s">
        <v>11</v>
      </c>
      <c r="C4">
        <v>0</v>
      </c>
    </row>
    <row r="5" spans="1:3" x14ac:dyDescent="0.25">
      <c r="A5" s="46">
        <v>45816</v>
      </c>
      <c r="B5" t="s">
        <v>11</v>
      </c>
      <c r="C5">
        <v>0</v>
      </c>
    </row>
    <row r="6" spans="1:3" x14ac:dyDescent="0.25">
      <c r="A6" s="46">
        <v>45823</v>
      </c>
      <c r="B6" t="s">
        <v>11</v>
      </c>
      <c r="C6">
        <v>0</v>
      </c>
    </row>
    <row r="7" spans="1:3" x14ac:dyDescent="0.25">
      <c r="A7" s="46">
        <v>45830</v>
      </c>
      <c r="B7" t="s">
        <v>11</v>
      </c>
      <c r="C7">
        <v>0</v>
      </c>
    </row>
    <row r="8" spans="1:3" x14ac:dyDescent="0.25">
      <c r="A8" s="46">
        <v>45837</v>
      </c>
      <c r="B8" t="s">
        <v>11</v>
      </c>
      <c r="C8">
        <v>0</v>
      </c>
    </row>
    <row r="9" spans="1:3" x14ac:dyDescent="0.25">
      <c r="A9" s="46">
        <v>45810</v>
      </c>
      <c r="B9" t="s">
        <v>12</v>
      </c>
      <c r="C9">
        <v>3898</v>
      </c>
    </row>
    <row r="10" spans="1:3" x14ac:dyDescent="0.25">
      <c r="A10" s="46">
        <v>45817</v>
      </c>
      <c r="B10" t="s">
        <v>12</v>
      </c>
      <c r="C10">
        <v>5775</v>
      </c>
    </row>
    <row r="11" spans="1:3" x14ac:dyDescent="0.25">
      <c r="A11" s="46">
        <v>45824</v>
      </c>
      <c r="B11" t="s">
        <v>12</v>
      </c>
      <c r="C11">
        <v>5795.6</v>
      </c>
    </row>
    <row r="12" spans="1:3" x14ac:dyDescent="0.25">
      <c r="A12" s="46">
        <v>45831</v>
      </c>
      <c r="B12" t="s">
        <v>12</v>
      </c>
      <c r="C12">
        <v>6519.07</v>
      </c>
    </row>
    <row r="13" spans="1:3" x14ac:dyDescent="0.25">
      <c r="A13" s="46">
        <v>45838</v>
      </c>
      <c r="B13" t="s">
        <v>12</v>
      </c>
      <c r="C13">
        <v>669</v>
      </c>
    </row>
    <row r="14" spans="1:3" x14ac:dyDescent="0.25">
      <c r="A14" s="46">
        <v>45811</v>
      </c>
      <c r="B14" t="s">
        <v>13</v>
      </c>
      <c r="C14">
        <v>3090</v>
      </c>
    </row>
    <row r="15" spans="1:3" x14ac:dyDescent="0.25">
      <c r="A15" s="46">
        <v>45818</v>
      </c>
      <c r="B15" t="s">
        <v>13</v>
      </c>
      <c r="C15">
        <v>10648</v>
      </c>
    </row>
    <row r="16" spans="1:3" x14ac:dyDescent="0.25">
      <c r="A16" s="46">
        <v>45825</v>
      </c>
      <c r="B16" t="s">
        <v>13</v>
      </c>
      <c r="C16">
        <v>3283.7</v>
      </c>
    </row>
    <row r="17" spans="1:3" x14ac:dyDescent="0.25">
      <c r="A17" s="46">
        <v>45832</v>
      </c>
      <c r="B17" t="s">
        <v>13</v>
      </c>
      <c r="C17">
        <v>5641.7</v>
      </c>
    </row>
    <row r="18" spans="1:3" x14ac:dyDescent="0.25">
      <c r="A18" s="46">
        <v>45812</v>
      </c>
      <c r="B18" t="s">
        <v>14</v>
      </c>
      <c r="C18">
        <v>3819</v>
      </c>
    </row>
    <row r="19" spans="1:3" x14ac:dyDescent="0.25">
      <c r="A19" s="46">
        <v>45819</v>
      </c>
      <c r="B19" t="s">
        <v>14</v>
      </c>
      <c r="C19">
        <v>10186</v>
      </c>
    </row>
    <row r="20" spans="1:3" x14ac:dyDescent="0.25">
      <c r="A20" s="46">
        <v>45826</v>
      </c>
      <c r="B20" t="s">
        <v>14</v>
      </c>
      <c r="C20">
        <v>7521.7</v>
      </c>
    </row>
    <row r="21" spans="1:3" x14ac:dyDescent="0.25">
      <c r="A21" s="46">
        <v>45833</v>
      </c>
      <c r="B21" t="s">
        <v>14</v>
      </c>
      <c r="C21">
        <v>5344.6</v>
      </c>
    </row>
    <row r="22" spans="1:3" x14ac:dyDescent="0.25">
      <c r="A22" s="46">
        <v>45813</v>
      </c>
      <c r="B22" t="s">
        <v>15</v>
      </c>
      <c r="C22">
        <v>9233.9</v>
      </c>
    </row>
    <row r="23" spans="1:3" x14ac:dyDescent="0.25">
      <c r="A23" s="46">
        <v>45820</v>
      </c>
      <c r="B23" t="s">
        <v>15</v>
      </c>
      <c r="C23">
        <v>11864</v>
      </c>
    </row>
    <row r="24" spans="1:3" x14ac:dyDescent="0.25">
      <c r="A24" s="46">
        <v>45827</v>
      </c>
      <c r="B24" t="s">
        <v>15</v>
      </c>
      <c r="C24">
        <v>3726</v>
      </c>
    </row>
    <row r="25" spans="1:3" x14ac:dyDescent="0.25">
      <c r="A25" s="46">
        <v>45834</v>
      </c>
      <c r="B25" t="s">
        <v>15</v>
      </c>
      <c r="C25">
        <v>8820.9</v>
      </c>
    </row>
    <row r="26" spans="1:3" x14ac:dyDescent="0.25">
      <c r="A26" s="46">
        <v>45814</v>
      </c>
      <c r="B26" t="s">
        <v>16</v>
      </c>
      <c r="C26">
        <v>9573.2999999999993</v>
      </c>
    </row>
    <row r="27" spans="1:3" x14ac:dyDescent="0.25">
      <c r="A27" s="46">
        <v>45821</v>
      </c>
      <c r="B27" t="s">
        <v>16</v>
      </c>
      <c r="C27">
        <v>9302</v>
      </c>
    </row>
    <row r="28" spans="1:3" x14ac:dyDescent="0.25">
      <c r="A28" s="46">
        <v>45828</v>
      </c>
      <c r="B28" t="s">
        <v>16</v>
      </c>
      <c r="C28">
        <v>6669</v>
      </c>
    </row>
    <row r="29" spans="1:3" x14ac:dyDescent="0.25">
      <c r="A29" s="46">
        <v>45835</v>
      </c>
      <c r="B29" t="s">
        <v>16</v>
      </c>
      <c r="C29">
        <v>5583.5</v>
      </c>
    </row>
    <row r="30" spans="1:3" x14ac:dyDescent="0.25">
      <c r="A30" s="46">
        <v>45815</v>
      </c>
      <c r="B30" t="s">
        <v>17</v>
      </c>
      <c r="C30">
        <v>7524</v>
      </c>
    </row>
    <row r="31" spans="1:3" x14ac:dyDescent="0.25">
      <c r="A31" s="46">
        <v>45822</v>
      </c>
      <c r="B31" t="s">
        <v>17</v>
      </c>
      <c r="C31">
        <v>8213</v>
      </c>
    </row>
    <row r="32" spans="1:3" x14ac:dyDescent="0.25">
      <c r="A32" s="46">
        <v>45829</v>
      </c>
      <c r="B32" t="s">
        <v>17</v>
      </c>
      <c r="C32">
        <v>7044.2</v>
      </c>
    </row>
    <row r="33" spans="1:3" x14ac:dyDescent="0.25">
      <c r="A33" s="46">
        <v>45836</v>
      </c>
      <c r="B33" t="s">
        <v>17</v>
      </c>
      <c r="C33">
        <v>6585.3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FFFF00"/>
  </sheetPr>
  <dimension ref="B1:AZ100"/>
  <sheetViews>
    <sheetView showGridLines="0" topLeftCell="B1" zoomScale="96" zoomScaleNormal="96" workbookViewId="0">
      <selection activeCell="H4" sqref="H4:H9"/>
    </sheetView>
  </sheetViews>
  <sheetFormatPr defaultColWidth="8.7109375" defaultRowHeight="15" outlineLevelCol="1" x14ac:dyDescent="0.25"/>
  <cols>
    <col min="2" max="2" width="12.7109375" style="46" bestFit="1" customWidth="1"/>
    <col min="3" max="3" width="31" style="1" bestFit="1" customWidth="1"/>
    <col min="4" max="4" width="17.42578125" style="39" customWidth="1"/>
    <col min="6" max="6" width="17" bestFit="1" customWidth="1"/>
    <col min="7" max="7" width="14.42578125" style="1" bestFit="1" customWidth="1"/>
    <col min="8" max="8" width="8.42578125" style="18" bestFit="1" customWidth="1"/>
    <col min="9" max="9" width="8.7109375" style="18"/>
    <col min="10" max="10" width="14.42578125" style="18" bestFit="1" customWidth="1"/>
    <col min="11" max="11" width="19.7109375" style="18" bestFit="1" customWidth="1"/>
    <col min="12" max="12" width="9.42578125" style="18" customWidth="1"/>
    <col min="13" max="13" width="14.42578125" style="18" customWidth="1" outlineLevel="1"/>
    <col min="14" max="14" width="14.140625" style="18" customWidth="1" outlineLevel="1"/>
    <col min="15" max="15" width="15.7109375" style="18" customWidth="1" outlineLevel="1"/>
    <col min="16" max="16" width="20.140625" style="18" customWidth="1" outlineLevel="1"/>
    <col min="17" max="17" width="42.140625" style="18" customWidth="1" outlineLevel="1"/>
    <col min="18" max="18" width="15.7109375" customWidth="1" outlineLevel="1"/>
    <col min="19" max="19" width="8.7109375" customWidth="1" outlineLevel="1"/>
    <col min="20" max="20" width="15.140625" customWidth="1" outlineLevel="1"/>
    <col min="21" max="21" width="17.42578125" customWidth="1" outlineLevel="1"/>
    <col min="22" max="22" width="14.28515625" bestFit="1" customWidth="1"/>
    <col min="23" max="23" width="19.7109375" customWidth="1" outlineLevel="1"/>
    <col min="24" max="24" width="42.140625" customWidth="1" outlineLevel="1"/>
    <col min="25" max="25" width="15.42578125" customWidth="1" outlineLevel="1"/>
    <col min="26" max="26" width="19.7109375" customWidth="1" outlineLevel="1"/>
    <col min="27" max="27" width="42.140625" customWidth="1" outlineLevel="1"/>
    <col min="28" max="28" width="15.42578125" customWidth="1" outlineLevel="1"/>
    <col min="29" max="29" width="18.42578125" customWidth="1" outlineLevel="1"/>
    <col min="30" max="30" width="19.7109375" customWidth="1" outlineLevel="1"/>
    <col min="31" max="31" width="42.140625" customWidth="1" outlineLevel="1"/>
    <col min="32" max="32" width="15.42578125" bestFit="1" customWidth="1"/>
    <col min="33" max="33" width="19.7109375" customWidth="1" outlineLevel="1"/>
    <col min="34" max="34" width="42.140625" customWidth="1" outlineLevel="1"/>
    <col min="35" max="35" width="19.42578125" customWidth="1" outlineLevel="1"/>
    <col min="36" max="36" width="18.42578125" customWidth="1" outlineLevel="1"/>
    <col min="37" max="37" width="19.7109375" customWidth="1" outlineLevel="1"/>
    <col min="38" max="38" width="42.140625" customWidth="1" outlineLevel="1"/>
    <col min="39" max="39" width="15.42578125" customWidth="1" outlineLevel="1"/>
    <col min="40" max="40" width="19.7109375" customWidth="1" outlineLevel="1"/>
    <col min="41" max="41" width="42.140625" customWidth="1" outlineLevel="1"/>
    <col min="42" max="42" width="14.42578125" bestFit="1" customWidth="1"/>
    <col min="43" max="43" width="10.7109375" customWidth="1" outlineLevel="1"/>
    <col min="44" max="44" width="15.7109375" customWidth="1" outlineLevel="1"/>
    <col min="45" max="45" width="19.42578125" customWidth="1" outlineLevel="1"/>
    <col min="46" max="46" width="21.42578125" customWidth="1" outlineLevel="1"/>
    <col min="47" max="47" width="43.140625" customWidth="1" outlineLevel="1"/>
    <col min="48" max="48" width="16" customWidth="1" outlineLevel="1"/>
    <col min="49" max="49" width="8.7109375" customWidth="1" outlineLevel="1"/>
    <col min="50" max="50" width="15.7109375" customWidth="1" outlineLevel="1"/>
    <col min="51" max="51" width="18.42578125" customWidth="1" outlineLevel="1"/>
    <col min="52" max="52" width="14.42578125" bestFit="1" customWidth="1"/>
  </cols>
  <sheetData>
    <row r="1" spans="2:48" ht="24" x14ac:dyDescent="0.25">
      <c r="B1" s="111" t="s">
        <v>36</v>
      </c>
      <c r="C1" s="112" t="s">
        <v>37</v>
      </c>
      <c r="D1" s="113" t="s">
        <v>51</v>
      </c>
      <c r="F1" s="99" t="s">
        <v>28</v>
      </c>
      <c r="G1" s="99">
        <v>2026</v>
      </c>
      <c r="J1" s="196" t="s">
        <v>7</v>
      </c>
      <c r="K1" s="196"/>
      <c r="M1" s="197" t="s">
        <v>7</v>
      </c>
      <c r="N1" s="197"/>
      <c r="O1" s="197"/>
      <c r="P1" s="197"/>
      <c r="Q1" s="197"/>
      <c r="R1" s="197"/>
      <c r="S1" s="198"/>
      <c r="T1" s="198"/>
      <c r="U1" s="198"/>
      <c r="W1" s="197" t="s">
        <v>2</v>
      </c>
      <c r="X1" s="197"/>
      <c r="Y1" s="197"/>
      <c r="Z1" s="197"/>
      <c r="AA1" s="197"/>
      <c r="AB1" s="197"/>
      <c r="AC1" s="171"/>
      <c r="AD1" s="171"/>
      <c r="AE1" s="171"/>
      <c r="AG1" s="197" t="s">
        <v>3</v>
      </c>
      <c r="AH1" s="197"/>
      <c r="AI1" s="197"/>
      <c r="AJ1" s="197"/>
      <c r="AK1" s="197"/>
      <c r="AL1" s="197"/>
      <c r="AM1" s="171"/>
      <c r="AN1" s="171"/>
      <c r="AO1" s="171"/>
      <c r="AQ1" s="197" t="s">
        <v>4</v>
      </c>
      <c r="AR1" s="197"/>
      <c r="AS1" s="197"/>
      <c r="AT1" s="197"/>
      <c r="AU1" s="197"/>
      <c r="AV1" s="197"/>
    </row>
    <row r="2" spans="2:48" x14ac:dyDescent="0.25">
      <c r="B2" s="46">
        <v>46054</v>
      </c>
      <c r="C2" s="32" t="str">
        <f>UPPER(TEXT(B2,"dddd"))</f>
        <v>DOMINGO</v>
      </c>
      <c r="D2" s="39">
        <v>0</v>
      </c>
      <c r="F2" s="55" t="s">
        <v>37</v>
      </c>
      <c r="G2" t="s">
        <v>89</v>
      </c>
      <c r="H2" t="s">
        <v>52</v>
      </c>
      <c r="J2" s="59" t="s">
        <v>90</v>
      </c>
      <c r="K2" s="86">
        <v>140000</v>
      </c>
      <c r="M2" s="18" t="s">
        <v>27</v>
      </c>
      <c r="N2" s="18" t="s">
        <v>28</v>
      </c>
      <c r="O2" s="18" t="s">
        <v>91</v>
      </c>
      <c r="P2" s="18" t="s">
        <v>37</v>
      </c>
      <c r="Q2" s="18" t="s">
        <v>92</v>
      </c>
      <c r="R2" t="s">
        <v>93</v>
      </c>
      <c r="W2" s="18" t="s">
        <v>27</v>
      </c>
      <c r="X2" s="18" t="s">
        <v>28</v>
      </c>
      <c r="Y2" s="18" t="s">
        <v>91</v>
      </c>
      <c r="Z2" s="18" t="s">
        <v>37</v>
      </c>
      <c r="AA2" s="18" t="s">
        <v>92</v>
      </c>
      <c r="AB2" t="s">
        <v>93</v>
      </c>
      <c r="AG2" s="18" t="s">
        <v>27</v>
      </c>
      <c r="AH2" s="18" t="s">
        <v>28</v>
      </c>
      <c r="AI2" s="18" t="s">
        <v>91</v>
      </c>
      <c r="AJ2" s="18" t="s">
        <v>37</v>
      </c>
      <c r="AK2" s="18" t="s">
        <v>92</v>
      </c>
      <c r="AL2" t="s">
        <v>93</v>
      </c>
      <c r="AQ2" s="18" t="s">
        <v>27</v>
      </c>
      <c r="AR2" s="18" t="s">
        <v>28</v>
      </c>
      <c r="AS2" s="18" t="s">
        <v>91</v>
      </c>
      <c r="AT2" s="18" t="s">
        <v>37</v>
      </c>
      <c r="AU2" s="18" t="s">
        <v>92</v>
      </c>
      <c r="AV2" t="s">
        <v>93</v>
      </c>
    </row>
    <row r="3" spans="2:48" x14ac:dyDescent="0.25">
      <c r="B3" s="46">
        <v>46055</v>
      </c>
      <c r="C3" s="32" t="str">
        <f t="shared" ref="C3:C30" si="0">UPPER(TEXT(B3,"dddd"))</f>
        <v>SEGUNDA-FEIRA</v>
      </c>
      <c r="D3" s="39">
        <v>3898</v>
      </c>
      <c r="F3" s="47" t="s">
        <v>11</v>
      </c>
      <c r="G3" s="36">
        <v>0</v>
      </c>
      <c r="H3" s="121">
        <v>0</v>
      </c>
      <c r="J3" s="59" t="s">
        <v>94</v>
      </c>
      <c r="K3" s="88">
        <v>25</v>
      </c>
      <c r="L3" s="23"/>
      <c r="M3" s="59">
        <v>5</v>
      </c>
      <c r="N3" s="84">
        <f>$G$1</f>
        <v>2026</v>
      </c>
      <c r="O3" s="23">
        <f>$K$2</f>
        <v>140000</v>
      </c>
      <c r="P3" s="18" t="s">
        <v>11</v>
      </c>
      <c r="Q3" s="89">
        <f>$H$3</f>
        <v>0</v>
      </c>
      <c r="R3" s="85">
        <v>5</v>
      </c>
      <c r="S3" s="85"/>
      <c r="T3" s="85"/>
      <c r="U3" s="85"/>
      <c r="W3" s="59">
        <f>Tabela6[[#This Row],[MÊS]]</f>
        <v>5</v>
      </c>
      <c r="X3" s="84">
        <f>Tabela6[[#This Row],[ANO]]</f>
        <v>2026</v>
      </c>
      <c r="Y3" s="23">
        <f>$K$7</f>
        <v>170000</v>
      </c>
      <c r="Z3" s="18" t="s">
        <v>11</v>
      </c>
      <c r="AA3" s="89">
        <f>$H$3</f>
        <v>0</v>
      </c>
      <c r="AB3" s="85">
        <f>Tabela6[[#This Row],[QUANTIDADE]]</f>
        <v>5</v>
      </c>
      <c r="AC3" s="85"/>
      <c r="AD3" s="85"/>
      <c r="AE3" s="85"/>
      <c r="AG3" s="59">
        <f>Tabela69[[#This Row],[MÊS]]</f>
        <v>5</v>
      </c>
      <c r="AH3" s="84">
        <f>Tabela6[[#This Row],[ANO]]</f>
        <v>2026</v>
      </c>
      <c r="AI3" s="23">
        <f t="shared" ref="AI3:AI9" si="1">$K$13</f>
        <v>200000</v>
      </c>
      <c r="AJ3" s="18" t="s">
        <v>11</v>
      </c>
      <c r="AK3" s="89">
        <f>$H$3</f>
        <v>0</v>
      </c>
      <c r="AL3" s="85">
        <v>4</v>
      </c>
      <c r="AM3" s="85"/>
      <c r="AN3" s="85"/>
      <c r="AO3" s="85"/>
      <c r="AQ3" s="59">
        <f>Tabela6911[[#This Row],[MÊS]]</f>
        <v>5</v>
      </c>
      <c r="AR3" s="84">
        <f>Tabela6911[[#This Row],[ANO]]</f>
        <v>2026</v>
      </c>
      <c r="AS3" s="23">
        <f t="shared" ref="AS3:AS9" si="2">$K$19</f>
        <v>230000</v>
      </c>
      <c r="AT3" s="18" t="s">
        <v>11</v>
      </c>
      <c r="AU3" s="89">
        <f>$H$3</f>
        <v>0</v>
      </c>
      <c r="AV3" s="85">
        <f>Tabela6911[[#This Row],[QUANTIDADE]]</f>
        <v>4</v>
      </c>
    </row>
    <row r="4" spans="2:48" x14ac:dyDescent="0.25">
      <c r="B4" s="46">
        <v>46056</v>
      </c>
      <c r="C4" s="32" t="str">
        <f t="shared" si="0"/>
        <v>TERÇA-FEIRA</v>
      </c>
      <c r="D4" s="39">
        <f>265+387+1082+1356</f>
        <v>3090</v>
      </c>
      <c r="F4" s="47" t="s">
        <v>12</v>
      </c>
      <c r="G4" s="36">
        <v>22656.67</v>
      </c>
      <c r="H4" s="121">
        <v>0.13621478974958706</v>
      </c>
      <c r="J4" s="59" t="s">
        <v>95</v>
      </c>
      <c r="K4" s="86">
        <f>K2/K3</f>
        <v>5600</v>
      </c>
      <c r="L4" s="23"/>
      <c r="M4" s="59">
        <v>5</v>
      </c>
      <c r="N4" s="84">
        <f t="shared" ref="N4:N9" si="3">$G$1</f>
        <v>2026</v>
      </c>
      <c r="O4" s="23">
        <f t="shared" ref="O4:O10" si="4">$K$2</f>
        <v>140000</v>
      </c>
      <c r="P4" s="18" t="s">
        <v>12</v>
      </c>
      <c r="Q4" s="89">
        <f>$H$4</f>
        <v>0.13621478974958706</v>
      </c>
      <c r="R4" s="85">
        <v>4</v>
      </c>
      <c r="S4" s="85"/>
      <c r="T4" s="85"/>
      <c r="U4" s="85"/>
      <c r="W4" s="59">
        <f>Tabela6[[#This Row],[MÊS]]</f>
        <v>5</v>
      </c>
      <c r="X4" s="84">
        <f>Tabela6[[#This Row],[ANO]]</f>
        <v>2026</v>
      </c>
      <c r="Y4" s="23">
        <f t="shared" ref="Y4:Y9" si="5">$K$7</f>
        <v>170000</v>
      </c>
      <c r="Z4" s="18" t="s">
        <v>12</v>
      </c>
      <c r="AA4" s="89">
        <f>$H$4</f>
        <v>0.13621478974958706</v>
      </c>
      <c r="AB4" s="85">
        <f>Tabela6[[#This Row],[QUANTIDADE]]</f>
        <v>4</v>
      </c>
      <c r="AC4" s="85"/>
      <c r="AD4" s="85"/>
      <c r="AE4" s="85"/>
      <c r="AG4" s="59">
        <f>Tabela69[[#This Row],[MÊS]]</f>
        <v>5</v>
      </c>
      <c r="AH4" s="84">
        <f>Tabela6[[#This Row],[ANO]]</f>
        <v>2026</v>
      </c>
      <c r="AI4" s="23">
        <f t="shared" si="1"/>
        <v>200000</v>
      </c>
      <c r="AJ4" s="18" t="s">
        <v>12</v>
      </c>
      <c r="AK4" s="89">
        <f>$H$4</f>
        <v>0.13621478974958706</v>
      </c>
      <c r="AL4" s="85">
        <f>Tabela69[[#This Row],[QUANTIDADE]]</f>
        <v>4</v>
      </c>
      <c r="AM4" s="85"/>
      <c r="AN4" s="85"/>
      <c r="AO4" s="85"/>
      <c r="AQ4" s="59">
        <f>Tabela6911[[#This Row],[MÊS]]</f>
        <v>5</v>
      </c>
      <c r="AR4" s="84">
        <f>Tabela6911[[#This Row],[ANO]]</f>
        <v>2026</v>
      </c>
      <c r="AS4" s="23">
        <f t="shared" si="2"/>
        <v>230000</v>
      </c>
      <c r="AT4" s="18" t="s">
        <v>12</v>
      </c>
      <c r="AU4" s="89">
        <f>$H$4</f>
        <v>0.13621478974958706</v>
      </c>
      <c r="AV4" s="85">
        <f>Tabela6911[[#This Row],[QUANTIDADE]]</f>
        <v>4</v>
      </c>
    </row>
    <row r="5" spans="2:48" x14ac:dyDescent="0.25">
      <c r="B5" s="46">
        <v>46057</v>
      </c>
      <c r="C5" s="32" t="str">
        <f t="shared" si="0"/>
        <v>QUARTA-FEIRA</v>
      </c>
      <c r="D5" s="39">
        <f>40+2384+0+1395</f>
        <v>3819</v>
      </c>
      <c r="F5" s="47" t="s">
        <v>13</v>
      </c>
      <c r="G5" s="36">
        <v>22663.4</v>
      </c>
      <c r="H5" s="121">
        <v>0.13625525136795441</v>
      </c>
      <c r="K5" s="23"/>
      <c r="L5" s="59"/>
      <c r="M5" s="59">
        <v>5</v>
      </c>
      <c r="N5" s="84">
        <f t="shared" si="3"/>
        <v>2026</v>
      </c>
      <c r="O5" s="23">
        <f t="shared" si="4"/>
        <v>140000</v>
      </c>
      <c r="P5" s="18" t="s">
        <v>13</v>
      </c>
      <c r="Q5" s="89">
        <f>$H$5</f>
        <v>0.13625525136795441</v>
      </c>
      <c r="R5" s="85">
        <v>4</v>
      </c>
      <c r="S5" s="85"/>
      <c r="T5" s="85"/>
      <c r="U5" s="85"/>
      <c r="W5" s="59">
        <f>Tabela6[[#This Row],[MÊS]]</f>
        <v>5</v>
      </c>
      <c r="X5" s="84">
        <f>Tabela6[[#This Row],[ANO]]</f>
        <v>2026</v>
      </c>
      <c r="Y5" s="23">
        <f t="shared" si="5"/>
        <v>170000</v>
      </c>
      <c r="Z5" s="18" t="s">
        <v>13</v>
      </c>
      <c r="AA5" s="89">
        <f>$H$5</f>
        <v>0.13625525136795441</v>
      </c>
      <c r="AB5" s="85">
        <f>Tabela6[[#This Row],[QUANTIDADE]]</f>
        <v>4</v>
      </c>
      <c r="AC5" s="85"/>
      <c r="AD5" s="85"/>
      <c r="AE5" s="85"/>
      <c r="AG5" s="59">
        <f>Tabela69[[#This Row],[MÊS]]</f>
        <v>5</v>
      </c>
      <c r="AH5" s="84">
        <f>Tabela6[[#This Row],[ANO]]</f>
        <v>2026</v>
      </c>
      <c r="AI5" s="23">
        <f t="shared" si="1"/>
        <v>200000</v>
      </c>
      <c r="AJ5" s="18" t="s">
        <v>13</v>
      </c>
      <c r="AK5" s="89">
        <f>$H$5</f>
        <v>0.13625525136795441</v>
      </c>
      <c r="AL5" s="85">
        <f>Tabela69[[#This Row],[QUANTIDADE]]</f>
        <v>4</v>
      </c>
      <c r="AM5" s="85"/>
      <c r="AN5" s="85"/>
      <c r="AO5" s="85"/>
      <c r="AQ5" s="59">
        <f>Tabela6911[[#This Row],[MÊS]]</f>
        <v>5</v>
      </c>
      <c r="AR5" s="84">
        <f>Tabela6911[[#This Row],[ANO]]</f>
        <v>2026</v>
      </c>
      <c r="AS5" s="23">
        <f t="shared" si="2"/>
        <v>230000</v>
      </c>
      <c r="AT5" s="18" t="s">
        <v>13</v>
      </c>
      <c r="AU5" s="89">
        <f>$H$5</f>
        <v>0.13625525136795441</v>
      </c>
      <c r="AV5" s="85">
        <f>Tabela6911[[#This Row],[QUANTIDADE]]</f>
        <v>4</v>
      </c>
    </row>
    <row r="6" spans="2:48" x14ac:dyDescent="0.25">
      <c r="B6" s="46">
        <v>46058</v>
      </c>
      <c r="C6" s="32" t="str">
        <f t="shared" si="0"/>
        <v>QUINTA-FEIRA</v>
      </c>
      <c r="D6" s="39">
        <f>1010+4829+3394.9</f>
        <v>9233.9</v>
      </c>
      <c r="F6" s="47" t="s">
        <v>14</v>
      </c>
      <c r="G6" s="36">
        <v>26871.300000000003</v>
      </c>
      <c r="H6" s="121">
        <v>0.16155368285798749</v>
      </c>
      <c r="J6" s="196" t="s">
        <v>96</v>
      </c>
      <c r="K6" s="196"/>
      <c r="M6" s="59">
        <v>5</v>
      </c>
      <c r="N6" s="84">
        <f t="shared" si="3"/>
        <v>2026</v>
      </c>
      <c r="O6" s="23">
        <f t="shared" si="4"/>
        <v>140000</v>
      </c>
      <c r="P6" s="18" t="s">
        <v>14</v>
      </c>
      <c r="Q6" s="89">
        <f>$H$6</f>
        <v>0.16155368285798749</v>
      </c>
      <c r="R6" s="85">
        <v>4</v>
      </c>
      <c r="S6" s="85"/>
      <c r="T6" s="85"/>
      <c r="U6" s="85"/>
      <c r="W6" s="59">
        <f>Tabela6[[#This Row],[MÊS]]</f>
        <v>5</v>
      </c>
      <c r="X6" s="84">
        <f>Tabela6[[#This Row],[ANO]]</f>
        <v>2026</v>
      </c>
      <c r="Y6" s="23">
        <f t="shared" si="5"/>
        <v>170000</v>
      </c>
      <c r="Z6" s="18" t="s">
        <v>14</v>
      </c>
      <c r="AA6" s="89">
        <f>$H$6</f>
        <v>0.16155368285798749</v>
      </c>
      <c r="AB6" s="85">
        <f>Tabela6[[#This Row],[QUANTIDADE]]</f>
        <v>4</v>
      </c>
      <c r="AC6" s="85"/>
      <c r="AD6" s="85"/>
      <c r="AE6" s="85"/>
      <c r="AG6" s="59">
        <f>Tabela69[[#This Row],[MÊS]]</f>
        <v>5</v>
      </c>
      <c r="AH6" s="84">
        <f>Tabela6[[#This Row],[ANO]]</f>
        <v>2026</v>
      </c>
      <c r="AI6" s="23">
        <f t="shared" si="1"/>
        <v>200000</v>
      </c>
      <c r="AJ6" s="18" t="s">
        <v>14</v>
      </c>
      <c r="AK6" s="89">
        <f>$H$6</f>
        <v>0.16155368285798749</v>
      </c>
      <c r="AL6" s="85">
        <f>Tabela69[[#This Row],[QUANTIDADE]]</f>
        <v>4</v>
      </c>
      <c r="AM6" s="85"/>
      <c r="AN6" s="85"/>
      <c r="AO6" s="85"/>
      <c r="AQ6" s="59">
        <f>Tabela6911[[#This Row],[MÊS]]</f>
        <v>5</v>
      </c>
      <c r="AR6" s="84">
        <f>Tabela6911[[#This Row],[ANO]]</f>
        <v>2026</v>
      </c>
      <c r="AS6" s="23">
        <f t="shared" si="2"/>
        <v>230000</v>
      </c>
      <c r="AT6" s="18" t="s">
        <v>14</v>
      </c>
      <c r="AU6" s="89">
        <f>$H$6</f>
        <v>0.16155368285798749</v>
      </c>
      <c r="AV6" s="85">
        <f>Tabela6911[[#This Row],[QUANTIDADE]]</f>
        <v>4</v>
      </c>
    </row>
    <row r="7" spans="2:48" x14ac:dyDescent="0.25">
      <c r="B7" s="46">
        <v>46059</v>
      </c>
      <c r="C7" s="32" t="str">
        <f t="shared" si="0"/>
        <v>SEXTA-FEIRA</v>
      </c>
      <c r="D7" s="39">
        <f>506+4209.7-1+4858.6</f>
        <v>9573.2999999999993</v>
      </c>
      <c r="F7" s="47" t="s">
        <v>15</v>
      </c>
      <c r="G7" s="36">
        <v>33644.800000000003</v>
      </c>
      <c r="H7" s="121">
        <v>0.20227682877346528</v>
      </c>
      <c r="J7" s="59" t="s">
        <v>90</v>
      </c>
      <c r="K7" s="86">
        <v>170000</v>
      </c>
      <c r="M7" s="59">
        <v>5</v>
      </c>
      <c r="N7" s="84">
        <f t="shared" si="3"/>
        <v>2026</v>
      </c>
      <c r="O7" s="23">
        <f t="shared" si="4"/>
        <v>140000</v>
      </c>
      <c r="P7" s="18" t="s">
        <v>15</v>
      </c>
      <c r="Q7" s="89">
        <f>$H$7</f>
        <v>0.20227682877346528</v>
      </c>
      <c r="R7" s="85">
        <v>4</v>
      </c>
      <c r="S7" s="85"/>
      <c r="T7" s="85"/>
      <c r="U7" s="85"/>
      <c r="W7" s="59">
        <f>Tabela6[[#This Row],[MÊS]]</f>
        <v>5</v>
      </c>
      <c r="X7" s="84">
        <f>Tabela6[[#This Row],[ANO]]</f>
        <v>2026</v>
      </c>
      <c r="Y7" s="23">
        <f t="shared" si="5"/>
        <v>170000</v>
      </c>
      <c r="Z7" s="18" t="s">
        <v>15</v>
      </c>
      <c r="AA7" s="89">
        <f>$H$7</f>
        <v>0.20227682877346528</v>
      </c>
      <c r="AB7" s="85">
        <f>Tabela6[[#This Row],[QUANTIDADE]]</f>
        <v>4</v>
      </c>
      <c r="AC7" s="85"/>
      <c r="AD7" s="85"/>
      <c r="AE7" s="85"/>
      <c r="AG7" s="59">
        <f>Tabela69[[#This Row],[MÊS]]</f>
        <v>5</v>
      </c>
      <c r="AH7" s="84">
        <f>Tabela6[[#This Row],[ANO]]</f>
        <v>2026</v>
      </c>
      <c r="AI7" s="23">
        <f t="shared" si="1"/>
        <v>200000</v>
      </c>
      <c r="AJ7" s="18" t="s">
        <v>15</v>
      </c>
      <c r="AK7" s="89">
        <f>$H$7</f>
        <v>0.20227682877346528</v>
      </c>
      <c r="AL7" s="85">
        <f>Tabela69[[#This Row],[QUANTIDADE]]</f>
        <v>4</v>
      </c>
      <c r="AM7" s="85"/>
      <c r="AN7" s="85"/>
      <c r="AO7" s="85"/>
      <c r="AQ7" s="59">
        <f>Tabela6911[[#This Row],[MÊS]]</f>
        <v>5</v>
      </c>
      <c r="AR7" s="84">
        <f>Tabela6911[[#This Row],[ANO]]</f>
        <v>2026</v>
      </c>
      <c r="AS7" s="23">
        <f t="shared" si="2"/>
        <v>230000</v>
      </c>
      <c r="AT7" s="18" t="s">
        <v>15</v>
      </c>
      <c r="AU7" s="89">
        <f>$H$7</f>
        <v>0.20227682877346528</v>
      </c>
      <c r="AV7" s="85">
        <f>Tabela6911[[#This Row],[QUANTIDADE]]</f>
        <v>4</v>
      </c>
    </row>
    <row r="8" spans="2:48" x14ac:dyDescent="0.25">
      <c r="B8" s="46">
        <v>46060</v>
      </c>
      <c r="C8" s="32" t="str">
        <f t="shared" si="0"/>
        <v>SÁBADO</v>
      </c>
      <c r="D8" s="39">
        <f>249+5161+2114</f>
        <v>7524</v>
      </c>
      <c r="F8" s="47" t="s">
        <v>16</v>
      </c>
      <c r="G8" s="36">
        <v>31127.8</v>
      </c>
      <c r="H8" s="121">
        <v>0.18714430374663163</v>
      </c>
      <c r="J8" s="59" t="s">
        <v>94</v>
      </c>
      <c r="K8" s="88">
        <f>K3</f>
        <v>25</v>
      </c>
      <c r="M8" s="59">
        <v>5</v>
      </c>
      <c r="N8" s="84">
        <f t="shared" si="3"/>
        <v>2026</v>
      </c>
      <c r="O8" s="23">
        <f t="shared" si="4"/>
        <v>140000</v>
      </c>
      <c r="P8" s="18" t="s">
        <v>16</v>
      </c>
      <c r="Q8" s="89">
        <f>$H$8</f>
        <v>0.18714430374663163</v>
      </c>
      <c r="R8" s="85">
        <v>4</v>
      </c>
      <c r="S8" s="85"/>
      <c r="T8" s="85"/>
      <c r="U8" s="85"/>
      <c r="W8" s="59">
        <f>Tabela6[[#This Row],[MÊS]]</f>
        <v>5</v>
      </c>
      <c r="X8" s="84">
        <f>Tabela6[[#This Row],[ANO]]</f>
        <v>2026</v>
      </c>
      <c r="Y8" s="23">
        <f t="shared" si="5"/>
        <v>170000</v>
      </c>
      <c r="Z8" s="18" t="s">
        <v>16</v>
      </c>
      <c r="AA8" s="89">
        <f>$H$8</f>
        <v>0.18714430374663163</v>
      </c>
      <c r="AB8" s="85">
        <f>Tabela6[[#This Row],[QUANTIDADE]]</f>
        <v>4</v>
      </c>
      <c r="AC8" s="85"/>
      <c r="AD8" s="85"/>
      <c r="AE8" s="85"/>
      <c r="AG8" s="59">
        <f>Tabela69[[#This Row],[MÊS]]</f>
        <v>5</v>
      </c>
      <c r="AH8" s="84">
        <f>Tabela6[[#This Row],[ANO]]</f>
        <v>2026</v>
      </c>
      <c r="AI8" s="23">
        <f t="shared" si="1"/>
        <v>200000</v>
      </c>
      <c r="AJ8" s="18" t="s">
        <v>16</v>
      </c>
      <c r="AK8" s="89">
        <f>$H$8</f>
        <v>0.18714430374663163</v>
      </c>
      <c r="AL8" s="85">
        <f>Tabela69[[#This Row],[QUANTIDADE]]</f>
        <v>4</v>
      </c>
      <c r="AM8" s="85"/>
      <c r="AN8" s="85"/>
      <c r="AO8" s="85"/>
      <c r="AQ8" s="59">
        <f>Tabela6911[[#This Row],[MÊS]]</f>
        <v>5</v>
      </c>
      <c r="AR8" s="84">
        <f>Tabela6911[[#This Row],[ANO]]</f>
        <v>2026</v>
      </c>
      <c r="AS8" s="23">
        <f t="shared" si="2"/>
        <v>230000</v>
      </c>
      <c r="AT8" s="18" t="s">
        <v>16</v>
      </c>
      <c r="AU8" s="89">
        <f>$H$8</f>
        <v>0.18714430374663163</v>
      </c>
      <c r="AV8" s="85">
        <f>Tabela6911[[#This Row],[QUANTIDADE]]</f>
        <v>4</v>
      </c>
    </row>
    <row r="9" spans="2:48" x14ac:dyDescent="0.25">
      <c r="B9" s="46">
        <v>46061</v>
      </c>
      <c r="C9" s="32" t="str">
        <f t="shared" si="0"/>
        <v>DOMINGO</v>
      </c>
      <c r="D9" s="39">
        <v>0</v>
      </c>
      <c r="F9" s="47" t="s">
        <v>17</v>
      </c>
      <c r="G9" s="36">
        <v>29366.5</v>
      </c>
      <c r="H9" s="121">
        <v>0.17655514350437415</v>
      </c>
      <c r="J9" s="59" t="s">
        <v>95</v>
      </c>
      <c r="K9" s="86">
        <f>K7/K8</f>
        <v>6800</v>
      </c>
      <c r="M9" s="59">
        <v>5</v>
      </c>
      <c r="N9" s="84">
        <f t="shared" si="3"/>
        <v>2026</v>
      </c>
      <c r="O9" s="23">
        <f t="shared" si="4"/>
        <v>140000</v>
      </c>
      <c r="P9" s="18" t="s">
        <v>17</v>
      </c>
      <c r="Q9" s="89">
        <f>H9</f>
        <v>0.17655514350437415</v>
      </c>
      <c r="R9" s="85">
        <v>5</v>
      </c>
      <c r="S9" s="85"/>
      <c r="T9" s="85"/>
      <c r="U9" s="85"/>
      <c r="W9" s="59">
        <f>Tabela6[[#This Row],[MÊS]]</f>
        <v>5</v>
      </c>
      <c r="X9" s="84">
        <f>Tabela6[[#This Row],[ANO]]</f>
        <v>2026</v>
      </c>
      <c r="Y9" s="23">
        <f t="shared" si="5"/>
        <v>170000</v>
      </c>
      <c r="Z9" s="18" t="s">
        <v>17</v>
      </c>
      <c r="AA9" s="89">
        <f>$H$9</f>
        <v>0.17655514350437415</v>
      </c>
      <c r="AB9" s="85">
        <f>Tabela6[[#This Row],[QUANTIDADE]]</f>
        <v>5</v>
      </c>
      <c r="AC9" s="85"/>
      <c r="AD9" s="85"/>
      <c r="AE9" s="85"/>
      <c r="AG9" s="59">
        <f>Tabela69[[#This Row],[MÊS]]</f>
        <v>5</v>
      </c>
      <c r="AH9" s="84">
        <f>Tabela6[[#This Row],[ANO]]</f>
        <v>2026</v>
      </c>
      <c r="AI9" s="23">
        <f t="shared" si="1"/>
        <v>200000</v>
      </c>
      <c r="AJ9" s="18" t="s">
        <v>17</v>
      </c>
      <c r="AK9" s="89">
        <f>$H$9</f>
        <v>0.17655514350437415</v>
      </c>
      <c r="AL9" s="85">
        <f>Tabela69[[#This Row],[QUANTIDADE]]</f>
        <v>5</v>
      </c>
      <c r="AM9" s="85"/>
      <c r="AN9" s="85"/>
      <c r="AO9" s="85"/>
      <c r="AQ9" s="59">
        <f>Tabela6911[[#This Row],[MÊS]]</f>
        <v>5</v>
      </c>
      <c r="AR9" s="84">
        <f>Tabela6911[[#This Row],[ANO]]</f>
        <v>2026</v>
      </c>
      <c r="AS9" s="23">
        <f t="shared" si="2"/>
        <v>230000</v>
      </c>
      <c r="AT9" s="18" t="s">
        <v>17</v>
      </c>
      <c r="AU9" s="89">
        <f>$H$9</f>
        <v>0.17655514350437415</v>
      </c>
      <c r="AV9" s="85">
        <f>Tabela6911[[#This Row],[QUANTIDADE]]</f>
        <v>5</v>
      </c>
    </row>
    <row r="10" spans="2:48" x14ac:dyDescent="0.25">
      <c r="B10" s="46">
        <v>46062</v>
      </c>
      <c r="C10" s="32" t="str">
        <f t="shared" si="0"/>
        <v>SEGUNDA-FEIRA</v>
      </c>
      <c r="D10" s="39">
        <f>303+3742+0+1730</f>
        <v>5775</v>
      </c>
      <c r="F10" s="47" t="s">
        <v>53</v>
      </c>
      <c r="G10" s="36">
        <v>166330.47</v>
      </c>
      <c r="H10" s="121">
        <v>1</v>
      </c>
      <c r="M10" s="59">
        <v>5</v>
      </c>
      <c r="N10" s="18">
        <f>$G$1</f>
        <v>2026</v>
      </c>
      <c r="O10" s="23">
        <f t="shared" si="4"/>
        <v>140000</v>
      </c>
      <c r="Q10" s="89">
        <f>H10</f>
        <v>1</v>
      </c>
      <c r="R10" s="180"/>
      <c r="S10" s="95"/>
      <c r="T10" s="95"/>
      <c r="U10" s="95"/>
      <c r="W10" s="18" t="s">
        <v>49</v>
      </c>
      <c r="X10" s="18"/>
      <c r="Y10" s="18"/>
      <c r="Z10" s="18"/>
      <c r="AA10" s="96">
        <f>SUBTOTAL(109,Tabela69[PERCENTUAL DE REPRESENTATIVIDADE])</f>
        <v>1</v>
      </c>
      <c r="AB10" s="98">
        <f>SUBTOTAL(109,Tabela69[QUANTIDADE])</f>
        <v>30</v>
      </c>
      <c r="AC10" s="98"/>
      <c r="AD10" s="98"/>
      <c r="AE10" s="98"/>
      <c r="AG10" s="18" t="s">
        <v>49</v>
      </c>
      <c r="AH10" s="18"/>
      <c r="AI10" s="18"/>
      <c r="AJ10" s="18"/>
      <c r="AK10" s="96">
        <f>SUBTOTAL(109,Tabela6911[PERCENTUAL DE REPRESENTATIVIDADE])</f>
        <v>1</v>
      </c>
      <c r="AL10" s="98">
        <f>SUBTOTAL(109,Tabela6911[QUANTIDADE])</f>
        <v>29</v>
      </c>
      <c r="AM10" s="98"/>
      <c r="AN10" s="98"/>
      <c r="AO10" s="98"/>
      <c r="AQ10" s="18" t="s">
        <v>49</v>
      </c>
      <c r="AR10" s="18"/>
      <c r="AS10" s="18"/>
      <c r="AT10" s="18"/>
      <c r="AU10" s="96">
        <f>SUBTOTAL(109,Tabela691113[PERCENTUAL DE REPRESENTATIVIDADE])</f>
        <v>1</v>
      </c>
      <c r="AV10" s="98">
        <f>SUBTOTAL(109,Tabela691113[QUANTIDADE])</f>
        <v>29</v>
      </c>
    </row>
    <row r="11" spans="2:48" x14ac:dyDescent="0.25">
      <c r="B11" s="46">
        <v>46063</v>
      </c>
      <c r="C11" s="32" t="str">
        <f t="shared" si="0"/>
        <v>TERÇA-FEIRA</v>
      </c>
      <c r="D11" s="39">
        <f>1451+5070+4127</f>
        <v>10648</v>
      </c>
      <c r="G11"/>
      <c r="H11"/>
      <c r="M11" s="18" t="s">
        <v>49</v>
      </c>
      <c r="Q11" s="96">
        <f>SUBTOTAL(109,Tabela6[PERCENTUAL DE REPRESENTATIVIDADE])</f>
        <v>2</v>
      </c>
      <c r="R11" s="98">
        <f>SUBTOTAL(109,Tabela6[QUANTIDADE])</f>
        <v>30</v>
      </c>
      <c r="T11" s="18"/>
      <c r="U11" s="18"/>
      <c r="V11" s="18"/>
      <c r="W11" s="18"/>
      <c r="X11" s="18"/>
      <c r="AA11" s="18"/>
      <c r="AB11" s="18"/>
      <c r="AC11" s="18"/>
      <c r="AD11" s="18"/>
      <c r="AE11" s="18"/>
      <c r="AF11" s="18"/>
      <c r="AG11" s="18"/>
      <c r="AH11" s="18"/>
      <c r="AK11" s="18"/>
      <c r="AL11" s="18"/>
      <c r="AM11" s="18"/>
      <c r="AN11" s="18"/>
      <c r="AO11" s="18"/>
      <c r="AP11" s="18"/>
      <c r="AQ11" s="18"/>
      <c r="AR11" s="18"/>
    </row>
    <row r="12" spans="2:48" x14ac:dyDescent="0.25">
      <c r="B12" s="46">
        <v>46064</v>
      </c>
      <c r="C12" s="32" t="str">
        <f t="shared" si="0"/>
        <v>QUARTA-FEIRA</v>
      </c>
      <c r="D12" s="39">
        <f>137+5003+5046</f>
        <v>10186</v>
      </c>
      <c r="F12" s="48"/>
      <c r="G12" s="49"/>
      <c r="J12" s="196" t="s">
        <v>3</v>
      </c>
      <c r="K12" s="196"/>
      <c r="T12" s="18"/>
      <c r="U12" s="18"/>
      <c r="V12" s="18"/>
      <c r="W12" s="18"/>
      <c r="X12" s="18"/>
      <c r="AA12" s="18"/>
      <c r="AB12" s="18"/>
      <c r="AC12" s="18"/>
      <c r="AD12" s="18"/>
      <c r="AE12" s="18"/>
      <c r="AF12" s="18"/>
      <c r="AG12" s="18"/>
      <c r="AH12" s="18"/>
      <c r="AK12" s="18"/>
      <c r="AL12" s="18"/>
      <c r="AM12" s="18"/>
      <c r="AN12" s="18"/>
      <c r="AO12" s="18"/>
      <c r="AP12" s="18"/>
      <c r="AQ12" s="18"/>
      <c r="AR12" s="18"/>
    </row>
    <row r="13" spans="2:48" x14ac:dyDescent="0.25">
      <c r="B13" s="46">
        <v>46065</v>
      </c>
      <c r="C13" s="32" t="str">
        <f t="shared" si="0"/>
        <v>QUINTA-FEIRA</v>
      </c>
      <c r="D13" s="39">
        <f>1154+4083+6627</f>
        <v>11864</v>
      </c>
      <c r="F13" s="48"/>
      <c r="G13" s="49"/>
      <c r="J13" s="59" t="s">
        <v>90</v>
      </c>
      <c r="K13" s="86">
        <v>200000</v>
      </c>
      <c r="M13" s="18" t="s">
        <v>27</v>
      </c>
      <c r="N13" s="18" t="s">
        <v>28</v>
      </c>
      <c r="O13" s="18" t="s">
        <v>91</v>
      </c>
      <c r="P13" s="18" t="s">
        <v>37</v>
      </c>
      <c r="Q13" s="18" t="s">
        <v>97</v>
      </c>
      <c r="R13" t="s">
        <v>93</v>
      </c>
      <c r="W13" s="18" t="s">
        <v>27</v>
      </c>
      <c r="X13" s="18" t="s">
        <v>28</v>
      </c>
      <c r="Y13" s="18" t="s">
        <v>91</v>
      </c>
      <c r="Z13" s="18" t="s">
        <v>37</v>
      </c>
      <c r="AA13" s="18" t="s">
        <v>97</v>
      </c>
      <c r="AB13" t="s">
        <v>93</v>
      </c>
      <c r="AG13" s="18" t="s">
        <v>27</v>
      </c>
      <c r="AH13" s="18" t="s">
        <v>28</v>
      </c>
      <c r="AI13" s="18" t="s">
        <v>91</v>
      </c>
      <c r="AJ13" s="18" t="s">
        <v>37</v>
      </c>
      <c r="AK13" s="18" t="s">
        <v>97</v>
      </c>
      <c r="AL13" t="s">
        <v>93</v>
      </c>
      <c r="AQ13" s="18" t="s">
        <v>27</v>
      </c>
      <c r="AR13" s="18" t="s">
        <v>28</v>
      </c>
      <c r="AS13" s="18" t="s">
        <v>91</v>
      </c>
      <c r="AT13" s="18" t="s">
        <v>37</v>
      </c>
      <c r="AU13" s="18" t="s">
        <v>97</v>
      </c>
      <c r="AV13" t="s">
        <v>93</v>
      </c>
    </row>
    <row r="14" spans="2:48" x14ac:dyDescent="0.25">
      <c r="B14" s="46">
        <v>46066</v>
      </c>
      <c r="C14" s="32" t="str">
        <f t="shared" si="0"/>
        <v>SEXTA-FEIRA</v>
      </c>
      <c r="D14" s="39">
        <f>906+3292+5104</f>
        <v>9302</v>
      </c>
      <c r="F14" s="1"/>
      <c r="J14" s="59" t="s">
        <v>94</v>
      </c>
      <c r="K14" s="88">
        <f>K8</f>
        <v>25</v>
      </c>
      <c r="M14" s="59">
        <f>M3</f>
        <v>5</v>
      </c>
      <c r="N14" s="84">
        <f>N3</f>
        <v>2026</v>
      </c>
      <c r="O14" s="23">
        <f t="shared" ref="O14:O20" si="6">O3</f>
        <v>140000</v>
      </c>
      <c r="P14" s="18" t="s">
        <v>11</v>
      </c>
      <c r="Q14" s="90">
        <f>(O3*Q3)/Tabela68[[#This Row],[QUANTIDADE]]</f>
        <v>0</v>
      </c>
      <c r="R14" s="85">
        <f>R3</f>
        <v>5</v>
      </c>
      <c r="S14" s="85"/>
      <c r="T14" s="85"/>
      <c r="U14" s="85"/>
      <c r="W14" s="59">
        <f>W3</f>
        <v>5</v>
      </c>
      <c r="X14" s="84">
        <f>X3</f>
        <v>2026</v>
      </c>
      <c r="Y14" s="23">
        <f t="shared" ref="Y14:Y20" si="7">Y3</f>
        <v>170000</v>
      </c>
      <c r="Z14" s="18" t="s">
        <v>11</v>
      </c>
      <c r="AA14" s="90">
        <f>(Y3*AA3)/Tabela6810[[#This Row],[QUANTIDADE]]</f>
        <v>0</v>
      </c>
      <c r="AB14" s="85">
        <f t="shared" ref="AB14:AB20" si="8">AB3</f>
        <v>5</v>
      </c>
      <c r="AC14" s="85"/>
      <c r="AD14" s="85"/>
      <c r="AE14" s="85"/>
      <c r="AG14" s="59">
        <f>AG3</f>
        <v>5</v>
      </c>
      <c r="AH14" s="84">
        <f>AH3</f>
        <v>2026</v>
      </c>
      <c r="AI14" s="23">
        <f t="shared" ref="AI14:AI20" si="9">AI3</f>
        <v>200000</v>
      </c>
      <c r="AJ14" s="18" t="s">
        <v>11</v>
      </c>
      <c r="AK14" s="90">
        <f>(AI3*AK3)/Tabela681012[[#This Row],[QUANTIDADE]]</f>
        <v>0</v>
      </c>
      <c r="AL14" s="85">
        <f t="shared" ref="AL14:AL20" si="10">AL3</f>
        <v>4</v>
      </c>
      <c r="AM14" s="85"/>
      <c r="AN14" s="85"/>
      <c r="AO14" s="85"/>
      <c r="AQ14" s="59">
        <f>AQ3</f>
        <v>5</v>
      </c>
      <c r="AR14" s="84">
        <f>AR3</f>
        <v>2026</v>
      </c>
      <c r="AS14" s="23">
        <f t="shared" ref="AS14:AS20" si="11">AS3</f>
        <v>230000</v>
      </c>
      <c r="AT14" s="18" t="s">
        <v>11</v>
      </c>
      <c r="AU14" s="90">
        <f>(AS3*AU3)/Tabela68101214[[#This Row],[QUANTIDADE]]</f>
        <v>0</v>
      </c>
      <c r="AV14" s="85">
        <f t="shared" ref="AV14:AV20" si="12">AV3</f>
        <v>4</v>
      </c>
    </row>
    <row r="15" spans="2:48" x14ac:dyDescent="0.25">
      <c r="B15" s="46">
        <v>46067</v>
      </c>
      <c r="C15" s="32" t="str">
        <f t="shared" si="0"/>
        <v>SÁBADO</v>
      </c>
      <c r="D15" s="39">
        <f>22+6365-10+1836</f>
        <v>8213</v>
      </c>
      <c r="F15" s="45"/>
      <c r="G15" s="73"/>
      <c r="J15" s="59" t="s">
        <v>95</v>
      </c>
      <c r="K15" s="86">
        <f>K13/K14</f>
        <v>8000</v>
      </c>
      <c r="M15" s="59">
        <f t="shared" ref="M15:N20" si="13">M4</f>
        <v>5</v>
      </c>
      <c r="N15" s="84">
        <f t="shared" si="13"/>
        <v>2026</v>
      </c>
      <c r="O15" s="23">
        <f t="shared" si="6"/>
        <v>140000</v>
      </c>
      <c r="P15" s="18" t="s">
        <v>12</v>
      </c>
      <c r="Q15" s="90">
        <f>(O4*Q4)/Tabela68[[#This Row],[QUANTIDADE]]</f>
        <v>4767.5176412355468</v>
      </c>
      <c r="R15" s="85">
        <f t="shared" ref="R15:R20" si="14">R4</f>
        <v>4</v>
      </c>
      <c r="S15" s="85"/>
      <c r="T15" s="85"/>
      <c r="U15" s="85"/>
      <c r="W15" s="59">
        <f t="shared" ref="W15:X15" si="15">W4</f>
        <v>5</v>
      </c>
      <c r="X15" s="84">
        <f t="shared" si="15"/>
        <v>2026</v>
      </c>
      <c r="Y15" s="23">
        <f t="shared" si="7"/>
        <v>170000</v>
      </c>
      <c r="Z15" s="18" t="s">
        <v>12</v>
      </c>
      <c r="AA15" s="90">
        <f>(Y4*AA4)/Tabela6810[[#This Row],[QUANTIDADE]]</f>
        <v>5789.1285643574502</v>
      </c>
      <c r="AB15" s="85">
        <f t="shared" si="8"/>
        <v>4</v>
      </c>
      <c r="AC15" s="85"/>
      <c r="AD15" s="85"/>
      <c r="AE15" s="85"/>
      <c r="AG15" s="59">
        <f t="shared" ref="AG15:AH15" si="16">AG4</f>
        <v>5</v>
      </c>
      <c r="AH15" s="84">
        <f t="shared" si="16"/>
        <v>2026</v>
      </c>
      <c r="AI15" s="23">
        <f t="shared" si="9"/>
        <v>200000</v>
      </c>
      <c r="AJ15" s="18" t="s">
        <v>12</v>
      </c>
      <c r="AK15" s="90">
        <f>(AI4*AK4)/Tabela681012[[#This Row],[QUANTIDADE]]</f>
        <v>6810.7394874793526</v>
      </c>
      <c r="AL15" s="85">
        <f t="shared" si="10"/>
        <v>4</v>
      </c>
      <c r="AM15" s="85"/>
      <c r="AN15" s="85"/>
      <c r="AO15" s="85"/>
      <c r="AQ15" s="59">
        <f t="shared" ref="AQ15:AR15" si="17">AQ4</f>
        <v>5</v>
      </c>
      <c r="AR15" s="84">
        <f t="shared" si="17"/>
        <v>2026</v>
      </c>
      <c r="AS15" s="23">
        <f t="shared" si="11"/>
        <v>230000</v>
      </c>
      <c r="AT15" s="18" t="s">
        <v>12</v>
      </c>
      <c r="AU15" s="90">
        <f>(AS4*AU4)/Tabela68101214[[#This Row],[QUANTIDADE]]</f>
        <v>7832.350410601256</v>
      </c>
      <c r="AV15" s="85">
        <f t="shared" si="12"/>
        <v>4</v>
      </c>
    </row>
    <row r="16" spans="2:48" x14ac:dyDescent="0.25">
      <c r="B16" s="46">
        <v>46068</v>
      </c>
      <c r="C16" s="32" t="str">
        <f t="shared" si="0"/>
        <v>DOMINGO</v>
      </c>
      <c r="D16" s="39">
        <v>0</v>
      </c>
      <c r="F16" s="45"/>
      <c r="G16" s="73"/>
      <c r="J16" s="91"/>
      <c r="M16" s="59">
        <f t="shared" si="13"/>
        <v>5</v>
      </c>
      <c r="N16" s="84">
        <f t="shared" si="13"/>
        <v>2026</v>
      </c>
      <c r="O16" s="23">
        <f t="shared" si="6"/>
        <v>140000</v>
      </c>
      <c r="P16" s="18" t="s">
        <v>13</v>
      </c>
      <c r="Q16" s="90">
        <f>(O5*Q5)/Tabela68[[#This Row],[QUANTIDADE]]</f>
        <v>4768.9337978784042</v>
      </c>
      <c r="R16" s="85">
        <f t="shared" si="14"/>
        <v>4</v>
      </c>
      <c r="S16" s="85"/>
      <c r="T16" s="85"/>
      <c r="U16" s="85"/>
      <c r="W16" s="59">
        <f t="shared" ref="W16:X16" si="18">W5</f>
        <v>5</v>
      </c>
      <c r="X16" s="84">
        <f t="shared" si="18"/>
        <v>2026</v>
      </c>
      <c r="Y16" s="23">
        <f t="shared" si="7"/>
        <v>170000</v>
      </c>
      <c r="Z16" s="18" t="s">
        <v>13</v>
      </c>
      <c r="AA16" s="90">
        <f>(Y5*AA5)/Tabela6810[[#This Row],[QUANTIDADE]]</f>
        <v>5790.8481831380623</v>
      </c>
      <c r="AB16" s="85">
        <f t="shared" si="8"/>
        <v>4</v>
      </c>
      <c r="AC16" s="85"/>
      <c r="AD16" s="85"/>
      <c r="AE16" s="85"/>
      <c r="AG16" s="59">
        <f t="shared" ref="AG16:AH16" si="19">AG5</f>
        <v>5</v>
      </c>
      <c r="AH16" s="84">
        <f t="shared" si="19"/>
        <v>2026</v>
      </c>
      <c r="AI16" s="23">
        <f t="shared" si="9"/>
        <v>200000</v>
      </c>
      <c r="AJ16" s="18" t="s">
        <v>13</v>
      </c>
      <c r="AK16" s="90">
        <f>(AI5*AK5)/Tabela681012[[#This Row],[QUANTIDADE]]</f>
        <v>6812.7625683977203</v>
      </c>
      <c r="AL16" s="85">
        <f t="shared" si="10"/>
        <v>4</v>
      </c>
      <c r="AM16" s="85"/>
      <c r="AN16" s="85"/>
      <c r="AO16" s="85"/>
      <c r="AQ16" s="59">
        <f t="shared" ref="AQ16:AR16" si="20">AQ5</f>
        <v>5</v>
      </c>
      <c r="AR16" s="84">
        <f t="shared" si="20"/>
        <v>2026</v>
      </c>
      <c r="AS16" s="23">
        <f t="shared" si="11"/>
        <v>230000</v>
      </c>
      <c r="AT16" s="18" t="s">
        <v>13</v>
      </c>
      <c r="AU16" s="90">
        <f>(AS5*AU5)/Tabela68101214[[#This Row],[QUANTIDADE]]</f>
        <v>7834.6769536573784</v>
      </c>
      <c r="AV16" s="85">
        <f t="shared" si="12"/>
        <v>4</v>
      </c>
    </row>
    <row r="17" spans="2:48" x14ac:dyDescent="0.25">
      <c r="B17" s="46">
        <v>46069</v>
      </c>
      <c r="C17" s="32" t="str">
        <f t="shared" si="0"/>
        <v>SEGUNDA-FEIRA</v>
      </c>
      <c r="D17" s="39">
        <f>1188+2793+1814.6</f>
        <v>5795.6</v>
      </c>
      <c r="G17" s="73"/>
      <c r="M17" s="59">
        <f t="shared" si="13"/>
        <v>5</v>
      </c>
      <c r="N17" s="84">
        <f t="shared" si="13"/>
        <v>2026</v>
      </c>
      <c r="O17" s="23">
        <f t="shared" si="6"/>
        <v>140000</v>
      </c>
      <c r="P17" s="18" t="s">
        <v>14</v>
      </c>
      <c r="Q17" s="90">
        <f>(O6*Q6)/Tabela68[[#This Row],[QUANTIDADE]]</f>
        <v>5654.3789000295619</v>
      </c>
      <c r="R17" s="85">
        <f t="shared" si="14"/>
        <v>4</v>
      </c>
      <c r="S17" s="85"/>
      <c r="T17" s="85"/>
      <c r="U17" s="85"/>
      <c r="W17" s="59">
        <f t="shared" ref="W17:X17" si="21">W6</f>
        <v>5</v>
      </c>
      <c r="X17" s="84">
        <f t="shared" si="21"/>
        <v>2026</v>
      </c>
      <c r="Y17" s="23">
        <f t="shared" si="7"/>
        <v>170000</v>
      </c>
      <c r="Z17" s="18" t="s">
        <v>14</v>
      </c>
      <c r="AA17" s="90">
        <f>(Y6*AA6)/Tabela6810[[#This Row],[QUANTIDADE]]</f>
        <v>6866.0315214644679</v>
      </c>
      <c r="AB17" s="85">
        <f t="shared" si="8"/>
        <v>4</v>
      </c>
      <c r="AC17" s="85"/>
      <c r="AD17" s="85"/>
      <c r="AE17" s="85"/>
      <c r="AG17" s="59">
        <f t="shared" ref="AG17:AH17" si="22">AG6</f>
        <v>5</v>
      </c>
      <c r="AH17" s="84">
        <f t="shared" si="22"/>
        <v>2026</v>
      </c>
      <c r="AI17" s="23">
        <f t="shared" si="9"/>
        <v>200000</v>
      </c>
      <c r="AJ17" s="18" t="s">
        <v>14</v>
      </c>
      <c r="AK17" s="90">
        <f>(AI6*AK6)/Tabela681012[[#This Row],[QUANTIDADE]]</f>
        <v>8077.6841428993748</v>
      </c>
      <c r="AL17" s="85">
        <f t="shared" si="10"/>
        <v>4</v>
      </c>
      <c r="AM17" s="85"/>
      <c r="AN17" s="85"/>
      <c r="AO17" s="85"/>
      <c r="AQ17" s="59">
        <f t="shared" ref="AQ17:AR17" si="23">AQ6</f>
        <v>5</v>
      </c>
      <c r="AR17" s="84">
        <f t="shared" si="23"/>
        <v>2026</v>
      </c>
      <c r="AS17" s="23">
        <f t="shared" si="11"/>
        <v>230000</v>
      </c>
      <c r="AT17" s="18" t="s">
        <v>14</v>
      </c>
      <c r="AU17" s="90">
        <f>(AS6*AU6)/Tabela68101214[[#This Row],[QUANTIDADE]]</f>
        <v>9289.3367643342808</v>
      </c>
      <c r="AV17" s="85">
        <f t="shared" si="12"/>
        <v>4</v>
      </c>
    </row>
    <row r="18" spans="2:48" x14ac:dyDescent="0.25">
      <c r="B18" s="46">
        <v>46070</v>
      </c>
      <c r="C18" s="32" t="str">
        <f t="shared" si="0"/>
        <v>TERÇA-FEIRA</v>
      </c>
      <c r="D18" s="39">
        <f>1355+1508.7+0+420</f>
        <v>3283.7</v>
      </c>
      <c r="G18" s="73"/>
      <c r="J18" s="196" t="s">
        <v>4</v>
      </c>
      <c r="K18" s="196"/>
      <c r="M18" s="59">
        <f t="shared" si="13"/>
        <v>5</v>
      </c>
      <c r="N18" s="84">
        <f t="shared" si="13"/>
        <v>2026</v>
      </c>
      <c r="O18" s="23">
        <f t="shared" si="6"/>
        <v>140000</v>
      </c>
      <c r="P18" s="18" t="s">
        <v>15</v>
      </c>
      <c r="Q18" s="90">
        <f>(O7*Q7)/Tabela68[[#This Row],[QUANTIDADE]]</f>
        <v>7079.6890070712852</v>
      </c>
      <c r="R18" s="85">
        <f t="shared" si="14"/>
        <v>4</v>
      </c>
      <c r="S18" s="85"/>
      <c r="T18" s="85"/>
      <c r="U18" s="85"/>
      <c r="W18" s="59">
        <f t="shared" ref="W18:X18" si="24">W7</f>
        <v>5</v>
      </c>
      <c r="X18" s="84">
        <f t="shared" si="24"/>
        <v>2026</v>
      </c>
      <c r="Y18" s="23">
        <f t="shared" si="7"/>
        <v>170000</v>
      </c>
      <c r="Z18" s="18" t="s">
        <v>15</v>
      </c>
      <c r="AA18" s="90">
        <f>(Y7*AA7)/Tabela6810[[#This Row],[QUANTIDADE]]</f>
        <v>8596.7652228722745</v>
      </c>
      <c r="AB18" s="85">
        <f t="shared" si="8"/>
        <v>4</v>
      </c>
      <c r="AC18" s="85"/>
      <c r="AD18" s="85"/>
      <c r="AE18" s="85"/>
      <c r="AG18" s="59">
        <f t="shared" ref="AG18:AH18" si="25">AG7</f>
        <v>5</v>
      </c>
      <c r="AH18" s="84">
        <f t="shared" si="25"/>
        <v>2026</v>
      </c>
      <c r="AI18" s="23">
        <f t="shared" si="9"/>
        <v>200000</v>
      </c>
      <c r="AJ18" s="18" t="s">
        <v>15</v>
      </c>
      <c r="AK18" s="90">
        <f>(AI7*AK7)/Tabela681012[[#This Row],[QUANTIDADE]]</f>
        <v>10113.841438673264</v>
      </c>
      <c r="AL18" s="85">
        <f t="shared" si="10"/>
        <v>4</v>
      </c>
      <c r="AM18" s="85"/>
      <c r="AN18" s="85"/>
      <c r="AO18" s="85"/>
      <c r="AQ18" s="59">
        <f t="shared" ref="AQ18:AR18" si="26">AQ7</f>
        <v>5</v>
      </c>
      <c r="AR18" s="84">
        <f t="shared" si="26"/>
        <v>2026</v>
      </c>
      <c r="AS18" s="23">
        <f t="shared" si="11"/>
        <v>230000</v>
      </c>
      <c r="AT18" s="18" t="s">
        <v>15</v>
      </c>
      <c r="AU18" s="90">
        <f>(AS7*AU7)/Tabela68101214[[#This Row],[QUANTIDADE]]</f>
        <v>11630.917654474253</v>
      </c>
      <c r="AV18" s="85">
        <f t="shared" si="12"/>
        <v>4</v>
      </c>
    </row>
    <row r="19" spans="2:48" x14ac:dyDescent="0.25">
      <c r="B19" s="46">
        <v>46071</v>
      </c>
      <c r="C19" s="32" t="str">
        <f t="shared" si="0"/>
        <v>QUARTA-FEIRA</v>
      </c>
      <c r="D19" s="39">
        <f>1332.2+3138+3051.5</f>
        <v>7521.7</v>
      </c>
      <c r="J19" s="59" t="s">
        <v>90</v>
      </c>
      <c r="K19" s="86">
        <v>230000</v>
      </c>
      <c r="M19" s="59">
        <f t="shared" si="13"/>
        <v>5</v>
      </c>
      <c r="N19" s="84">
        <f t="shared" si="13"/>
        <v>2026</v>
      </c>
      <c r="O19" s="23">
        <f t="shared" si="6"/>
        <v>140000</v>
      </c>
      <c r="P19" s="18" t="s">
        <v>16</v>
      </c>
      <c r="Q19" s="90">
        <f>(O8*Q8)/Tabela68[[#This Row],[QUANTIDADE]]</f>
        <v>6550.0506311321069</v>
      </c>
      <c r="R19" s="85">
        <f t="shared" si="14"/>
        <v>4</v>
      </c>
      <c r="S19" s="85"/>
      <c r="T19" s="85"/>
      <c r="U19" s="85"/>
      <c r="W19" s="59">
        <f t="shared" ref="W19:X19" si="27">W8</f>
        <v>5</v>
      </c>
      <c r="X19" s="84">
        <f t="shared" si="27"/>
        <v>2026</v>
      </c>
      <c r="Y19" s="23">
        <f t="shared" si="7"/>
        <v>170000</v>
      </c>
      <c r="Z19" s="18" t="s">
        <v>16</v>
      </c>
      <c r="AA19" s="90">
        <f>(Y8*AA8)/Tabela6810[[#This Row],[QUANTIDADE]]</f>
        <v>7953.6329092318447</v>
      </c>
      <c r="AB19" s="85">
        <f t="shared" si="8"/>
        <v>4</v>
      </c>
      <c r="AC19" s="85"/>
      <c r="AD19" s="85"/>
      <c r="AE19" s="85"/>
      <c r="AG19" s="59">
        <f t="shared" ref="AG19:AH19" si="28">AG8</f>
        <v>5</v>
      </c>
      <c r="AH19" s="84">
        <f t="shared" si="28"/>
        <v>2026</v>
      </c>
      <c r="AI19" s="23">
        <f t="shared" si="9"/>
        <v>200000</v>
      </c>
      <c r="AJ19" s="18" t="s">
        <v>16</v>
      </c>
      <c r="AK19" s="90">
        <f>(AI8*AK8)/Tabela681012[[#This Row],[QUANTIDADE]]</f>
        <v>9357.2151873315815</v>
      </c>
      <c r="AL19" s="85">
        <f t="shared" si="10"/>
        <v>4</v>
      </c>
      <c r="AM19" s="85"/>
      <c r="AN19" s="85"/>
      <c r="AO19" s="85"/>
      <c r="AQ19" s="59">
        <f t="shared" ref="AQ19:AR19" si="29">AQ8</f>
        <v>5</v>
      </c>
      <c r="AR19" s="84">
        <f t="shared" si="29"/>
        <v>2026</v>
      </c>
      <c r="AS19" s="23">
        <f t="shared" si="11"/>
        <v>230000</v>
      </c>
      <c r="AT19" s="18" t="s">
        <v>16</v>
      </c>
      <c r="AU19" s="90">
        <f>(AS8*AU8)/Tabela68101214[[#This Row],[QUANTIDADE]]</f>
        <v>10760.797465431318</v>
      </c>
      <c r="AV19" s="85">
        <f t="shared" si="12"/>
        <v>4</v>
      </c>
    </row>
    <row r="20" spans="2:48" x14ac:dyDescent="0.25">
      <c r="B20" s="46">
        <v>46072</v>
      </c>
      <c r="C20" s="32" t="str">
        <f t="shared" si="0"/>
        <v>QUINTA-FEIRA</v>
      </c>
      <c r="D20" s="39">
        <f>1319+1872+535</f>
        <v>3726</v>
      </c>
      <c r="J20" s="59" t="s">
        <v>94</v>
      </c>
      <c r="K20" s="88">
        <f>K14</f>
        <v>25</v>
      </c>
      <c r="M20" s="59">
        <f t="shared" si="13"/>
        <v>5</v>
      </c>
      <c r="N20" s="84">
        <f t="shared" si="13"/>
        <v>2026</v>
      </c>
      <c r="O20" s="23">
        <f t="shared" si="6"/>
        <v>140000</v>
      </c>
      <c r="P20" s="18" t="s">
        <v>17</v>
      </c>
      <c r="Q20" s="90">
        <f>(O9*Q9)/Tabela68[[#This Row],[QUANTIDADE]]</f>
        <v>4943.5440181224758</v>
      </c>
      <c r="R20" s="85">
        <f t="shared" si="14"/>
        <v>5</v>
      </c>
      <c r="S20" s="85"/>
      <c r="T20" s="85"/>
      <c r="U20" s="85"/>
      <c r="W20" s="59">
        <f t="shared" ref="W20:X20" si="30">W9</f>
        <v>5</v>
      </c>
      <c r="X20" s="84">
        <f t="shared" si="30"/>
        <v>2026</v>
      </c>
      <c r="Y20" s="23">
        <f t="shared" si="7"/>
        <v>170000</v>
      </c>
      <c r="Z20" s="18" t="s">
        <v>17</v>
      </c>
      <c r="AA20" s="90">
        <f>(Y9*AA9)/Tabela6810[[#This Row],[QUANTIDADE]]</f>
        <v>6002.8748791487214</v>
      </c>
      <c r="AB20" s="85">
        <f t="shared" si="8"/>
        <v>5</v>
      </c>
      <c r="AC20" s="85"/>
      <c r="AD20" s="85"/>
      <c r="AE20" s="85"/>
      <c r="AG20" s="59">
        <f t="shared" ref="AG20:AH20" si="31">AG9</f>
        <v>5</v>
      </c>
      <c r="AH20" s="84">
        <f t="shared" si="31"/>
        <v>2026</v>
      </c>
      <c r="AI20" s="23">
        <f t="shared" si="9"/>
        <v>200000</v>
      </c>
      <c r="AJ20" s="18" t="s">
        <v>17</v>
      </c>
      <c r="AK20" s="90">
        <f>(AI9*AK9)/Tabela681012[[#This Row],[QUANTIDADE]]</f>
        <v>7062.2057401749653</v>
      </c>
      <c r="AL20" s="85">
        <f t="shared" si="10"/>
        <v>5</v>
      </c>
      <c r="AM20" s="85"/>
      <c r="AN20" s="85"/>
      <c r="AO20" s="85"/>
      <c r="AQ20" s="59">
        <f t="shared" ref="AQ20:AR20" si="32">AQ9</f>
        <v>5</v>
      </c>
      <c r="AR20" s="84">
        <f t="shared" si="32"/>
        <v>2026</v>
      </c>
      <c r="AS20" s="23">
        <f t="shared" si="11"/>
        <v>230000</v>
      </c>
      <c r="AT20" s="18" t="s">
        <v>17</v>
      </c>
      <c r="AU20" s="90">
        <f>(AS9*AU9)/Tabela68101214[[#This Row],[QUANTIDADE]]</f>
        <v>8121.5366012012109</v>
      </c>
      <c r="AV20" s="85">
        <f t="shared" si="12"/>
        <v>5</v>
      </c>
    </row>
    <row r="21" spans="2:48" x14ac:dyDescent="0.25">
      <c r="B21" s="46">
        <v>46073</v>
      </c>
      <c r="C21" s="32" t="str">
        <f t="shared" si="0"/>
        <v>SEXTA-FEIRA</v>
      </c>
      <c r="D21" s="39">
        <f>329+3856+2484</f>
        <v>6669</v>
      </c>
      <c r="J21" s="59" t="s">
        <v>95</v>
      </c>
      <c r="K21" s="86">
        <f>K19/K20</f>
        <v>9200</v>
      </c>
    </row>
    <row r="22" spans="2:48" x14ac:dyDescent="0.25">
      <c r="B22" s="46">
        <v>46074</v>
      </c>
      <c r="C22" s="32" t="str">
        <f t="shared" si="0"/>
        <v>SÁBADO</v>
      </c>
      <c r="D22" s="39">
        <f>663+4025+0+2356.2</f>
        <v>7044.2</v>
      </c>
    </row>
    <row r="23" spans="2:48" x14ac:dyDescent="0.25">
      <c r="B23" s="46">
        <v>46075</v>
      </c>
      <c r="C23" s="32" t="str">
        <f t="shared" si="0"/>
        <v>DOMINGO</v>
      </c>
      <c r="D23" s="39">
        <v>0</v>
      </c>
    </row>
    <row r="24" spans="2:48" x14ac:dyDescent="0.25">
      <c r="B24" s="46">
        <v>46076</v>
      </c>
      <c r="C24" s="32" t="str">
        <f t="shared" si="0"/>
        <v>SEGUNDA-FEIRA</v>
      </c>
      <c r="D24" s="39">
        <f>3967+2552.07</f>
        <v>6519.07</v>
      </c>
    </row>
    <row r="25" spans="2:48" x14ac:dyDescent="0.25">
      <c r="B25" s="46">
        <v>46077</v>
      </c>
      <c r="C25" s="32" t="str">
        <f t="shared" si="0"/>
        <v>TERÇA-FEIRA</v>
      </c>
      <c r="D25" s="39">
        <f>228+3599+1814.7</f>
        <v>5641.7</v>
      </c>
    </row>
    <row r="26" spans="2:48" x14ac:dyDescent="0.25">
      <c r="B26" s="46">
        <v>46078</v>
      </c>
      <c r="C26" s="32" t="str">
        <f t="shared" si="0"/>
        <v>QUARTA-FEIRA</v>
      </c>
      <c r="D26" s="39">
        <f>3209+2135.6</f>
        <v>5344.6</v>
      </c>
    </row>
    <row r="27" spans="2:48" x14ac:dyDescent="0.25">
      <c r="B27" s="46">
        <v>46079</v>
      </c>
      <c r="C27" s="32" t="str">
        <f t="shared" si="0"/>
        <v>QUINTA-FEIRA</v>
      </c>
      <c r="D27" s="39">
        <f>602+4957+0+3261.9</f>
        <v>8820.9</v>
      </c>
    </row>
    <row r="28" spans="2:48" x14ac:dyDescent="0.25">
      <c r="B28" s="46">
        <v>46080</v>
      </c>
      <c r="C28" s="32" t="str">
        <f t="shared" si="0"/>
        <v>SEXTA-FEIRA</v>
      </c>
      <c r="D28" s="39">
        <f>306.5+3874+1403</f>
        <v>5583.5</v>
      </c>
    </row>
    <row r="29" spans="2:48" x14ac:dyDescent="0.25">
      <c r="B29" s="46">
        <v>46081</v>
      </c>
      <c r="C29" s="32" t="str">
        <f t="shared" si="0"/>
        <v>SÁBADO</v>
      </c>
      <c r="D29" s="39">
        <f>527+4230+0+1828.3</f>
        <v>6585.3</v>
      </c>
    </row>
    <row r="30" spans="2:48" x14ac:dyDescent="0.25">
      <c r="C30" s="32" t="str">
        <f t="shared" si="0"/>
        <v>SÁBADO</v>
      </c>
      <c r="D30" s="39">
        <v>0</v>
      </c>
    </row>
    <row r="31" spans="2:48" x14ac:dyDescent="0.25">
      <c r="C31" s="32" t="str">
        <f>UPPER(TEXT(B31,"dddd"))</f>
        <v>SÁBADO</v>
      </c>
      <c r="D31" s="172">
        <v>669</v>
      </c>
      <c r="P31" s="23"/>
      <c r="Q31" s="23"/>
    </row>
    <row r="32" spans="2:48" x14ac:dyDescent="0.25">
      <c r="C32" s="32" t="str">
        <f>UPPER(TEXT(B32,"dddd"))</f>
        <v>SÁBADO</v>
      </c>
      <c r="D32" s="174"/>
      <c r="P32" s="23"/>
      <c r="Q32" s="23"/>
    </row>
    <row r="33" spans="4:51" ht="21" x14ac:dyDescent="0.25">
      <c r="D33" s="39">
        <f>SUM(D2:D32)</f>
        <v>166330.47</v>
      </c>
      <c r="M33" s="197" t="s">
        <v>98</v>
      </c>
      <c r="N33" s="197"/>
      <c r="O33" s="197"/>
      <c r="P33" s="197"/>
      <c r="Q33" s="197"/>
      <c r="R33" s="197"/>
      <c r="S33" s="197"/>
      <c r="T33" s="197"/>
      <c r="U33" s="197"/>
      <c r="W33" s="197" t="s">
        <v>98</v>
      </c>
      <c r="X33" s="197"/>
      <c r="Y33" s="197"/>
      <c r="Z33" s="197"/>
      <c r="AA33" s="197"/>
      <c r="AB33" s="197"/>
      <c r="AC33" s="197"/>
      <c r="AD33" s="197"/>
      <c r="AE33" s="197"/>
      <c r="AG33" s="197" t="s">
        <v>98</v>
      </c>
      <c r="AH33" s="197"/>
      <c r="AI33" s="197"/>
      <c r="AJ33" s="197"/>
      <c r="AK33" s="197"/>
      <c r="AL33" s="197"/>
      <c r="AM33" s="197"/>
      <c r="AN33" s="197"/>
      <c r="AO33" s="197"/>
      <c r="AQ33" s="197" t="s">
        <v>98</v>
      </c>
      <c r="AR33" s="197"/>
      <c r="AS33" s="197"/>
      <c r="AT33" s="197"/>
      <c r="AU33" s="197"/>
      <c r="AV33" s="197"/>
      <c r="AW33" s="197"/>
      <c r="AX33" s="197"/>
      <c r="AY33" s="197"/>
    </row>
    <row r="34" spans="4:51" x14ac:dyDescent="0.25">
      <c r="H34" s="1"/>
      <c r="I34" s="1"/>
      <c r="J34" s="1"/>
      <c r="K34" s="1"/>
      <c r="R34" s="18"/>
      <c r="S34" s="18"/>
      <c r="T34" s="18"/>
      <c r="U34" s="18"/>
      <c r="W34" s="18"/>
      <c r="X34" s="18"/>
      <c r="Y34" s="18"/>
      <c r="Z34" s="18"/>
      <c r="AA34" s="18"/>
      <c r="AB34" s="18"/>
      <c r="AC34" s="18"/>
      <c r="AD34" s="18"/>
      <c r="AE34" s="18"/>
      <c r="AG34" s="18"/>
      <c r="AH34" s="18"/>
      <c r="AI34" s="18"/>
      <c r="AJ34" s="18"/>
      <c r="AK34" s="18"/>
      <c r="AL34" s="18"/>
      <c r="AM34" s="18"/>
      <c r="AN34" s="18"/>
      <c r="AO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4:51" x14ac:dyDescent="0.25">
      <c r="H35" s="1"/>
      <c r="I35" s="1"/>
      <c r="J35" s="1"/>
      <c r="K35" s="1"/>
      <c r="N35" s="170"/>
      <c r="O35" s="92"/>
      <c r="R35" s="18"/>
      <c r="S35" s="18"/>
      <c r="T35" s="18"/>
      <c r="U35" s="18"/>
      <c r="W35" s="18"/>
      <c r="X35" s="170"/>
      <c r="Y35" s="92"/>
      <c r="Z35" s="18"/>
      <c r="AA35" s="18"/>
      <c r="AB35" s="18"/>
      <c r="AC35" s="18"/>
      <c r="AD35" s="18"/>
      <c r="AE35" s="18"/>
      <c r="AG35" s="18"/>
      <c r="AH35" s="170"/>
      <c r="AI35" s="92"/>
      <c r="AJ35" s="18"/>
      <c r="AK35" s="18"/>
      <c r="AL35" s="18"/>
      <c r="AM35" s="18"/>
      <c r="AN35" s="18"/>
      <c r="AO35" s="18"/>
      <c r="AQ35" s="18"/>
      <c r="AR35" s="170"/>
      <c r="AS35" s="92"/>
      <c r="AT35" s="18"/>
      <c r="AU35" s="18"/>
      <c r="AV35" s="18"/>
      <c r="AW35" s="18"/>
      <c r="AX35" s="18"/>
      <c r="AY35" s="18"/>
    </row>
    <row r="36" spans="4:51" x14ac:dyDescent="0.25">
      <c r="H36" s="1"/>
      <c r="I36" s="1"/>
      <c r="J36" s="1"/>
      <c r="K36" s="1"/>
      <c r="N36" s="194" t="s">
        <v>8</v>
      </c>
      <c r="O36" s="194"/>
      <c r="Q36" s="195" t="s">
        <v>9</v>
      </c>
      <c r="R36" s="195"/>
      <c r="S36" s="18"/>
      <c r="T36" s="195" t="s">
        <v>10</v>
      </c>
      <c r="U36" s="195"/>
      <c r="W36" s="18"/>
      <c r="X36" s="194" t="s">
        <v>8</v>
      </c>
      <c r="Y36" s="194"/>
      <c r="Z36" s="18"/>
      <c r="AA36" s="194" t="s">
        <v>9</v>
      </c>
      <c r="AB36" s="194"/>
      <c r="AC36" s="18"/>
      <c r="AD36" s="195" t="s">
        <v>10</v>
      </c>
      <c r="AE36" s="195"/>
      <c r="AG36" s="18"/>
      <c r="AH36" s="194" t="s">
        <v>8</v>
      </c>
      <c r="AI36" s="194"/>
      <c r="AJ36" s="18"/>
      <c r="AK36" s="194" t="s">
        <v>9</v>
      </c>
      <c r="AL36" s="194"/>
      <c r="AM36" s="18"/>
      <c r="AN36" s="195" t="s">
        <v>10</v>
      </c>
      <c r="AO36" s="195"/>
      <c r="AQ36" s="18"/>
      <c r="AR36" s="194" t="s">
        <v>8</v>
      </c>
      <c r="AS36" s="194"/>
      <c r="AT36" s="18"/>
      <c r="AU36" s="194" t="s">
        <v>9</v>
      </c>
      <c r="AV36" s="194"/>
      <c r="AW36" s="18"/>
      <c r="AX36" s="195" t="s">
        <v>10</v>
      </c>
      <c r="AY36" s="195"/>
    </row>
    <row r="37" spans="4:51" x14ac:dyDescent="0.25">
      <c r="H37" s="1"/>
      <c r="I37" s="1"/>
      <c r="J37" s="1"/>
      <c r="K37" s="1"/>
      <c r="M37" s="18" t="s">
        <v>99</v>
      </c>
      <c r="N37" s="18" t="s">
        <v>11</v>
      </c>
      <c r="O37" s="19" t="str">
        <f>IF(M37="SIM",$Q$14,"")</f>
        <v/>
      </c>
      <c r="P37" s="18" t="s">
        <v>99</v>
      </c>
      <c r="Q37" s="18" t="s">
        <v>11</v>
      </c>
      <c r="R37" s="19" t="str">
        <f>IF(P37="SIM",$Q$14,"")</f>
        <v/>
      </c>
      <c r="S37" s="18" t="s">
        <v>99</v>
      </c>
      <c r="T37" s="18" t="s">
        <v>11</v>
      </c>
      <c r="U37" s="19" t="str">
        <f>IF(S37="SIM",$Q$14,"")</f>
        <v/>
      </c>
      <c r="W37" s="18" t="str">
        <f>M37</f>
        <v>NÃO</v>
      </c>
      <c r="X37" s="18" t="s">
        <v>11</v>
      </c>
      <c r="Y37" s="19" t="str">
        <f>IF(W37="SIM",$AA$14,"")</f>
        <v/>
      </c>
      <c r="Z37" s="18" t="str">
        <f>P37</f>
        <v>NÃO</v>
      </c>
      <c r="AA37" s="18" t="s">
        <v>11</v>
      </c>
      <c r="AB37" s="19" t="str">
        <f>IF(Z37="SIM",$AA$14,"")</f>
        <v/>
      </c>
      <c r="AC37" s="18" t="str">
        <f>S37</f>
        <v>NÃO</v>
      </c>
      <c r="AD37" s="18" t="s">
        <v>11</v>
      </c>
      <c r="AE37" s="19" t="str">
        <f>IF(AC37="SIM",$Q$14,"")</f>
        <v/>
      </c>
      <c r="AG37" s="18" t="str">
        <f>W37</f>
        <v>NÃO</v>
      </c>
      <c r="AH37" s="18" t="s">
        <v>11</v>
      </c>
      <c r="AI37" s="19" t="str">
        <f>IF(AG37="SIM",$AK$14,"")</f>
        <v/>
      </c>
      <c r="AJ37" s="18" t="str">
        <f>Z37</f>
        <v>NÃO</v>
      </c>
      <c r="AK37" s="18" t="s">
        <v>11</v>
      </c>
      <c r="AL37" s="19" t="str">
        <f>IF(AJ37="SIM",$AK$14,"")</f>
        <v/>
      </c>
      <c r="AM37" s="18" t="str">
        <f>AC37</f>
        <v>NÃO</v>
      </c>
      <c r="AN37" s="18" t="s">
        <v>11</v>
      </c>
      <c r="AO37" s="19" t="str">
        <f>IF(AM37="SIM",$AK$14,"")</f>
        <v/>
      </c>
      <c r="AQ37" s="18" t="str">
        <f>AG37</f>
        <v>NÃO</v>
      </c>
      <c r="AR37" s="18" t="s">
        <v>11</v>
      </c>
      <c r="AS37" s="19" t="str">
        <f>IF(AQ37="SIM",$AU$14,"")</f>
        <v/>
      </c>
      <c r="AT37" s="18" t="str">
        <f>AJ37</f>
        <v>NÃO</v>
      </c>
      <c r="AU37" s="18" t="s">
        <v>11</v>
      </c>
      <c r="AV37" s="19" t="str">
        <f>IF(AT37="SIM",$AU$14,"")</f>
        <v/>
      </c>
      <c r="AW37" s="18" t="str">
        <f>AM37</f>
        <v>NÃO</v>
      </c>
      <c r="AX37" s="18" t="s">
        <v>11</v>
      </c>
      <c r="AY37" s="19" t="str">
        <f>IF(AW37="SIM",$AU$14,"")</f>
        <v/>
      </c>
    </row>
    <row r="38" spans="4:51" x14ac:dyDescent="0.25">
      <c r="H38" s="1"/>
      <c r="I38" s="1"/>
      <c r="J38" s="1"/>
      <c r="K38" s="1"/>
      <c r="M38" s="18" t="s">
        <v>99</v>
      </c>
      <c r="N38" s="18" t="s">
        <v>12</v>
      </c>
      <c r="O38" s="19" t="str">
        <f>IF(M38="SIM",$Q$15,"")</f>
        <v/>
      </c>
      <c r="P38" s="18" t="s">
        <v>100</v>
      </c>
      <c r="Q38" s="18" t="s">
        <v>12</v>
      </c>
      <c r="R38" s="19">
        <f>IF(P38="SIM",$Q$15,"")</f>
        <v>4767.5176412355468</v>
      </c>
      <c r="S38" s="18" t="s">
        <v>100</v>
      </c>
      <c r="T38" s="18" t="s">
        <v>12</v>
      </c>
      <c r="U38" s="19">
        <f>IF(S38="SIM",$Q$15,"")</f>
        <v>4767.5176412355468</v>
      </c>
      <c r="W38" s="18" t="str">
        <f t="shared" ref="W38:W43" si="33">M38</f>
        <v>NÃO</v>
      </c>
      <c r="X38" s="18" t="s">
        <v>12</v>
      </c>
      <c r="Y38" s="19" t="str">
        <f>IF(W38="SIM",$AA$15,"")</f>
        <v/>
      </c>
      <c r="Z38" s="18" t="str">
        <f t="shared" ref="Z38:Z43" si="34">P38</f>
        <v>SIM</v>
      </c>
      <c r="AA38" s="18" t="s">
        <v>12</v>
      </c>
      <c r="AB38" s="19">
        <f>IF(Z38="SIM",$AA$15,"")</f>
        <v>5789.1285643574502</v>
      </c>
      <c r="AC38" s="18" t="str">
        <f t="shared" ref="AC38:AC43" si="35">S38</f>
        <v>SIM</v>
      </c>
      <c r="AD38" s="18" t="s">
        <v>12</v>
      </c>
      <c r="AE38" s="19">
        <f>IF(AC38="SIM",$AA$15,"")</f>
        <v>5789.1285643574502</v>
      </c>
      <c r="AG38" s="18" t="str">
        <f t="shared" ref="AG38:AG43" si="36">W38</f>
        <v>NÃO</v>
      </c>
      <c r="AH38" s="18" t="s">
        <v>12</v>
      </c>
      <c r="AI38" s="19" t="str">
        <f>IF(AG38="SIM",$AK$15,"")</f>
        <v/>
      </c>
      <c r="AJ38" s="18" t="str">
        <f t="shared" ref="AJ38:AJ43" si="37">Z38</f>
        <v>SIM</v>
      </c>
      <c r="AK38" s="18" t="s">
        <v>12</v>
      </c>
      <c r="AL38" s="19">
        <f>IF(AJ38="SIM",$AK$15,"")</f>
        <v>6810.7394874793526</v>
      </c>
      <c r="AM38" s="18" t="str">
        <f t="shared" ref="AM38:AM43" si="38">AC38</f>
        <v>SIM</v>
      </c>
      <c r="AN38" s="18" t="s">
        <v>12</v>
      </c>
      <c r="AO38" s="19">
        <f>IF(AM38="SIM",$AK$15,"")</f>
        <v>6810.7394874793526</v>
      </c>
      <c r="AQ38" s="18" t="str">
        <f t="shared" ref="AQ38:AQ43" si="39">AG38</f>
        <v>NÃO</v>
      </c>
      <c r="AR38" s="18" t="s">
        <v>12</v>
      </c>
      <c r="AS38" s="19" t="str">
        <f>IF(AQ38="SIM",$AU$15,"")</f>
        <v/>
      </c>
      <c r="AT38" s="18" t="str">
        <f t="shared" ref="AT38:AT43" si="40">AJ38</f>
        <v>SIM</v>
      </c>
      <c r="AU38" s="18" t="s">
        <v>12</v>
      </c>
      <c r="AV38" s="19">
        <f>IF(AT38="SIM",$AU$15,"")</f>
        <v>7832.350410601256</v>
      </c>
      <c r="AW38" s="18" t="str">
        <f t="shared" ref="AW38:AW43" si="41">AM38</f>
        <v>SIM</v>
      </c>
      <c r="AX38" s="18" t="s">
        <v>12</v>
      </c>
      <c r="AY38" s="19">
        <f>IF(AW38="SIM",$AU$15,"")</f>
        <v>7832.350410601256</v>
      </c>
    </row>
    <row r="39" spans="4:51" x14ac:dyDescent="0.25">
      <c r="H39" s="1"/>
      <c r="I39" s="1"/>
      <c r="J39" s="1"/>
      <c r="K39" s="1"/>
      <c r="M39" s="18" t="s">
        <v>99</v>
      </c>
      <c r="N39" s="18" t="s">
        <v>13</v>
      </c>
      <c r="O39" s="19" t="str">
        <f>IF(M39="SIM",$Q$16,"")</f>
        <v/>
      </c>
      <c r="P39" s="18" t="s">
        <v>100</v>
      </c>
      <c r="Q39" s="18" t="s">
        <v>13</v>
      </c>
      <c r="R39" s="19">
        <f>IF(P39="SIM",$Q$16,"")</f>
        <v>4768.9337978784042</v>
      </c>
      <c r="S39" s="18" t="s">
        <v>100</v>
      </c>
      <c r="T39" s="18" t="s">
        <v>13</v>
      </c>
      <c r="U39" s="19">
        <f>IF(S39="SIM",$Q$16,"")</f>
        <v>4768.9337978784042</v>
      </c>
      <c r="W39" s="18" t="str">
        <f t="shared" si="33"/>
        <v>NÃO</v>
      </c>
      <c r="X39" s="18" t="s">
        <v>13</v>
      </c>
      <c r="Y39" s="19" t="str">
        <f>IF(W39="SIM",$AA$16,"")</f>
        <v/>
      </c>
      <c r="Z39" s="18" t="str">
        <f t="shared" si="34"/>
        <v>SIM</v>
      </c>
      <c r="AA39" s="18" t="s">
        <v>13</v>
      </c>
      <c r="AB39" s="19">
        <f>IF(Z39="SIM",$AA$16,"")</f>
        <v>5790.8481831380623</v>
      </c>
      <c r="AC39" s="18" t="str">
        <f t="shared" si="35"/>
        <v>SIM</v>
      </c>
      <c r="AD39" s="18" t="s">
        <v>13</v>
      </c>
      <c r="AE39" s="19">
        <f>IF(AC39="SIM",$AA$16,"")</f>
        <v>5790.8481831380623</v>
      </c>
      <c r="AG39" s="18" t="str">
        <f t="shared" si="36"/>
        <v>NÃO</v>
      </c>
      <c r="AH39" s="18" t="s">
        <v>13</v>
      </c>
      <c r="AI39" s="19" t="str">
        <f>IF(AG39="SIM",$AK$16,"")</f>
        <v/>
      </c>
      <c r="AJ39" s="18" t="str">
        <f t="shared" si="37"/>
        <v>SIM</v>
      </c>
      <c r="AK39" s="18" t="s">
        <v>13</v>
      </c>
      <c r="AL39" s="19">
        <f>IF(AJ39="SIM",$AK$16,"")</f>
        <v>6812.7625683977203</v>
      </c>
      <c r="AM39" s="18" t="str">
        <f t="shared" si="38"/>
        <v>SIM</v>
      </c>
      <c r="AN39" s="18" t="s">
        <v>13</v>
      </c>
      <c r="AO39" s="19">
        <f>IF(AM39="SIM",$AK$16,"")</f>
        <v>6812.7625683977203</v>
      </c>
      <c r="AQ39" s="18" t="str">
        <f t="shared" si="39"/>
        <v>NÃO</v>
      </c>
      <c r="AR39" s="18" t="s">
        <v>13</v>
      </c>
      <c r="AS39" s="19" t="str">
        <f>IF(AQ39="SIM",$AU$16,"")</f>
        <v/>
      </c>
      <c r="AT39" s="18" t="str">
        <f t="shared" si="40"/>
        <v>SIM</v>
      </c>
      <c r="AU39" s="18" t="s">
        <v>13</v>
      </c>
      <c r="AV39" s="19">
        <f>IF(AT39="SIM",$AU$16,"")</f>
        <v>7834.6769536573784</v>
      </c>
      <c r="AW39" s="18" t="str">
        <f t="shared" si="41"/>
        <v>SIM</v>
      </c>
      <c r="AX39" s="18" t="s">
        <v>13</v>
      </c>
      <c r="AY39" s="19">
        <f>IF(AW39="SIM",$AU$16,"")</f>
        <v>7834.6769536573784</v>
      </c>
    </row>
    <row r="40" spans="4:51" x14ac:dyDescent="0.25">
      <c r="H40" s="1"/>
      <c r="I40" s="1"/>
      <c r="J40" s="1"/>
      <c r="K40" s="1"/>
      <c r="M40" s="18" t="s">
        <v>99</v>
      </c>
      <c r="N40" s="18" t="s">
        <v>14</v>
      </c>
      <c r="O40" s="19" t="str">
        <f>IF(M40="SIM",$Q$17,"")</f>
        <v/>
      </c>
      <c r="P40" s="18" t="s">
        <v>100</v>
      </c>
      <c r="Q40" s="18" t="s">
        <v>14</v>
      </c>
      <c r="R40" s="19">
        <f>IF(P40="SIM",$Q$17,"")</f>
        <v>5654.3789000295619</v>
      </c>
      <c r="S40" s="18" t="s">
        <v>100</v>
      </c>
      <c r="T40" s="18" t="s">
        <v>14</v>
      </c>
      <c r="U40" s="19">
        <f>IF(S40="SIM",$Q$17,"")</f>
        <v>5654.3789000295619</v>
      </c>
      <c r="W40" s="18" t="str">
        <f t="shared" si="33"/>
        <v>NÃO</v>
      </c>
      <c r="X40" s="18" t="s">
        <v>14</v>
      </c>
      <c r="Y40" s="19" t="str">
        <f>IF(W40="SIM",$AA$17,"")</f>
        <v/>
      </c>
      <c r="Z40" s="18" t="str">
        <f t="shared" si="34"/>
        <v>SIM</v>
      </c>
      <c r="AA40" s="18" t="s">
        <v>14</v>
      </c>
      <c r="AB40" s="19">
        <f>IF(Z40="SIM",$AA$17,"")</f>
        <v>6866.0315214644679</v>
      </c>
      <c r="AC40" s="18" t="str">
        <f t="shared" si="35"/>
        <v>SIM</v>
      </c>
      <c r="AD40" s="18" t="s">
        <v>14</v>
      </c>
      <c r="AE40" s="19">
        <f>IF(AC40="SIM",$AA$17,"")</f>
        <v>6866.0315214644679</v>
      </c>
      <c r="AG40" s="18" t="str">
        <f t="shared" si="36"/>
        <v>NÃO</v>
      </c>
      <c r="AH40" s="18" t="s">
        <v>14</v>
      </c>
      <c r="AI40" s="19" t="str">
        <f>IF(AG40="SIM",$AK$17,"")</f>
        <v/>
      </c>
      <c r="AJ40" s="18" t="str">
        <f t="shared" si="37"/>
        <v>SIM</v>
      </c>
      <c r="AK40" s="18" t="s">
        <v>14</v>
      </c>
      <c r="AL40" s="19">
        <f>IF(AJ40="SIM",$AK$17,"")</f>
        <v>8077.6841428993748</v>
      </c>
      <c r="AM40" s="18" t="str">
        <f t="shared" si="38"/>
        <v>SIM</v>
      </c>
      <c r="AN40" s="18" t="s">
        <v>14</v>
      </c>
      <c r="AO40" s="19">
        <f>IF(AM40="SIM",$AK$17,"")</f>
        <v>8077.6841428993748</v>
      </c>
      <c r="AQ40" s="18" t="str">
        <f t="shared" si="39"/>
        <v>NÃO</v>
      </c>
      <c r="AR40" s="18" t="s">
        <v>14</v>
      </c>
      <c r="AS40" s="19" t="str">
        <f>IF(AQ40="SIM",$AU$17,"")</f>
        <v/>
      </c>
      <c r="AT40" s="18" t="str">
        <f t="shared" si="40"/>
        <v>SIM</v>
      </c>
      <c r="AU40" s="18" t="s">
        <v>14</v>
      </c>
      <c r="AV40" s="19">
        <f>IF(AT40="SIM",$AU$17,"")</f>
        <v>9289.3367643342808</v>
      </c>
      <c r="AW40" s="18" t="str">
        <f t="shared" si="41"/>
        <v>SIM</v>
      </c>
      <c r="AX40" s="18" t="s">
        <v>14</v>
      </c>
      <c r="AY40" s="19">
        <f>IF(AW40="SIM",$AU$17,"")</f>
        <v>9289.3367643342808</v>
      </c>
    </row>
    <row r="41" spans="4:51" x14ac:dyDescent="0.25">
      <c r="H41" s="1"/>
      <c r="I41" s="1"/>
      <c r="J41" s="1"/>
      <c r="K41" s="1"/>
      <c r="M41" s="18" t="s">
        <v>99</v>
      </c>
      <c r="N41" s="18" t="s">
        <v>15</v>
      </c>
      <c r="O41" s="19" t="str">
        <f>IF(M41="SIM",$Q$18,"")</f>
        <v/>
      </c>
      <c r="P41" s="18" t="s">
        <v>100</v>
      </c>
      <c r="Q41" s="18" t="s">
        <v>15</v>
      </c>
      <c r="R41" s="19">
        <f>IF(P41="SIM",$Q$18,"")</f>
        <v>7079.6890070712852</v>
      </c>
      <c r="S41" s="18" t="s">
        <v>100</v>
      </c>
      <c r="T41" s="18" t="s">
        <v>15</v>
      </c>
      <c r="U41" s="19">
        <f>IF(S41="SIM",$Q$18,"")</f>
        <v>7079.6890070712852</v>
      </c>
      <c r="W41" s="18" t="str">
        <f t="shared" si="33"/>
        <v>NÃO</v>
      </c>
      <c r="X41" s="18" t="s">
        <v>15</v>
      </c>
      <c r="Y41" s="19" t="str">
        <f>IF(W41="SIM",$AA$18,"")</f>
        <v/>
      </c>
      <c r="Z41" s="18" t="str">
        <f t="shared" si="34"/>
        <v>SIM</v>
      </c>
      <c r="AA41" s="18" t="s">
        <v>15</v>
      </c>
      <c r="AB41" s="19">
        <f>IF(Z41="SIM",$AA$18,"")</f>
        <v>8596.7652228722745</v>
      </c>
      <c r="AC41" s="18" t="str">
        <f t="shared" si="35"/>
        <v>SIM</v>
      </c>
      <c r="AD41" s="18" t="s">
        <v>15</v>
      </c>
      <c r="AE41" s="19">
        <f>IF(AC41="SIM",$AA$18,"")</f>
        <v>8596.7652228722745</v>
      </c>
      <c r="AG41" s="18" t="str">
        <f t="shared" si="36"/>
        <v>NÃO</v>
      </c>
      <c r="AH41" s="18" t="s">
        <v>15</v>
      </c>
      <c r="AI41" s="19" t="str">
        <f>IF(AG41="SIM",$AK$18,"")</f>
        <v/>
      </c>
      <c r="AJ41" s="18" t="str">
        <f t="shared" si="37"/>
        <v>SIM</v>
      </c>
      <c r="AK41" s="18" t="s">
        <v>15</v>
      </c>
      <c r="AL41" s="19">
        <f>IF(AJ41="SIM",$AK$18,"")</f>
        <v>10113.841438673264</v>
      </c>
      <c r="AM41" s="18" t="str">
        <f t="shared" si="38"/>
        <v>SIM</v>
      </c>
      <c r="AN41" s="18" t="s">
        <v>15</v>
      </c>
      <c r="AO41" s="19">
        <f>IF(AM41="SIM",$AK$18,"")</f>
        <v>10113.841438673264</v>
      </c>
      <c r="AQ41" s="18" t="str">
        <f t="shared" si="39"/>
        <v>NÃO</v>
      </c>
      <c r="AR41" s="18" t="s">
        <v>15</v>
      </c>
      <c r="AS41" s="19" t="str">
        <f>IF(AQ41="SIM",$AU$18,"")</f>
        <v/>
      </c>
      <c r="AT41" s="18" t="str">
        <f t="shared" si="40"/>
        <v>SIM</v>
      </c>
      <c r="AU41" s="18" t="s">
        <v>15</v>
      </c>
      <c r="AV41" s="19">
        <f>IF(AT41="SIM",$AU$18,"")</f>
        <v>11630.917654474253</v>
      </c>
      <c r="AW41" s="18" t="str">
        <f t="shared" si="41"/>
        <v>SIM</v>
      </c>
      <c r="AX41" s="18" t="s">
        <v>15</v>
      </c>
      <c r="AY41" s="19">
        <f>IF(AW41="SIM",$AU$18,"")</f>
        <v>11630.917654474253</v>
      </c>
    </row>
    <row r="42" spans="4:51" x14ac:dyDescent="0.25">
      <c r="H42" s="1"/>
      <c r="I42" s="1"/>
      <c r="J42" s="1"/>
      <c r="K42" s="1"/>
      <c r="M42" s="18" t="s">
        <v>99</v>
      </c>
      <c r="N42" s="18" t="s">
        <v>16</v>
      </c>
      <c r="O42" s="19" t="str">
        <f>IF(M42="SIM",$Q$19,"")</f>
        <v/>
      </c>
      <c r="P42" s="18" t="s">
        <v>100</v>
      </c>
      <c r="Q42" s="18" t="s">
        <v>16</v>
      </c>
      <c r="R42" s="19">
        <f>IF(P42="SIM",$Q$19,"")</f>
        <v>6550.0506311321069</v>
      </c>
      <c r="S42" s="18" t="s">
        <v>100</v>
      </c>
      <c r="T42" s="18" t="s">
        <v>16</v>
      </c>
      <c r="U42" s="19">
        <f>IF(S42="SIM",$Q$19,"")</f>
        <v>6550.0506311321069</v>
      </c>
      <c r="W42" s="18" t="str">
        <f t="shared" si="33"/>
        <v>NÃO</v>
      </c>
      <c r="X42" s="18" t="s">
        <v>16</v>
      </c>
      <c r="Y42" s="19" t="str">
        <f>IF(W42="SIM",$AA$19,"")</f>
        <v/>
      </c>
      <c r="Z42" s="18" t="str">
        <f t="shared" si="34"/>
        <v>SIM</v>
      </c>
      <c r="AA42" s="18" t="s">
        <v>16</v>
      </c>
      <c r="AB42" s="19">
        <f>IF(Z42="SIM",$AA$19,"")</f>
        <v>7953.6329092318447</v>
      </c>
      <c r="AC42" s="18" t="str">
        <f t="shared" si="35"/>
        <v>SIM</v>
      </c>
      <c r="AD42" s="18" t="s">
        <v>16</v>
      </c>
      <c r="AE42" s="19">
        <f>IF(AC42="SIM",$AA$19,"")</f>
        <v>7953.6329092318447</v>
      </c>
      <c r="AG42" s="18" t="str">
        <f t="shared" si="36"/>
        <v>NÃO</v>
      </c>
      <c r="AH42" s="18" t="s">
        <v>16</v>
      </c>
      <c r="AI42" s="19" t="str">
        <f>IF(AG42="SIM",$AK$19,"")</f>
        <v/>
      </c>
      <c r="AJ42" s="18" t="str">
        <f t="shared" si="37"/>
        <v>SIM</v>
      </c>
      <c r="AK42" s="18" t="s">
        <v>16</v>
      </c>
      <c r="AL42" s="19">
        <f>IF(AJ42="SIM",$AK$19,"")</f>
        <v>9357.2151873315815</v>
      </c>
      <c r="AM42" s="18" t="str">
        <f t="shared" si="38"/>
        <v>SIM</v>
      </c>
      <c r="AN42" s="18" t="s">
        <v>16</v>
      </c>
      <c r="AO42" s="19">
        <f>IF(AM42="SIM",$AK$19,"")</f>
        <v>9357.2151873315815</v>
      </c>
      <c r="AQ42" s="18" t="str">
        <f t="shared" si="39"/>
        <v>NÃO</v>
      </c>
      <c r="AR42" s="18" t="s">
        <v>16</v>
      </c>
      <c r="AS42" s="19" t="str">
        <f>IF(AQ42="SIM",$AU$19,"")</f>
        <v/>
      </c>
      <c r="AT42" s="18" t="str">
        <f t="shared" si="40"/>
        <v>SIM</v>
      </c>
      <c r="AU42" s="18" t="s">
        <v>16</v>
      </c>
      <c r="AV42" s="19">
        <f>IF(AT42="SIM",$AU$19,"")</f>
        <v>10760.797465431318</v>
      </c>
      <c r="AW42" s="18" t="str">
        <f t="shared" si="41"/>
        <v>SIM</v>
      </c>
      <c r="AX42" s="18" t="s">
        <v>16</v>
      </c>
      <c r="AY42" s="19">
        <f>IF(AW42="SIM",$AU$19,"")</f>
        <v>10760.797465431318</v>
      </c>
    </row>
    <row r="43" spans="4:51" x14ac:dyDescent="0.25">
      <c r="H43" s="1"/>
      <c r="I43" s="1"/>
      <c r="J43" s="1"/>
      <c r="K43" s="1"/>
      <c r="M43" s="18" t="s">
        <v>100</v>
      </c>
      <c r="N43" s="93" t="s">
        <v>17</v>
      </c>
      <c r="O43" s="94">
        <f>IF(M43="SIM",$Q$20,"")</f>
        <v>4943.5440181224758</v>
      </c>
      <c r="P43" s="18" t="s">
        <v>100</v>
      </c>
      <c r="Q43" s="93" t="s">
        <v>17</v>
      </c>
      <c r="R43" s="94">
        <f>IF(P43="SIM",$Q$20,"")</f>
        <v>4943.5440181224758</v>
      </c>
      <c r="S43" s="18" t="s">
        <v>100</v>
      </c>
      <c r="T43" s="93" t="s">
        <v>17</v>
      </c>
      <c r="U43" s="94">
        <f>IF(S43="SIM",$Q$20,"")</f>
        <v>4943.5440181224758</v>
      </c>
      <c r="W43" s="18" t="str">
        <f t="shared" si="33"/>
        <v>SIM</v>
      </c>
      <c r="X43" s="93" t="s">
        <v>17</v>
      </c>
      <c r="Y43" s="94">
        <f>IF(W43="SIM",$AA$20,"")</f>
        <v>6002.8748791487214</v>
      </c>
      <c r="Z43" s="18" t="str">
        <f t="shared" si="34"/>
        <v>SIM</v>
      </c>
      <c r="AA43" s="93" t="s">
        <v>17</v>
      </c>
      <c r="AB43" s="94">
        <f>IF(Z43="SIM",$AA$20,"")</f>
        <v>6002.8748791487214</v>
      </c>
      <c r="AC43" s="18" t="str">
        <f t="shared" si="35"/>
        <v>SIM</v>
      </c>
      <c r="AD43" s="93" t="s">
        <v>17</v>
      </c>
      <c r="AE43" s="94">
        <f>IF(AC43="SIM",$AA$20,"")</f>
        <v>6002.8748791487214</v>
      </c>
      <c r="AG43" s="18" t="str">
        <f t="shared" si="36"/>
        <v>SIM</v>
      </c>
      <c r="AH43" s="93" t="s">
        <v>17</v>
      </c>
      <c r="AI43" s="94">
        <f>IF(AG43="SIM",$AK$20,"")</f>
        <v>7062.2057401749653</v>
      </c>
      <c r="AJ43" s="18" t="str">
        <f t="shared" si="37"/>
        <v>SIM</v>
      </c>
      <c r="AK43" s="93" t="s">
        <v>17</v>
      </c>
      <c r="AL43" s="94">
        <f>IF(AJ43="SIM",$AK$20,"")</f>
        <v>7062.2057401749653</v>
      </c>
      <c r="AM43" s="18" t="str">
        <f t="shared" si="38"/>
        <v>SIM</v>
      </c>
      <c r="AN43" s="93" t="s">
        <v>17</v>
      </c>
      <c r="AO43" s="94">
        <f>IF(AM43="SIM",$AK$20,"")</f>
        <v>7062.2057401749653</v>
      </c>
      <c r="AQ43" s="18" t="str">
        <f t="shared" si="39"/>
        <v>SIM</v>
      </c>
      <c r="AR43" s="93" t="s">
        <v>17</v>
      </c>
      <c r="AS43" s="94">
        <f>IF(AQ43="SIM",$AU$20,"")</f>
        <v>8121.5366012012109</v>
      </c>
      <c r="AT43" s="18" t="str">
        <f t="shared" si="40"/>
        <v>SIM</v>
      </c>
      <c r="AU43" s="93" t="s">
        <v>17</v>
      </c>
      <c r="AV43" s="94">
        <f>IF(AT43="SIM",$AU$20,"")</f>
        <v>8121.5366012012109</v>
      </c>
      <c r="AW43" s="18" t="str">
        <f t="shared" si="41"/>
        <v>SIM</v>
      </c>
      <c r="AX43" s="93" t="s">
        <v>17</v>
      </c>
      <c r="AY43" s="94">
        <f>IF(AW43="SIM",$AU$20,"")</f>
        <v>8121.5366012012109</v>
      </c>
    </row>
    <row r="44" spans="4:51" x14ac:dyDescent="0.25">
      <c r="H44" s="1"/>
      <c r="I44" s="1"/>
      <c r="J44" s="1"/>
      <c r="K44" s="1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G44" s="18"/>
      <c r="AH44" s="18"/>
      <c r="AI44" s="18"/>
      <c r="AJ44" s="18"/>
      <c r="AK44" s="18"/>
      <c r="AL44" s="18"/>
      <c r="AM44" s="18"/>
      <c r="AN44" s="18"/>
      <c r="AO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4:51" x14ac:dyDescent="0.25">
      <c r="H45" s="1"/>
      <c r="I45" s="1"/>
      <c r="J45" s="1"/>
      <c r="K45" s="1"/>
      <c r="N45" s="59" t="s">
        <v>18</v>
      </c>
      <c r="O45" s="86">
        <f>SUM(O38:O43)</f>
        <v>4943.5440181224758</v>
      </c>
      <c r="Q45" s="59" t="s">
        <v>18</v>
      </c>
      <c r="R45" s="86">
        <f>SUM(R38:R43)</f>
        <v>33764.113995469379</v>
      </c>
      <c r="S45" s="18"/>
      <c r="T45" s="59" t="s">
        <v>18</v>
      </c>
      <c r="U45" s="86">
        <f>SUM(U38:U43)</f>
        <v>33764.113995469379</v>
      </c>
      <c r="W45" s="18"/>
      <c r="X45" s="59" t="s">
        <v>18</v>
      </c>
      <c r="Y45" s="86">
        <f>SUM(Y38:Y43)</f>
        <v>6002.8748791487214</v>
      </c>
      <c r="Z45" s="18"/>
      <c r="AA45" s="59" t="s">
        <v>18</v>
      </c>
      <c r="AB45" s="86">
        <f>SUM(AB38:AB43)</f>
        <v>40999.281280212825</v>
      </c>
      <c r="AC45" s="18"/>
      <c r="AD45" s="59" t="s">
        <v>18</v>
      </c>
      <c r="AE45" s="86">
        <f>SUM(AE38:AE43)</f>
        <v>40999.281280212825</v>
      </c>
      <c r="AG45" s="18"/>
      <c r="AH45" s="59" t="s">
        <v>18</v>
      </c>
      <c r="AI45" s="86">
        <f>SUM(AI38:AI43)</f>
        <v>7062.2057401749653</v>
      </c>
      <c r="AJ45" s="18"/>
      <c r="AK45" s="59" t="s">
        <v>18</v>
      </c>
      <c r="AL45" s="86">
        <f>SUM(AL38:AL43)</f>
        <v>48234.448564956256</v>
      </c>
      <c r="AM45" s="18"/>
      <c r="AN45" s="59" t="s">
        <v>18</v>
      </c>
      <c r="AO45" s="86">
        <f>SUM(AO38:AO43)</f>
        <v>48234.448564956256</v>
      </c>
      <c r="AQ45" s="18"/>
      <c r="AR45" s="59" t="s">
        <v>18</v>
      </c>
      <c r="AS45" s="86">
        <f>SUM(AS38:AS43)</f>
        <v>8121.5366012012109</v>
      </c>
      <c r="AT45" s="18"/>
      <c r="AU45" s="59" t="s">
        <v>18</v>
      </c>
      <c r="AV45" s="86">
        <f>SUM(AV38:AV43)</f>
        <v>55469.615849699694</v>
      </c>
      <c r="AW45" s="18"/>
      <c r="AX45" s="59" t="s">
        <v>18</v>
      </c>
      <c r="AY45" s="86">
        <f>SUM(AY38:AY43)</f>
        <v>55469.615849699694</v>
      </c>
    </row>
    <row r="46" spans="4:51" x14ac:dyDescent="0.25">
      <c r="H46" s="1"/>
      <c r="I46" s="1"/>
      <c r="J46" s="1"/>
      <c r="K46" s="1"/>
      <c r="R46" s="18"/>
      <c r="S46" s="18"/>
      <c r="T46" s="18"/>
      <c r="U46" s="18"/>
      <c r="W46" s="18"/>
      <c r="X46" s="18"/>
      <c r="Y46" s="18"/>
      <c r="Z46" s="18"/>
      <c r="AA46" s="18"/>
      <c r="AB46" s="18"/>
      <c r="AC46" s="18"/>
      <c r="AD46" s="18"/>
      <c r="AE46" s="18"/>
      <c r="AG46" s="18"/>
      <c r="AH46" s="18"/>
      <c r="AI46" s="18"/>
      <c r="AJ46" s="18"/>
      <c r="AK46" s="18"/>
      <c r="AL46" s="18"/>
      <c r="AM46" s="18"/>
      <c r="AN46" s="18"/>
      <c r="AO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4:51" x14ac:dyDescent="0.25">
      <c r="H47" s="1"/>
      <c r="I47" s="1"/>
      <c r="J47" s="1"/>
      <c r="K47" s="1"/>
      <c r="N47" s="195" t="s">
        <v>19</v>
      </c>
      <c r="O47" s="195"/>
      <c r="Q47" s="195" t="s">
        <v>20</v>
      </c>
      <c r="R47" s="195"/>
      <c r="S47" s="18"/>
      <c r="T47" s="195" t="s">
        <v>21</v>
      </c>
      <c r="U47" s="195"/>
      <c r="W47" s="18"/>
      <c r="X47" s="195" t="s">
        <v>19</v>
      </c>
      <c r="Y47" s="195"/>
      <c r="Z47" s="18"/>
      <c r="AA47" s="195" t="s">
        <v>20</v>
      </c>
      <c r="AB47" s="195"/>
      <c r="AC47" s="18"/>
      <c r="AD47" s="195" t="s">
        <v>21</v>
      </c>
      <c r="AE47" s="195"/>
      <c r="AG47" s="18"/>
      <c r="AH47" s="195" t="s">
        <v>19</v>
      </c>
      <c r="AI47" s="195"/>
      <c r="AJ47" s="18"/>
      <c r="AK47" s="195" t="s">
        <v>20</v>
      </c>
      <c r="AL47" s="195"/>
      <c r="AM47" s="18"/>
      <c r="AN47" s="195" t="s">
        <v>21</v>
      </c>
      <c r="AO47" s="195"/>
      <c r="AQ47" s="18"/>
      <c r="AR47" s="195" t="s">
        <v>19</v>
      </c>
      <c r="AS47" s="195"/>
      <c r="AT47" s="18"/>
      <c r="AU47" s="195" t="s">
        <v>20</v>
      </c>
      <c r="AV47" s="195"/>
      <c r="AW47" s="18"/>
      <c r="AX47" s="195" t="s">
        <v>21</v>
      </c>
      <c r="AY47" s="195"/>
    </row>
    <row r="48" spans="4:51" x14ac:dyDescent="0.25">
      <c r="H48" s="1"/>
      <c r="I48" s="1"/>
      <c r="J48" s="1"/>
      <c r="K48" s="1"/>
      <c r="M48" s="18" t="s">
        <v>99</v>
      </c>
      <c r="N48" s="18" t="s">
        <v>11</v>
      </c>
      <c r="O48" s="19"/>
      <c r="P48" s="18" t="s">
        <v>99</v>
      </c>
      <c r="Q48" s="18" t="s">
        <v>11</v>
      </c>
      <c r="R48" s="19"/>
      <c r="S48" s="18" t="s">
        <v>99</v>
      </c>
      <c r="T48" s="18" t="s">
        <v>11</v>
      </c>
      <c r="U48" s="19"/>
      <c r="W48" s="18" t="str">
        <f>M48</f>
        <v>NÃO</v>
      </c>
      <c r="X48" s="18" t="s">
        <v>11</v>
      </c>
      <c r="Y48" s="19" t="str">
        <f>IF(W48="SIM",$AA$14,"")</f>
        <v/>
      </c>
      <c r="Z48" s="18" t="str">
        <f>P48</f>
        <v>NÃO</v>
      </c>
      <c r="AA48" s="18" t="s">
        <v>11</v>
      </c>
      <c r="AB48" s="19" t="str">
        <f>IF(Z48="SIM",$AA$14,"")</f>
        <v/>
      </c>
      <c r="AC48" s="18" t="str">
        <f>S48</f>
        <v>NÃO</v>
      </c>
      <c r="AD48" s="18" t="s">
        <v>11</v>
      </c>
      <c r="AE48" s="19"/>
      <c r="AG48" s="18" t="str">
        <f>W48</f>
        <v>NÃO</v>
      </c>
      <c r="AH48" s="18" t="s">
        <v>11</v>
      </c>
      <c r="AI48" s="19" t="str">
        <f>IF(AG48="SIM",$AK$14,"")</f>
        <v/>
      </c>
      <c r="AJ48" s="18" t="str">
        <f>Z48</f>
        <v>NÃO</v>
      </c>
      <c r="AK48" s="18" t="s">
        <v>11</v>
      </c>
      <c r="AL48" s="19" t="str">
        <f>IF(AJ48="SIM",$AK$14,"")</f>
        <v/>
      </c>
      <c r="AM48" s="18" t="str">
        <f>AC48</f>
        <v>NÃO</v>
      </c>
      <c r="AN48" s="18" t="s">
        <v>11</v>
      </c>
      <c r="AO48" s="19"/>
      <c r="AQ48" s="18" t="str">
        <f>AG48</f>
        <v>NÃO</v>
      </c>
      <c r="AR48" s="18" t="s">
        <v>11</v>
      </c>
      <c r="AS48" s="19" t="str">
        <f>IF(AQ48="SIM",$AU$14,"")</f>
        <v/>
      </c>
      <c r="AT48" s="18" t="str">
        <f>AJ48</f>
        <v>NÃO</v>
      </c>
      <c r="AU48" s="18" t="s">
        <v>11</v>
      </c>
      <c r="AV48" s="19" t="str">
        <f>IF(AT48="SIM",$AU$14,"")</f>
        <v/>
      </c>
      <c r="AW48" s="18" t="str">
        <f>AM48</f>
        <v>NÃO</v>
      </c>
      <c r="AX48" s="18" t="s">
        <v>11</v>
      </c>
      <c r="AY48" s="19"/>
    </row>
    <row r="49" spans="8:52" x14ac:dyDescent="0.25">
      <c r="H49" s="1"/>
      <c r="I49" s="1"/>
      <c r="J49" s="1"/>
      <c r="K49" s="1"/>
      <c r="M49" s="18" t="s">
        <v>100</v>
      </c>
      <c r="N49" s="18" t="s">
        <v>12</v>
      </c>
      <c r="O49" s="19">
        <f>IF(M49="SIM",$Q$15,"")</f>
        <v>4767.5176412355468</v>
      </c>
      <c r="P49" s="18" t="s">
        <v>100</v>
      </c>
      <c r="Q49" s="18" t="s">
        <v>12</v>
      </c>
      <c r="R49" s="19">
        <f>IF(P49="SIM",$Q$15,"")</f>
        <v>4767.5176412355468</v>
      </c>
      <c r="S49" s="18" t="s">
        <v>99</v>
      </c>
      <c r="T49" s="18" t="s">
        <v>12</v>
      </c>
      <c r="U49" s="19" t="str">
        <f>IF(S49="SIM",$Q$15,"")</f>
        <v/>
      </c>
      <c r="W49" s="18" t="str">
        <f t="shared" ref="W49:W54" si="42">M49</f>
        <v>SIM</v>
      </c>
      <c r="X49" s="18" t="s">
        <v>12</v>
      </c>
      <c r="Y49" s="19">
        <f>IF(W49="SIM",$AA$15,"")</f>
        <v>5789.1285643574502</v>
      </c>
      <c r="Z49" s="18" t="str">
        <f t="shared" ref="Z49:Z54" si="43">P49</f>
        <v>SIM</v>
      </c>
      <c r="AA49" s="18" t="s">
        <v>12</v>
      </c>
      <c r="AB49" s="19">
        <f>IF(Z49="SIM",$AA$15,"")</f>
        <v>5789.1285643574502</v>
      </c>
      <c r="AC49" s="18" t="str">
        <f t="shared" ref="AC49:AC54" si="44">S49</f>
        <v>NÃO</v>
      </c>
      <c r="AD49" s="18" t="s">
        <v>12</v>
      </c>
      <c r="AE49" s="19" t="str">
        <f>IF(AC49="SIM",$AA$15,"")</f>
        <v/>
      </c>
      <c r="AG49" s="18" t="str">
        <f t="shared" ref="AG49:AG54" si="45">W49</f>
        <v>SIM</v>
      </c>
      <c r="AH49" s="18" t="s">
        <v>12</v>
      </c>
      <c r="AI49" s="19">
        <f>IF(AG49="SIM",$AK$15,"")</f>
        <v>6810.7394874793526</v>
      </c>
      <c r="AJ49" s="18" t="str">
        <f t="shared" ref="AJ49:AJ54" si="46">Z49</f>
        <v>SIM</v>
      </c>
      <c r="AK49" s="18" t="s">
        <v>12</v>
      </c>
      <c r="AL49" s="19">
        <f>IF(AJ49="SIM",$AK$15,"")</f>
        <v>6810.7394874793526</v>
      </c>
      <c r="AM49" s="18" t="str">
        <f t="shared" ref="AM49:AM54" si="47">AC49</f>
        <v>NÃO</v>
      </c>
      <c r="AN49" s="18" t="s">
        <v>12</v>
      </c>
      <c r="AO49" s="19" t="str">
        <f>IF(AM49="SIM",$AK$15,"")</f>
        <v/>
      </c>
      <c r="AQ49" s="18" t="str">
        <f t="shared" ref="AQ49:AQ54" si="48">AG49</f>
        <v>SIM</v>
      </c>
      <c r="AR49" s="18" t="s">
        <v>12</v>
      </c>
      <c r="AS49" s="19">
        <f>IF(AQ49="SIM",$AU$15,"")</f>
        <v>7832.350410601256</v>
      </c>
      <c r="AT49" s="18" t="str">
        <f t="shared" ref="AT49:AT54" si="49">AJ49</f>
        <v>SIM</v>
      </c>
      <c r="AU49" s="18" t="s">
        <v>12</v>
      </c>
      <c r="AV49" s="19">
        <f>IF(AT49="SIM",$AU$15,"")</f>
        <v>7832.350410601256</v>
      </c>
      <c r="AW49" s="18" t="str">
        <f t="shared" ref="AW49:AW54" si="50">AM49</f>
        <v>NÃO</v>
      </c>
      <c r="AX49" s="18" t="s">
        <v>12</v>
      </c>
      <c r="AY49" s="19" t="str">
        <f>IF(AW49="SIM",$AU$15,"")</f>
        <v/>
      </c>
    </row>
    <row r="50" spans="8:52" x14ac:dyDescent="0.25">
      <c r="H50" s="1"/>
      <c r="I50" s="1"/>
      <c r="J50" s="1"/>
      <c r="K50" s="1"/>
      <c r="M50" s="18" t="s">
        <v>100</v>
      </c>
      <c r="N50" s="18" t="s">
        <v>13</v>
      </c>
      <c r="O50" s="19">
        <f>IF(M50="SIM",$Q$16,"")</f>
        <v>4768.9337978784042</v>
      </c>
      <c r="P50" s="18" t="s">
        <v>100</v>
      </c>
      <c r="Q50" s="18" t="s">
        <v>13</v>
      </c>
      <c r="R50" s="19">
        <f>IF(P50="SIM",$Q$16,"")</f>
        <v>4768.9337978784042</v>
      </c>
      <c r="S50" s="18" t="s">
        <v>99</v>
      </c>
      <c r="T50" s="18" t="s">
        <v>13</v>
      </c>
      <c r="U50" s="19" t="str">
        <f>IF(S50="SIM",$Q$16,"")</f>
        <v/>
      </c>
      <c r="W50" s="18" t="str">
        <f t="shared" si="42"/>
        <v>SIM</v>
      </c>
      <c r="X50" s="18" t="s">
        <v>13</v>
      </c>
      <c r="Y50" s="19">
        <f>IF(W50="SIM",$AA$16,"")</f>
        <v>5790.8481831380623</v>
      </c>
      <c r="Z50" s="18" t="str">
        <f t="shared" si="43"/>
        <v>SIM</v>
      </c>
      <c r="AA50" s="18" t="s">
        <v>13</v>
      </c>
      <c r="AB50" s="19">
        <f>IF(Z50="SIM",$AA$16,"")</f>
        <v>5790.8481831380623</v>
      </c>
      <c r="AC50" s="18" t="str">
        <f t="shared" si="44"/>
        <v>NÃO</v>
      </c>
      <c r="AD50" s="18" t="s">
        <v>13</v>
      </c>
      <c r="AE50" s="19" t="str">
        <f>IF(AC50="SIM",$Q$16,"")</f>
        <v/>
      </c>
      <c r="AG50" s="18" t="str">
        <f t="shared" si="45"/>
        <v>SIM</v>
      </c>
      <c r="AH50" s="18" t="s">
        <v>13</v>
      </c>
      <c r="AI50" s="19">
        <f>IF(AG50="SIM",$AK$16,"")</f>
        <v>6812.7625683977203</v>
      </c>
      <c r="AJ50" s="18" t="str">
        <f t="shared" si="46"/>
        <v>SIM</v>
      </c>
      <c r="AK50" s="18" t="s">
        <v>13</v>
      </c>
      <c r="AL50" s="19">
        <f>IF(AJ50="SIM",$AK$16,"")</f>
        <v>6812.7625683977203</v>
      </c>
      <c r="AM50" s="18" t="str">
        <f t="shared" si="47"/>
        <v>NÃO</v>
      </c>
      <c r="AN50" s="18" t="s">
        <v>13</v>
      </c>
      <c r="AO50" s="19" t="str">
        <f>IF(AM50="SIM",$Q$16,"")</f>
        <v/>
      </c>
      <c r="AQ50" s="18" t="str">
        <f t="shared" si="48"/>
        <v>SIM</v>
      </c>
      <c r="AR50" s="18" t="s">
        <v>13</v>
      </c>
      <c r="AS50" s="19">
        <f>IF(AQ50="SIM",$AU$16,"")</f>
        <v>7834.6769536573784</v>
      </c>
      <c r="AT50" s="18" t="str">
        <f t="shared" si="49"/>
        <v>SIM</v>
      </c>
      <c r="AU50" s="18" t="s">
        <v>13</v>
      </c>
      <c r="AV50" s="19">
        <f>IF(AT50="SIM",$AU$16,"")</f>
        <v>7834.6769536573784</v>
      </c>
      <c r="AW50" s="18" t="str">
        <f t="shared" si="50"/>
        <v>NÃO</v>
      </c>
      <c r="AX50" s="18" t="s">
        <v>13</v>
      </c>
      <c r="AY50" s="19" t="str">
        <f>IF(AW50="SIM",$Q$16,"")</f>
        <v/>
      </c>
    </row>
    <row r="51" spans="8:52" x14ac:dyDescent="0.25">
      <c r="H51" s="1"/>
      <c r="I51" s="1"/>
      <c r="J51" s="1"/>
      <c r="K51" s="1"/>
      <c r="M51" s="18" t="s">
        <v>100</v>
      </c>
      <c r="N51" s="18" t="s">
        <v>14</v>
      </c>
      <c r="O51" s="19">
        <f>IF(M51="SIM",$Q$17,"")</f>
        <v>5654.3789000295619</v>
      </c>
      <c r="P51" s="18" t="s">
        <v>100</v>
      </c>
      <c r="Q51" s="18" t="s">
        <v>14</v>
      </c>
      <c r="R51" s="19">
        <f>IF(P51="SIM",$Q$17,"")</f>
        <v>5654.3789000295619</v>
      </c>
      <c r="S51" s="18" t="s">
        <v>99</v>
      </c>
      <c r="T51" s="18" t="s">
        <v>14</v>
      </c>
      <c r="U51" s="19" t="str">
        <f>IF(S51="SIM",$Q$17,"")</f>
        <v/>
      </c>
      <c r="W51" s="18" t="str">
        <f t="shared" si="42"/>
        <v>SIM</v>
      </c>
      <c r="X51" s="18" t="s">
        <v>14</v>
      </c>
      <c r="Y51" s="19">
        <f>IF(W51="SIM",$AA$17,"")</f>
        <v>6866.0315214644679</v>
      </c>
      <c r="Z51" s="18" t="str">
        <f t="shared" si="43"/>
        <v>SIM</v>
      </c>
      <c r="AA51" s="18" t="s">
        <v>14</v>
      </c>
      <c r="AB51" s="19">
        <f>IF(Z51="SIM",$AA$17,"")</f>
        <v>6866.0315214644679</v>
      </c>
      <c r="AC51" s="18" t="str">
        <f t="shared" si="44"/>
        <v>NÃO</v>
      </c>
      <c r="AD51" s="18" t="s">
        <v>14</v>
      </c>
      <c r="AE51" s="19" t="str">
        <f>IF(AC51="SIM",$Q$17,"")</f>
        <v/>
      </c>
      <c r="AG51" s="18" t="str">
        <f t="shared" si="45"/>
        <v>SIM</v>
      </c>
      <c r="AH51" s="18" t="s">
        <v>14</v>
      </c>
      <c r="AI51" s="19">
        <f>IF(AG51="SIM",$AK$17,"")</f>
        <v>8077.6841428993748</v>
      </c>
      <c r="AJ51" s="18" t="str">
        <f t="shared" si="46"/>
        <v>SIM</v>
      </c>
      <c r="AK51" s="18" t="s">
        <v>14</v>
      </c>
      <c r="AL51" s="19">
        <f>IF(AJ51="SIM",$AK$17,"")</f>
        <v>8077.6841428993748</v>
      </c>
      <c r="AM51" s="18" t="str">
        <f t="shared" si="47"/>
        <v>NÃO</v>
      </c>
      <c r="AN51" s="18" t="s">
        <v>14</v>
      </c>
      <c r="AO51" s="19" t="str">
        <f>IF(AM51="SIM",$Q$17,"")</f>
        <v/>
      </c>
      <c r="AQ51" s="18" t="str">
        <f t="shared" si="48"/>
        <v>SIM</v>
      </c>
      <c r="AR51" s="18" t="s">
        <v>14</v>
      </c>
      <c r="AS51" s="19">
        <f>IF(AQ51="SIM",$AU$17,"")</f>
        <v>9289.3367643342808</v>
      </c>
      <c r="AT51" s="18" t="str">
        <f t="shared" si="49"/>
        <v>SIM</v>
      </c>
      <c r="AU51" s="18" t="s">
        <v>14</v>
      </c>
      <c r="AV51" s="19">
        <f>IF(AT51="SIM",$AU$17,"")</f>
        <v>9289.3367643342808</v>
      </c>
      <c r="AW51" s="18" t="str">
        <f t="shared" si="50"/>
        <v>NÃO</v>
      </c>
      <c r="AX51" s="18" t="s">
        <v>14</v>
      </c>
      <c r="AY51" s="19" t="str">
        <f>IF(AW51="SIM",$Q$17,"")</f>
        <v/>
      </c>
    </row>
    <row r="52" spans="8:52" x14ac:dyDescent="0.25">
      <c r="H52" s="1"/>
      <c r="I52" s="1"/>
      <c r="J52" s="1"/>
      <c r="K52" s="1"/>
      <c r="M52" s="18" t="s">
        <v>100</v>
      </c>
      <c r="N52" s="18" t="s">
        <v>15</v>
      </c>
      <c r="O52" s="19">
        <f>IF(M52="SIM",$Q$18,"")</f>
        <v>7079.6890070712852</v>
      </c>
      <c r="P52" s="18" t="s">
        <v>100</v>
      </c>
      <c r="Q52" s="18" t="s">
        <v>15</v>
      </c>
      <c r="R52" s="19">
        <f>IF(P52="SIM",$Q$18,"")</f>
        <v>7079.6890070712852</v>
      </c>
      <c r="S52" s="18" t="s">
        <v>99</v>
      </c>
      <c r="T52" s="18" t="s">
        <v>15</v>
      </c>
      <c r="U52" s="19" t="str">
        <f>IF(S52="SIM",$Q$18,"")</f>
        <v/>
      </c>
      <c r="W52" s="18" t="str">
        <f t="shared" si="42"/>
        <v>SIM</v>
      </c>
      <c r="X52" s="18" t="s">
        <v>15</v>
      </c>
      <c r="Y52" s="19">
        <f>IF(W52="SIM",$AA$18,"")</f>
        <v>8596.7652228722745</v>
      </c>
      <c r="Z52" s="18" t="str">
        <f t="shared" si="43"/>
        <v>SIM</v>
      </c>
      <c r="AA52" s="18" t="s">
        <v>15</v>
      </c>
      <c r="AB52" s="19">
        <f>IF(Z52="SIM",$AA$18,"")</f>
        <v>8596.7652228722745</v>
      </c>
      <c r="AC52" s="18" t="str">
        <f t="shared" si="44"/>
        <v>NÃO</v>
      </c>
      <c r="AD52" s="18" t="s">
        <v>15</v>
      </c>
      <c r="AE52" s="19" t="str">
        <f>IF(AC52="SIM",$Q$18,"")</f>
        <v/>
      </c>
      <c r="AG52" s="18" t="str">
        <f t="shared" si="45"/>
        <v>SIM</v>
      </c>
      <c r="AH52" s="18" t="s">
        <v>15</v>
      </c>
      <c r="AI52" s="19">
        <f>IF(AG52="SIM",$AK$18,"")</f>
        <v>10113.841438673264</v>
      </c>
      <c r="AJ52" s="18" t="str">
        <f t="shared" si="46"/>
        <v>SIM</v>
      </c>
      <c r="AK52" s="18" t="s">
        <v>15</v>
      </c>
      <c r="AL52" s="19">
        <f>IF(AJ52="SIM",$AK$18,"")</f>
        <v>10113.841438673264</v>
      </c>
      <c r="AM52" s="18" t="str">
        <f t="shared" si="47"/>
        <v>NÃO</v>
      </c>
      <c r="AN52" s="18" t="s">
        <v>15</v>
      </c>
      <c r="AO52" s="19" t="str">
        <f>IF(AM52="SIM",$Q$18,"")</f>
        <v/>
      </c>
      <c r="AQ52" s="18" t="str">
        <f t="shared" si="48"/>
        <v>SIM</v>
      </c>
      <c r="AR52" s="18" t="s">
        <v>15</v>
      </c>
      <c r="AS52" s="19">
        <f>IF(AQ52="SIM",$AU$18,"")</f>
        <v>11630.917654474253</v>
      </c>
      <c r="AT52" s="18" t="str">
        <f t="shared" si="49"/>
        <v>SIM</v>
      </c>
      <c r="AU52" s="18" t="s">
        <v>15</v>
      </c>
      <c r="AV52" s="19">
        <f>IF(AT52="SIM",$AU$18,"")</f>
        <v>11630.917654474253</v>
      </c>
      <c r="AW52" s="18" t="str">
        <f t="shared" si="50"/>
        <v>NÃO</v>
      </c>
      <c r="AX52" s="18" t="s">
        <v>15</v>
      </c>
      <c r="AY52" s="19" t="str">
        <f>IF(AW52="SIM",$Q$18,"")</f>
        <v/>
      </c>
    </row>
    <row r="53" spans="8:52" x14ac:dyDescent="0.25">
      <c r="H53" s="1"/>
      <c r="I53" s="1"/>
      <c r="J53" s="1"/>
      <c r="K53" s="1"/>
      <c r="M53" s="18" t="s">
        <v>100</v>
      </c>
      <c r="N53" s="18" t="s">
        <v>16</v>
      </c>
      <c r="O53" s="19">
        <f>IF(M53="SIM",$Q$19,"")</f>
        <v>6550.0506311321069</v>
      </c>
      <c r="P53" s="18" t="s">
        <v>100</v>
      </c>
      <c r="Q53" s="18" t="s">
        <v>16</v>
      </c>
      <c r="R53" s="19">
        <f>IF(P53="SIM",$Q$19,"")</f>
        <v>6550.0506311321069</v>
      </c>
      <c r="S53" s="18" t="s">
        <v>99</v>
      </c>
      <c r="T53" s="18" t="s">
        <v>16</v>
      </c>
      <c r="U53" s="19" t="str">
        <f>IF(S53="SIM",$Q$19,"")</f>
        <v/>
      </c>
      <c r="W53" s="18" t="str">
        <f t="shared" si="42"/>
        <v>SIM</v>
      </c>
      <c r="X53" s="18" t="s">
        <v>16</v>
      </c>
      <c r="Y53" s="19">
        <f>IF(W53="SIM",$AA$19,"")</f>
        <v>7953.6329092318447</v>
      </c>
      <c r="Z53" s="18" t="str">
        <f t="shared" si="43"/>
        <v>SIM</v>
      </c>
      <c r="AA53" s="18" t="s">
        <v>16</v>
      </c>
      <c r="AB53" s="19">
        <f>IF(Z53="SIM",$AA$19,"")</f>
        <v>7953.6329092318447</v>
      </c>
      <c r="AC53" s="18" t="str">
        <f t="shared" si="44"/>
        <v>NÃO</v>
      </c>
      <c r="AD53" s="18" t="s">
        <v>16</v>
      </c>
      <c r="AE53" s="19" t="str">
        <f>IF(AC53="SIM",$Q$19,"")</f>
        <v/>
      </c>
      <c r="AG53" s="18" t="str">
        <f t="shared" si="45"/>
        <v>SIM</v>
      </c>
      <c r="AH53" s="18" t="s">
        <v>16</v>
      </c>
      <c r="AI53" s="19">
        <f>IF(AG53="SIM",$AK$19,"")</f>
        <v>9357.2151873315815</v>
      </c>
      <c r="AJ53" s="18" t="str">
        <f t="shared" si="46"/>
        <v>SIM</v>
      </c>
      <c r="AK53" s="18" t="s">
        <v>16</v>
      </c>
      <c r="AL53" s="19">
        <f>IF(AJ53="SIM",$AK$19,"")</f>
        <v>9357.2151873315815</v>
      </c>
      <c r="AM53" s="18" t="str">
        <f t="shared" si="47"/>
        <v>NÃO</v>
      </c>
      <c r="AN53" s="18" t="s">
        <v>16</v>
      </c>
      <c r="AO53" s="19" t="str">
        <f>IF(AM53="SIM",$Q$19,"")</f>
        <v/>
      </c>
      <c r="AQ53" s="18" t="str">
        <f t="shared" si="48"/>
        <v>SIM</v>
      </c>
      <c r="AR53" s="18" t="s">
        <v>16</v>
      </c>
      <c r="AS53" s="19">
        <f>IF(AQ53="SIM",$AU$19,"")</f>
        <v>10760.797465431318</v>
      </c>
      <c r="AT53" s="18" t="str">
        <f t="shared" si="49"/>
        <v>SIM</v>
      </c>
      <c r="AU53" s="18" t="s">
        <v>16</v>
      </c>
      <c r="AV53" s="19">
        <f>IF(AT53="SIM",$AU$19,"")</f>
        <v>10760.797465431318</v>
      </c>
      <c r="AW53" s="18" t="str">
        <f t="shared" si="50"/>
        <v>NÃO</v>
      </c>
      <c r="AX53" s="18" t="s">
        <v>16</v>
      </c>
      <c r="AY53" s="19" t="str">
        <f>IF(AW53="SIM",$Q$19,"")</f>
        <v/>
      </c>
    </row>
    <row r="54" spans="8:52" x14ac:dyDescent="0.25">
      <c r="H54" s="1"/>
      <c r="I54" s="1"/>
      <c r="J54" s="1"/>
      <c r="K54" s="1"/>
      <c r="M54" s="18" t="s">
        <v>100</v>
      </c>
      <c r="N54" s="93" t="s">
        <v>17</v>
      </c>
      <c r="O54" s="94">
        <f>IF(M54="SIM",$Q$20,"")</f>
        <v>4943.5440181224758</v>
      </c>
      <c r="P54" s="18" t="s">
        <v>100</v>
      </c>
      <c r="Q54" s="93" t="s">
        <v>17</v>
      </c>
      <c r="R54" s="94">
        <f>IF(P54="SIM",$Q$20,"")</f>
        <v>4943.5440181224758</v>
      </c>
      <c r="S54" s="18" t="s">
        <v>99</v>
      </c>
      <c r="T54" s="93" t="s">
        <v>17</v>
      </c>
      <c r="U54" s="94" t="str">
        <f>IF(S54="SIM",$Q$20,"")</f>
        <v/>
      </c>
      <c r="W54" s="18" t="str">
        <f t="shared" si="42"/>
        <v>SIM</v>
      </c>
      <c r="X54" s="93" t="s">
        <v>17</v>
      </c>
      <c r="Y54" s="94">
        <f>IF(W54="SIM",$AA$20,"")</f>
        <v>6002.8748791487214</v>
      </c>
      <c r="Z54" s="18" t="str">
        <f t="shared" si="43"/>
        <v>SIM</v>
      </c>
      <c r="AA54" s="93" t="s">
        <v>17</v>
      </c>
      <c r="AB54" s="94">
        <f>IF(Z54="SIM",$AA$20,"")</f>
        <v>6002.8748791487214</v>
      </c>
      <c r="AC54" s="18" t="str">
        <f t="shared" si="44"/>
        <v>NÃO</v>
      </c>
      <c r="AD54" s="93" t="s">
        <v>17</v>
      </c>
      <c r="AE54" s="94" t="str">
        <f>IF(AC54="SIM",$Q$20,"")</f>
        <v/>
      </c>
      <c r="AG54" s="18" t="str">
        <f t="shared" si="45"/>
        <v>SIM</v>
      </c>
      <c r="AH54" s="93" t="s">
        <v>17</v>
      </c>
      <c r="AI54" s="94">
        <f>IF(AG54="SIM",$AK$20,"")</f>
        <v>7062.2057401749653</v>
      </c>
      <c r="AJ54" s="18" t="str">
        <f t="shared" si="46"/>
        <v>SIM</v>
      </c>
      <c r="AK54" s="93" t="s">
        <v>17</v>
      </c>
      <c r="AL54" s="94">
        <f>IF(AJ54="SIM",$AK$20,"")</f>
        <v>7062.2057401749653</v>
      </c>
      <c r="AM54" s="18" t="str">
        <f t="shared" si="47"/>
        <v>NÃO</v>
      </c>
      <c r="AN54" s="93" t="s">
        <v>17</v>
      </c>
      <c r="AO54" s="94" t="str">
        <f>IF(AM54="SIM",$Q$20,"")</f>
        <v/>
      </c>
      <c r="AQ54" s="18" t="str">
        <f t="shared" si="48"/>
        <v>SIM</v>
      </c>
      <c r="AR54" s="93" t="s">
        <v>17</v>
      </c>
      <c r="AS54" s="94">
        <f>IF(AQ54="SIM",$AU$20,"")</f>
        <v>8121.5366012012109</v>
      </c>
      <c r="AT54" s="18" t="str">
        <f t="shared" si="49"/>
        <v>SIM</v>
      </c>
      <c r="AU54" s="93" t="s">
        <v>17</v>
      </c>
      <c r="AV54" s="94">
        <f>IF(AT54="SIM",$AU$20,"")</f>
        <v>8121.5366012012109</v>
      </c>
      <c r="AW54" s="18" t="str">
        <f t="shared" si="50"/>
        <v>NÃO</v>
      </c>
      <c r="AX54" s="93" t="s">
        <v>17</v>
      </c>
      <c r="AY54" s="94" t="str">
        <f>IF(AW54="SIM",$Q$20,"")</f>
        <v/>
      </c>
    </row>
    <row r="55" spans="8:52" x14ac:dyDescent="0.25">
      <c r="H55" s="1"/>
      <c r="I55" s="1"/>
      <c r="J55" s="1"/>
      <c r="K55" s="1"/>
      <c r="R55" s="18"/>
      <c r="S55" s="18"/>
      <c r="T55" s="18"/>
      <c r="U55" s="18"/>
      <c r="V55" s="59" t="s">
        <v>22</v>
      </c>
      <c r="W55" s="18"/>
      <c r="X55" s="18"/>
      <c r="Y55" s="18"/>
      <c r="Z55" s="18"/>
      <c r="AA55" s="18"/>
      <c r="AB55" s="18"/>
      <c r="AC55" s="18"/>
      <c r="AD55" s="18"/>
      <c r="AE55" s="18"/>
      <c r="AF55" s="59" t="s">
        <v>22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59" t="s">
        <v>22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59" t="s">
        <v>22</v>
      </c>
    </row>
    <row r="56" spans="8:52" x14ac:dyDescent="0.25">
      <c r="H56" s="1"/>
      <c r="I56" s="1"/>
      <c r="J56" s="1"/>
      <c r="K56" s="1"/>
      <c r="N56" s="59" t="s">
        <v>18</v>
      </c>
      <c r="O56" s="86">
        <f>SUM(O49:O54)</f>
        <v>33764.113995469379</v>
      </c>
      <c r="Q56" s="59" t="s">
        <v>18</v>
      </c>
      <c r="R56" s="86">
        <f>SUM(R49:R54)</f>
        <v>33764.113995469379</v>
      </c>
      <c r="S56" s="18"/>
      <c r="T56" s="59" t="s">
        <v>18</v>
      </c>
      <c r="U56" s="86">
        <f>SUM(U49:U54)</f>
        <v>0</v>
      </c>
      <c r="V56" s="86">
        <f>O45+R56+R45+U45+O56+U56</f>
        <v>140000</v>
      </c>
      <c r="W56" s="18"/>
      <c r="X56" s="59" t="s">
        <v>18</v>
      </c>
      <c r="Y56" s="86">
        <f>SUM(Y49:Y54)</f>
        <v>40999.281280212825</v>
      </c>
      <c r="Z56" s="18"/>
      <c r="AA56" s="59" t="s">
        <v>18</v>
      </c>
      <c r="AB56" s="86">
        <f>SUM(AB49:AB54)</f>
        <v>40999.281280212825</v>
      </c>
      <c r="AC56" s="18"/>
      <c r="AD56" s="59" t="s">
        <v>18</v>
      </c>
      <c r="AE56" s="86">
        <f>SUM(AE49:AE54)</f>
        <v>0</v>
      </c>
      <c r="AF56" s="86">
        <f>Y45+AB56+AB45+AE45+Y56+AE56</f>
        <v>170000.00000000003</v>
      </c>
      <c r="AG56" s="18"/>
      <c r="AH56" s="59" t="s">
        <v>18</v>
      </c>
      <c r="AI56" s="86">
        <f>SUM(AI49:AI54)</f>
        <v>48234.448564956256</v>
      </c>
      <c r="AJ56" s="18"/>
      <c r="AK56" s="59" t="s">
        <v>18</v>
      </c>
      <c r="AL56" s="86">
        <f>SUM(AL49:AL54)</f>
        <v>48234.448564956256</v>
      </c>
      <c r="AM56" s="18"/>
      <c r="AN56" s="59" t="s">
        <v>18</v>
      </c>
      <c r="AO56" s="86">
        <f>SUM(AO49:AO54)</f>
        <v>0</v>
      </c>
      <c r="AP56" s="86">
        <f>AI45+AL56+AL45+AO45+AI56+AO56</f>
        <v>200000</v>
      </c>
      <c r="AQ56" s="18"/>
      <c r="AR56" s="59" t="s">
        <v>18</v>
      </c>
      <c r="AS56" s="86">
        <f>SUM(AS49:AS54)</f>
        <v>55469.615849699694</v>
      </c>
      <c r="AT56" s="18"/>
      <c r="AU56" s="59" t="s">
        <v>18</v>
      </c>
      <c r="AV56" s="86">
        <f>SUM(AV49:AV54)</f>
        <v>55469.615849699694</v>
      </c>
      <c r="AW56" s="18"/>
      <c r="AX56" s="59" t="s">
        <v>18</v>
      </c>
      <c r="AY56" s="86">
        <f>SUM(AY49:AY54)</f>
        <v>0</v>
      </c>
      <c r="AZ56" s="86">
        <f>AS45+AV56+AV45+AY45+AS56+AY56</f>
        <v>230000</v>
      </c>
    </row>
    <row r="57" spans="8:52" x14ac:dyDescent="0.25">
      <c r="H57" s="1"/>
      <c r="I57" s="1"/>
      <c r="J57" s="1"/>
      <c r="K57" s="1"/>
      <c r="R57" s="18"/>
      <c r="S57" s="18"/>
      <c r="T57" s="18"/>
      <c r="U57" s="18"/>
      <c r="V57" s="36"/>
    </row>
    <row r="58" spans="8:52" x14ac:dyDescent="0.25">
      <c r="H58" s="1"/>
      <c r="I58" s="1"/>
      <c r="J58" s="1"/>
      <c r="K58" s="1"/>
      <c r="R58" s="18"/>
      <c r="S58" s="18"/>
      <c r="T58" s="18"/>
      <c r="U58" s="18"/>
      <c r="V58" s="36"/>
    </row>
    <row r="78" spans="16:16" x14ac:dyDescent="0.25">
      <c r="P78" s="23">
        <v>-3.9684520597802475E-3</v>
      </c>
    </row>
    <row r="100" spans="16:16" x14ac:dyDescent="0.25">
      <c r="P100" s="23">
        <v>5.2243066602386534E-4</v>
      </c>
    </row>
  </sheetData>
  <mergeCells count="37">
    <mergeCell ref="N36:O36"/>
    <mergeCell ref="Q36:R36"/>
    <mergeCell ref="T36:U36"/>
    <mergeCell ref="N47:O47"/>
    <mergeCell ref="Q47:R47"/>
    <mergeCell ref="T47:U47"/>
    <mergeCell ref="J18:K18"/>
    <mergeCell ref="AG1:AL1"/>
    <mergeCell ref="AQ1:AV1"/>
    <mergeCell ref="M33:U33"/>
    <mergeCell ref="S1:U1"/>
    <mergeCell ref="W33:AE33"/>
    <mergeCell ref="AG33:AO33"/>
    <mergeCell ref="AQ33:AY33"/>
    <mergeCell ref="M1:R1"/>
    <mergeCell ref="W1:AB1"/>
    <mergeCell ref="J1:K1"/>
    <mergeCell ref="J6:K6"/>
    <mergeCell ref="J12:K12"/>
    <mergeCell ref="X36:Y36"/>
    <mergeCell ref="AA36:AB36"/>
    <mergeCell ref="AD36:AE36"/>
    <mergeCell ref="X47:Y47"/>
    <mergeCell ref="AA47:AB47"/>
    <mergeCell ref="AD47:AE47"/>
    <mergeCell ref="AH36:AI36"/>
    <mergeCell ref="AK36:AL36"/>
    <mergeCell ref="AN36:AO36"/>
    <mergeCell ref="AH47:AI47"/>
    <mergeCell ref="AK47:AL47"/>
    <mergeCell ref="AN47:AO47"/>
    <mergeCell ref="AR36:AS36"/>
    <mergeCell ref="AU36:AV36"/>
    <mergeCell ref="AX36:AY36"/>
    <mergeCell ref="AR47:AS47"/>
    <mergeCell ref="AU47:AV47"/>
    <mergeCell ref="AX47:AY47"/>
  </mergeCells>
  <phoneticPr fontId="11" type="noConversion"/>
  <dataValidations count="2">
    <dataValidation type="list" allowBlank="1" showInputMessage="1" showErrorMessage="1" sqref="AG3:AG9 M3:M10" xr:uid="{273981D4-E166-49AE-87C8-468DDFCBF3B9}">
      <formula1>"1,2,3,4,5,6,7,8,9,10,11,12"</formula1>
    </dataValidation>
    <dataValidation type="list" allowBlank="1" showInputMessage="1" showErrorMessage="1" sqref="S48:S54 S37:S43 P37:P43 M37:M43 M48:M54 P48:P54" xr:uid="{FA9564A7-22A7-4B92-95FC-A5B47DA7F5D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ignoredErrors>
    <ignoredError sqref="Q3:Q8" calculatedColumn="1"/>
  </ignoredErrors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9510-7361-4253-87EA-1B6A03F51A3B}">
  <sheetPr codeName="Planilha12">
    <tabColor theme="9" tint="-0.249977111117893"/>
  </sheetPr>
  <dimension ref="B1:U160"/>
  <sheetViews>
    <sheetView showGridLines="0" zoomScale="115" zoomScaleNormal="115" workbookViewId="0">
      <selection activeCell="D5" sqref="D5:D159"/>
    </sheetView>
  </sheetViews>
  <sheetFormatPr defaultColWidth="8.7109375" defaultRowHeight="15" x14ac:dyDescent="0.25"/>
  <cols>
    <col min="2" max="2" width="20.42578125" customWidth="1"/>
    <col min="3" max="3" width="19.7109375" bestFit="1" customWidth="1"/>
    <col min="4" max="4" width="22.140625" bestFit="1" customWidth="1"/>
    <col min="5" max="5" width="19.140625" customWidth="1"/>
    <col min="6" max="6" width="8.42578125" customWidth="1"/>
    <col min="7" max="7" width="9.28515625" hidden="1" customWidth="1"/>
    <col min="8" max="8" width="15.42578125" customWidth="1"/>
    <col min="9" max="9" width="18.140625" bestFit="1" customWidth="1"/>
    <col min="10" max="13" width="20.42578125" bestFit="1" customWidth="1"/>
    <col min="14" max="14" width="3.42578125" style="39" customWidth="1"/>
    <col min="15" max="18" width="20.42578125" bestFit="1" customWidth="1"/>
    <col min="19" max="19" width="8.7109375" customWidth="1"/>
    <col min="20" max="20" width="29.7109375" bestFit="1" customWidth="1"/>
    <col min="21" max="21" width="10" bestFit="1" customWidth="1"/>
  </cols>
  <sheetData>
    <row r="1" spans="2:21" ht="15.75" thickBot="1" x14ac:dyDescent="0.3">
      <c r="J1" s="186" t="s">
        <v>0</v>
      </c>
      <c r="K1" s="187"/>
      <c r="L1" s="187"/>
      <c r="M1" s="187"/>
      <c r="O1" s="186" t="s">
        <v>5</v>
      </c>
      <c r="P1" s="187"/>
      <c r="Q1" s="187"/>
      <c r="R1" s="187"/>
      <c r="T1" s="108" t="s">
        <v>72</v>
      </c>
      <c r="U1" s="108" t="s">
        <v>73</v>
      </c>
    </row>
    <row r="2" spans="2:21" ht="24.75" thickBot="1" x14ac:dyDescent="0.45">
      <c r="J2" s="76" t="s">
        <v>1</v>
      </c>
      <c r="K2" s="77" t="s">
        <v>2</v>
      </c>
      <c r="L2" s="78" t="s">
        <v>3</v>
      </c>
      <c r="M2" s="79" t="s">
        <v>4</v>
      </c>
      <c r="O2" s="76" t="s">
        <v>1</v>
      </c>
      <c r="P2" s="77" t="s">
        <v>2</v>
      </c>
      <c r="Q2" s="78" t="s">
        <v>3</v>
      </c>
      <c r="R2" s="79" t="s">
        <v>4</v>
      </c>
      <c r="T2" s="115">
        <v>4</v>
      </c>
      <c r="U2" s="116">
        <v>0.2</v>
      </c>
    </row>
    <row r="3" spans="2:21" ht="21.75" thickBot="1" x14ac:dyDescent="0.4">
      <c r="B3" s="186" t="s">
        <v>74</v>
      </c>
      <c r="C3" s="187"/>
      <c r="D3" s="187"/>
      <c r="E3" s="187"/>
      <c r="G3" t="s">
        <v>75</v>
      </c>
      <c r="J3" s="117">
        <f>Q6</f>
        <v>20000</v>
      </c>
      <c r="K3" s="117">
        <f>Q7</f>
        <v>26000</v>
      </c>
      <c r="L3" s="117">
        <f>Q8</f>
        <v>32000</v>
      </c>
      <c r="M3" s="117">
        <f>Q9</f>
        <v>36000</v>
      </c>
      <c r="N3" s="118"/>
      <c r="O3" s="117">
        <f>R6</f>
        <v>22000</v>
      </c>
      <c r="P3" s="117">
        <f>R7</f>
        <v>28000</v>
      </c>
      <c r="Q3" s="117">
        <f>R8</f>
        <v>34000</v>
      </c>
      <c r="R3" s="117">
        <f>R9</f>
        <v>40000</v>
      </c>
    </row>
    <row r="4" spans="2:21" x14ac:dyDescent="0.25">
      <c r="B4" s="18" t="s">
        <v>36</v>
      </c>
      <c r="C4" s="18" t="s">
        <v>37</v>
      </c>
      <c r="D4" s="19" t="s">
        <v>38</v>
      </c>
      <c r="E4" s="20" t="s">
        <v>64</v>
      </c>
      <c r="G4" t="s">
        <v>76</v>
      </c>
    </row>
    <row r="5" spans="2:21" ht="15.75" thickBot="1" x14ac:dyDescent="0.3">
      <c r="B5" s="68">
        <f>Tabela37[[#This Row],[DATA]]</f>
        <v>46143</v>
      </c>
      <c r="C5" s="68" t="str">
        <f t="shared" ref="C5:C30" si="0">UPPER(TEXT(B5,"dddd"))</f>
        <v>SEXTA-FEIRA</v>
      </c>
      <c r="D5" s="69"/>
      <c r="E5" s="70" t="s">
        <v>75</v>
      </c>
      <c r="G5" t="s">
        <v>77</v>
      </c>
      <c r="Q5" s="108" t="s">
        <v>78</v>
      </c>
      <c r="R5" s="108" t="s">
        <v>79</v>
      </c>
    </row>
    <row r="6" spans="2:21" ht="15.75" thickBot="1" x14ac:dyDescent="0.3">
      <c r="B6" s="68">
        <f>Tabela37[[#This Row],[DATA]]</f>
        <v>46144</v>
      </c>
      <c r="C6" s="68" t="str">
        <f t="shared" si="0"/>
        <v>SÁBADO</v>
      </c>
      <c r="D6" s="69"/>
      <c r="E6" s="70" t="s">
        <v>75</v>
      </c>
      <c r="G6" t="s">
        <v>80</v>
      </c>
      <c r="H6" s="186" t="s">
        <v>81</v>
      </c>
      <c r="I6" s="187"/>
      <c r="J6" s="187"/>
      <c r="K6" s="187"/>
      <c r="L6" s="187"/>
      <c r="M6" s="192"/>
      <c r="P6" s="108" t="s">
        <v>7</v>
      </c>
      <c r="Q6" s="25">
        <f>'ANÁLISE GERAL SOBRAL (2026)'!H21/(VENDAS_VENDEDOR!$T$2+1)</f>
        <v>20000</v>
      </c>
      <c r="R6" s="25">
        <f>'ANÁLISE GERAL SOBRAL (2026)'!F21*VENDAS_VENDEDOR!$U$2</f>
        <v>22000</v>
      </c>
      <c r="S6" s="36"/>
      <c r="T6" s="36"/>
    </row>
    <row r="7" spans="2:21" x14ac:dyDescent="0.25">
      <c r="B7" s="68">
        <f>Tabela37[[#This Row],[DATA]]</f>
        <v>46145</v>
      </c>
      <c r="C7" s="68" t="str">
        <f t="shared" si="0"/>
        <v>DOMINGO</v>
      </c>
      <c r="D7" s="69"/>
      <c r="E7" s="70" t="s">
        <v>75</v>
      </c>
      <c r="G7" t="s">
        <v>82</v>
      </c>
      <c r="H7" s="57" t="s">
        <v>83</v>
      </c>
      <c r="I7" s="57" t="s">
        <v>38</v>
      </c>
      <c r="J7" s="76" t="s">
        <v>1</v>
      </c>
      <c r="K7" s="77" t="s">
        <v>2</v>
      </c>
      <c r="L7" s="78" t="s">
        <v>3</v>
      </c>
      <c r="M7" s="79" t="s">
        <v>4</v>
      </c>
      <c r="P7" s="108" t="s">
        <v>2</v>
      </c>
      <c r="Q7" s="25">
        <f>'ANÁLISE GERAL SOBRAL (2026)'!H22/(VENDAS_VENDEDOR!$T$2+1)</f>
        <v>26000</v>
      </c>
      <c r="R7" s="25">
        <f>'ANÁLISE GERAL SOBRAL (2026)'!F22*VENDAS_VENDEDOR!$U$2</f>
        <v>28000</v>
      </c>
    </row>
    <row r="8" spans="2:21" x14ac:dyDescent="0.25">
      <c r="B8" s="68">
        <f>Tabela37[[#This Row],[DATA]]</f>
        <v>46146</v>
      </c>
      <c r="C8" s="71" t="str">
        <f t="shared" si="0"/>
        <v>SEGUNDA-FEIRA</v>
      </c>
      <c r="D8" s="72"/>
      <c r="E8" s="70" t="s">
        <v>75</v>
      </c>
      <c r="G8" t="s">
        <v>84</v>
      </c>
      <c r="H8" s="37" t="s">
        <v>75</v>
      </c>
      <c r="I8" s="56">
        <f>SUMIFS($D$5:$D$151,$E$5:$E$151,H8)</f>
        <v>0</v>
      </c>
      <c r="J8" s="56">
        <f>I8-$J$3</f>
        <v>-20000</v>
      </c>
      <c r="K8" s="56">
        <f>I8-$K$3</f>
        <v>-26000</v>
      </c>
      <c r="L8" s="56">
        <f>I8-$L$3</f>
        <v>-32000</v>
      </c>
      <c r="M8" s="56">
        <f>I8-$M$3</f>
        <v>-36000</v>
      </c>
      <c r="P8" s="108" t="s">
        <v>3</v>
      </c>
      <c r="Q8" s="25">
        <f>'ANÁLISE GERAL SOBRAL (2026)'!H23/(VENDAS_VENDEDOR!$T$2+1)</f>
        <v>32000</v>
      </c>
      <c r="R8" s="25">
        <f>'ANÁLISE GERAL SOBRAL (2026)'!F23*VENDAS_VENDEDOR!$U$2</f>
        <v>34000</v>
      </c>
    </row>
    <row r="9" spans="2:21" x14ac:dyDescent="0.25">
      <c r="B9" s="68">
        <f>Tabela37[[#This Row],[DATA]]</f>
        <v>46147</v>
      </c>
      <c r="C9" s="71" t="str">
        <f t="shared" si="0"/>
        <v>TERÇA-FEIRA</v>
      </c>
      <c r="D9" s="72"/>
      <c r="E9" s="70" t="s">
        <v>75</v>
      </c>
      <c r="H9" s="37" t="s">
        <v>76</v>
      </c>
      <c r="I9" s="56">
        <f>SUMIFS($D$5:$D$151,$E$5:$E$151,H9)</f>
        <v>0</v>
      </c>
      <c r="J9" s="56">
        <f>I9-$J$3</f>
        <v>-20000</v>
      </c>
      <c r="K9" s="56">
        <f>I9-$K$3</f>
        <v>-26000</v>
      </c>
      <c r="L9" s="56">
        <f>I9-$L$3</f>
        <v>-32000</v>
      </c>
      <c r="M9" s="56">
        <f>I9-$M$3</f>
        <v>-36000</v>
      </c>
      <c r="P9" s="108" t="s">
        <v>4</v>
      </c>
      <c r="Q9" s="25">
        <f>'ANÁLISE GERAL SOBRAL (2026)'!H24/(VENDAS_VENDEDOR!$T$2+1)</f>
        <v>36000</v>
      </c>
      <c r="R9" s="25">
        <f>'ANÁLISE GERAL SOBRAL (2026)'!F24*VENDAS_VENDEDOR!$U$2</f>
        <v>40000</v>
      </c>
    </row>
    <row r="10" spans="2:21" x14ac:dyDescent="0.25">
      <c r="B10" s="68">
        <f>Tabela37[[#This Row],[DATA]]</f>
        <v>46148</v>
      </c>
      <c r="C10" s="71" t="str">
        <f t="shared" si="0"/>
        <v>QUARTA-FEIRA</v>
      </c>
      <c r="D10" s="72"/>
      <c r="E10" s="70" t="s">
        <v>75</v>
      </c>
      <c r="H10" s="37" t="s">
        <v>80</v>
      </c>
      <c r="I10" s="56">
        <f>SUMIFS($D$5:$D$151,$E$5:$E$151,H10)</f>
        <v>0</v>
      </c>
      <c r="J10" s="56">
        <f>I10-$J$3</f>
        <v>-20000</v>
      </c>
      <c r="K10" s="56">
        <f>I10-$K$3</f>
        <v>-26000</v>
      </c>
      <c r="L10" s="56">
        <f>I10-$L$3</f>
        <v>-32000</v>
      </c>
      <c r="M10" s="56">
        <f>I10-$M$3</f>
        <v>-36000</v>
      </c>
    </row>
    <row r="11" spans="2:21" x14ac:dyDescent="0.25">
      <c r="B11" s="68">
        <f>Tabela37[[#This Row],[DATA]]</f>
        <v>46149</v>
      </c>
      <c r="C11" s="71" t="str">
        <f t="shared" si="0"/>
        <v>QUINTA-FEIRA</v>
      </c>
      <c r="D11" s="72"/>
      <c r="E11" s="70" t="s">
        <v>75</v>
      </c>
      <c r="H11" s="37" t="s">
        <v>84</v>
      </c>
      <c r="I11" s="56">
        <f>SUMIFS($D$5:$D$151,$E$5:$E$151,H11)</f>
        <v>0</v>
      </c>
      <c r="J11" s="56">
        <f>I11-$O$3</f>
        <v>-22000</v>
      </c>
      <c r="K11" s="56">
        <f>I11-$P$3</f>
        <v>-28000</v>
      </c>
      <c r="L11" s="56">
        <f>I11-$Q$3</f>
        <v>-34000</v>
      </c>
      <c r="M11" s="56">
        <f>I11-$R$3</f>
        <v>-40000</v>
      </c>
      <c r="Q11" s="36"/>
      <c r="R11" s="36"/>
    </row>
    <row r="12" spans="2:21" x14ac:dyDescent="0.25">
      <c r="B12" s="68">
        <f>Tabela37[[#This Row],[DATA]]</f>
        <v>46150</v>
      </c>
      <c r="C12" s="71" t="str">
        <f t="shared" si="0"/>
        <v>SEXTA-FEIRA</v>
      </c>
      <c r="D12" s="72"/>
      <c r="E12" s="70" t="s">
        <v>75</v>
      </c>
      <c r="H12" s="37" t="s">
        <v>77</v>
      </c>
      <c r="I12" s="56">
        <f>SUMIFS($D$5:$D$151,$E$5:$E$151,H12)</f>
        <v>0</v>
      </c>
      <c r="J12" s="56">
        <f t="shared" ref="J12" si="1">I12-$J$3</f>
        <v>-20000</v>
      </c>
      <c r="K12" s="56">
        <f>I12-$K$3</f>
        <v>-26000</v>
      </c>
      <c r="L12" s="56">
        <f>I12-$L$3</f>
        <v>-32000</v>
      </c>
      <c r="M12" s="56">
        <f>I12-$M$3</f>
        <v>-36000</v>
      </c>
    </row>
    <row r="13" spans="2:21" ht="15.75" thickBot="1" x14ac:dyDescent="0.3">
      <c r="B13" s="68">
        <f>Tabela37[[#This Row],[DATA]]</f>
        <v>46151</v>
      </c>
      <c r="C13" s="71" t="str">
        <f t="shared" si="0"/>
        <v>SÁBADO</v>
      </c>
      <c r="D13" s="72"/>
      <c r="E13" s="70" t="s">
        <v>75</v>
      </c>
      <c r="Q13" s="18"/>
    </row>
    <row r="14" spans="2:21" ht="15.75" thickBot="1" x14ac:dyDescent="0.3">
      <c r="B14" s="68">
        <f>Tabela37[[#This Row],[DATA]]</f>
        <v>46152</v>
      </c>
      <c r="C14" s="71" t="str">
        <f t="shared" si="0"/>
        <v>DOMINGO</v>
      </c>
      <c r="D14" s="72"/>
      <c r="E14" s="70" t="s">
        <v>75</v>
      </c>
      <c r="I14" s="199" t="s">
        <v>85</v>
      </c>
      <c r="J14" s="200"/>
      <c r="K14" s="200"/>
      <c r="L14" s="200"/>
      <c r="M14" s="201"/>
      <c r="Q14" s="18"/>
    </row>
    <row r="15" spans="2:21" x14ac:dyDescent="0.25">
      <c r="B15" s="68">
        <f>Tabela37[[#This Row],[DATA]]</f>
        <v>46153</v>
      </c>
      <c r="C15" s="71" t="str">
        <f t="shared" si="0"/>
        <v>SEGUNDA-FEIRA</v>
      </c>
      <c r="D15" s="72"/>
      <c r="E15" s="70" t="s">
        <v>75</v>
      </c>
      <c r="H15" s="36"/>
      <c r="I15" s="57" t="s">
        <v>83</v>
      </c>
      <c r="J15" s="76" t="s">
        <v>1</v>
      </c>
      <c r="K15" s="77" t="s">
        <v>2</v>
      </c>
      <c r="L15" s="78" t="s">
        <v>3</v>
      </c>
      <c r="M15" s="79" t="s">
        <v>4</v>
      </c>
      <c r="Q15" s="18"/>
    </row>
    <row r="16" spans="2:21" x14ac:dyDescent="0.25">
      <c r="B16" s="68">
        <f>Tabela37[[#This Row],[DATA]]</f>
        <v>46154</v>
      </c>
      <c r="C16" s="71" t="str">
        <f t="shared" si="0"/>
        <v>TERÇA-FEIRA</v>
      </c>
      <c r="D16" s="72"/>
      <c r="E16" s="70" t="s">
        <v>75</v>
      </c>
      <c r="I16" s="37" t="s">
        <v>75</v>
      </c>
      <c r="J16" s="64" t="str">
        <f t="shared" ref="J16:M19" si="2">IF(J8&gt;0,"BATEU","NÃO ALCANÇADO")</f>
        <v>NÃO ALCANÇADO</v>
      </c>
      <c r="K16" s="64" t="str">
        <f t="shared" si="2"/>
        <v>NÃO ALCANÇADO</v>
      </c>
      <c r="L16" s="64" t="str">
        <f t="shared" si="2"/>
        <v>NÃO ALCANÇADO</v>
      </c>
      <c r="M16" s="64" t="str">
        <f t="shared" si="2"/>
        <v>NÃO ALCANÇADO</v>
      </c>
      <c r="Q16" s="18"/>
    </row>
    <row r="17" spans="2:13" x14ac:dyDescent="0.25">
      <c r="B17" s="68">
        <f>Tabela37[[#This Row],[DATA]]</f>
        <v>46155</v>
      </c>
      <c r="C17" s="71" t="str">
        <f t="shared" si="0"/>
        <v>QUARTA-FEIRA</v>
      </c>
      <c r="D17" s="72"/>
      <c r="E17" s="70" t="s">
        <v>75</v>
      </c>
      <c r="I17" s="37" t="str">
        <f>H9</f>
        <v>RAMLIZ</v>
      </c>
      <c r="J17" s="64" t="str">
        <f t="shared" si="2"/>
        <v>NÃO ALCANÇADO</v>
      </c>
      <c r="K17" s="64" t="str">
        <f t="shared" si="2"/>
        <v>NÃO ALCANÇADO</v>
      </c>
      <c r="L17" s="64" t="str">
        <f t="shared" si="2"/>
        <v>NÃO ALCANÇADO</v>
      </c>
      <c r="M17" s="64" t="str">
        <f t="shared" si="2"/>
        <v>NÃO ALCANÇADO</v>
      </c>
    </row>
    <row r="18" spans="2:13" x14ac:dyDescent="0.25">
      <c r="B18" s="68">
        <f>Tabela37[[#This Row],[DATA]]</f>
        <v>46156</v>
      </c>
      <c r="C18" s="71" t="str">
        <f t="shared" si="0"/>
        <v>QUINTA-FEIRA</v>
      </c>
      <c r="D18" s="72"/>
      <c r="E18" s="70" t="s">
        <v>75</v>
      </c>
      <c r="I18" s="37" t="s">
        <v>80</v>
      </c>
      <c r="J18" s="64" t="str">
        <f t="shared" si="2"/>
        <v>NÃO ALCANÇADO</v>
      </c>
      <c r="K18" s="64" t="str">
        <f t="shared" si="2"/>
        <v>NÃO ALCANÇADO</v>
      </c>
      <c r="L18" s="64" t="str">
        <f t="shared" si="2"/>
        <v>NÃO ALCANÇADO</v>
      </c>
      <c r="M18" s="64" t="str">
        <f t="shared" si="2"/>
        <v>NÃO ALCANÇADO</v>
      </c>
    </row>
    <row r="19" spans="2:13" x14ac:dyDescent="0.25">
      <c r="B19" s="68">
        <f>Tabela37[[#This Row],[DATA]]</f>
        <v>46157</v>
      </c>
      <c r="C19" s="71" t="str">
        <f t="shared" si="0"/>
        <v>SEXTA-FEIRA</v>
      </c>
      <c r="D19" s="72"/>
      <c r="E19" s="70" t="s">
        <v>75</v>
      </c>
      <c r="I19" s="37" t="str">
        <f>H11</f>
        <v>KETHLLEN</v>
      </c>
      <c r="J19" s="64" t="str">
        <f t="shared" si="2"/>
        <v>NÃO ALCANÇADO</v>
      </c>
      <c r="K19" s="64" t="str">
        <f t="shared" si="2"/>
        <v>NÃO ALCANÇADO</v>
      </c>
      <c r="L19" s="64" t="str">
        <f t="shared" si="2"/>
        <v>NÃO ALCANÇADO</v>
      </c>
      <c r="M19" s="64" t="str">
        <f t="shared" si="2"/>
        <v>NÃO ALCANÇADO</v>
      </c>
    </row>
    <row r="20" spans="2:13" ht="15.75" customHeight="1" x14ac:dyDescent="0.25">
      <c r="B20" s="68">
        <f>Tabela37[[#This Row],[DATA]]</f>
        <v>46158</v>
      </c>
      <c r="C20" s="71" t="str">
        <f t="shared" si="0"/>
        <v>SÁBADO</v>
      </c>
      <c r="D20" s="72"/>
      <c r="E20" s="70" t="s">
        <v>75</v>
      </c>
      <c r="I20" s="37" t="str">
        <f>H12</f>
        <v>JULIA</v>
      </c>
      <c r="J20" s="64" t="str">
        <f>IF(J11&gt;0,"BATEU","NÃO ALCANÇADO")</f>
        <v>NÃO ALCANÇADO</v>
      </c>
      <c r="K20" s="64" t="str">
        <f>IF(K11&gt;0,"BATEU","NÃO ALCANÇADO")</f>
        <v>NÃO ALCANÇADO</v>
      </c>
      <c r="L20" s="64" t="str">
        <f>IF(L11&gt;0,"BATEU","NÃO ALCANÇADO")</f>
        <v>NÃO ALCANÇADO</v>
      </c>
      <c r="M20" s="64" t="str">
        <f>IF(M11&gt;0,"BATEU","NÃO ALCANÇADO")</f>
        <v>NÃO ALCANÇADO</v>
      </c>
    </row>
    <row r="21" spans="2:13" ht="15.75" thickBot="1" x14ac:dyDescent="0.3">
      <c r="B21" s="68">
        <f>Tabela37[[#This Row],[DATA]]</f>
        <v>46159</v>
      </c>
      <c r="C21" s="71" t="str">
        <f t="shared" si="0"/>
        <v>DOMINGO</v>
      </c>
      <c r="D21" s="72"/>
      <c r="E21" s="70" t="s">
        <v>75</v>
      </c>
      <c r="I21" s="102" t="s">
        <v>52</v>
      </c>
      <c r="J21" s="103">
        <v>0.01</v>
      </c>
      <c r="K21" s="103">
        <v>1.2999999999999999E-2</v>
      </c>
      <c r="L21" s="103">
        <v>1.4999999999999999E-2</v>
      </c>
      <c r="M21" s="104">
        <v>0.02</v>
      </c>
    </row>
    <row r="22" spans="2:13" ht="15.75" thickBot="1" x14ac:dyDescent="0.3">
      <c r="B22" s="68">
        <f>Tabela37[[#This Row],[DATA]]</f>
        <v>46160</v>
      </c>
      <c r="C22" s="71" t="str">
        <f t="shared" si="0"/>
        <v>SEGUNDA-FEIRA</v>
      </c>
      <c r="D22" s="72"/>
      <c r="E22" s="70" t="s">
        <v>75</v>
      </c>
      <c r="I22" s="199" t="s">
        <v>86</v>
      </c>
      <c r="J22" s="200"/>
      <c r="K22" s="200"/>
      <c r="L22" s="200"/>
      <c r="M22" s="201"/>
    </row>
    <row r="23" spans="2:13" x14ac:dyDescent="0.25">
      <c r="B23" s="68">
        <f>Tabela37[[#This Row],[DATA]]</f>
        <v>46161</v>
      </c>
      <c r="C23" s="71" t="str">
        <f t="shared" si="0"/>
        <v>TERÇA-FEIRA</v>
      </c>
      <c r="D23" s="72"/>
      <c r="E23" s="70" t="s">
        <v>75</v>
      </c>
      <c r="I23" s="57" t="s">
        <v>83</v>
      </c>
      <c r="J23" s="76" t="s">
        <v>1</v>
      </c>
      <c r="K23" s="77" t="s">
        <v>2</v>
      </c>
      <c r="L23" s="78" t="s">
        <v>3</v>
      </c>
      <c r="M23" s="79" t="s">
        <v>4</v>
      </c>
    </row>
    <row r="24" spans="2:13" x14ac:dyDescent="0.25">
      <c r="B24" s="68">
        <f>Tabela37[[#This Row],[DATA]]</f>
        <v>46162</v>
      </c>
      <c r="C24" s="71" t="str">
        <f t="shared" si="0"/>
        <v>QUARTA-FEIRA</v>
      </c>
      <c r="D24" s="72"/>
      <c r="E24" s="70" t="s">
        <v>75</v>
      </c>
      <c r="I24" s="37" t="s">
        <v>75</v>
      </c>
      <c r="J24" s="9" t="str">
        <f>IF(J16="NÃO ALCANÇADO","NÃO ALCANÇADO",$J$3*$J$21)</f>
        <v>NÃO ALCANÇADO</v>
      </c>
      <c r="K24" s="9" t="str">
        <f>IF(K16="NÃO ALCANÇADO","NÃO ALCANÇADO",$K$3*$K$21)</f>
        <v>NÃO ALCANÇADO</v>
      </c>
      <c r="L24" s="9" t="str">
        <f>IF(L16="NÃO ALCANÇADO","NÃO ALCANÇADO",$L$3*$L$21)</f>
        <v>NÃO ALCANÇADO</v>
      </c>
      <c r="M24" s="9" t="str">
        <f>IF(M16="NÃO ALCANÇADO","NÃO ALCANÇADO",$I$8*$M$21)</f>
        <v>NÃO ALCANÇADO</v>
      </c>
    </row>
    <row r="25" spans="2:13" x14ac:dyDescent="0.25">
      <c r="B25" s="68">
        <f>Tabela37[[#This Row],[DATA]]</f>
        <v>46163</v>
      </c>
      <c r="C25" s="71" t="str">
        <f t="shared" si="0"/>
        <v>QUINTA-FEIRA</v>
      </c>
      <c r="D25" s="72"/>
      <c r="E25" s="70" t="s">
        <v>75</v>
      </c>
      <c r="I25" s="37" t="str">
        <f>I17</f>
        <v>RAMLIZ</v>
      </c>
      <c r="J25" s="9" t="str">
        <f>IF(J17="NÃO ALCANÇADO","NÃO ALCANÇADO",$J$3*$J$21)</f>
        <v>NÃO ALCANÇADO</v>
      </c>
      <c r="K25" s="9" t="str">
        <f>IF(K17="NÃO ALCANÇADO","NÃO ALCANÇADO",$K$3*$K$21)</f>
        <v>NÃO ALCANÇADO</v>
      </c>
      <c r="L25" s="9" t="str">
        <f>IF(L17="NÃO ALCANÇADO","NÃO ALCANÇADO",$L$3*$L$21)</f>
        <v>NÃO ALCANÇADO</v>
      </c>
      <c r="M25" s="9" t="str">
        <f>IF(M17="NÃO ALCANÇADO","NÃO ALCANÇADO",$I$9*$M$21)</f>
        <v>NÃO ALCANÇADO</v>
      </c>
    </row>
    <row r="26" spans="2:13" x14ac:dyDescent="0.25">
      <c r="B26" s="68">
        <f>Tabela37[[#This Row],[DATA]]</f>
        <v>46164</v>
      </c>
      <c r="C26" s="71" t="str">
        <f t="shared" si="0"/>
        <v>SEXTA-FEIRA</v>
      </c>
      <c r="D26" s="72"/>
      <c r="E26" s="70" t="s">
        <v>75</v>
      </c>
      <c r="I26" s="37" t="str">
        <f>I18</f>
        <v>LETÍCIA</v>
      </c>
      <c r="J26" s="9" t="str">
        <f>IF(J18="NÃO ALCANÇADO","NÃO ALCANÇADO",$J$3*$J$21)</f>
        <v>NÃO ALCANÇADO</v>
      </c>
      <c r="K26" s="9" t="str">
        <f>IF(K18="NÃO ALCANÇADO","NÃO ALCANÇADO",$K$3*$K$21)</f>
        <v>NÃO ALCANÇADO</v>
      </c>
      <c r="L26" s="9" t="str">
        <f>IF(L18="NÃO ALCANÇADO","NÃO ALCANÇADO",$L$3*$L$21)</f>
        <v>NÃO ALCANÇADO</v>
      </c>
      <c r="M26" s="9" t="str">
        <f>IF(M18="NÃO ALCANÇADO","NÃO ALCANÇADO",$I$10*$M$21)</f>
        <v>NÃO ALCANÇADO</v>
      </c>
    </row>
    <row r="27" spans="2:13" x14ac:dyDescent="0.25">
      <c r="B27" s="68">
        <f>Tabela37[[#This Row],[DATA]]</f>
        <v>46165</v>
      </c>
      <c r="C27" s="71" t="str">
        <f t="shared" si="0"/>
        <v>SÁBADO</v>
      </c>
      <c r="D27" s="72"/>
      <c r="E27" s="70" t="s">
        <v>75</v>
      </c>
      <c r="I27" s="37" t="str">
        <f>I19</f>
        <v>KETHLLEN</v>
      </c>
      <c r="J27" s="9" t="str">
        <f>IF(J19="NÃO ALCANÇADO","NÃO ALCANÇADO",$J$3*$J$21)</f>
        <v>NÃO ALCANÇADO</v>
      </c>
      <c r="K27" s="9" t="str">
        <f>IF(K19="NÃO ALCANÇADO","NÃO ALCANÇADO",$K$3*$K$21)</f>
        <v>NÃO ALCANÇADO</v>
      </c>
      <c r="L27" s="9" t="str">
        <f>IF(L19="NÃO ALCANÇADO","NÃO ALCANÇADO",$L$3*$L$21)</f>
        <v>NÃO ALCANÇADO</v>
      </c>
      <c r="M27" s="9" t="str">
        <f>IF(M19="NÃO ALCANÇADO","NÃO ALCANÇADO",$I$11*$M$21)</f>
        <v>NÃO ALCANÇADO</v>
      </c>
    </row>
    <row r="28" spans="2:13" x14ac:dyDescent="0.25">
      <c r="B28" s="68">
        <f>Tabela37[[#This Row],[DATA]]</f>
        <v>46166</v>
      </c>
      <c r="C28" s="71" t="str">
        <f t="shared" si="0"/>
        <v>DOMINGO</v>
      </c>
      <c r="D28" s="72"/>
      <c r="E28" s="70" t="s">
        <v>75</v>
      </c>
      <c r="I28" s="37" t="str">
        <f>I20</f>
        <v>JULIA</v>
      </c>
      <c r="J28" s="9" t="str">
        <f>IF(J20="NÃO ALCANÇADO","NÃO ALCANÇADO",$J$3*$J$21)</f>
        <v>NÃO ALCANÇADO</v>
      </c>
      <c r="K28" s="9" t="str">
        <f>IF(K20="NÃO ALCANÇADO","NÃO ALCANÇADO",$K$3*$K$21)</f>
        <v>NÃO ALCANÇADO</v>
      </c>
      <c r="L28" s="9" t="str">
        <f>IF(L20="NÃO ALCANÇADO","NÃO ALCANÇADO",$L$3*$L$21)</f>
        <v>NÃO ALCANÇADO</v>
      </c>
      <c r="M28" s="9" t="str">
        <f>IF(M20="NÃO ALCANÇADO","NÃO ALCANÇADO",$I$12*$M$21)</f>
        <v>NÃO ALCANÇADO</v>
      </c>
    </row>
    <row r="29" spans="2:13" x14ac:dyDescent="0.25">
      <c r="B29" s="68">
        <f>Tabela37[[#This Row],[DATA]]</f>
        <v>46167</v>
      </c>
      <c r="C29" s="71" t="str">
        <f t="shared" si="0"/>
        <v>SEGUNDA-FEIRA</v>
      </c>
      <c r="D29" s="72"/>
      <c r="E29" s="70" t="s">
        <v>75</v>
      </c>
    </row>
    <row r="30" spans="2:13" x14ac:dyDescent="0.25">
      <c r="B30" s="68">
        <f>Tabela37[[#This Row],[DATA]]</f>
        <v>46168</v>
      </c>
      <c r="C30" s="71" t="str">
        <f t="shared" si="0"/>
        <v>TERÇA-FEIRA</v>
      </c>
      <c r="D30" s="72"/>
      <c r="E30" s="70" t="s">
        <v>75</v>
      </c>
    </row>
    <row r="31" spans="2:13" x14ac:dyDescent="0.25">
      <c r="B31" s="68">
        <f>Tabela37[[#This Row],[DATA]]</f>
        <v>46169</v>
      </c>
      <c r="C31" s="71" t="str">
        <f t="shared" ref="C31:C32" si="3">UPPER(TEXT(B31,"dddd"))</f>
        <v>QUARTA-FEIRA</v>
      </c>
      <c r="D31" s="72"/>
      <c r="E31" s="70" t="s">
        <v>75</v>
      </c>
    </row>
    <row r="32" spans="2:13" x14ac:dyDescent="0.25">
      <c r="B32" s="68">
        <f>Tabela37[[#This Row],[DATA]]</f>
        <v>46170</v>
      </c>
      <c r="C32" s="71" t="str">
        <f t="shared" si="3"/>
        <v>QUINTA-FEIRA</v>
      </c>
      <c r="D32" s="72"/>
      <c r="E32" s="70" t="s">
        <v>75</v>
      </c>
    </row>
    <row r="33" spans="2:5" x14ac:dyDescent="0.25">
      <c r="B33" s="68">
        <f>Tabela37[[#This Row],[DATA]]</f>
        <v>46171</v>
      </c>
      <c r="C33" s="71" t="str">
        <f t="shared" ref="C33:C66" si="4">UPPER(TEXT(B33,"dddd"))</f>
        <v>SEXTA-FEIRA</v>
      </c>
      <c r="D33" s="72"/>
      <c r="E33" s="70" t="s">
        <v>75</v>
      </c>
    </row>
    <row r="34" spans="2:5" x14ac:dyDescent="0.25">
      <c r="B34" s="68">
        <f>Tabela37[[#This Row],[DATA]]</f>
        <v>46172</v>
      </c>
      <c r="C34" s="71" t="str">
        <f t="shared" si="4"/>
        <v>SÁBADO</v>
      </c>
      <c r="D34" s="72"/>
      <c r="E34" s="70" t="s">
        <v>75</v>
      </c>
    </row>
    <row r="35" spans="2:5" x14ac:dyDescent="0.25">
      <c r="B35" s="68">
        <f>Tabela37[[#This Row],[DATA]]</f>
        <v>46173</v>
      </c>
      <c r="C35" s="71" t="str">
        <f t="shared" si="4"/>
        <v>DOMINGO</v>
      </c>
      <c r="D35" s="72"/>
      <c r="E35" s="70" t="s">
        <v>75</v>
      </c>
    </row>
    <row r="36" spans="2:5" x14ac:dyDescent="0.25">
      <c r="B36" s="162">
        <v>46112</v>
      </c>
      <c r="C36" s="163" t="str">
        <f t="shared" si="4"/>
        <v>TERÇA-FEIRA</v>
      </c>
      <c r="D36" s="164"/>
      <c r="E36" s="165" t="s">
        <v>80</v>
      </c>
    </row>
    <row r="37" spans="2:5" x14ac:dyDescent="0.25">
      <c r="B37" s="162">
        <v>46112</v>
      </c>
      <c r="C37" s="163" t="str">
        <f t="shared" si="4"/>
        <v>TERÇA-FEIRA</v>
      </c>
      <c r="D37" s="164"/>
      <c r="E37" s="165" t="s">
        <v>80</v>
      </c>
    </row>
    <row r="38" spans="2:5" x14ac:dyDescent="0.25">
      <c r="B38" s="162">
        <v>46112</v>
      </c>
      <c r="C38" s="163" t="str">
        <f t="shared" si="4"/>
        <v>TERÇA-FEIRA</v>
      </c>
      <c r="D38" s="164"/>
      <c r="E38" s="165" t="s">
        <v>80</v>
      </c>
    </row>
    <row r="39" spans="2:5" x14ac:dyDescent="0.25">
      <c r="B39" s="162">
        <v>46112</v>
      </c>
      <c r="C39" s="163" t="str">
        <f t="shared" si="4"/>
        <v>TERÇA-FEIRA</v>
      </c>
      <c r="D39" s="164"/>
      <c r="E39" s="165" t="s">
        <v>80</v>
      </c>
    </row>
    <row r="40" spans="2:5" x14ac:dyDescent="0.25">
      <c r="B40" s="162">
        <v>46112</v>
      </c>
      <c r="C40" s="163" t="str">
        <f t="shared" si="4"/>
        <v>TERÇA-FEIRA</v>
      </c>
      <c r="D40" s="164"/>
      <c r="E40" s="165" t="s">
        <v>80</v>
      </c>
    </row>
    <row r="41" spans="2:5" x14ac:dyDescent="0.25">
      <c r="B41" s="162">
        <v>46112</v>
      </c>
      <c r="C41" s="163" t="str">
        <f t="shared" si="4"/>
        <v>TERÇA-FEIRA</v>
      </c>
      <c r="D41" s="164"/>
      <c r="E41" s="165" t="s">
        <v>80</v>
      </c>
    </row>
    <row r="42" spans="2:5" x14ac:dyDescent="0.25">
      <c r="B42" s="162">
        <v>46112</v>
      </c>
      <c r="C42" s="163" t="str">
        <f t="shared" si="4"/>
        <v>TERÇA-FEIRA</v>
      </c>
      <c r="D42" s="164"/>
      <c r="E42" s="165" t="s">
        <v>80</v>
      </c>
    </row>
    <row r="43" spans="2:5" x14ac:dyDescent="0.25">
      <c r="B43" s="162">
        <v>46112</v>
      </c>
      <c r="C43" s="163" t="str">
        <f t="shared" si="4"/>
        <v>TERÇA-FEIRA</v>
      </c>
      <c r="D43" s="164"/>
      <c r="E43" s="165" t="s">
        <v>80</v>
      </c>
    </row>
    <row r="44" spans="2:5" x14ac:dyDescent="0.25">
      <c r="B44" s="162">
        <v>46112</v>
      </c>
      <c r="C44" s="163" t="str">
        <f t="shared" si="4"/>
        <v>TERÇA-FEIRA</v>
      </c>
      <c r="D44" s="164"/>
      <c r="E44" s="165" t="s">
        <v>80</v>
      </c>
    </row>
    <row r="45" spans="2:5" x14ac:dyDescent="0.25">
      <c r="B45" s="162">
        <v>46112</v>
      </c>
      <c r="C45" s="163" t="str">
        <f t="shared" si="4"/>
        <v>TERÇA-FEIRA</v>
      </c>
      <c r="D45" s="164"/>
      <c r="E45" s="165" t="s">
        <v>80</v>
      </c>
    </row>
    <row r="46" spans="2:5" x14ac:dyDescent="0.25">
      <c r="B46" s="162">
        <v>46112</v>
      </c>
      <c r="C46" s="163" t="str">
        <f t="shared" si="4"/>
        <v>TERÇA-FEIRA</v>
      </c>
      <c r="D46" s="164"/>
      <c r="E46" s="165" t="s">
        <v>80</v>
      </c>
    </row>
    <row r="47" spans="2:5" x14ac:dyDescent="0.25">
      <c r="B47" s="162">
        <v>46112</v>
      </c>
      <c r="C47" s="163" t="str">
        <f t="shared" si="4"/>
        <v>TERÇA-FEIRA</v>
      </c>
      <c r="D47" s="164"/>
      <c r="E47" s="165" t="s">
        <v>80</v>
      </c>
    </row>
    <row r="48" spans="2:5" x14ac:dyDescent="0.25">
      <c r="B48" s="162">
        <v>46112</v>
      </c>
      <c r="C48" s="163" t="str">
        <f t="shared" si="4"/>
        <v>TERÇA-FEIRA</v>
      </c>
      <c r="D48" s="164"/>
      <c r="E48" s="165" t="s">
        <v>80</v>
      </c>
    </row>
    <row r="49" spans="2:5" x14ac:dyDescent="0.25">
      <c r="B49" s="162">
        <v>46112</v>
      </c>
      <c r="C49" s="163" t="str">
        <f t="shared" si="4"/>
        <v>TERÇA-FEIRA</v>
      </c>
      <c r="D49" s="164"/>
      <c r="E49" s="165" t="s">
        <v>80</v>
      </c>
    </row>
    <row r="50" spans="2:5" x14ac:dyDescent="0.25">
      <c r="B50" s="162">
        <v>46112</v>
      </c>
      <c r="C50" s="163" t="str">
        <f t="shared" si="4"/>
        <v>TERÇA-FEIRA</v>
      </c>
      <c r="D50" s="164"/>
      <c r="E50" s="165" t="s">
        <v>80</v>
      </c>
    </row>
    <row r="51" spans="2:5" x14ac:dyDescent="0.25">
      <c r="B51" s="162">
        <v>46112</v>
      </c>
      <c r="C51" s="163" t="str">
        <f t="shared" si="4"/>
        <v>TERÇA-FEIRA</v>
      </c>
      <c r="D51" s="164"/>
      <c r="E51" s="165" t="s">
        <v>80</v>
      </c>
    </row>
    <row r="52" spans="2:5" x14ac:dyDescent="0.25">
      <c r="B52" s="162">
        <v>46112</v>
      </c>
      <c r="C52" s="163" t="str">
        <f t="shared" si="4"/>
        <v>TERÇA-FEIRA</v>
      </c>
      <c r="D52" s="164"/>
      <c r="E52" s="165" t="s">
        <v>80</v>
      </c>
    </row>
    <row r="53" spans="2:5" x14ac:dyDescent="0.25">
      <c r="B53" s="162">
        <v>46112</v>
      </c>
      <c r="C53" s="163" t="str">
        <f t="shared" si="4"/>
        <v>TERÇA-FEIRA</v>
      </c>
      <c r="D53" s="164"/>
      <c r="E53" s="165" t="s">
        <v>80</v>
      </c>
    </row>
    <row r="54" spans="2:5" x14ac:dyDescent="0.25">
      <c r="B54" s="162">
        <v>46112</v>
      </c>
      <c r="C54" s="163" t="str">
        <f t="shared" si="4"/>
        <v>TERÇA-FEIRA</v>
      </c>
      <c r="D54" s="164"/>
      <c r="E54" s="165" t="s">
        <v>80</v>
      </c>
    </row>
    <row r="55" spans="2:5" x14ac:dyDescent="0.25">
      <c r="B55" s="162">
        <v>46112</v>
      </c>
      <c r="C55" s="163" t="str">
        <f t="shared" si="4"/>
        <v>TERÇA-FEIRA</v>
      </c>
      <c r="D55" s="164"/>
      <c r="E55" s="165" t="s">
        <v>80</v>
      </c>
    </row>
    <row r="56" spans="2:5" x14ac:dyDescent="0.25">
      <c r="B56" s="162">
        <v>46112</v>
      </c>
      <c r="C56" s="163" t="str">
        <f t="shared" si="4"/>
        <v>TERÇA-FEIRA</v>
      </c>
      <c r="D56" s="164"/>
      <c r="E56" s="165" t="s">
        <v>80</v>
      </c>
    </row>
    <row r="57" spans="2:5" x14ac:dyDescent="0.25">
      <c r="B57" s="162">
        <v>46112</v>
      </c>
      <c r="C57" s="163" t="str">
        <f t="shared" si="4"/>
        <v>TERÇA-FEIRA</v>
      </c>
      <c r="D57" s="164"/>
      <c r="E57" s="165" t="s">
        <v>80</v>
      </c>
    </row>
    <row r="58" spans="2:5" x14ac:dyDescent="0.25">
      <c r="B58" s="162">
        <v>46112</v>
      </c>
      <c r="C58" s="163" t="str">
        <f t="shared" si="4"/>
        <v>TERÇA-FEIRA</v>
      </c>
      <c r="D58" s="164"/>
      <c r="E58" s="165" t="s">
        <v>80</v>
      </c>
    </row>
    <row r="59" spans="2:5" x14ac:dyDescent="0.25">
      <c r="B59" s="162">
        <v>46112</v>
      </c>
      <c r="C59" s="163" t="str">
        <f t="shared" si="4"/>
        <v>TERÇA-FEIRA</v>
      </c>
      <c r="D59" s="164"/>
      <c r="E59" s="165" t="s">
        <v>80</v>
      </c>
    </row>
    <row r="60" spans="2:5" x14ac:dyDescent="0.25">
      <c r="B60" s="162">
        <v>46112</v>
      </c>
      <c r="C60" s="163" t="str">
        <f t="shared" si="4"/>
        <v>TERÇA-FEIRA</v>
      </c>
      <c r="D60" s="164"/>
      <c r="E60" s="165" t="s">
        <v>80</v>
      </c>
    </row>
    <row r="61" spans="2:5" x14ac:dyDescent="0.25">
      <c r="B61" s="162">
        <v>46112</v>
      </c>
      <c r="C61" s="163" t="str">
        <f t="shared" si="4"/>
        <v>TERÇA-FEIRA</v>
      </c>
      <c r="D61" s="164"/>
      <c r="E61" s="165" t="s">
        <v>80</v>
      </c>
    </row>
    <row r="62" spans="2:5" x14ac:dyDescent="0.25">
      <c r="B62" s="162">
        <v>46112</v>
      </c>
      <c r="C62" s="163" t="str">
        <f t="shared" si="4"/>
        <v>TERÇA-FEIRA</v>
      </c>
      <c r="D62" s="164"/>
      <c r="E62" s="165" t="s">
        <v>80</v>
      </c>
    </row>
    <row r="63" spans="2:5" x14ac:dyDescent="0.25">
      <c r="B63" s="162">
        <v>46112</v>
      </c>
      <c r="C63" s="163" t="str">
        <f t="shared" si="4"/>
        <v>TERÇA-FEIRA</v>
      </c>
      <c r="D63" s="164"/>
      <c r="E63" s="165" t="s">
        <v>80</v>
      </c>
    </row>
    <row r="64" spans="2:5" x14ac:dyDescent="0.25">
      <c r="B64" s="162">
        <v>46112</v>
      </c>
      <c r="C64" s="163" t="str">
        <f t="shared" si="4"/>
        <v>TERÇA-FEIRA</v>
      </c>
      <c r="D64" s="164"/>
      <c r="E64" s="165" t="s">
        <v>80</v>
      </c>
    </row>
    <row r="65" spans="2:9" x14ac:dyDescent="0.25">
      <c r="B65" s="162">
        <v>46112</v>
      </c>
      <c r="C65" s="163" t="str">
        <f t="shared" si="4"/>
        <v>TERÇA-FEIRA</v>
      </c>
      <c r="D65" s="164"/>
      <c r="E65" s="165" t="s">
        <v>80</v>
      </c>
    </row>
    <row r="66" spans="2:9" x14ac:dyDescent="0.25">
      <c r="B66" s="162">
        <v>46112</v>
      </c>
      <c r="C66" s="163" t="str">
        <f t="shared" si="4"/>
        <v>TERÇA-FEIRA</v>
      </c>
      <c r="D66" s="164"/>
      <c r="E66" s="165" t="s">
        <v>80</v>
      </c>
    </row>
    <row r="67" spans="2:9" x14ac:dyDescent="0.25">
      <c r="B67" s="65">
        <f>VENDAS!C5</f>
        <v>46143</v>
      </c>
      <c r="C67" s="65" t="str">
        <f t="shared" ref="C67:C74" si="5">UPPER(TEXT(B67,"dddd"))</f>
        <v>SEXTA-FEIRA</v>
      </c>
      <c r="D67" s="66"/>
      <c r="E67" s="67" t="s">
        <v>76</v>
      </c>
    </row>
    <row r="68" spans="2:9" x14ac:dyDescent="0.25">
      <c r="B68" s="65">
        <f>VENDAS!C6</f>
        <v>46144</v>
      </c>
      <c r="C68" s="65" t="str">
        <f t="shared" si="5"/>
        <v>SÁBADO</v>
      </c>
      <c r="D68" s="66"/>
      <c r="E68" s="67" t="s">
        <v>76</v>
      </c>
      <c r="H68" s="22"/>
    </row>
    <row r="69" spans="2:9" x14ac:dyDescent="0.25">
      <c r="B69" s="65">
        <f>VENDAS!C7</f>
        <v>46145</v>
      </c>
      <c r="C69" s="65" t="str">
        <f t="shared" si="5"/>
        <v>DOMINGO</v>
      </c>
      <c r="D69" s="66"/>
      <c r="E69" s="67" t="s">
        <v>76</v>
      </c>
      <c r="H69" s="1"/>
    </row>
    <row r="70" spans="2:9" x14ac:dyDescent="0.25">
      <c r="B70" s="65">
        <f>VENDAS!C8</f>
        <v>46146</v>
      </c>
      <c r="C70" s="65" t="str">
        <f t="shared" si="5"/>
        <v>SEGUNDA-FEIRA</v>
      </c>
      <c r="D70" s="66"/>
      <c r="E70" s="67" t="s">
        <v>76</v>
      </c>
      <c r="H70" s="1"/>
      <c r="I70" s="22"/>
    </row>
    <row r="71" spans="2:9" x14ac:dyDescent="0.25">
      <c r="B71" s="65">
        <f>VENDAS!C9</f>
        <v>46147</v>
      </c>
      <c r="C71" s="65" t="str">
        <f t="shared" si="5"/>
        <v>TERÇA-FEIRA</v>
      </c>
      <c r="D71" s="66"/>
      <c r="E71" s="67" t="s">
        <v>76</v>
      </c>
      <c r="H71" s="1"/>
      <c r="I71" s="36"/>
    </row>
    <row r="72" spans="2:9" x14ac:dyDescent="0.25">
      <c r="B72" s="65">
        <f>VENDAS!C10</f>
        <v>46148</v>
      </c>
      <c r="C72" s="65" t="str">
        <f t="shared" si="5"/>
        <v>QUARTA-FEIRA</v>
      </c>
      <c r="D72" s="66"/>
      <c r="E72" s="67" t="s">
        <v>76</v>
      </c>
      <c r="H72" s="1"/>
      <c r="I72" s="36"/>
    </row>
    <row r="73" spans="2:9" x14ac:dyDescent="0.25">
      <c r="B73" s="65">
        <f>VENDAS!C11</f>
        <v>46149</v>
      </c>
      <c r="C73" s="65" t="str">
        <f t="shared" si="5"/>
        <v>QUINTA-FEIRA</v>
      </c>
      <c r="D73" s="66"/>
      <c r="E73" s="67" t="s">
        <v>76</v>
      </c>
      <c r="H73" s="1"/>
      <c r="I73" s="36"/>
    </row>
    <row r="74" spans="2:9" x14ac:dyDescent="0.25">
      <c r="B74" s="65">
        <f>VENDAS!C12</f>
        <v>46150</v>
      </c>
      <c r="C74" s="65" t="str">
        <f t="shared" si="5"/>
        <v>SEXTA-FEIRA</v>
      </c>
      <c r="D74" s="66"/>
      <c r="E74" s="67" t="s">
        <v>76</v>
      </c>
      <c r="H74" s="1"/>
      <c r="I74" s="36"/>
    </row>
    <row r="75" spans="2:9" x14ac:dyDescent="0.25">
      <c r="B75" s="65">
        <f>VENDAS!C13</f>
        <v>46151</v>
      </c>
      <c r="C75" s="65" t="str">
        <f t="shared" ref="C75:C81" si="6">UPPER(TEXT(B75,"dddd"))</f>
        <v>SÁBADO</v>
      </c>
      <c r="D75" s="66"/>
      <c r="E75" s="67" t="s">
        <v>76</v>
      </c>
      <c r="H75" s="1"/>
      <c r="I75" s="36"/>
    </row>
    <row r="76" spans="2:9" x14ac:dyDescent="0.25">
      <c r="B76" s="65">
        <f>VENDAS!C14</f>
        <v>46152</v>
      </c>
      <c r="C76" s="65" t="str">
        <f t="shared" si="6"/>
        <v>DOMINGO</v>
      </c>
      <c r="D76" s="66"/>
      <c r="E76" s="67" t="s">
        <v>76</v>
      </c>
      <c r="H76" s="1"/>
      <c r="I76" s="36"/>
    </row>
    <row r="77" spans="2:9" x14ac:dyDescent="0.25">
      <c r="B77" s="65">
        <f>VENDAS!C15</f>
        <v>46153</v>
      </c>
      <c r="C77" s="65" t="str">
        <f t="shared" si="6"/>
        <v>SEGUNDA-FEIRA</v>
      </c>
      <c r="D77" s="66"/>
      <c r="E77" s="67" t="s">
        <v>76</v>
      </c>
      <c r="H77" s="1"/>
      <c r="I77" s="36"/>
    </row>
    <row r="78" spans="2:9" x14ac:dyDescent="0.25">
      <c r="B78" s="65">
        <f>VENDAS!C16</f>
        <v>46154</v>
      </c>
      <c r="C78" s="65" t="str">
        <f t="shared" si="6"/>
        <v>TERÇA-FEIRA</v>
      </c>
      <c r="D78" s="66"/>
      <c r="E78" s="67" t="s">
        <v>76</v>
      </c>
      <c r="H78" s="1"/>
      <c r="I78" s="36"/>
    </row>
    <row r="79" spans="2:9" x14ac:dyDescent="0.25">
      <c r="B79" s="65">
        <f>VENDAS!C17</f>
        <v>46155</v>
      </c>
      <c r="C79" s="65" t="str">
        <f t="shared" si="6"/>
        <v>QUARTA-FEIRA</v>
      </c>
      <c r="D79" s="66"/>
      <c r="E79" s="67" t="s">
        <v>76</v>
      </c>
      <c r="H79" s="1"/>
      <c r="I79" s="36"/>
    </row>
    <row r="80" spans="2:9" x14ac:dyDescent="0.25">
      <c r="B80" s="65">
        <f>VENDAS!C18</f>
        <v>46156</v>
      </c>
      <c r="C80" s="65" t="str">
        <f t="shared" si="6"/>
        <v>QUINTA-FEIRA</v>
      </c>
      <c r="D80" s="66"/>
      <c r="E80" s="67" t="s">
        <v>76</v>
      </c>
      <c r="H80" s="1"/>
      <c r="I80" s="36"/>
    </row>
    <row r="81" spans="2:9" x14ac:dyDescent="0.25">
      <c r="B81" s="65">
        <f>VENDAS!C19</f>
        <v>46157</v>
      </c>
      <c r="C81" s="65" t="str">
        <f t="shared" si="6"/>
        <v>SEXTA-FEIRA</v>
      </c>
      <c r="D81" s="66"/>
      <c r="E81" s="67" t="s">
        <v>76</v>
      </c>
      <c r="H81" s="1"/>
      <c r="I81" s="36"/>
    </row>
    <row r="82" spans="2:9" x14ac:dyDescent="0.25">
      <c r="B82" s="65">
        <f>VENDAS!C20</f>
        <v>46158</v>
      </c>
      <c r="C82" s="65" t="str">
        <f t="shared" ref="C82:C93" si="7">UPPER(TEXT(B82,"dddd"))</f>
        <v>SÁBADO</v>
      </c>
      <c r="D82" s="66"/>
      <c r="E82" s="67" t="s">
        <v>76</v>
      </c>
      <c r="H82" s="1"/>
      <c r="I82" s="36"/>
    </row>
    <row r="83" spans="2:9" x14ac:dyDescent="0.25">
      <c r="B83" s="65">
        <f>VENDAS!C21</f>
        <v>46159</v>
      </c>
      <c r="C83" s="65" t="str">
        <f t="shared" si="7"/>
        <v>DOMINGO</v>
      </c>
      <c r="D83" s="66"/>
      <c r="E83" s="67" t="s">
        <v>76</v>
      </c>
      <c r="H83" s="1"/>
      <c r="I83" s="36"/>
    </row>
    <row r="84" spans="2:9" x14ac:dyDescent="0.25">
      <c r="B84" s="65">
        <f>VENDAS!C22</f>
        <v>46160</v>
      </c>
      <c r="C84" s="65" t="str">
        <f t="shared" si="7"/>
        <v>SEGUNDA-FEIRA</v>
      </c>
      <c r="D84" s="66"/>
      <c r="E84" s="67" t="s">
        <v>76</v>
      </c>
      <c r="H84" s="1"/>
      <c r="I84" s="36"/>
    </row>
    <row r="85" spans="2:9" x14ac:dyDescent="0.25">
      <c r="B85" s="65">
        <f>VENDAS!C23</f>
        <v>46161</v>
      </c>
      <c r="C85" s="65" t="str">
        <f t="shared" si="7"/>
        <v>TERÇA-FEIRA</v>
      </c>
      <c r="D85" s="66"/>
      <c r="E85" s="67" t="s">
        <v>76</v>
      </c>
      <c r="H85" s="1"/>
      <c r="I85" s="36"/>
    </row>
    <row r="86" spans="2:9" x14ac:dyDescent="0.25">
      <c r="B86" s="65">
        <f>VENDAS!C24</f>
        <v>46162</v>
      </c>
      <c r="C86" s="65" t="str">
        <f t="shared" si="7"/>
        <v>QUARTA-FEIRA</v>
      </c>
      <c r="D86" s="66"/>
      <c r="E86" s="67" t="s">
        <v>76</v>
      </c>
      <c r="H86" s="1"/>
      <c r="I86" s="36"/>
    </row>
    <row r="87" spans="2:9" x14ac:dyDescent="0.25">
      <c r="B87" s="65">
        <f>VENDAS!C25</f>
        <v>46163</v>
      </c>
      <c r="C87" s="65" t="str">
        <f t="shared" si="7"/>
        <v>QUINTA-FEIRA</v>
      </c>
      <c r="D87" s="66"/>
      <c r="E87" s="67" t="s">
        <v>76</v>
      </c>
      <c r="H87" s="1"/>
      <c r="I87" s="36"/>
    </row>
    <row r="88" spans="2:9" x14ac:dyDescent="0.25">
      <c r="B88" s="65">
        <f>VENDAS!C26</f>
        <v>46164</v>
      </c>
      <c r="C88" s="65" t="str">
        <f t="shared" si="7"/>
        <v>SEXTA-FEIRA</v>
      </c>
      <c r="D88" s="66"/>
      <c r="E88" s="67" t="s">
        <v>76</v>
      </c>
      <c r="H88" s="1"/>
      <c r="I88" s="36"/>
    </row>
    <row r="89" spans="2:9" x14ac:dyDescent="0.25">
      <c r="B89" s="65">
        <f>VENDAS!C27</f>
        <v>46165</v>
      </c>
      <c r="C89" s="65" t="str">
        <f t="shared" si="7"/>
        <v>SÁBADO</v>
      </c>
      <c r="D89" s="66"/>
      <c r="E89" s="67" t="s">
        <v>76</v>
      </c>
      <c r="H89" s="1"/>
      <c r="I89" s="36"/>
    </row>
    <row r="90" spans="2:9" x14ac:dyDescent="0.25">
      <c r="B90" s="65">
        <f>VENDAS!C28</f>
        <v>46166</v>
      </c>
      <c r="C90" s="65" t="str">
        <f t="shared" si="7"/>
        <v>DOMINGO</v>
      </c>
      <c r="D90" s="66"/>
      <c r="E90" s="67" t="s">
        <v>76</v>
      </c>
      <c r="H90" s="1"/>
      <c r="I90" s="36"/>
    </row>
    <row r="91" spans="2:9" x14ac:dyDescent="0.25">
      <c r="B91" s="65">
        <f>VENDAS!C29</f>
        <v>46167</v>
      </c>
      <c r="C91" s="65" t="str">
        <f t="shared" si="7"/>
        <v>SEGUNDA-FEIRA</v>
      </c>
      <c r="D91" s="66"/>
      <c r="E91" s="67" t="s">
        <v>76</v>
      </c>
      <c r="H91" s="1"/>
      <c r="I91" s="36"/>
    </row>
    <row r="92" spans="2:9" x14ac:dyDescent="0.25">
      <c r="B92" s="65">
        <f>VENDAS!C30</f>
        <v>46168</v>
      </c>
      <c r="C92" s="65" t="str">
        <f t="shared" si="7"/>
        <v>TERÇA-FEIRA</v>
      </c>
      <c r="D92" s="66"/>
      <c r="E92" s="67" t="s">
        <v>76</v>
      </c>
      <c r="H92" s="1"/>
      <c r="I92" s="36"/>
    </row>
    <row r="93" spans="2:9" x14ac:dyDescent="0.25">
      <c r="B93" s="65">
        <f>VENDAS!C31</f>
        <v>46169</v>
      </c>
      <c r="C93" s="65" t="str">
        <f t="shared" si="7"/>
        <v>QUARTA-FEIRA</v>
      </c>
      <c r="D93" s="66"/>
      <c r="E93" s="67" t="s">
        <v>76</v>
      </c>
      <c r="H93" s="1"/>
      <c r="I93" s="36"/>
    </row>
    <row r="94" spans="2:9" x14ac:dyDescent="0.25">
      <c r="B94" s="65">
        <f>VENDAS!C32</f>
        <v>46170</v>
      </c>
      <c r="C94" s="65" t="str">
        <f t="shared" ref="C94:C125" si="8">UPPER(TEXT(B94,"dddd"))</f>
        <v>QUINTA-FEIRA</v>
      </c>
      <c r="D94" s="66"/>
      <c r="E94" s="67" t="s">
        <v>76</v>
      </c>
      <c r="H94" s="1"/>
      <c r="I94" s="36"/>
    </row>
    <row r="95" spans="2:9" x14ac:dyDescent="0.25">
      <c r="B95" s="65">
        <f>VENDAS!C33</f>
        <v>46171</v>
      </c>
      <c r="C95" s="65" t="str">
        <f t="shared" si="8"/>
        <v>SEXTA-FEIRA</v>
      </c>
      <c r="D95" s="66"/>
      <c r="E95" s="67" t="s">
        <v>76</v>
      </c>
      <c r="H95" s="1"/>
      <c r="I95" s="36"/>
    </row>
    <row r="96" spans="2:9" x14ac:dyDescent="0.25">
      <c r="B96" s="65">
        <f>VENDAS!C34</f>
        <v>46172</v>
      </c>
      <c r="C96" s="65" t="str">
        <f t="shared" ref="C96:C97" si="9">UPPER(TEXT(B96,"dddd"))</f>
        <v>SÁBADO</v>
      </c>
      <c r="D96" s="66"/>
      <c r="E96" s="67" t="s">
        <v>76</v>
      </c>
      <c r="H96" s="1"/>
      <c r="I96" s="36"/>
    </row>
    <row r="97" spans="2:9" x14ac:dyDescent="0.25">
      <c r="B97" s="65">
        <f>VENDAS!C35</f>
        <v>46173</v>
      </c>
      <c r="C97" s="65" t="str">
        <f t="shared" si="9"/>
        <v>DOMINGO</v>
      </c>
      <c r="D97" s="66"/>
      <c r="E97" s="67" t="s">
        <v>76</v>
      </c>
      <c r="H97" s="1"/>
      <c r="I97" s="36"/>
    </row>
    <row r="98" spans="2:9" x14ac:dyDescent="0.25">
      <c r="B98" s="122">
        <f>VENDAS!C5</f>
        <v>46143</v>
      </c>
      <c r="C98" s="122" t="str">
        <f t="shared" si="8"/>
        <v>SEXTA-FEIRA</v>
      </c>
      <c r="D98" s="123"/>
      <c r="E98" s="124" t="s">
        <v>77</v>
      </c>
      <c r="H98" s="1"/>
      <c r="I98" s="36"/>
    </row>
    <row r="99" spans="2:9" x14ac:dyDescent="0.25">
      <c r="B99" s="122">
        <f>VENDAS!C6</f>
        <v>46144</v>
      </c>
      <c r="C99" s="122" t="str">
        <f t="shared" si="8"/>
        <v>SÁBADO</v>
      </c>
      <c r="D99" s="123"/>
      <c r="E99" s="124" t="s">
        <v>77</v>
      </c>
      <c r="H99" s="1"/>
      <c r="I99" s="36"/>
    </row>
    <row r="100" spans="2:9" x14ac:dyDescent="0.25">
      <c r="B100" s="122">
        <f>VENDAS!C7</f>
        <v>46145</v>
      </c>
      <c r="C100" s="122" t="str">
        <f t="shared" si="8"/>
        <v>DOMINGO</v>
      </c>
      <c r="D100" s="123"/>
      <c r="E100" s="124" t="s">
        <v>77</v>
      </c>
      <c r="H100" s="1"/>
      <c r="I100" s="36"/>
    </row>
    <row r="101" spans="2:9" x14ac:dyDescent="0.25">
      <c r="B101" s="122">
        <f>VENDAS!C8</f>
        <v>46146</v>
      </c>
      <c r="C101" s="122" t="str">
        <f t="shared" si="8"/>
        <v>SEGUNDA-FEIRA</v>
      </c>
      <c r="D101" s="123"/>
      <c r="E101" s="124" t="s">
        <v>77</v>
      </c>
      <c r="H101" s="1"/>
      <c r="I101" s="36"/>
    </row>
    <row r="102" spans="2:9" x14ac:dyDescent="0.25">
      <c r="B102" s="122">
        <f>VENDAS!C9</f>
        <v>46147</v>
      </c>
      <c r="C102" s="122" t="str">
        <f t="shared" si="8"/>
        <v>TERÇA-FEIRA</v>
      </c>
      <c r="D102" s="123"/>
      <c r="E102" s="124" t="s">
        <v>77</v>
      </c>
      <c r="H102" s="1"/>
    </row>
    <row r="103" spans="2:9" x14ac:dyDescent="0.25">
      <c r="B103" s="122">
        <f>VENDAS!C10</f>
        <v>46148</v>
      </c>
      <c r="C103" s="122" t="str">
        <f t="shared" si="8"/>
        <v>QUARTA-FEIRA</v>
      </c>
      <c r="D103" s="123"/>
      <c r="E103" s="124" t="s">
        <v>77</v>
      </c>
      <c r="H103" s="1"/>
    </row>
    <row r="104" spans="2:9" x14ac:dyDescent="0.25">
      <c r="B104" s="122">
        <f>VENDAS!C11</f>
        <v>46149</v>
      </c>
      <c r="C104" s="122" t="str">
        <f t="shared" si="8"/>
        <v>QUINTA-FEIRA</v>
      </c>
      <c r="D104" s="123"/>
      <c r="E104" s="124" t="s">
        <v>77</v>
      </c>
      <c r="H104" s="1"/>
    </row>
    <row r="105" spans="2:9" x14ac:dyDescent="0.25">
      <c r="B105" s="122">
        <f>VENDAS!C12</f>
        <v>46150</v>
      </c>
      <c r="C105" s="122" t="str">
        <f t="shared" si="8"/>
        <v>SEXTA-FEIRA</v>
      </c>
      <c r="D105" s="123"/>
      <c r="E105" s="124" t="s">
        <v>77</v>
      </c>
    </row>
    <row r="106" spans="2:9" x14ac:dyDescent="0.25">
      <c r="B106" s="122">
        <f>VENDAS!C13</f>
        <v>46151</v>
      </c>
      <c r="C106" s="122" t="str">
        <f t="shared" si="8"/>
        <v>SÁBADO</v>
      </c>
      <c r="D106" s="123"/>
      <c r="E106" s="124" t="s">
        <v>77</v>
      </c>
    </row>
    <row r="107" spans="2:9" x14ac:dyDescent="0.25">
      <c r="B107" s="122">
        <f>VENDAS!C14</f>
        <v>46152</v>
      </c>
      <c r="C107" s="122" t="str">
        <f t="shared" si="8"/>
        <v>DOMINGO</v>
      </c>
      <c r="D107" s="123"/>
      <c r="E107" s="124" t="s">
        <v>77</v>
      </c>
    </row>
    <row r="108" spans="2:9" x14ac:dyDescent="0.25">
      <c r="B108" s="122">
        <f>VENDAS!C15</f>
        <v>46153</v>
      </c>
      <c r="C108" s="122" t="str">
        <f t="shared" si="8"/>
        <v>SEGUNDA-FEIRA</v>
      </c>
      <c r="D108" s="123"/>
      <c r="E108" s="124" t="s">
        <v>77</v>
      </c>
    </row>
    <row r="109" spans="2:9" x14ac:dyDescent="0.25">
      <c r="B109" s="122">
        <f>VENDAS!C16</f>
        <v>46154</v>
      </c>
      <c r="C109" s="122" t="str">
        <f t="shared" si="8"/>
        <v>TERÇA-FEIRA</v>
      </c>
      <c r="D109" s="123"/>
      <c r="E109" s="124" t="s">
        <v>77</v>
      </c>
    </row>
    <row r="110" spans="2:9" x14ac:dyDescent="0.25">
      <c r="B110" s="122">
        <f>VENDAS!C17</f>
        <v>46155</v>
      </c>
      <c r="C110" s="122" t="str">
        <f t="shared" si="8"/>
        <v>QUARTA-FEIRA</v>
      </c>
      <c r="D110" s="123"/>
      <c r="E110" s="124" t="s">
        <v>77</v>
      </c>
    </row>
    <row r="111" spans="2:9" x14ac:dyDescent="0.25">
      <c r="B111" s="122">
        <f>VENDAS!C18</f>
        <v>46156</v>
      </c>
      <c r="C111" s="122" t="str">
        <f t="shared" si="8"/>
        <v>QUINTA-FEIRA</v>
      </c>
      <c r="D111" s="123"/>
      <c r="E111" s="124" t="s">
        <v>77</v>
      </c>
    </row>
    <row r="112" spans="2:9" x14ac:dyDescent="0.25">
      <c r="B112" s="122">
        <f>VENDAS!C19</f>
        <v>46157</v>
      </c>
      <c r="C112" s="122" t="str">
        <f t="shared" si="8"/>
        <v>SEXTA-FEIRA</v>
      </c>
      <c r="D112" s="123"/>
      <c r="E112" s="124" t="s">
        <v>77</v>
      </c>
    </row>
    <row r="113" spans="2:5" x14ac:dyDescent="0.25">
      <c r="B113" s="122">
        <f>VENDAS!C20</f>
        <v>46158</v>
      </c>
      <c r="C113" s="122" t="str">
        <f t="shared" si="8"/>
        <v>SÁBADO</v>
      </c>
      <c r="D113" s="123"/>
      <c r="E113" s="124" t="s">
        <v>77</v>
      </c>
    </row>
    <row r="114" spans="2:5" x14ac:dyDescent="0.25">
      <c r="B114" s="122">
        <f>VENDAS!C21</f>
        <v>46159</v>
      </c>
      <c r="C114" s="122" t="str">
        <f t="shared" si="8"/>
        <v>DOMINGO</v>
      </c>
      <c r="D114" s="123"/>
      <c r="E114" s="124" t="s">
        <v>77</v>
      </c>
    </row>
    <row r="115" spans="2:5" x14ac:dyDescent="0.25">
      <c r="B115" s="122">
        <f>VENDAS!C22</f>
        <v>46160</v>
      </c>
      <c r="C115" s="122" t="str">
        <f t="shared" si="8"/>
        <v>SEGUNDA-FEIRA</v>
      </c>
      <c r="D115" s="123"/>
      <c r="E115" s="124" t="s">
        <v>77</v>
      </c>
    </row>
    <row r="116" spans="2:5" x14ac:dyDescent="0.25">
      <c r="B116" s="122">
        <f>VENDAS!C23</f>
        <v>46161</v>
      </c>
      <c r="C116" s="122" t="str">
        <f t="shared" si="8"/>
        <v>TERÇA-FEIRA</v>
      </c>
      <c r="D116" s="123"/>
      <c r="E116" s="124" t="s">
        <v>77</v>
      </c>
    </row>
    <row r="117" spans="2:5" x14ac:dyDescent="0.25">
      <c r="B117" s="122">
        <f>VENDAS!C24</f>
        <v>46162</v>
      </c>
      <c r="C117" s="122" t="str">
        <f t="shared" si="8"/>
        <v>QUARTA-FEIRA</v>
      </c>
      <c r="D117" s="123"/>
      <c r="E117" s="124" t="s">
        <v>77</v>
      </c>
    </row>
    <row r="118" spans="2:5" x14ac:dyDescent="0.25">
      <c r="B118" s="122">
        <f>VENDAS!C25</f>
        <v>46163</v>
      </c>
      <c r="C118" s="122" t="str">
        <f t="shared" si="8"/>
        <v>QUINTA-FEIRA</v>
      </c>
      <c r="D118" s="123"/>
      <c r="E118" s="124" t="s">
        <v>77</v>
      </c>
    </row>
    <row r="119" spans="2:5" x14ac:dyDescent="0.25">
      <c r="B119" s="122">
        <f>VENDAS!C26</f>
        <v>46164</v>
      </c>
      <c r="C119" s="122" t="str">
        <f t="shared" si="8"/>
        <v>SEXTA-FEIRA</v>
      </c>
      <c r="D119" s="123"/>
      <c r="E119" s="124" t="s">
        <v>77</v>
      </c>
    </row>
    <row r="120" spans="2:5" x14ac:dyDescent="0.25">
      <c r="B120" s="122">
        <f>VENDAS!C27</f>
        <v>46165</v>
      </c>
      <c r="C120" s="122" t="str">
        <f t="shared" si="8"/>
        <v>SÁBADO</v>
      </c>
      <c r="D120" s="123"/>
      <c r="E120" s="124" t="s">
        <v>77</v>
      </c>
    </row>
    <row r="121" spans="2:5" x14ac:dyDescent="0.25">
      <c r="B121" s="122">
        <f>VENDAS!C28</f>
        <v>46166</v>
      </c>
      <c r="C121" s="122" t="str">
        <f t="shared" si="8"/>
        <v>DOMINGO</v>
      </c>
      <c r="D121" s="123"/>
      <c r="E121" s="124" t="s">
        <v>77</v>
      </c>
    </row>
    <row r="122" spans="2:5" x14ac:dyDescent="0.25">
      <c r="B122" s="122">
        <f>VENDAS!C29</f>
        <v>46167</v>
      </c>
      <c r="C122" s="122" t="str">
        <f t="shared" si="8"/>
        <v>SEGUNDA-FEIRA</v>
      </c>
      <c r="D122" s="123"/>
      <c r="E122" s="124" t="s">
        <v>77</v>
      </c>
    </row>
    <row r="123" spans="2:5" x14ac:dyDescent="0.25">
      <c r="B123" s="122">
        <f>VENDAS!C30</f>
        <v>46168</v>
      </c>
      <c r="C123" s="122" t="str">
        <f t="shared" si="8"/>
        <v>TERÇA-FEIRA</v>
      </c>
      <c r="D123" s="123"/>
      <c r="E123" s="124" t="s">
        <v>77</v>
      </c>
    </row>
    <row r="124" spans="2:5" x14ac:dyDescent="0.25">
      <c r="B124" s="122">
        <f>VENDAS!C31</f>
        <v>46169</v>
      </c>
      <c r="C124" s="122" t="str">
        <f t="shared" si="8"/>
        <v>QUARTA-FEIRA</v>
      </c>
      <c r="D124" s="123"/>
      <c r="E124" s="124" t="s">
        <v>77</v>
      </c>
    </row>
    <row r="125" spans="2:5" x14ac:dyDescent="0.25">
      <c r="B125" s="122">
        <f>VENDAS!C32</f>
        <v>46170</v>
      </c>
      <c r="C125" s="122" t="str">
        <f t="shared" si="8"/>
        <v>QUINTA-FEIRA</v>
      </c>
      <c r="D125" s="123"/>
      <c r="E125" s="124" t="s">
        <v>77</v>
      </c>
    </row>
    <row r="126" spans="2:5" x14ac:dyDescent="0.25">
      <c r="B126" s="122">
        <f>VENDAS!C33</f>
        <v>46171</v>
      </c>
      <c r="C126" s="122" t="str">
        <f t="shared" ref="C126:C128" si="10">UPPER(TEXT(B126,"dddd"))</f>
        <v>SEXTA-FEIRA</v>
      </c>
      <c r="D126" s="123"/>
      <c r="E126" s="124" t="s">
        <v>77</v>
      </c>
    </row>
    <row r="127" spans="2:5" x14ac:dyDescent="0.25">
      <c r="B127" s="122">
        <f>VENDAS!C34</f>
        <v>46172</v>
      </c>
      <c r="C127" s="122" t="str">
        <f t="shared" si="10"/>
        <v>SÁBADO</v>
      </c>
      <c r="D127" s="123"/>
      <c r="E127" s="124" t="s">
        <v>77</v>
      </c>
    </row>
    <row r="128" spans="2:5" x14ac:dyDescent="0.25">
      <c r="B128" s="122">
        <f>VENDAS!C35</f>
        <v>46173</v>
      </c>
      <c r="C128" s="122" t="str">
        <f t="shared" si="10"/>
        <v>DOMINGO</v>
      </c>
      <c r="D128" s="123"/>
      <c r="E128" s="124" t="s">
        <v>77</v>
      </c>
    </row>
    <row r="129" spans="2:5" x14ac:dyDescent="0.25">
      <c r="B129" s="128">
        <f>VENDAS!C5</f>
        <v>46143</v>
      </c>
      <c r="C129" s="128" t="str">
        <f t="shared" ref="C129:C152" si="11">UPPER(TEXT(B129,"dddd"))</f>
        <v>SEXTA-FEIRA</v>
      </c>
      <c r="D129" s="129"/>
      <c r="E129" s="130" t="s">
        <v>84</v>
      </c>
    </row>
    <row r="130" spans="2:5" x14ac:dyDescent="0.25">
      <c r="B130" s="128">
        <f>VENDAS!C6</f>
        <v>46144</v>
      </c>
      <c r="C130" s="128" t="str">
        <f t="shared" si="11"/>
        <v>SÁBADO</v>
      </c>
      <c r="D130" s="129"/>
      <c r="E130" s="130" t="s">
        <v>84</v>
      </c>
    </row>
    <row r="131" spans="2:5" x14ac:dyDescent="0.25">
      <c r="B131" s="128">
        <f>VENDAS!C7</f>
        <v>46145</v>
      </c>
      <c r="C131" s="128" t="str">
        <f t="shared" si="11"/>
        <v>DOMINGO</v>
      </c>
      <c r="D131" s="129"/>
      <c r="E131" s="130" t="s">
        <v>84</v>
      </c>
    </row>
    <row r="132" spans="2:5" x14ac:dyDescent="0.25">
      <c r="B132" s="128">
        <f>VENDAS!C8</f>
        <v>46146</v>
      </c>
      <c r="C132" s="128" t="str">
        <f t="shared" si="11"/>
        <v>SEGUNDA-FEIRA</v>
      </c>
      <c r="D132" s="129"/>
      <c r="E132" s="130" t="s">
        <v>84</v>
      </c>
    </row>
    <row r="133" spans="2:5" x14ac:dyDescent="0.25">
      <c r="B133" s="128">
        <f>VENDAS!C9</f>
        <v>46147</v>
      </c>
      <c r="C133" s="128" t="str">
        <f t="shared" si="11"/>
        <v>TERÇA-FEIRA</v>
      </c>
      <c r="D133" s="129"/>
      <c r="E133" s="130" t="s">
        <v>84</v>
      </c>
    </row>
    <row r="134" spans="2:5" x14ac:dyDescent="0.25">
      <c r="B134" s="128">
        <f>VENDAS!C10</f>
        <v>46148</v>
      </c>
      <c r="C134" s="128" t="str">
        <f t="shared" si="11"/>
        <v>QUARTA-FEIRA</v>
      </c>
      <c r="D134" s="129"/>
      <c r="E134" s="130" t="s">
        <v>84</v>
      </c>
    </row>
    <row r="135" spans="2:5" x14ac:dyDescent="0.25">
      <c r="B135" s="128">
        <f>VENDAS!C11</f>
        <v>46149</v>
      </c>
      <c r="C135" s="128" t="str">
        <f t="shared" si="11"/>
        <v>QUINTA-FEIRA</v>
      </c>
      <c r="D135" s="129"/>
      <c r="E135" s="130" t="s">
        <v>84</v>
      </c>
    </row>
    <row r="136" spans="2:5" x14ac:dyDescent="0.25">
      <c r="B136" s="128">
        <f>VENDAS!C12</f>
        <v>46150</v>
      </c>
      <c r="C136" s="128" t="str">
        <f t="shared" si="11"/>
        <v>SEXTA-FEIRA</v>
      </c>
      <c r="D136" s="129"/>
      <c r="E136" s="130" t="s">
        <v>84</v>
      </c>
    </row>
    <row r="137" spans="2:5" x14ac:dyDescent="0.25">
      <c r="B137" s="128">
        <f>VENDAS!C13</f>
        <v>46151</v>
      </c>
      <c r="C137" s="128" t="str">
        <f t="shared" si="11"/>
        <v>SÁBADO</v>
      </c>
      <c r="D137" s="129"/>
      <c r="E137" s="130" t="s">
        <v>84</v>
      </c>
    </row>
    <row r="138" spans="2:5" x14ac:dyDescent="0.25">
      <c r="B138" s="128">
        <f>VENDAS!C14</f>
        <v>46152</v>
      </c>
      <c r="C138" s="128" t="str">
        <f t="shared" si="11"/>
        <v>DOMINGO</v>
      </c>
      <c r="D138" s="129"/>
      <c r="E138" s="130" t="s">
        <v>84</v>
      </c>
    </row>
    <row r="139" spans="2:5" x14ac:dyDescent="0.25">
      <c r="B139" s="128">
        <f>VENDAS!C15</f>
        <v>46153</v>
      </c>
      <c r="C139" s="128" t="str">
        <f t="shared" si="11"/>
        <v>SEGUNDA-FEIRA</v>
      </c>
      <c r="D139" s="129"/>
      <c r="E139" s="130" t="s">
        <v>84</v>
      </c>
    </row>
    <row r="140" spans="2:5" x14ac:dyDescent="0.25">
      <c r="B140" s="128">
        <f>VENDAS!C16</f>
        <v>46154</v>
      </c>
      <c r="C140" s="128" t="str">
        <f t="shared" si="11"/>
        <v>TERÇA-FEIRA</v>
      </c>
      <c r="D140" s="129"/>
      <c r="E140" s="130" t="s">
        <v>84</v>
      </c>
    </row>
    <row r="141" spans="2:5" x14ac:dyDescent="0.25">
      <c r="B141" s="128">
        <f>VENDAS!C17</f>
        <v>46155</v>
      </c>
      <c r="C141" s="128" t="str">
        <f t="shared" si="11"/>
        <v>QUARTA-FEIRA</v>
      </c>
      <c r="D141" s="129"/>
      <c r="E141" s="130" t="s">
        <v>84</v>
      </c>
    </row>
    <row r="142" spans="2:5" x14ac:dyDescent="0.25">
      <c r="B142" s="128">
        <f>VENDAS!C18</f>
        <v>46156</v>
      </c>
      <c r="C142" s="128" t="str">
        <f t="shared" si="11"/>
        <v>QUINTA-FEIRA</v>
      </c>
      <c r="D142" s="129"/>
      <c r="E142" s="130" t="s">
        <v>84</v>
      </c>
    </row>
    <row r="143" spans="2:5" x14ac:dyDescent="0.25">
      <c r="B143" s="128">
        <f>VENDAS!C19</f>
        <v>46157</v>
      </c>
      <c r="C143" s="128" t="str">
        <f t="shared" si="11"/>
        <v>SEXTA-FEIRA</v>
      </c>
      <c r="D143" s="129"/>
      <c r="E143" s="130" t="s">
        <v>84</v>
      </c>
    </row>
    <row r="144" spans="2:5" x14ac:dyDescent="0.25">
      <c r="B144" s="128">
        <f>VENDAS!C20</f>
        <v>46158</v>
      </c>
      <c r="C144" s="128" t="str">
        <f t="shared" si="11"/>
        <v>SÁBADO</v>
      </c>
      <c r="D144" s="129"/>
      <c r="E144" s="130" t="s">
        <v>84</v>
      </c>
    </row>
    <row r="145" spans="2:5" x14ac:dyDescent="0.25">
      <c r="B145" s="128">
        <f>VENDAS!C21</f>
        <v>46159</v>
      </c>
      <c r="C145" s="128" t="str">
        <f t="shared" si="11"/>
        <v>DOMINGO</v>
      </c>
      <c r="D145" s="129"/>
      <c r="E145" s="130" t="s">
        <v>84</v>
      </c>
    </row>
    <row r="146" spans="2:5" x14ac:dyDescent="0.25">
      <c r="B146" s="128">
        <f>VENDAS!C22</f>
        <v>46160</v>
      </c>
      <c r="C146" s="128" t="str">
        <f t="shared" si="11"/>
        <v>SEGUNDA-FEIRA</v>
      </c>
      <c r="D146" s="129"/>
      <c r="E146" s="130" t="s">
        <v>84</v>
      </c>
    </row>
    <row r="147" spans="2:5" x14ac:dyDescent="0.25">
      <c r="B147" s="128">
        <f>VENDAS!C23</f>
        <v>46161</v>
      </c>
      <c r="C147" s="128" t="str">
        <f t="shared" si="11"/>
        <v>TERÇA-FEIRA</v>
      </c>
      <c r="D147" s="129"/>
      <c r="E147" s="130" t="s">
        <v>84</v>
      </c>
    </row>
    <row r="148" spans="2:5" x14ac:dyDescent="0.25">
      <c r="B148" s="128">
        <f>VENDAS!C24</f>
        <v>46162</v>
      </c>
      <c r="C148" s="128" t="str">
        <f t="shared" si="11"/>
        <v>QUARTA-FEIRA</v>
      </c>
      <c r="D148" s="129"/>
      <c r="E148" s="130" t="s">
        <v>84</v>
      </c>
    </row>
    <row r="149" spans="2:5" x14ac:dyDescent="0.25">
      <c r="B149" s="128">
        <f>VENDAS!C25</f>
        <v>46163</v>
      </c>
      <c r="C149" s="128" t="str">
        <f t="shared" si="11"/>
        <v>QUINTA-FEIRA</v>
      </c>
      <c r="D149" s="129"/>
      <c r="E149" s="130" t="s">
        <v>84</v>
      </c>
    </row>
    <row r="150" spans="2:5" x14ac:dyDescent="0.25">
      <c r="B150" s="128">
        <f>VENDAS!C26</f>
        <v>46164</v>
      </c>
      <c r="C150" s="128" t="str">
        <f t="shared" si="11"/>
        <v>SEXTA-FEIRA</v>
      </c>
      <c r="D150" s="129"/>
      <c r="E150" s="130" t="s">
        <v>84</v>
      </c>
    </row>
    <row r="151" spans="2:5" x14ac:dyDescent="0.25">
      <c r="B151" s="128">
        <f>VENDAS!C27</f>
        <v>46165</v>
      </c>
      <c r="C151" s="128" t="str">
        <f t="shared" si="11"/>
        <v>SÁBADO</v>
      </c>
      <c r="D151" s="129"/>
      <c r="E151" s="130" t="s">
        <v>84</v>
      </c>
    </row>
    <row r="152" spans="2:5" x14ac:dyDescent="0.25">
      <c r="B152" s="128">
        <f>VENDAS!C28</f>
        <v>46166</v>
      </c>
      <c r="C152" s="128" t="str">
        <f t="shared" si="11"/>
        <v>DOMINGO</v>
      </c>
      <c r="D152" s="129"/>
      <c r="E152" s="130" t="s">
        <v>84</v>
      </c>
    </row>
    <row r="153" spans="2:5" x14ac:dyDescent="0.25">
      <c r="B153" s="128">
        <f>VENDAS!C29</f>
        <v>46167</v>
      </c>
      <c r="C153" s="128" t="str">
        <f t="shared" ref="C153" si="12">UPPER(TEXT(B153,"dddd"))</f>
        <v>SEGUNDA-FEIRA</v>
      </c>
      <c r="D153" s="129"/>
      <c r="E153" s="130" t="s">
        <v>84</v>
      </c>
    </row>
    <row r="154" spans="2:5" x14ac:dyDescent="0.25">
      <c r="B154" s="128">
        <f>VENDAS!C30</f>
        <v>46168</v>
      </c>
      <c r="C154" s="128" t="str">
        <f>UPPER(TEXT(B154,"dddd"))</f>
        <v>TERÇA-FEIRA</v>
      </c>
      <c r="D154" s="129"/>
      <c r="E154" s="130" t="s">
        <v>84</v>
      </c>
    </row>
    <row r="155" spans="2:5" x14ac:dyDescent="0.25">
      <c r="B155" s="128">
        <f>VENDAS!C31</f>
        <v>46169</v>
      </c>
      <c r="C155" s="128" t="str">
        <f>UPPER(TEXT(B155,"dddd"))</f>
        <v>QUARTA-FEIRA</v>
      </c>
      <c r="D155" s="129"/>
      <c r="E155" s="130" t="s">
        <v>84</v>
      </c>
    </row>
    <row r="156" spans="2:5" x14ac:dyDescent="0.25">
      <c r="B156" s="128">
        <f>VENDAS!C32</f>
        <v>46170</v>
      </c>
      <c r="C156" s="128" t="str">
        <f t="shared" ref="C156:C157" si="13">UPPER(TEXT(B156,"dddd"))</f>
        <v>QUINTA-FEIRA</v>
      </c>
      <c r="D156" s="129"/>
      <c r="E156" s="130" t="s">
        <v>84</v>
      </c>
    </row>
    <row r="157" spans="2:5" x14ac:dyDescent="0.25">
      <c r="B157" s="128">
        <f>VENDAS!C33</f>
        <v>46171</v>
      </c>
      <c r="C157" s="128" t="str">
        <f t="shared" si="13"/>
        <v>SEXTA-FEIRA</v>
      </c>
      <c r="D157" s="129"/>
      <c r="E157" s="130" t="s">
        <v>84</v>
      </c>
    </row>
    <row r="158" spans="2:5" x14ac:dyDescent="0.25">
      <c r="B158" s="128">
        <f>VENDAS!C34</f>
        <v>46172</v>
      </c>
      <c r="C158" s="128" t="str">
        <f t="shared" ref="C158:C159" si="14">UPPER(TEXT(B158,"dddd"))</f>
        <v>SÁBADO</v>
      </c>
      <c r="D158" s="129"/>
      <c r="E158" s="130" t="s">
        <v>84</v>
      </c>
    </row>
    <row r="159" spans="2:5" x14ac:dyDescent="0.25">
      <c r="B159" s="128">
        <f>VENDAS!C35</f>
        <v>46173</v>
      </c>
      <c r="C159" s="128" t="str">
        <f t="shared" si="14"/>
        <v>DOMINGO</v>
      </c>
      <c r="D159" s="129"/>
      <c r="E159" s="130" t="s">
        <v>84</v>
      </c>
    </row>
    <row r="160" spans="2:5" x14ac:dyDescent="0.25">
      <c r="B160" s="1" t="s">
        <v>49</v>
      </c>
      <c r="C160" s="1"/>
      <c r="D160" s="33">
        <f>SUBTOTAL(109,VENDAS_VENDEDOR[VALOR REALIZADO])</f>
        <v>0</v>
      </c>
      <c r="E160" s="1"/>
    </row>
  </sheetData>
  <mergeCells count="6">
    <mergeCell ref="O1:R1"/>
    <mergeCell ref="I22:M22"/>
    <mergeCell ref="B3:E3"/>
    <mergeCell ref="H6:M6"/>
    <mergeCell ref="J1:M1"/>
    <mergeCell ref="I14:M14"/>
  </mergeCells>
  <conditionalFormatting sqref="J8:M12">
    <cfRule type="cellIs" dxfId="16" priority="7" operator="lessThan">
      <formula>0</formula>
    </cfRule>
    <cfRule type="cellIs" dxfId="15" priority="8" operator="greaterThan">
      <formula>0</formula>
    </cfRule>
    <cfRule type="containsText" dxfId="14" priority="9" operator="containsText" text="BATEU">
      <formula>NOT(ISERROR(SEARCH("BATEU",J8)))</formula>
    </cfRule>
    <cfRule type="containsText" dxfId="13" priority="10" operator="containsText" text="NÃO ALCANÇADO">
      <formula>NOT(ISERROR(SEARCH("NÃO ALCANÇADO",J8)))</formula>
    </cfRule>
  </conditionalFormatting>
  <conditionalFormatting sqref="J16:M20">
    <cfRule type="containsText" dxfId="12" priority="2" operator="containsText" text="NÃO ALCANÇADO">
      <formula>NOT(ISERROR(SEARCH("NÃO ALCANÇADO",J16)))</formula>
    </cfRule>
    <cfRule type="cellIs" dxfId="11" priority="3" operator="lessThan">
      <formula>0</formula>
    </cfRule>
    <cfRule type="cellIs" dxfId="10" priority="4" operator="greaterThan">
      <formula>0</formula>
    </cfRule>
    <cfRule type="containsText" dxfId="9" priority="5" operator="containsText" text="BATEU">
      <formula>NOT(ISERROR(SEARCH("BATEU",J16)))</formula>
    </cfRule>
    <cfRule type="containsText" dxfId="8" priority="6" operator="containsText" text="NÃO ALCANÇADO">
      <formula>NOT(ISERROR(SEARCH("NÃO ALCANÇADO",J16)))</formula>
    </cfRule>
  </conditionalFormatting>
  <conditionalFormatting sqref="J24:M28">
    <cfRule type="containsText" dxfId="7" priority="1" operator="containsText" text="NÃO ALCANÇADO">
      <formula>NOT(ISERROR(SEARCH("NÃO ALCANÇADO",J24)))</formula>
    </cfRule>
  </conditionalFormatting>
  <dataValidations disablePrompts="1" count="1">
    <dataValidation type="list" allowBlank="1" showInputMessage="1" showErrorMessage="1" sqref="E5:E159" xr:uid="{90B984F4-88E7-4230-9A17-000B6EC86BC2}">
      <formula1>$G$3:$G$8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360" verticalDpi="360" r:id="rId1"/>
  <ignoredErrors>
    <ignoredError sqref="J11:M11" formula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3B74-6DC2-43C5-A3F2-0024951B7773}">
  <sheetPr>
    <tabColor rgb="FFFFFF00"/>
  </sheetPr>
  <dimension ref="D3:F11"/>
  <sheetViews>
    <sheetView workbookViewId="0">
      <selection activeCell="N9" sqref="N9"/>
    </sheetView>
  </sheetViews>
  <sheetFormatPr defaultColWidth="8.7109375" defaultRowHeight="15" x14ac:dyDescent="0.25"/>
  <cols>
    <col min="4" max="4" width="17.42578125" bestFit="1" customWidth="1"/>
    <col min="5" max="5" width="13.42578125" bestFit="1" customWidth="1"/>
  </cols>
  <sheetData>
    <row r="3" spans="4:6" x14ac:dyDescent="0.25">
      <c r="D3" s="55" t="s">
        <v>37</v>
      </c>
      <c r="E3" s="119" t="s">
        <v>51</v>
      </c>
      <c r="F3" s="18" t="s">
        <v>52</v>
      </c>
    </row>
    <row r="4" spans="4:6" x14ac:dyDescent="0.25">
      <c r="D4" s="47" t="s">
        <v>11</v>
      </c>
      <c r="E4" s="33">
        <v>0</v>
      </c>
      <c r="F4" s="87">
        <v>0</v>
      </c>
    </row>
    <row r="5" spans="4:6" x14ac:dyDescent="0.25">
      <c r="D5" s="47" t="s">
        <v>12</v>
      </c>
      <c r="E5" s="33">
        <v>4332</v>
      </c>
      <c r="F5" s="87">
        <v>7.6795711353072352E-2</v>
      </c>
    </row>
    <row r="6" spans="4:6" x14ac:dyDescent="0.25">
      <c r="D6" s="47" t="s">
        <v>13</v>
      </c>
      <c r="E6" s="33">
        <v>7344</v>
      </c>
      <c r="F6" s="87">
        <v>0.13019106744620576</v>
      </c>
    </row>
    <row r="7" spans="4:6" x14ac:dyDescent="0.25">
      <c r="D7" s="47" t="s">
        <v>14</v>
      </c>
      <c r="E7" s="33">
        <v>8009</v>
      </c>
      <c r="F7" s="87">
        <v>0.1419798827854932</v>
      </c>
    </row>
    <row r="8" spans="4:6" x14ac:dyDescent="0.25">
      <c r="D8" s="47" t="s">
        <v>15</v>
      </c>
      <c r="E8" s="33">
        <v>12828</v>
      </c>
      <c r="F8" s="87">
        <v>0.22740890702613395</v>
      </c>
    </row>
    <row r="9" spans="4:6" x14ac:dyDescent="0.25">
      <c r="D9" s="47" t="s">
        <v>16</v>
      </c>
      <c r="E9" s="33">
        <v>11091</v>
      </c>
      <c r="F9" s="87">
        <v>0.19661616680907792</v>
      </c>
    </row>
    <row r="10" spans="4:6" x14ac:dyDescent="0.25">
      <c r="D10" s="47" t="s">
        <v>17</v>
      </c>
      <c r="E10" s="33">
        <v>12805.4</v>
      </c>
      <c r="F10" s="87">
        <v>0.2270082645800168</v>
      </c>
    </row>
    <row r="11" spans="4:6" x14ac:dyDescent="0.25">
      <c r="D11" s="47" t="s">
        <v>53</v>
      </c>
      <c r="E11" s="33">
        <v>56409.4</v>
      </c>
      <c r="F11" s="87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4E3A-6994-4500-8A7D-EE923F1B2462}">
  <sheetPr codeName="Planilha7"/>
  <dimension ref="A1"/>
  <sheetViews>
    <sheetView workbookViewId="0">
      <selection activeCell="J26" sqref="J26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4">
    <tabColor theme="1" tint="4.9989318521683403E-2"/>
  </sheetPr>
  <dimension ref="B17:E35"/>
  <sheetViews>
    <sheetView showGridLines="0" topLeftCell="A13" zoomScale="80" zoomScaleNormal="80" workbookViewId="0">
      <selection activeCell="D23" sqref="D23"/>
    </sheetView>
  </sheetViews>
  <sheetFormatPr defaultColWidth="8.7109375" defaultRowHeight="15" x14ac:dyDescent="0.25"/>
  <cols>
    <col min="2" max="2" width="22.28515625" bestFit="1" customWidth="1"/>
    <col min="3" max="3" width="15.7109375" customWidth="1"/>
    <col min="4" max="4" width="17.42578125" customWidth="1"/>
    <col min="5" max="5" width="19.7109375" bestFit="1" customWidth="1"/>
  </cols>
  <sheetData>
    <row r="17" spans="2:5" ht="15.75" thickBot="1" x14ac:dyDescent="0.3"/>
    <row r="18" spans="2:5" x14ac:dyDescent="0.25">
      <c r="B18" s="169" t="s">
        <v>37</v>
      </c>
      <c r="C18" s="169" t="s">
        <v>54</v>
      </c>
      <c r="D18" s="169" t="s">
        <v>52</v>
      </c>
    </row>
    <row r="19" spans="2:5" x14ac:dyDescent="0.25">
      <c r="B19" s="37" t="s">
        <v>12</v>
      </c>
      <c r="C19" s="38" t="e">
        <v>#REF!</v>
      </c>
      <c r="D19" s="10" t="e">
        <f t="shared" ref="D19:D25" si="0">C19/$C$25</f>
        <v>#REF!</v>
      </c>
    </row>
    <row r="20" spans="2:5" x14ac:dyDescent="0.25">
      <c r="B20" s="37" t="s">
        <v>13</v>
      </c>
      <c r="C20" s="38" t="e">
        <v>#REF!</v>
      </c>
      <c r="D20" s="10" t="e">
        <f t="shared" si="0"/>
        <v>#REF!</v>
      </c>
    </row>
    <row r="21" spans="2:5" x14ac:dyDescent="0.25">
      <c r="B21" s="37" t="s">
        <v>14</v>
      </c>
      <c r="C21" s="38" t="e">
        <v>#REF!</v>
      </c>
      <c r="D21" s="10" t="e">
        <f t="shared" si="0"/>
        <v>#REF!</v>
      </c>
    </row>
    <row r="22" spans="2:5" x14ac:dyDescent="0.25">
      <c r="B22" s="37" t="s">
        <v>15</v>
      </c>
      <c r="C22" s="38" t="e">
        <v>#REF!</v>
      </c>
      <c r="D22" s="10" t="e">
        <f t="shared" si="0"/>
        <v>#REF!</v>
      </c>
    </row>
    <row r="23" spans="2:5" x14ac:dyDescent="0.25">
      <c r="B23" s="37" t="s">
        <v>16</v>
      </c>
      <c r="C23" s="38" t="e">
        <v>#REF!</v>
      </c>
      <c r="D23" s="10" t="e">
        <f t="shared" si="0"/>
        <v>#REF!</v>
      </c>
    </row>
    <row r="24" spans="2:5" x14ac:dyDescent="0.25">
      <c r="B24" s="37" t="s">
        <v>17</v>
      </c>
      <c r="C24" s="38" t="e">
        <v>#REF!</v>
      </c>
      <c r="D24" s="10" t="e">
        <f t="shared" si="0"/>
        <v>#REF!</v>
      </c>
    </row>
    <row r="25" spans="2:5" x14ac:dyDescent="0.25">
      <c r="B25" s="51" t="s">
        <v>18</v>
      </c>
      <c r="C25" s="52" t="e">
        <f>SUM(C19:C24)</f>
        <v>#REF!</v>
      </c>
      <c r="D25" s="10" t="e">
        <f t="shared" si="0"/>
        <v>#REF!</v>
      </c>
    </row>
    <row r="27" spans="2:5" ht="15.75" thickBot="1" x14ac:dyDescent="0.3">
      <c r="B27" s="53" t="s">
        <v>55</v>
      </c>
      <c r="C27" s="54" t="e">
        <v>#REF!</v>
      </c>
      <c r="D27" s="1"/>
      <c r="E27" s="4"/>
    </row>
    <row r="28" spans="2:5" ht="15.75" thickBot="1" x14ac:dyDescent="0.3">
      <c r="B28" s="168" t="s">
        <v>56</v>
      </c>
      <c r="C28" s="168" t="s">
        <v>51</v>
      </c>
      <c r="D28" s="168" t="s">
        <v>57</v>
      </c>
      <c r="E28" s="168" t="s">
        <v>58</v>
      </c>
    </row>
    <row r="29" spans="2:5" x14ac:dyDescent="0.25">
      <c r="B29" s="7" t="s">
        <v>1</v>
      </c>
      <c r="C29" s="8" t="e">
        <v>#REF!</v>
      </c>
      <c r="D29" s="9" t="e">
        <f>$C$27-C29</f>
        <v>#REF!</v>
      </c>
      <c r="E29" s="10" t="e">
        <f>$C$27/C29</f>
        <v>#REF!</v>
      </c>
    </row>
    <row r="30" spans="2:5" x14ac:dyDescent="0.25">
      <c r="B30" s="13" t="s">
        <v>2</v>
      </c>
      <c r="C30" s="8" t="e">
        <v>#REF!</v>
      </c>
      <c r="D30" s="9" t="e">
        <f>$C$27-C30</f>
        <v>#REF!</v>
      </c>
      <c r="E30" s="10" t="e">
        <f>$C$27/C30</f>
        <v>#REF!</v>
      </c>
    </row>
    <row r="31" spans="2:5" x14ac:dyDescent="0.25">
      <c r="B31" s="14" t="s">
        <v>41</v>
      </c>
      <c r="C31" s="8" t="e">
        <v>#REF!</v>
      </c>
      <c r="D31" s="9" t="e">
        <f>$C$27-C31</f>
        <v>#REF!</v>
      </c>
      <c r="E31" s="10" t="e">
        <f>$C$27/C31</f>
        <v>#REF!</v>
      </c>
    </row>
    <row r="32" spans="2:5" x14ac:dyDescent="0.25">
      <c r="B32" s="15" t="s">
        <v>4</v>
      </c>
      <c r="C32" s="8" t="e">
        <v>#REF!</v>
      </c>
      <c r="D32" s="9" t="e">
        <f>$C$27-C32</f>
        <v>#REF!</v>
      </c>
      <c r="E32" s="10" t="e">
        <f>$C$27/C32</f>
        <v>#REF!</v>
      </c>
    </row>
    <row r="33" spans="2:3" ht="15.75" thickBot="1" x14ac:dyDescent="0.3"/>
    <row r="34" spans="2:3" ht="15.75" thickBot="1" x14ac:dyDescent="0.3">
      <c r="B34" s="5" t="s">
        <v>59</v>
      </c>
      <c r="C34" s="6" t="e">
        <v>#REF!</v>
      </c>
    </row>
    <row r="35" spans="2:3" ht="15.75" thickBot="1" x14ac:dyDescent="0.3">
      <c r="B35" s="11" t="s">
        <v>60</v>
      </c>
      <c r="C35" s="12">
        <f>MAX(VENDAS!T5:T9)</f>
        <v>0</v>
      </c>
    </row>
  </sheetData>
  <conditionalFormatting sqref="D19:D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{D1E75516-E4F1-4622-B499-14D9AB0B0E2D}</x14:id>
        </ext>
      </extLst>
    </cfRule>
  </conditionalFormatting>
  <conditionalFormatting sqref="D29:D32">
    <cfRule type="cellIs" dxfId="6" priority="2" operator="lessThan">
      <formula>0</formula>
    </cfRule>
  </conditionalFormatting>
  <conditionalFormatting sqref="E29:E32 E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{9D8F1B7C-564C-42C2-84E9-4D8068EF9D26}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E75516-E4F1-4622-B499-14D9AB0B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D19:D25</xm:sqref>
        </x14:conditionalFormatting>
        <x14:conditionalFormatting xmlns:xm="http://schemas.microsoft.com/office/excel/2006/main">
          <x14:cfRule type="dataBar" id="{9D8F1B7C-564C-42C2-84E9-4D8068EF9D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E29:E32 E27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84CA-4182-43E5-9AD4-2AF4ED8B592B}">
  <sheetPr codeName="Planilha8"/>
  <dimension ref="C2:G7"/>
  <sheetViews>
    <sheetView showGridLines="0" workbookViewId="0">
      <selection activeCell="I17" sqref="I17"/>
    </sheetView>
  </sheetViews>
  <sheetFormatPr defaultColWidth="8.7109375" defaultRowHeight="15" x14ac:dyDescent="0.25"/>
  <cols>
    <col min="3" max="3" width="18" bestFit="1" customWidth="1"/>
    <col min="4" max="4" width="16.42578125" bestFit="1" customWidth="1"/>
    <col min="5" max="5" width="9.7109375" bestFit="1" customWidth="1"/>
    <col min="6" max="6" width="10.28515625" bestFit="1" customWidth="1"/>
    <col min="7" max="7" width="15.28515625" bestFit="1" customWidth="1"/>
  </cols>
  <sheetData>
    <row r="2" spans="3:7" ht="21" x14ac:dyDescent="0.35">
      <c r="C2" s="202" t="s">
        <v>61</v>
      </c>
      <c r="D2" s="202"/>
    </row>
    <row r="3" spans="3:7" x14ac:dyDescent="0.25">
      <c r="C3" s="55" t="s">
        <v>62</v>
      </c>
      <c r="D3" t="s">
        <v>63</v>
      </c>
      <c r="F3" s="58" t="s">
        <v>64</v>
      </c>
      <c r="G3" s="58" t="s">
        <v>63</v>
      </c>
    </row>
    <row r="4" spans="3:7" x14ac:dyDescent="0.25">
      <c r="C4" s="47" t="s">
        <v>65</v>
      </c>
      <c r="D4" s="36">
        <v>22120</v>
      </c>
      <c r="F4" s="62" t="s">
        <v>66</v>
      </c>
      <c r="G4" s="63">
        <f ca="1">SUMIF(VENDAS_VENDEDOR[[#Data],[#Totals],[VENDEDOR]],AUXILIAR!F4,VENDAS_VENDEDOR[VALOR REALIZADO])</f>
        <v>0</v>
      </c>
    </row>
    <row r="5" spans="3:7" x14ac:dyDescent="0.25">
      <c r="C5" s="47" t="s">
        <v>67</v>
      </c>
      <c r="D5" s="36">
        <v>28848</v>
      </c>
      <c r="F5" s="62" t="s">
        <v>68</v>
      </c>
      <c r="G5" s="63">
        <f ca="1">SUMIF(VENDAS_VENDEDOR[[#Data],[#Totals],[VENDEDOR]],AUXILIAR!F5,VENDAS_VENDEDOR[VALOR REALIZADO])</f>
        <v>0</v>
      </c>
    </row>
    <row r="6" spans="3:7" x14ac:dyDescent="0.25">
      <c r="C6" s="47" t="s">
        <v>66</v>
      </c>
      <c r="D6" s="36">
        <v>25675.1</v>
      </c>
      <c r="F6" s="62" t="s">
        <v>65</v>
      </c>
      <c r="G6" s="63">
        <f ca="1">SUMIF(VENDAS_VENDEDOR[[#Data],[#Totals],[VENDEDOR]],AUXILIAR!F6,VENDAS_VENDEDOR[VALOR REALIZADO])</f>
        <v>0</v>
      </c>
    </row>
    <row r="7" spans="3:7" x14ac:dyDescent="0.25">
      <c r="C7" s="47" t="s">
        <v>53</v>
      </c>
      <c r="D7" s="36">
        <v>76643.100000000006</v>
      </c>
      <c r="F7" s="62" t="s">
        <v>67</v>
      </c>
      <c r="G7" s="63">
        <f ca="1">SUMIF(VENDAS_VENDEDOR[[#Data],[#Totals],[VENDEDOR]],AUXILIAR!F7,VENDAS_VENDEDOR[VALOR REALIZADO])</f>
        <v>0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4F5-ECF3-4426-960E-4B199680FB04}">
  <sheetPr codeName="Planilha9"/>
  <dimension ref="A1"/>
  <sheetViews>
    <sheetView showGridLines="0" workbookViewId="0">
      <selection activeCell="L7" sqref="L7"/>
    </sheetView>
  </sheetViews>
  <sheetFormatPr defaultColWidth="8.71093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FFC8-E256-4373-B790-32965244F10B}">
  <sheetPr codeName="Planilha10"/>
  <dimension ref="D3:I6"/>
  <sheetViews>
    <sheetView workbookViewId="0">
      <selection activeCell="K7" sqref="K7"/>
    </sheetView>
  </sheetViews>
  <sheetFormatPr defaultColWidth="8.7109375" defaultRowHeight="15" x14ac:dyDescent="0.25"/>
  <cols>
    <col min="4" max="4" width="25.7109375" customWidth="1"/>
    <col min="5" max="5" width="10.140625" customWidth="1"/>
    <col min="8" max="8" width="18.42578125" style="18" customWidth="1"/>
    <col min="9" max="9" width="19.7109375" style="1" customWidth="1"/>
  </cols>
  <sheetData>
    <row r="3" spans="4:9" s="59" customFormat="1" ht="50.85" customHeight="1" x14ac:dyDescent="0.25">
      <c r="D3" s="59" t="s">
        <v>69</v>
      </c>
      <c r="E3" s="59" t="s">
        <v>70</v>
      </c>
      <c r="H3" s="59" t="s">
        <v>69</v>
      </c>
      <c r="I3" s="59" t="s">
        <v>70</v>
      </c>
    </row>
    <row r="4" spans="4:9" ht="84" customHeight="1" x14ac:dyDescent="0.25">
      <c r="D4" s="60" t="s">
        <v>67</v>
      </c>
      <c r="E4" t="e" vm="1">
        <v>#VALUE!</v>
      </c>
      <c r="H4" s="18" t="s">
        <v>67</v>
      </c>
      <c r="I4" s="1" t="e" vm="1">
        <v>#VALUE!</v>
      </c>
    </row>
    <row r="5" spans="4:9" ht="84" customHeight="1" x14ac:dyDescent="0.25">
      <c r="D5" s="60" t="s">
        <v>66</v>
      </c>
      <c r="E5" t="e" vm="2">
        <v>#VALUE!</v>
      </c>
      <c r="H5" s="18" t="s">
        <v>66</v>
      </c>
      <c r="I5" s="1" t="e" vm="2">
        <v>#VALUE!</v>
      </c>
    </row>
    <row r="6" spans="4:9" ht="84" customHeight="1" x14ac:dyDescent="0.25">
      <c r="D6" s="60" t="s">
        <v>65</v>
      </c>
      <c r="E6" t="e" vm="3">
        <v>#VALUE!</v>
      </c>
      <c r="H6" s="18" t="s">
        <v>65</v>
      </c>
      <c r="I6" s="1" t="e" vm="3">
        <v>#VALUE!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939D-05A5-4C48-ACDB-06C67B574DE6}">
  <sheetPr codeName="Planilha11">
    <tabColor theme="9" tint="-0.499984740745262"/>
  </sheetPr>
  <dimension ref="A1:Q25"/>
  <sheetViews>
    <sheetView showGridLines="0" workbookViewId="0">
      <selection activeCell="N14" sqref="N14"/>
    </sheetView>
  </sheetViews>
  <sheetFormatPr defaultColWidth="0" defaultRowHeight="15" zeroHeight="1" x14ac:dyDescent="0.25"/>
  <cols>
    <col min="1" max="3" width="8.7109375" customWidth="1"/>
    <col min="4" max="4" width="14.28515625" bestFit="1" customWidth="1"/>
    <col min="5" max="17" width="8.7109375" customWidth="1"/>
    <col min="18" max="18" width="8.7109375" hidden="1" customWidth="1"/>
    <col min="19" max="16384" width="8.7109375" hidden="1"/>
  </cols>
  <sheetData>
    <row r="1" spans="1:17" ht="31.35" customHeight="1" x14ac:dyDescent="0.25">
      <c r="A1" s="203" t="s">
        <v>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17" ht="26.1" customHeight="1" x14ac:dyDescent="0.25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1:17" ht="26.25" x14ac:dyDescent="0.4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ht="26.25" x14ac:dyDescent="0.4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1:17" x14ac:dyDescent="0.25"/>
    <row r="6" spans="1:17" x14ac:dyDescent="0.25"/>
    <row r="7" spans="1:17" x14ac:dyDescent="0.25">
      <c r="H7" s="204"/>
      <c r="I7" s="205"/>
    </row>
    <row r="8" spans="1:17" x14ac:dyDescent="0.25">
      <c r="H8" s="206"/>
      <c r="I8" s="207"/>
    </row>
    <row r="9" spans="1:17" x14ac:dyDescent="0.25">
      <c r="H9" s="208"/>
      <c r="I9" s="209"/>
    </row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</row>
    <row r="25" spans="1:17" x14ac:dyDescent="0.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</row>
  </sheetData>
  <mergeCells count="3">
    <mergeCell ref="A1:Q2"/>
    <mergeCell ref="H7:I9"/>
    <mergeCell ref="A24:Q25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4BCA-23CF-4415-B626-12FCD5FD8020}">
  <sheetPr codeName="Planilha13"/>
  <dimension ref="B1:P8"/>
  <sheetViews>
    <sheetView showGridLines="0" workbookViewId="0">
      <selection activeCell="I3" sqref="I3"/>
    </sheetView>
  </sheetViews>
  <sheetFormatPr defaultColWidth="8.7109375" defaultRowHeight="15" x14ac:dyDescent="0.25"/>
  <cols>
    <col min="1" max="1" width="13.42578125" bestFit="1" customWidth="1"/>
    <col min="2" max="2" width="8.28515625" bestFit="1" customWidth="1"/>
    <col min="3" max="3" width="21.7109375" customWidth="1"/>
    <col min="4" max="4" width="11.7109375" bestFit="1" customWidth="1"/>
    <col min="5" max="5" width="13.42578125" bestFit="1" customWidth="1"/>
    <col min="6" max="6" width="13.28515625" bestFit="1" customWidth="1"/>
    <col min="7" max="7" width="12.7109375" bestFit="1" customWidth="1"/>
    <col min="8" max="8" width="17" bestFit="1" customWidth="1"/>
    <col min="9" max="12" width="13.42578125" bestFit="1" customWidth="1"/>
    <col min="13" max="16" width="14" customWidth="1"/>
    <col min="18" max="19" width="13.28515625" bestFit="1" customWidth="1"/>
  </cols>
  <sheetData>
    <row r="1" spans="2:16" x14ac:dyDescent="0.25">
      <c r="G1" s="193" t="s">
        <v>0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2:16" x14ac:dyDescent="0.25">
      <c r="D2" t="s">
        <v>87</v>
      </c>
      <c r="G2" s="74" t="s">
        <v>64</v>
      </c>
      <c r="H2" s="75" t="s">
        <v>88</v>
      </c>
      <c r="I2" s="76" t="s">
        <v>1</v>
      </c>
      <c r="J2" s="77" t="s">
        <v>2</v>
      </c>
      <c r="K2" s="78" t="s">
        <v>3</v>
      </c>
      <c r="L2" s="79" t="s">
        <v>4</v>
      </c>
      <c r="M2" s="76" t="s">
        <v>1</v>
      </c>
      <c r="N2" s="77" t="s">
        <v>2</v>
      </c>
      <c r="O2" s="78" t="s">
        <v>3</v>
      </c>
      <c r="P2" s="79" t="s">
        <v>4</v>
      </c>
    </row>
    <row r="3" spans="2:16" x14ac:dyDescent="0.25">
      <c r="B3" t="str">
        <f>VLOOKUP(C3,$F$3:$G$7,2,0)</f>
        <v>RAISSA</v>
      </c>
      <c r="C3" s="120">
        <f>LARGE($H$3:$H$7,1)</f>
        <v>0</v>
      </c>
      <c r="D3" s="83">
        <v>5000</v>
      </c>
      <c r="E3" s="73"/>
      <c r="F3" s="36">
        <f>H3</f>
        <v>0</v>
      </c>
      <c r="G3" s="37" t="str">
        <f>VENDAS_VENDEDOR!H8</f>
        <v>RAISSA</v>
      </c>
      <c r="H3" s="38">
        <f>VENDAS_VENDEDOR!I8</f>
        <v>0</v>
      </c>
      <c r="I3" s="38">
        <f>VENDAS_VENDEDOR!J3</f>
        <v>20000</v>
      </c>
      <c r="J3" s="38">
        <f>VENDAS_VENDEDOR!K3</f>
        <v>26000</v>
      </c>
      <c r="K3" s="38">
        <f>VENDAS_VENDEDOR!L3</f>
        <v>32000</v>
      </c>
      <c r="L3" s="38">
        <f>VENDAS_VENDEDOR!M3</f>
        <v>36000</v>
      </c>
      <c r="M3" s="38" t="str">
        <f>IF(H3&gt;L3,H3,IF(H3&gt;K3,H3,IF(H3&gt;J3,H3,IF(H3&gt;I3,H3,""))))</f>
        <v/>
      </c>
      <c r="N3" s="38" t="str">
        <f>IF(H3&gt;L3,H3,IF(H3&gt;K3,H3,IF(H3&gt;J3,H3,"")))</f>
        <v/>
      </c>
      <c r="O3" s="38" t="str">
        <f>IF(H3&gt;L3,H3,IF(H3&gt;K3,H3,""))</f>
        <v/>
      </c>
      <c r="P3" s="38" t="str">
        <f>IF(H3&gt;L3,H3,"")</f>
        <v/>
      </c>
    </row>
    <row r="4" spans="2:16" x14ac:dyDescent="0.25">
      <c r="B4" t="str">
        <f t="shared" ref="B4:B7" si="0">VLOOKUP(C4,$F$3:$G$7,2,0)</f>
        <v>RAISSA</v>
      </c>
      <c r="C4" s="120">
        <f>LARGE($H$3:$H$7,2)</f>
        <v>0</v>
      </c>
      <c r="D4" s="83">
        <v>5000</v>
      </c>
      <c r="E4" s="73"/>
      <c r="F4" s="36">
        <f t="shared" ref="F4:F7" si="1">H4</f>
        <v>0</v>
      </c>
      <c r="G4" s="37" t="str">
        <f>VENDAS_VENDEDOR!H9</f>
        <v>RAMLIZ</v>
      </c>
      <c r="H4" s="38">
        <f>VENDAS_VENDEDOR!I9</f>
        <v>0</v>
      </c>
      <c r="I4" s="38">
        <f>VENDAS_VENDEDOR!J3</f>
        <v>20000</v>
      </c>
      <c r="J4" s="38">
        <f>VENDAS_VENDEDOR!K3</f>
        <v>26000</v>
      </c>
      <c r="K4" s="38">
        <f>VENDAS_VENDEDOR!L3</f>
        <v>32000</v>
      </c>
      <c r="L4" s="38">
        <f>VENDAS_VENDEDOR!M3</f>
        <v>36000</v>
      </c>
      <c r="M4" s="38" t="str">
        <f t="shared" ref="M4:M6" si="2">IF(H4&gt;L4,H4,IF(H4&gt;K4,H4,IF(H4&gt;J4,H4,IF(H4&gt;I4,H4,""))))</f>
        <v/>
      </c>
      <c r="N4" s="38" t="str">
        <f>IF(H4&gt;L4,H4,IF(H4&gt;K4,H4,IF(H4&gt;J4,H4,"")))</f>
        <v/>
      </c>
      <c r="O4" s="38" t="str">
        <f>IF(H4&gt;L4,H4,IF(H4&gt;K4,H4,""))</f>
        <v/>
      </c>
      <c r="P4" s="38" t="str">
        <f>IF(H4&gt;L4,H4,"")</f>
        <v/>
      </c>
    </row>
    <row r="5" spans="2:16" x14ac:dyDescent="0.25">
      <c r="B5" t="str">
        <f t="shared" si="0"/>
        <v>RAISSA</v>
      </c>
      <c r="C5" s="120">
        <f>LARGE($H$3:$H$7,3)</f>
        <v>0</v>
      </c>
      <c r="D5" s="83">
        <v>5000</v>
      </c>
      <c r="E5" s="73"/>
      <c r="F5" s="36">
        <f t="shared" si="1"/>
        <v>0</v>
      </c>
      <c r="G5" s="37" t="str">
        <f>VENDAS_VENDEDOR!H10</f>
        <v>LETÍCIA</v>
      </c>
      <c r="H5" s="38">
        <f>VENDAS_VENDEDOR!I10</f>
        <v>0</v>
      </c>
      <c r="I5" s="38">
        <f>VENDAS_VENDEDOR!J3</f>
        <v>20000</v>
      </c>
      <c r="J5" s="38">
        <f>VENDAS_VENDEDOR!K3</f>
        <v>26000</v>
      </c>
      <c r="K5" s="38">
        <f>VENDAS_VENDEDOR!L3</f>
        <v>32000</v>
      </c>
      <c r="L5" s="38">
        <f>VENDAS_VENDEDOR!M3</f>
        <v>36000</v>
      </c>
      <c r="M5" s="38" t="str">
        <f t="shared" si="2"/>
        <v/>
      </c>
      <c r="N5" s="38" t="str">
        <f>IF(H5&gt;L5,H5,IF(H5&gt;K5,H5,IF(H5&gt;J5,H5,"")))</f>
        <v/>
      </c>
      <c r="O5" s="38" t="str">
        <f>IF(H5&gt;L5,H5,IF(H5&gt;K5,H5,""))</f>
        <v/>
      </c>
      <c r="P5" s="38" t="str">
        <f>IF(H5&gt;L5,H5,"")</f>
        <v/>
      </c>
    </row>
    <row r="6" spans="2:16" x14ac:dyDescent="0.25">
      <c r="B6" t="str">
        <f t="shared" si="0"/>
        <v>RAISSA</v>
      </c>
      <c r="C6" s="120">
        <f>LARGE($H$3:$H$7,4)</f>
        <v>0</v>
      </c>
      <c r="D6" s="83">
        <v>5000</v>
      </c>
      <c r="E6" s="73"/>
      <c r="F6" s="36">
        <f t="shared" si="1"/>
        <v>0</v>
      </c>
      <c r="G6" s="37" t="str">
        <f>VENDAS_VENDEDOR!H11</f>
        <v>KETHLLEN</v>
      </c>
      <c r="H6" s="38">
        <f>VENDAS_VENDEDOR!I11</f>
        <v>0</v>
      </c>
      <c r="I6" s="38">
        <f>VENDAS_VENDEDOR!J3</f>
        <v>20000</v>
      </c>
      <c r="J6" s="38">
        <f>VENDAS_VENDEDOR!K3</f>
        <v>26000</v>
      </c>
      <c r="K6" s="38">
        <f>VENDAS_VENDEDOR!L3</f>
        <v>32000</v>
      </c>
      <c r="L6" s="38">
        <f>VENDAS_VENDEDOR!M3</f>
        <v>36000</v>
      </c>
      <c r="M6" s="38" t="str">
        <f t="shared" si="2"/>
        <v/>
      </c>
      <c r="N6" s="38" t="str">
        <f>IF(H6&gt;L6,H6,IF(H6&gt;K6,H6,IF(H6&gt;J6,H6,"")))</f>
        <v/>
      </c>
      <c r="O6" s="38" t="str">
        <f>IF(H6&gt;L6,H6,IF(H6&gt;K6,H6,""))</f>
        <v/>
      </c>
      <c r="P6" s="38" t="str">
        <f>IF(H6&gt;L6,H6,"")</f>
        <v/>
      </c>
    </row>
    <row r="7" spans="2:16" x14ac:dyDescent="0.25">
      <c r="B7" t="str">
        <f t="shared" si="0"/>
        <v>RAISSA</v>
      </c>
      <c r="C7" s="120">
        <f>LARGE($H$3:$H$7,5)</f>
        <v>0</v>
      </c>
      <c r="D7" s="83">
        <v>5000</v>
      </c>
      <c r="E7" s="73"/>
      <c r="F7" s="36">
        <f t="shared" si="1"/>
        <v>0</v>
      </c>
      <c r="G7" s="37" t="str">
        <f>VENDAS_VENDEDOR!H12</f>
        <v>JULIA</v>
      </c>
      <c r="H7" s="38">
        <f>VENDAS_VENDEDOR!I12</f>
        <v>0</v>
      </c>
      <c r="I7" s="38">
        <f>VENDAS_VENDEDOR!J3</f>
        <v>20000</v>
      </c>
      <c r="J7" s="38">
        <f>VENDAS_VENDEDOR!K3</f>
        <v>26000</v>
      </c>
      <c r="K7" s="38">
        <f>VENDAS_VENDEDOR!L3</f>
        <v>32000</v>
      </c>
      <c r="L7" s="38">
        <f>VENDAS_VENDEDOR!M3</f>
        <v>36000</v>
      </c>
      <c r="M7" s="38" t="str">
        <f t="shared" ref="M7" si="3">IF(H7&gt;L7,H7,IF(H7&gt;K7,H7,IF(H7&gt;J7,H7,IF(H7&gt;I7,H7,""))))</f>
        <v/>
      </c>
      <c r="N7" s="38" t="str">
        <f>IF(H7&gt;L7,H7,IF(H7&gt;K7,H7,IF(H7&gt;J7,H7,"")))</f>
        <v/>
      </c>
      <c r="O7" s="38" t="str">
        <f>IF(H7&gt;L7,H7,IF(H7&gt;K7,H7,""))</f>
        <v/>
      </c>
      <c r="P7" s="38" t="str">
        <f>IF(H7&gt;L7,H7,"")</f>
        <v/>
      </c>
    </row>
    <row r="8" spans="2:16" x14ac:dyDescent="0.25">
      <c r="I8">
        <v>0.5</v>
      </c>
      <c r="J8">
        <v>0.66666666666666663</v>
      </c>
      <c r="K8">
        <v>0.83333333333333337</v>
      </c>
      <c r="L8">
        <v>1</v>
      </c>
    </row>
  </sheetData>
  <mergeCells count="1">
    <mergeCell ref="G1:P1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C0F4-CC80-4CDA-AD95-1C3C4426822F}">
  <dimension ref="A1:B4"/>
  <sheetViews>
    <sheetView workbookViewId="0">
      <selection activeCell="B3" sqref="B3"/>
    </sheetView>
  </sheetViews>
  <sheetFormatPr defaultColWidth="8.85546875" defaultRowHeight="15" x14ac:dyDescent="0.25"/>
  <sheetData>
    <row r="1" spans="1:2" x14ac:dyDescent="0.25">
      <c r="A1" t="s">
        <v>135</v>
      </c>
      <c r="B1" t="s">
        <v>18</v>
      </c>
    </row>
    <row r="2" spans="1:2" x14ac:dyDescent="0.25">
      <c r="A2" t="s">
        <v>136</v>
      </c>
      <c r="B2" s="181">
        <v>64962</v>
      </c>
    </row>
    <row r="3" spans="1:2" x14ac:dyDescent="0.25">
      <c r="A3" t="s">
        <v>137</v>
      </c>
    </row>
    <row r="4" spans="1:2" x14ac:dyDescent="0.25">
      <c r="A4" t="s">
        <v>138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6B0A-91BB-4BDC-AADE-C380A42607A2}">
  <dimension ref="C1:Z35"/>
  <sheetViews>
    <sheetView showGridLines="0" tabSelected="1" zoomScale="115" zoomScaleNormal="115" workbookViewId="0">
      <selection activeCell="M21" sqref="M21"/>
    </sheetView>
  </sheetViews>
  <sheetFormatPr defaultColWidth="8.7109375" defaultRowHeight="15" x14ac:dyDescent="0.25"/>
  <cols>
    <col min="3" max="3" width="37.7109375" style="1" bestFit="1" customWidth="1"/>
    <col min="4" max="6" width="15.42578125" bestFit="1" customWidth="1"/>
    <col min="7" max="7" width="14.140625" bestFit="1" customWidth="1"/>
    <col min="8" max="8" width="15.42578125" bestFit="1" customWidth="1"/>
    <col min="9" max="9" width="15" hidden="1" customWidth="1"/>
    <col min="10" max="10" width="14.140625" bestFit="1" customWidth="1"/>
    <col min="11" max="18" width="15.42578125" bestFit="1" customWidth="1"/>
    <col min="19" max="19" width="16.7109375" bestFit="1" customWidth="1"/>
    <col min="20" max="20" width="15" style="1" bestFit="1" customWidth="1"/>
    <col min="21" max="21" width="16.7109375" bestFit="1" customWidth="1"/>
    <col min="22" max="22" width="13.85546875" bestFit="1" customWidth="1"/>
    <col min="23" max="23" width="21.42578125" bestFit="1" customWidth="1"/>
    <col min="24" max="24" width="12.42578125" bestFit="1" customWidth="1"/>
    <col min="25" max="25" width="22.28515625" bestFit="1" customWidth="1"/>
    <col min="26" max="26" width="6.5703125" bestFit="1" customWidth="1"/>
  </cols>
  <sheetData>
    <row r="1" spans="3:26" x14ac:dyDescent="0.25">
      <c r="M1" s="161">
        <v>45908</v>
      </c>
    </row>
    <row r="2" spans="3:26" ht="26.25" x14ac:dyDescent="0.4">
      <c r="C2" s="183" t="s">
        <v>101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 t="s">
        <v>101</v>
      </c>
      <c r="U2" s="183"/>
      <c r="V2" s="183"/>
      <c r="W2" s="183"/>
      <c r="X2" s="183"/>
      <c r="Y2" s="183"/>
    </row>
    <row r="3" spans="3:26" x14ac:dyDescent="0.25">
      <c r="C3" s="107"/>
      <c r="D3" s="108" t="s">
        <v>102</v>
      </c>
      <c r="E3" s="108" t="s">
        <v>103</v>
      </c>
      <c r="F3" s="108" t="s">
        <v>104</v>
      </c>
      <c r="G3" s="108"/>
      <c r="H3" s="108" t="s">
        <v>105</v>
      </c>
      <c r="I3" s="108"/>
      <c r="J3" s="108"/>
      <c r="K3" s="108" t="s">
        <v>106</v>
      </c>
      <c r="L3" s="108" t="s">
        <v>107</v>
      </c>
      <c r="M3" s="108" t="s">
        <v>108</v>
      </c>
      <c r="N3" s="108" t="s">
        <v>109</v>
      </c>
      <c r="O3" s="108" t="s">
        <v>110</v>
      </c>
      <c r="P3" s="108" t="s">
        <v>111</v>
      </c>
      <c r="Q3" s="108" t="s">
        <v>112</v>
      </c>
      <c r="R3" s="108" t="s">
        <v>113</v>
      </c>
      <c r="S3" s="108" t="s">
        <v>18</v>
      </c>
      <c r="T3" s="108" t="s">
        <v>114</v>
      </c>
      <c r="U3" s="108" t="s">
        <v>115</v>
      </c>
      <c r="V3" s="108" t="s">
        <v>116</v>
      </c>
      <c r="W3" s="108" t="s">
        <v>117</v>
      </c>
      <c r="X3" s="108" t="s">
        <v>118</v>
      </c>
      <c r="Y3" s="108" t="s">
        <v>119</v>
      </c>
    </row>
    <row r="4" spans="3:26" x14ac:dyDescent="0.25">
      <c r="C4" s="97">
        <v>2023</v>
      </c>
      <c r="D4" s="105">
        <v>69665</v>
      </c>
      <c r="E4" s="105">
        <v>66339.899999999994</v>
      </c>
      <c r="F4" s="105">
        <v>112868.2</v>
      </c>
      <c r="G4" s="105"/>
      <c r="H4" s="105">
        <v>110771</v>
      </c>
      <c r="I4" s="105"/>
      <c r="J4" s="105"/>
      <c r="K4" s="105">
        <v>76196</v>
      </c>
      <c r="L4" s="105">
        <v>124891</v>
      </c>
      <c r="M4" s="105">
        <v>97317.4</v>
      </c>
      <c r="N4" s="105">
        <v>95136</v>
      </c>
      <c r="O4" s="105">
        <v>116125</v>
      </c>
      <c r="P4" s="105">
        <v>144644.09999999998</v>
      </c>
      <c r="Q4" s="105">
        <v>228425.88</v>
      </c>
      <c r="R4" s="105">
        <v>278369.21999999997</v>
      </c>
      <c r="S4" s="25">
        <f>SUM(D4:R4)</f>
        <v>1520748.7</v>
      </c>
      <c r="T4" s="155">
        <v>2023</v>
      </c>
      <c r="U4" s="25">
        <f>MAX(D4:R4)</f>
        <v>278369.21999999997</v>
      </c>
      <c r="V4" s="25">
        <f>MIN(D4:R4)</f>
        <v>66339.899999999994</v>
      </c>
      <c r="W4" s="25">
        <f>AVERAGE(D4:R4)</f>
        <v>126729.05833333333</v>
      </c>
      <c r="X4" s="156"/>
      <c r="Y4" s="156"/>
    </row>
    <row r="5" spans="3:26" x14ac:dyDescent="0.25">
      <c r="C5" s="97">
        <v>2024</v>
      </c>
      <c r="D5" s="105">
        <v>56409.4</v>
      </c>
      <c r="E5" s="105">
        <v>119124.91</v>
      </c>
      <c r="F5" s="105">
        <v>152166.95000000001</v>
      </c>
      <c r="G5" s="105"/>
      <c r="H5" s="105">
        <v>86346</v>
      </c>
      <c r="I5" s="105"/>
      <c r="J5" s="105"/>
      <c r="K5" s="105">
        <v>175012.98</v>
      </c>
      <c r="L5" s="105">
        <v>151309.9</v>
      </c>
      <c r="M5" s="105">
        <v>266098.3</v>
      </c>
      <c r="N5" s="105">
        <v>188534.8</v>
      </c>
      <c r="O5" s="105">
        <v>142266.70000000001</v>
      </c>
      <c r="P5" s="105">
        <v>232186.56</v>
      </c>
      <c r="Q5" s="105">
        <v>185973.04</v>
      </c>
      <c r="R5" s="105">
        <v>273769.09999999998</v>
      </c>
      <c r="S5" s="25">
        <f>SUM(D5:R5)</f>
        <v>2029198.6400000001</v>
      </c>
      <c r="T5" s="155">
        <v>2024</v>
      </c>
      <c r="U5" s="25">
        <f>MAX(D5:R5)</f>
        <v>273769.09999999998</v>
      </c>
      <c r="V5" s="25">
        <f>MIN(D5:R5)</f>
        <v>56409.4</v>
      </c>
      <c r="W5" s="25">
        <f>AVERAGE(D5:R5)</f>
        <v>169099.88666666669</v>
      </c>
      <c r="X5" s="156"/>
      <c r="Y5" s="156"/>
    </row>
    <row r="6" spans="3:26" x14ac:dyDescent="0.25">
      <c r="C6" s="97" t="s">
        <v>120</v>
      </c>
      <c r="D6" s="106">
        <f>D5/D4-1</f>
        <v>-0.19027632240005743</v>
      </c>
      <c r="E6" s="106">
        <f>E5/E4-1</f>
        <v>0.79567515175633385</v>
      </c>
      <c r="F6" s="106">
        <f>F5/F4-1</f>
        <v>0.34818265906606127</v>
      </c>
      <c r="G6" s="106"/>
      <c r="H6" s="106">
        <f t="shared" ref="H6:S6" si="0">H5/H4-1</f>
        <v>-0.22049995034801528</v>
      </c>
      <c r="I6" s="106"/>
      <c r="J6" s="106"/>
      <c r="K6" s="106">
        <f t="shared" si="0"/>
        <v>1.2968788387841883</v>
      </c>
      <c r="L6" s="106">
        <f t="shared" si="0"/>
        <v>0.2115356590947306</v>
      </c>
      <c r="M6" s="106">
        <f t="shared" si="0"/>
        <v>1.7343342506067776</v>
      </c>
      <c r="N6" s="106">
        <f t="shared" si="0"/>
        <v>0.98173982509249913</v>
      </c>
      <c r="O6" s="106">
        <f t="shared" si="0"/>
        <v>0.22511689989235739</v>
      </c>
      <c r="P6" s="106">
        <f t="shared" si="0"/>
        <v>0.60522662175643549</v>
      </c>
      <c r="Q6" s="106">
        <f t="shared" si="0"/>
        <v>-0.18584951932766991</v>
      </c>
      <c r="R6" s="106">
        <f t="shared" si="0"/>
        <v>-1.6525246577189789E-2</v>
      </c>
      <c r="S6" s="106">
        <f t="shared" si="0"/>
        <v>0.33434185411435835</v>
      </c>
      <c r="T6" s="155">
        <v>2025</v>
      </c>
      <c r="U6" s="25">
        <f>MAX(D9:R9)</f>
        <v>389079</v>
      </c>
      <c r="V6" s="25">
        <f>MIN(D9:R9)</f>
        <v>74329</v>
      </c>
      <c r="W6" s="25">
        <f>AVERAGE(D9:N9)</f>
        <v>153900.34</v>
      </c>
      <c r="X6" s="105">
        <v>283.06</v>
      </c>
      <c r="Y6" s="160">
        <v>2.08</v>
      </c>
    </row>
    <row r="7" spans="3:26" x14ac:dyDescent="0.25">
      <c r="C7" s="97" t="s">
        <v>121</v>
      </c>
      <c r="D7" s="109">
        <v>0.2</v>
      </c>
      <c r="E7" s="109">
        <v>0.2</v>
      </c>
      <c r="F7" s="109">
        <v>0.2</v>
      </c>
      <c r="G7" s="109"/>
      <c r="H7" s="109">
        <v>0.2</v>
      </c>
      <c r="I7" s="109"/>
      <c r="J7" s="109"/>
      <c r="K7" s="109">
        <v>0.2</v>
      </c>
      <c r="L7" s="109">
        <v>0.2</v>
      </c>
      <c r="M7" s="109">
        <v>0.2</v>
      </c>
      <c r="N7" s="109">
        <v>0.2</v>
      </c>
      <c r="O7" s="109">
        <v>0.2</v>
      </c>
      <c r="P7" s="109">
        <v>0.2</v>
      </c>
      <c r="Q7" s="109">
        <v>0.2</v>
      </c>
      <c r="R7" s="109">
        <v>0.2</v>
      </c>
      <c r="S7" s="109">
        <v>0.2</v>
      </c>
      <c r="T7" s="154"/>
      <c r="X7" s="36"/>
    </row>
    <row r="8" spans="3:26" x14ac:dyDescent="0.25">
      <c r="C8" s="97" t="s">
        <v>122</v>
      </c>
      <c r="D8" s="25">
        <f>D5*(100%+D7)</f>
        <v>67691.28</v>
      </c>
      <c r="E8" s="25">
        <f t="shared" ref="E8:S8" si="1">E5*(100%+E7)</f>
        <v>142949.89199999999</v>
      </c>
      <c r="F8" s="25">
        <f>F5*(100%+F7)</f>
        <v>182600.34</v>
      </c>
      <c r="G8" s="25"/>
      <c r="H8" s="25">
        <f t="shared" si="1"/>
        <v>103615.2</v>
      </c>
      <c r="I8" s="25"/>
      <c r="J8" s="25"/>
      <c r="K8" s="25">
        <f t="shared" si="1"/>
        <v>210015.576</v>
      </c>
      <c r="L8" s="25">
        <f t="shared" si="1"/>
        <v>181571.87999999998</v>
      </c>
      <c r="M8" s="25">
        <f t="shared" si="1"/>
        <v>319317.95999999996</v>
      </c>
      <c r="N8" s="25">
        <f t="shared" si="1"/>
        <v>226241.75999999998</v>
      </c>
      <c r="O8" s="25">
        <f t="shared" si="1"/>
        <v>170720.04</v>
      </c>
      <c r="P8" s="25">
        <f>150000*1.2</f>
        <v>180000</v>
      </c>
      <c r="Q8" s="25">
        <f t="shared" si="1"/>
        <v>223167.64800000002</v>
      </c>
      <c r="R8" s="25">
        <f t="shared" si="1"/>
        <v>328522.92</v>
      </c>
      <c r="S8" s="25">
        <f t="shared" si="1"/>
        <v>2435038.3680000002</v>
      </c>
      <c r="T8" s="33">
        <f>S8-S9</f>
        <v>-212729.08199999947</v>
      </c>
    </row>
    <row r="9" spans="3:26" x14ac:dyDescent="0.25">
      <c r="C9" s="97" t="s">
        <v>123</v>
      </c>
      <c r="D9" s="105">
        <v>74329</v>
      </c>
      <c r="E9" s="105">
        <v>119813.5</v>
      </c>
      <c r="F9" s="105">
        <v>234836.65</v>
      </c>
      <c r="G9" s="105"/>
      <c r="H9" s="105">
        <v>119501</v>
      </c>
      <c r="I9" s="105"/>
      <c r="J9" s="105"/>
      <c r="K9" s="105">
        <v>173353</v>
      </c>
      <c r="L9" s="105">
        <v>168340.47</v>
      </c>
      <c r="M9" s="105">
        <v>186236.1</v>
      </c>
      <c r="N9" s="105">
        <v>154793</v>
      </c>
      <c r="O9" s="105">
        <v>243869.83</v>
      </c>
      <c r="P9" s="105">
        <v>164821</v>
      </c>
      <c r="Q9" s="25">
        <f>215407.6+89040</f>
        <v>304447.59999999998</v>
      </c>
      <c r="R9" s="25">
        <v>389079</v>
      </c>
      <c r="S9" s="25">
        <f>SUM(D9:R9)+T9</f>
        <v>2647767.4499999997</v>
      </c>
      <c r="T9" s="166">
        <v>314347.3</v>
      </c>
    </row>
    <row r="10" spans="3:26" x14ac:dyDescent="0.25">
      <c r="C10" s="97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>
        <f>O9-127277</f>
        <v>116592.82999999999</v>
      </c>
      <c r="P10" s="105"/>
      <c r="Q10" s="25"/>
      <c r="R10" s="25"/>
      <c r="S10" s="25"/>
      <c r="T10" s="166"/>
    </row>
    <row r="11" spans="3:26" x14ac:dyDescent="0.25">
      <c r="C11" s="97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25"/>
      <c r="R11" s="25"/>
      <c r="S11" s="25"/>
      <c r="T11" s="166"/>
    </row>
    <row r="12" spans="3:26" x14ac:dyDescent="0.25">
      <c r="C12" s="97" t="s">
        <v>124</v>
      </c>
      <c r="D12" s="106">
        <f>D9/D8-1</f>
        <v>9.8058715982324518E-2</v>
      </c>
      <c r="E12" s="106">
        <f t="shared" ref="E12:S12" si="2">E9/E8-1</f>
        <v>-0.1618496640766961</v>
      </c>
      <c r="F12" s="106">
        <f>F9/F8-1</f>
        <v>0.2860690730367752</v>
      </c>
      <c r="G12" s="106"/>
      <c r="H12" s="106">
        <f t="shared" si="2"/>
        <v>0.15331534369474742</v>
      </c>
      <c r="I12" s="106"/>
      <c r="J12" s="106"/>
      <c r="K12" s="106">
        <f t="shared" si="2"/>
        <v>-0.17457074707639786</v>
      </c>
      <c r="L12" s="106">
        <f t="shared" si="2"/>
        <v>-7.287147106699543E-2</v>
      </c>
      <c r="M12" s="106">
        <f t="shared" si="2"/>
        <v>-0.41676910374850185</v>
      </c>
      <c r="N12" s="106">
        <f t="shared" si="2"/>
        <v>-0.31580712597002425</v>
      </c>
      <c r="O12" s="106">
        <f t="shared" si="2"/>
        <v>0.42847805096577996</v>
      </c>
      <c r="P12" s="106">
        <f t="shared" si="2"/>
        <v>-8.4327777777777779E-2</v>
      </c>
      <c r="Q12" s="106">
        <f t="shared" si="2"/>
        <v>0.36421028194911109</v>
      </c>
      <c r="R12" s="106">
        <f t="shared" si="2"/>
        <v>0.1843283263158626</v>
      </c>
      <c r="S12" s="106">
        <f t="shared" si="2"/>
        <v>8.7361696142275846E-2</v>
      </c>
      <c r="T12" s="114">
        <f>S9/S5-1</f>
        <v>0.30483403537073106</v>
      </c>
      <c r="Y12" s="121">
        <v>6.9500000000000006E-2</v>
      </c>
    </row>
    <row r="13" spans="3:26" x14ac:dyDescent="0.25">
      <c r="C13" s="97" t="s">
        <v>129</v>
      </c>
      <c r="D13" s="109">
        <v>0.3</v>
      </c>
      <c r="E13" s="109">
        <v>0.3</v>
      </c>
      <c r="F13" s="109">
        <v>0.3</v>
      </c>
      <c r="G13" s="109"/>
      <c r="H13" s="109">
        <v>0.3</v>
      </c>
      <c r="I13" s="109"/>
      <c r="J13" s="109"/>
      <c r="K13" s="109">
        <v>0.3</v>
      </c>
      <c r="L13" s="109">
        <v>0.3</v>
      </c>
      <c r="M13" s="109">
        <v>0.3</v>
      </c>
      <c r="N13" s="109">
        <v>0.3</v>
      </c>
      <c r="O13" s="109">
        <v>0.3</v>
      </c>
      <c r="P13" s="109">
        <v>0.3</v>
      </c>
      <c r="Q13" s="109">
        <v>0.3</v>
      </c>
      <c r="R13" s="109">
        <v>0.3</v>
      </c>
      <c r="S13" s="109">
        <v>0.3</v>
      </c>
      <c r="T13" s="114"/>
      <c r="Y13" s="121"/>
    </row>
    <row r="14" spans="3:26" x14ac:dyDescent="0.25">
      <c r="C14" s="97" t="s">
        <v>132</v>
      </c>
      <c r="D14" s="105">
        <f>D9*1.3</f>
        <v>96627.7</v>
      </c>
      <c r="E14" s="105">
        <f t="shared" ref="E14:R14" si="3">E9*1.3</f>
        <v>155757.55000000002</v>
      </c>
      <c r="F14" s="105">
        <v>200000</v>
      </c>
      <c r="G14" s="105"/>
      <c r="H14" s="105">
        <f t="shared" si="3"/>
        <v>155351.30000000002</v>
      </c>
      <c r="I14" s="105"/>
      <c r="J14" s="105"/>
      <c r="K14" s="105">
        <f t="shared" si="3"/>
        <v>225358.9</v>
      </c>
      <c r="L14" s="105">
        <f t="shared" si="3"/>
        <v>218842.611</v>
      </c>
      <c r="M14" s="105">
        <f t="shared" si="3"/>
        <v>242106.93000000002</v>
      </c>
      <c r="N14" s="105">
        <f t="shared" si="3"/>
        <v>201230.9</v>
      </c>
      <c r="O14" s="105">
        <f t="shared" si="3"/>
        <v>317030.77899999998</v>
      </c>
      <c r="P14" s="105">
        <f t="shared" si="3"/>
        <v>214267.30000000002</v>
      </c>
      <c r="Q14" s="105">
        <f t="shared" si="3"/>
        <v>395781.88</v>
      </c>
      <c r="R14" s="105">
        <f t="shared" si="3"/>
        <v>505802.7</v>
      </c>
      <c r="S14" s="105">
        <f>SUM(D14:R14)</f>
        <v>2928158.5500000003</v>
      </c>
      <c r="T14" s="114"/>
      <c r="Y14" s="121"/>
    </row>
    <row r="15" spans="3:26" x14ac:dyDescent="0.25">
      <c r="C15" s="97" t="s">
        <v>123</v>
      </c>
      <c r="D15" s="178">
        <v>150841</v>
      </c>
      <c r="E15" s="178">
        <v>156526</v>
      </c>
      <c r="F15" s="177">
        <v>222342</v>
      </c>
      <c r="G15" s="177"/>
      <c r="H15" s="178">
        <v>165000.20000000001</v>
      </c>
      <c r="I15" s="106"/>
      <c r="J15" s="106"/>
      <c r="K15" s="178">
        <v>188497.5</v>
      </c>
      <c r="L15" s="178">
        <v>226636.2</v>
      </c>
      <c r="M15" s="178">
        <v>207311.5</v>
      </c>
      <c r="N15" s="106"/>
      <c r="O15" s="177">
        <f>O14-160000</f>
        <v>157030.77899999998</v>
      </c>
      <c r="P15" s="106"/>
      <c r="Q15" s="106"/>
      <c r="R15" s="106"/>
      <c r="S15" s="105">
        <f>SUM(D15:R15)</f>
        <v>1474185.179</v>
      </c>
      <c r="T15" s="166">
        <f>SUM(D14:E14)</f>
        <v>252385.25</v>
      </c>
      <c r="U15" s="36">
        <f>S15-T15</f>
        <v>1221799.929</v>
      </c>
      <c r="Y15" s="121">
        <v>4.8300000000000003E-2</v>
      </c>
      <c r="Z15" s="121">
        <f>Y12-Y15</f>
        <v>2.1200000000000004E-2</v>
      </c>
    </row>
    <row r="16" spans="3:26" x14ac:dyDescent="0.25">
      <c r="C16" s="97" t="s">
        <v>57</v>
      </c>
      <c r="D16" s="106">
        <f>D15/D14-1</f>
        <v>0.56105340394110592</v>
      </c>
      <c r="E16" s="106">
        <f t="shared" ref="E16:S16" si="4">E15/E14-1</f>
        <v>4.9336292205417465E-3</v>
      </c>
      <c r="F16" s="106">
        <f t="shared" si="4"/>
        <v>0.11170999999999998</v>
      </c>
      <c r="G16" s="106"/>
      <c r="H16" s="106">
        <f t="shared" si="4"/>
        <v>6.2110197983537896E-2</v>
      </c>
      <c r="I16" s="106"/>
      <c r="J16" s="106"/>
      <c r="K16" s="106">
        <f t="shared" si="4"/>
        <v>-0.16356753605027352</v>
      </c>
      <c r="L16" s="106">
        <f t="shared" si="4"/>
        <v>3.5612758248438237E-2</v>
      </c>
      <c r="M16" s="106">
        <f t="shared" si="4"/>
        <v>-0.14371926487193087</v>
      </c>
      <c r="N16" s="106">
        <f t="shared" si="4"/>
        <v>-1</v>
      </c>
      <c r="O16" s="106">
        <f t="shared" si="4"/>
        <v>-0.50468285919961109</v>
      </c>
      <c r="P16" s="106">
        <f t="shared" si="4"/>
        <v>-1</v>
      </c>
      <c r="Q16" s="106">
        <f t="shared" si="4"/>
        <v>-1</v>
      </c>
      <c r="R16" s="106">
        <f t="shared" si="4"/>
        <v>-1</v>
      </c>
      <c r="S16" s="106">
        <f t="shared" si="4"/>
        <v>-0.49654871694020808</v>
      </c>
      <c r="T16" s="114"/>
      <c r="Y16" s="121"/>
      <c r="Z16" s="121"/>
    </row>
    <row r="17" spans="3:26" x14ac:dyDescent="0.25">
      <c r="C17" s="173"/>
      <c r="D17" s="175"/>
      <c r="E17" s="175"/>
      <c r="F17" s="176">
        <f>SUM(L15:M15)</f>
        <v>433947.7</v>
      </c>
      <c r="G17" s="166"/>
      <c r="H17" s="182">
        <v>460949.54</v>
      </c>
      <c r="I17" s="114"/>
      <c r="J17" s="114"/>
      <c r="K17" s="182">
        <f>H17-F17</f>
        <v>27001.839999999967</v>
      </c>
      <c r="L17" s="182">
        <v>354576.57</v>
      </c>
      <c r="M17" s="114"/>
      <c r="N17" s="114"/>
      <c r="O17" s="114"/>
      <c r="P17" s="114"/>
      <c r="Q17" s="114"/>
      <c r="R17" s="114"/>
      <c r="S17" s="114"/>
      <c r="T17" s="114"/>
      <c r="Y17" s="121"/>
      <c r="Z17" s="121"/>
    </row>
    <row r="18" spans="3:26" x14ac:dyDescent="0.25">
      <c r="C18" s="184" t="s">
        <v>130</v>
      </c>
      <c r="D18" s="184"/>
      <c r="E18" s="184"/>
      <c r="F18" s="184"/>
      <c r="G18" s="45"/>
      <c r="H18" s="114"/>
      <c r="I18" s="114"/>
      <c r="J18" s="114"/>
      <c r="K18" s="114"/>
      <c r="L18" s="166">
        <f>F17-L17</f>
        <v>79371.13</v>
      </c>
      <c r="M18" s="114"/>
      <c r="N18" s="114"/>
      <c r="O18" s="114"/>
      <c r="P18" s="114"/>
      <c r="Q18" s="114"/>
      <c r="R18" s="114"/>
      <c r="S18" s="159"/>
      <c r="U18">
        <v>2024</v>
      </c>
      <c r="V18" t="s">
        <v>125</v>
      </c>
      <c r="W18" s="36">
        <f>SUM(D5:N5)</f>
        <v>1195003.24</v>
      </c>
    </row>
    <row r="19" spans="3:26" x14ac:dyDescent="0.25">
      <c r="C19" s="45"/>
      <c r="D19" s="173"/>
      <c r="E19" s="173"/>
      <c r="F19" s="173"/>
      <c r="G19" s="45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59"/>
      <c r="W19" s="36"/>
    </row>
    <row r="20" spans="3:26" x14ac:dyDescent="0.25">
      <c r="D20" s="108" t="s">
        <v>102</v>
      </c>
      <c r="E20" s="108" t="s">
        <v>103</v>
      </c>
      <c r="F20" s="108" t="s">
        <v>104</v>
      </c>
      <c r="G20" s="108" t="s">
        <v>126</v>
      </c>
      <c r="H20" s="108" t="s">
        <v>105</v>
      </c>
      <c r="I20" s="108"/>
      <c r="J20" s="108" t="s">
        <v>134</v>
      </c>
      <c r="K20" s="108" t="s">
        <v>106</v>
      </c>
      <c r="L20" s="108" t="s">
        <v>107</v>
      </c>
      <c r="M20" s="108" t="s">
        <v>108</v>
      </c>
      <c r="N20" s="108" t="s">
        <v>109</v>
      </c>
      <c r="O20" s="108" t="s">
        <v>110</v>
      </c>
      <c r="P20" s="108" t="s">
        <v>111</v>
      </c>
      <c r="Q20" s="108" t="s">
        <v>112</v>
      </c>
      <c r="R20" s="108" t="s">
        <v>113</v>
      </c>
      <c r="T20" s="110"/>
      <c r="U20">
        <v>2025</v>
      </c>
      <c r="V20" t="s">
        <v>125</v>
      </c>
      <c r="W20" s="36">
        <f>S9</f>
        <v>2647767.4499999997</v>
      </c>
      <c r="X20" s="158">
        <f>W20/W18</f>
        <v>2.2156989716613653</v>
      </c>
    </row>
    <row r="21" spans="3:26" x14ac:dyDescent="0.25">
      <c r="C21" s="108" t="s">
        <v>7</v>
      </c>
      <c r="D21" s="38">
        <v>70000</v>
      </c>
      <c r="E21" s="38">
        <v>90000</v>
      </c>
      <c r="F21" s="38">
        <v>110000</v>
      </c>
      <c r="G21" s="38">
        <f>F21/5</f>
        <v>22000</v>
      </c>
      <c r="H21" s="38">
        <v>100000</v>
      </c>
      <c r="I21" s="38"/>
      <c r="J21" s="38">
        <f>H21/5</f>
        <v>20000</v>
      </c>
      <c r="K21" s="38">
        <v>120000</v>
      </c>
      <c r="L21" s="38">
        <v>140000</v>
      </c>
      <c r="M21" s="38">
        <v>80000</v>
      </c>
      <c r="N21" s="38">
        <v>120000</v>
      </c>
      <c r="O21" s="38">
        <v>80000</v>
      </c>
      <c r="P21" s="38">
        <v>100000</v>
      </c>
      <c r="Q21" s="38">
        <v>110000</v>
      </c>
      <c r="R21" s="38">
        <v>150000</v>
      </c>
      <c r="S21" s="73"/>
      <c r="T21" s="110"/>
    </row>
    <row r="22" spans="3:26" x14ac:dyDescent="0.25">
      <c r="C22" s="108" t="s">
        <v>2</v>
      </c>
      <c r="D22" s="38">
        <v>80000</v>
      </c>
      <c r="E22" s="38">
        <v>110000</v>
      </c>
      <c r="F22" s="38">
        <v>140000</v>
      </c>
      <c r="G22" s="38">
        <f>F22/5</f>
        <v>28000</v>
      </c>
      <c r="H22" s="38">
        <v>130000</v>
      </c>
      <c r="I22" s="38"/>
      <c r="J22" s="38">
        <f t="shared" ref="J22:J24" si="5">H22/5</f>
        <v>26000</v>
      </c>
      <c r="K22" s="38">
        <v>150000</v>
      </c>
      <c r="L22" s="38">
        <v>170000</v>
      </c>
      <c r="M22" s="38">
        <v>90000</v>
      </c>
      <c r="N22" s="38">
        <v>140000</v>
      </c>
      <c r="O22" s="38">
        <v>100000</v>
      </c>
      <c r="P22" s="38">
        <v>120000</v>
      </c>
      <c r="Q22" s="38">
        <v>140000</v>
      </c>
      <c r="R22" s="38">
        <v>200000</v>
      </c>
      <c r="S22" s="73"/>
      <c r="T22" s="110"/>
      <c r="U22">
        <v>2025</v>
      </c>
      <c r="V22" t="s">
        <v>125</v>
      </c>
      <c r="W22" s="36">
        <f>SUM(D8:M8)</f>
        <v>1207762.128</v>
      </c>
      <c r="X22" s="157">
        <f>W20/W22</f>
        <v>2.1922921646703593</v>
      </c>
    </row>
    <row r="23" spans="3:26" x14ac:dyDescent="0.25">
      <c r="C23" s="108" t="s">
        <v>3</v>
      </c>
      <c r="D23" s="38">
        <v>100000</v>
      </c>
      <c r="E23" s="38">
        <v>130000</v>
      </c>
      <c r="F23" s="38">
        <v>170000</v>
      </c>
      <c r="G23" s="38">
        <f>F23/5</f>
        <v>34000</v>
      </c>
      <c r="H23" s="38">
        <v>160000</v>
      </c>
      <c r="I23" s="38"/>
      <c r="J23" s="38">
        <f t="shared" si="5"/>
        <v>32000</v>
      </c>
      <c r="K23" s="38">
        <v>180000</v>
      </c>
      <c r="L23" s="38">
        <v>200000</v>
      </c>
      <c r="M23" s="38">
        <v>100000</v>
      </c>
      <c r="N23" s="38">
        <v>160000</v>
      </c>
      <c r="O23" s="38">
        <v>120000</v>
      </c>
      <c r="P23" s="38">
        <v>140000</v>
      </c>
      <c r="Q23" s="38">
        <v>170000</v>
      </c>
      <c r="R23" s="38">
        <v>250000</v>
      </c>
      <c r="S23" s="73"/>
      <c r="T23" s="110"/>
      <c r="W23" s="36">
        <f>W22-W20</f>
        <v>-1440005.3219999997</v>
      </c>
    </row>
    <row r="24" spans="3:26" x14ac:dyDescent="0.25">
      <c r="C24" s="108" t="s">
        <v>4</v>
      </c>
      <c r="D24" s="38">
        <v>120000</v>
      </c>
      <c r="E24" s="38">
        <v>150000</v>
      </c>
      <c r="F24" s="38">
        <v>200000</v>
      </c>
      <c r="G24" s="38">
        <f>F24/5</f>
        <v>40000</v>
      </c>
      <c r="H24" s="38">
        <v>180000</v>
      </c>
      <c r="I24" s="38"/>
      <c r="J24" s="38">
        <f t="shared" si="5"/>
        <v>36000</v>
      </c>
      <c r="K24" s="38">
        <v>210000</v>
      </c>
      <c r="L24" s="38">
        <v>230000</v>
      </c>
      <c r="M24" s="38">
        <v>110000</v>
      </c>
      <c r="N24" s="38">
        <v>180000</v>
      </c>
      <c r="O24" s="38">
        <v>140000</v>
      </c>
      <c r="P24" s="38">
        <v>160000</v>
      </c>
      <c r="Q24" s="38">
        <v>200000</v>
      </c>
      <c r="R24" s="38">
        <v>300000</v>
      </c>
      <c r="S24" s="73"/>
      <c r="W24" s="36">
        <f>W23/5</f>
        <v>-288001.06439999992</v>
      </c>
    </row>
    <row r="25" spans="3:26" x14ac:dyDescent="0.25">
      <c r="T25" s="110"/>
    </row>
    <row r="26" spans="3:26" x14ac:dyDescent="0.25">
      <c r="C26" s="108" t="s">
        <v>7</v>
      </c>
      <c r="D26" s="9" t="str">
        <f>IF($D$15&gt;D21,"BATEU","NÃO BATEU")</f>
        <v>BATEU</v>
      </c>
      <c r="E26" s="9" t="str">
        <f>IF($E$15&gt;E21,"BATEU","NÃO BATEU")</f>
        <v>BATEU</v>
      </c>
      <c r="F26" s="9" t="str">
        <f>IF($F$9&gt;F21,"BATEU","NÃO BATEU")</f>
        <v>BATEU</v>
      </c>
      <c r="G26" s="9"/>
      <c r="H26" s="9" t="str">
        <f>IF($H$9&gt;H21,"BATEU","NÃO BATEU")</f>
        <v>BATEU</v>
      </c>
      <c r="I26" s="9"/>
      <c r="J26" s="9"/>
      <c r="K26" s="9" t="str">
        <f>IF($K$9&gt;K21,"BATEU","NÃO BATEU")</f>
        <v>BATEU</v>
      </c>
      <c r="L26" s="9" t="str">
        <f>IF($L$9&gt;L21,"BATEU","NÃO BATEU")</f>
        <v>BATEU</v>
      </c>
      <c r="M26" s="9" t="str">
        <f>IF($M$9&gt;M21,"BATEU","NÃO BATEU")</f>
        <v>BATEU</v>
      </c>
      <c r="N26" s="9" t="str">
        <f>IF($N$9&gt;N21,"BATEU","NÃO BATEU")</f>
        <v>BATEU</v>
      </c>
      <c r="O26" s="9" t="str">
        <f>IF($O$9&gt;O21,"BATEU","NÃO BATEU")</f>
        <v>BATEU</v>
      </c>
      <c r="P26" s="9" t="str">
        <f>IF($P$9&gt;P21,"BATEU","NÃO BATEU")</f>
        <v>BATEU</v>
      </c>
      <c r="Q26" s="9" t="str">
        <f>IF($Q$9&gt;Q21,"BATEU","NÃO BATEU")</f>
        <v>BATEU</v>
      </c>
      <c r="R26" s="9" t="str">
        <f>IF($R$9&gt;R21,"BATEU","NÃO BATEU")</f>
        <v>BATEU</v>
      </c>
      <c r="S26" s="110"/>
      <c r="T26" s="110"/>
    </row>
    <row r="27" spans="3:26" x14ac:dyDescent="0.25">
      <c r="C27" s="108" t="s">
        <v>2</v>
      </c>
      <c r="D27" s="9" t="str">
        <f t="shared" ref="D27:D29" si="6">IF($D$15&gt;D22,"BATEU","NÃO BATEU")</f>
        <v>BATEU</v>
      </c>
      <c r="E27" s="9" t="str">
        <f t="shared" ref="E27:E29" si="7">IF($E$15&gt;E22,"BATEU","NÃO BATEU")</f>
        <v>BATEU</v>
      </c>
      <c r="F27" s="9" t="str">
        <f t="shared" ref="F27:F29" si="8">IF($F$9&gt;F22,"BATEU","NÃO BATEU")</f>
        <v>BATEU</v>
      </c>
      <c r="G27" s="9"/>
      <c r="H27" s="9" t="str">
        <f t="shared" ref="H27:H29" si="9">IF($H$9&gt;H22,"BATEU","NÃO BATEU")</f>
        <v>NÃO BATEU</v>
      </c>
      <c r="I27" s="9"/>
      <c r="J27" s="9"/>
      <c r="K27" s="9" t="str">
        <f t="shared" ref="K27:K29" si="10">IF($K$9&gt;K22,"BATEU","NÃO BATEU")</f>
        <v>BATEU</v>
      </c>
      <c r="L27" s="9" t="str">
        <f t="shared" ref="L27:L29" si="11">IF($L$9&gt;L22,"BATEU","NÃO BATEU")</f>
        <v>NÃO BATEU</v>
      </c>
      <c r="M27" s="9" t="str">
        <f t="shared" ref="M27:M29" si="12">IF($M$9&gt;M22,"BATEU","NÃO BATEU")</f>
        <v>BATEU</v>
      </c>
      <c r="N27" s="9" t="str">
        <f t="shared" ref="N27:N29" si="13">IF($N$9&gt;N22,"BATEU","NÃO BATEU")</f>
        <v>BATEU</v>
      </c>
      <c r="O27" s="9" t="str">
        <f t="shared" ref="O27:O29" si="14">IF($O$9&gt;O22,"BATEU","NÃO BATEU")</f>
        <v>BATEU</v>
      </c>
      <c r="P27" s="9" t="str">
        <f t="shared" ref="P27:P29" si="15">IF($P$9&gt;P22,"BATEU","NÃO BATEU")</f>
        <v>BATEU</v>
      </c>
      <c r="Q27" s="9" t="str">
        <f t="shared" ref="Q27:Q29" si="16">IF($Q$9&gt;Q22,"BATEU","NÃO BATEU")</f>
        <v>BATEU</v>
      </c>
      <c r="R27" s="9" t="str">
        <f t="shared" ref="R27:R29" si="17">IF($R$9&gt;R22,"BATEU","NÃO BATEU")</f>
        <v>BATEU</v>
      </c>
      <c r="S27" s="110"/>
      <c r="T27" s="110"/>
    </row>
    <row r="28" spans="3:26" x14ac:dyDescent="0.25">
      <c r="C28" s="108" t="s">
        <v>3</v>
      </c>
      <c r="D28" s="9" t="str">
        <f t="shared" si="6"/>
        <v>BATEU</v>
      </c>
      <c r="E28" s="9" t="str">
        <f t="shared" si="7"/>
        <v>BATEU</v>
      </c>
      <c r="F28" s="9" t="str">
        <f t="shared" si="8"/>
        <v>BATEU</v>
      </c>
      <c r="G28" s="9"/>
      <c r="H28" s="9" t="str">
        <f t="shared" si="9"/>
        <v>NÃO BATEU</v>
      </c>
      <c r="I28" s="9"/>
      <c r="J28" s="9"/>
      <c r="K28" s="9" t="str">
        <f t="shared" si="10"/>
        <v>NÃO BATEU</v>
      </c>
      <c r="L28" s="9" t="str">
        <f t="shared" si="11"/>
        <v>NÃO BATEU</v>
      </c>
      <c r="M28" s="9" t="str">
        <f t="shared" si="12"/>
        <v>BATEU</v>
      </c>
      <c r="N28" s="9" t="str">
        <f t="shared" si="13"/>
        <v>NÃO BATEU</v>
      </c>
      <c r="O28" s="9" t="str">
        <f t="shared" si="14"/>
        <v>BATEU</v>
      </c>
      <c r="P28" s="9" t="str">
        <f t="shared" si="15"/>
        <v>BATEU</v>
      </c>
      <c r="Q28" s="9" t="str">
        <f t="shared" si="16"/>
        <v>BATEU</v>
      </c>
      <c r="R28" s="9" t="str">
        <f t="shared" si="17"/>
        <v>BATEU</v>
      </c>
      <c r="S28" s="110"/>
      <c r="T28" s="110"/>
    </row>
    <row r="29" spans="3:26" x14ac:dyDescent="0.25">
      <c r="C29" s="108" t="s">
        <v>4</v>
      </c>
      <c r="D29" s="9" t="str">
        <f t="shared" si="6"/>
        <v>BATEU</v>
      </c>
      <c r="E29" s="9" t="str">
        <f t="shared" si="7"/>
        <v>BATEU</v>
      </c>
      <c r="F29" s="9" t="str">
        <f t="shared" si="8"/>
        <v>BATEU</v>
      </c>
      <c r="G29" s="9"/>
      <c r="H29" s="9" t="str">
        <f t="shared" si="9"/>
        <v>NÃO BATEU</v>
      </c>
      <c r="I29" s="9"/>
      <c r="J29" s="9"/>
      <c r="K29" s="9" t="str">
        <f t="shared" si="10"/>
        <v>NÃO BATEU</v>
      </c>
      <c r="L29" s="9" t="str">
        <f t="shared" si="11"/>
        <v>NÃO BATEU</v>
      </c>
      <c r="M29" s="9" t="str">
        <f t="shared" si="12"/>
        <v>BATEU</v>
      </c>
      <c r="N29" s="9" t="str">
        <f t="shared" si="13"/>
        <v>NÃO BATEU</v>
      </c>
      <c r="O29" s="9" t="str">
        <f t="shared" si="14"/>
        <v>BATEU</v>
      </c>
      <c r="P29" s="9" t="str">
        <f t="shared" si="15"/>
        <v>BATEU</v>
      </c>
      <c r="Q29" s="9" t="str">
        <f t="shared" si="16"/>
        <v>BATEU</v>
      </c>
      <c r="R29" s="9" t="str">
        <f t="shared" si="17"/>
        <v>BATEU</v>
      </c>
      <c r="S29" s="110"/>
    </row>
    <row r="31" spans="3:26" x14ac:dyDescent="0.25">
      <c r="D31" s="1"/>
      <c r="E31" s="1"/>
      <c r="Q31" s="108" t="s">
        <v>112</v>
      </c>
      <c r="R31" s="108" t="s">
        <v>113</v>
      </c>
    </row>
    <row r="32" spans="3:26" x14ac:dyDescent="0.25">
      <c r="Q32" s="38">
        <f>Q21/5</f>
        <v>22000</v>
      </c>
      <c r="R32" s="38">
        <f>R21/5</f>
        <v>30000</v>
      </c>
    </row>
    <row r="33" spans="17:18" x14ac:dyDescent="0.25">
      <c r="Q33" s="38">
        <f t="shared" ref="Q33:R35" si="18">Q22/5</f>
        <v>28000</v>
      </c>
      <c r="R33" s="38">
        <f t="shared" si="18"/>
        <v>40000</v>
      </c>
    </row>
    <row r="34" spans="17:18" x14ac:dyDescent="0.25">
      <c r="Q34" s="38">
        <f t="shared" si="18"/>
        <v>34000</v>
      </c>
      <c r="R34" s="38">
        <f t="shared" si="18"/>
        <v>50000</v>
      </c>
    </row>
    <row r="35" spans="17:18" x14ac:dyDescent="0.25">
      <c r="Q35" s="38">
        <f t="shared" si="18"/>
        <v>40000</v>
      </c>
      <c r="R35" s="38">
        <f t="shared" si="18"/>
        <v>60000</v>
      </c>
    </row>
  </sheetData>
  <mergeCells count="3">
    <mergeCell ref="C2:S2"/>
    <mergeCell ref="T2:Y2"/>
    <mergeCell ref="C18:F18"/>
  </mergeCells>
  <conditionalFormatting sqref="D6:S6 T9:T17 D12:S12 D15:R15 D16:S17 H18:S19"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T25:T28 D26:S29">
    <cfRule type="containsText" dxfId="3" priority="1" operator="containsText" text="NÃO BATEU">
      <formula>NOT(ISERROR(SEARCH("NÃO BATEU",D25)))</formula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CCB6-E748-4A16-AF3F-131286E5547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76DE-70A6-4E10-9CC7-E3C755B2891E}">
  <sheetPr codeName="Planilha14"/>
  <dimension ref="N1:N34"/>
  <sheetViews>
    <sheetView showGridLines="0" showRowColHeaders="0" workbookViewId="0">
      <selection activeCell="K19" sqref="K19"/>
    </sheetView>
  </sheetViews>
  <sheetFormatPr defaultColWidth="9.140625" defaultRowHeight="15" zeroHeight="1" x14ac:dyDescent="0.25"/>
  <cols>
    <col min="1" max="16384" width="9.140625" style="80"/>
  </cols>
  <sheetData>
    <row r="1" s="81" customFormat="1" x14ac:dyDescent="0.25"/>
    <row r="2" s="81" customFormat="1" x14ac:dyDescent="0.25"/>
    <row r="3" s="81" customFormat="1" x14ac:dyDescent="0.25"/>
    <row r="4" s="81" customFormat="1" x14ac:dyDescent="0.25"/>
    <row r="5" s="81" customFormat="1" x14ac:dyDescent="0.25"/>
    <row r="6" s="81" customFormat="1" x14ac:dyDescent="0.25"/>
    <row r="7" s="81" customFormat="1" x14ac:dyDescent="0.25"/>
    <row r="8" s="81" customFormat="1" x14ac:dyDescent="0.25"/>
    <row r="9" s="81" customFormat="1" x14ac:dyDescent="0.25"/>
    <row r="10" s="81" customFormat="1" x14ac:dyDescent="0.25"/>
    <row r="11" s="81" customFormat="1" x14ac:dyDescent="0.25"/>
    <row r="12" s="81" customFormat="1" x14ac:dyDescent="0.25"/>
    <row r="13" s="81" customFormat="1" x14ac:dyDescent="0.25"/>
    <row r="14" s="81" customFormat="1" x14ac:dyDescent="0.25"/>
    <row r="15" s="81" customFormat="1" x14ac:dyDescent="0.25"/>
    <row r="16" s="81" customFormat="1" x14ac:dyDescent="0.25"/>
    <row r="17" spans="14:14" s="81" customFormat="1" x14ac:dyDescent="0.25">
      <c r="N17" s="82"/>
    </row>
    <row r="18" spans="14:14" s="81" customFormat="1" x14ac:dyDescent="0.25"/>
    <row r="19" spans="14:14" s="81" customFormat="1" x14ac:dyDescent="0.25"/>
    <row r="20" spans="14:14" s="81" customFormat="1" x14ac:dyDescent="0.25"/>
    <row r="21" spans="14:14" s="81" customFormat="1" x14ac:dyDescent="0.25"/>
    <row r="22" spans="14:14" s="81" customFormat="1" x14ac:dyDescent="0.25"/>
    <row r="23" spans="14:14" s="81" customFormat="1" x14ac:dyDescent="0.25"/>
    <row r="24" spans="14:14" s="81" customFormat="1" x14ac:dyDescent="0.25"/>
    <row r="25" spans="14:14" s="81" customFormat="1" x14ac:dyDescent="0.25"/>
    <row r="26" spans="14:14" s="81" customFormat="1" x14ac:dyDescent="0.25"/>
    <row r="27" spans="14:14" s="81" customFormat="1" x14ac:dyDescent="0.25"/>
    <row r="28" spans="14:14" s="81" customFormat="1" x14ac:dyDescent="0.25"/>
    <row r="29" spans="14:14" s="81" customFormat="1" x14ac:dyDescent="0.25"/>
    <row r="30" spans="14:14" s="81" customFormat="1" x14ac:dyDescent="0.25"/>
    <row r="31" spans="14:14" s="81" customFormat="1" x14ac:dyDescent="0.25"/>
    <row r="32" spans="14:14" s="81" customFormat="1" x14ac:dyDescent="0.25"/>
    <row r="33" s="81" customFormat="1" x14ac:dyDescent="0.25"/>
    <row r="34" s="81" customFormat="1" x14ac:dyDescent="0.25"/>
  </sheetData>
  <sheetProtection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E89D-56A4-49A1-A9DE-F0B8885E995C}">
  <dimension ref="A1:C8"/>
  <sheetViews>
    <sheetView workbookViewId="0">
      <selection activeCell="K6" sqref="K6"/>
    </sheetView>
  </sheetViews>
  <sheetFormatPr defaultColWidth="8.85546875" defaultRowHeight="15" x14ac:dyDescent="0.25"/>
  <cols>
    <col min="1" max="1" width="10.42578125" bestFit="1" customWidth="1"/>
    <col min="2" max="2" width="17.42578125" bestFit="1" customWidth="1"/>
    <col min="3" max="3" width="9.28515625" bestFit="1" customWidth="1"/>
  </cols>
  <sheetData>
    <row r="1" spans="1:3" x14ac:dyDescent="0.25">
      <c r="A1" s="22" t="s">
        <v>131</v>
      </c>
    </row>
    <row r="3" spans="1:3" x14ac:dyDescent="0.25">
      <c r="A3" t="s">
        <v>36</v>
      </c>
      <c r="B3" t="s">
        <v>37</v>
      </c>
      <c r="C3" t="s">
        <v>51</v>
      </c>
    </row>
    <row r="4" spans="1:3" x14ac:dyDescent="0.25">
      <c r="A4" s="46">
        <v>45809</v>
      </c>
      <c r="B4" t="s">
        <v>11</v>
      </c>
      <c r="C4">
        <v>0</v>
      </c>
    </row>
    <row r="5" spans="1:3" x14ac:dyDescent="0.25">
      <c r="A5" s="46">
        <v>45837</v>
      </c>
      <c r="B5" t="s">
        <v>11</v>
      </c>
      <c r="C5">
        <v>0</v>
      </c>
    </row>
    <row r="6" spans="1:3" x14ac:dyDescent="0.25">
      <c r="A6" s="46">
        <v>45830</v>
      </c>
      <c r="B6" t="s">
        <v>11</v>
      </c>
      <c r="C6">
        <v>0</v>
      </c>
    </row>
    <row r="7" spans="1:3" x14ac:dyDescent="0.25">
      <c r="A7" s="46">
        <v>45823</v>
      </c>
      <c r="B7" t="s">
        <v>11</v>
      </c>
      <c r="C7">
        <v>0</v>
      </c>
    </row>
    <row r="8" spans="1:3" x14ac:dyDescent="0.25">
      <c r="A8" s="46">
        <v>45816</v>
      </c>
      <c r="B8" t="s">
        <v>11</v>
      </c>
      <c r="C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BDC6-822F-44C5-951F-36ADFDF031F6}">
  <dimension ref="C1:W28"/>
  <sheetViews>
    <sheetView showGridLines="0" topLeftCell="B6" zoomScale="110" zoomScaleNormal="110" workbookViewId="0">
      <selection activeCell="F15" sqref="F15"/>
    </sheetView>
  </sheetViews>
  <sheetFormatPr defaultColWidth="8.7109375" defaultRowHeight="15" x14ac:dyDescent="0.25"/>
  <cols>
    <col min="3" max="3" width="35.140625" style="1" bestFit="1" customWidth="1"/>
    <col min="4" max="13" width="14" bestFit="1" customWidth="1"/>
    <col min="14" max="14" width="14.28515625" bestFit="1" customWidth="1"/>
    <col min="15" max="15" width="14.42578125" bestFit="1" customWidth="1"/>
    <col min="16" max="16" width="15.7109375" bestFit="1" customWidth="1"/>
    <col min="17" max="17" width="14" style="1" bestFit="1" customWidth="1"/>
    <col min="18" max="18" width="14.140625" bestFit="1" customWidth="1"/>
    <col min="19" max="19" width="13.140625" bestFit="1" customWidth="1"/>
    <col min="20" max="20" width="19.7109375" bestFit="1" customWidth="1"/>
    <col min="21" max="21" width="11.42578125" bestFit="1" customWidth="1"/>
    <col min="22" max="22" width="20.42578125" bestFit="1" customWidth="1"/>
  </cols>
  <sheetData>
    <row r="1" spans="3:23" x14ac:dyDescent="0.25">
      <c r="J1" s="161">
        <v>45908</v>
      </c>
    </row>
    <row r="2" spans="3:23" ht="26.25" x14ac:dyDescent="0.4">
      <c r="C2" s="183" t="s">
        <v>101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 t="s">
        <v>101</v>
      </c>
      <c r="R2" s="183"/>
      <c r="S2" s="183"/>
      <c r="T2" s="183"/>
      <c r="U2" s="183"/>
      <c r="V2" s="183"/>
    </row>
    <row r="3" spans="3:23" x14ac:dyDescent="0.25">
      <c r="C3" s="107"/>
      <c r="D3" s="108" t="s">
        <v>102</v>
      </c>
      <c r="E3" s="108" t="s">
        <v>103</v>
      </c>
      <c r="F3" s="108" t="s">
        <v>104</v>
      </c>
      <c r="G3" s="108" t="s">
        <v>105</v>
      </c>
      <c r="H3" s="108" t="s">
        <v>106</v>
      </c>
      <c r="I3" s="108" t="s">
        <v>107</v>
      </c>
      <c r="J3" s="108" t="s">
        <v>108</v>
      </c>
      <c r="K3" s="108" t="s">
        <v>109</v>
      </c>
      <c r="L3" s="108" t="s">
        <v>110</v>
      </c>
      <c r="M3" s="108" t="s">
        <v>111</v>
      </c>
      <c r="N3" s="108" t="s">
        <v>112</v>
      </c>
      <c r="O3" s="108" t="s">
        <v>113</v>
      </c>
      <c r="P3" s="108" t="s">
        <v>18</v>
      </c>
      <c r="Q3" s="108" t="s">
        <v>114</v>
      </c>
      <c r="R3" s="108" t="s">
        <v>115</v>
      </c>
      <c r="S3" s="108" t="s">
        <v>116</v>
      </c>
      <c r="T3" s="108" t="s">
        <v>117</v>
      </c>
      <c r="U3" s="108" t="s">
        <v>118</v>
      </c>
      <c r="V3" s="108" t="s">
        <v>119</v>
      </c>
    </row>
    <row r="4" spans="3:23" x14ac:dyDescent="0.25">
      <c r="C4" s="97">
        <v>2023</v>
      </c>
      <c r="D4" s="105">
        <v>69665</v>
      </c>
      <c r="E4" s="105">
        <v>66339.899999999994</v>
      </c>
      <c r="F4" s="105">
        <v>112868.2</v>
      </c>
      <c r="G4" s="105">
        <v>110771</v>
      </c>
      <c r="H4" s="105">
        <v>76196</v>
      </c>
      <c r="I4" s="105">
        <v>124891</v>
      </c>
      <c r="J4" s="105">
        <v>97317.4</v>
      </c>
      <c r="K4" s="105">
        <v>95136</v>
      </c>
      <c r="L4" s="105">
        <v>116125</v>
      </c>
      <c r="M4" s="105">
        <v>144644.09999999998</v>
      </c>
      <c r="N4" s="105">
        <v>228425.88</v>
      </c>
      <c r="O4" s="105">
        <v>278369.21999999997</v>
      </c>
      <c r="P4" s="25">
        <f>SUM(D4:O4)</f>
        <v>1520748.7</v>
      </c>
      <c r="Q4" s="155">
        <v>2023</v>
      </c>
      <c r="R4" s="25">
        <f>MAX(D4:O4)</f>
        <v>278369.21999999997</v>
      </c>
      <c r="S4" s="25">
        <f>MIN(D4:O4)</f>
        <v>66339.899999999994</v>
      </c>
      <c r="T4" s="25">
        <f>AVERAGE(D4:O4)</f>
        <v>126729.05833333333</v>
      </c>
      <c r="U4" s="156"/>
      <c r="V4" s="156"/>
    </row>
    <row r="5" spans="3:23" x14ac:dyDescent="0.25">
      <c r="C5" s="97">
        <v>2024</v>
      </c>
      <c r="D5" s="105">
        <v>56409.4</v>
      </c>
      <c r="E5" s="105">
        <v>119124.91</v>
      </c>
      <c r="F5" s="105">
        <v>152166.95000000001</v>
      </c>
      <c r="G5" s="105">
        <v>86346</v>
      </c>
      <c r="H5" s="105">
        <v>175012.98</v>
      </c>
      <c r="I5" s="105">
        <v>151309.9</v>
      </c>
      <c r="J5" s="105">
        <v>266098.3</v>
      </c>
      <c r="K5" s="105">
        <v>188534.8</v>
      </c>
      <c r="L5" s="105">
        <v>142266.70000000001</v>
      </c>
      <c r="M5" s="105">
        <v>232186.56</v>
      </c>
      <c r="N5" s="105">
        <v>185973.04</v>
      </c>
      <c r="O5" s="105">
        <v>273769.09999999998</v>
      </c>
      <c r="P5" s="25">
        <f>SUM(D5:O5)</f>
        <v>2029198.6400000001</v>
      </c>
      <c r="Q5" s="155">
        <v>2024</v>
      </c>
      <c r="R5" s="25">
        <f>MAX(D5:O5)</f>
        <v>273769.09999999998</v>
      </c>
      <c r="S5" s="25">
        <f>MIN(D5:O5)</f>
        <v>56409.4</v>
      </c>
      <c r="T5" s="25">
        <f>AVERAGE(D5:O5)</f>
        <v>169099.88666666669</v>
      </c>
      <c r="U5" s="156"/>
      <c r="V5" s="156"/>
    </row>
    <row r="6" spans="3:23" x14ac:dyDescent="0.25">
      <c r="C6" s="97" t="s">
        <v>120</v>
      </c>
      <c r="D6" s="106">
        <f>D5/D4-1</f>
        <v>-0.19027632240005743</v>
      </c>
      <c r="E6" s="106">
        <f>E5/E4-1</f>
        <v>0.79567515175633385</v>
      </c>
      <c r="F6" s="106">
        <f t="shared" ref="F6:P6" si="0">F5/F4-1</f>
        <v>0.34818265906606127</v>
      </c>
      <c r="G6" s="106">
        <f t="shared" si="0"/>
        <v>-0.22049995034801528</v>
      </c>
      <c r="H6" s="106">
        <f t="shared" si="0"/>
        <v>1.2968788387841883</v>
      </c>
      <c r="I6" s="106">
        <f t="shared" si="0"/>
        <v>0.2115356590947306</v>
      </c>
      <c r="J6" s="106">
        <f t="shared" si="0"/>
        <v>1.7343342506067776</v>
      </c>
      <c r="K6" s="106">
        <f t="shared" si="0"/>
        <v>0.98173982509249913</v>
      </c>
      <c r="L6" s="106">
        <f t="shared" si="0"/>
        <v>0.22511689989235739</v>
      </c>
      <c r="M6" s="106">
        <f t="shared" si="0"/>
        <v>0.60522662175643549</v>
      </c>
      <c r="N6" s="106">
        <f t="shared" si="0"/>
        <v>-0.18584951932766991</v>
      </c>
      <c r="O6" s="106">
        <f t="shared" si="0"/>
        <v>-1.6525246577189789E-2</v>
      </c>
      <c r="P6" s="106">
        <f t="shared" si="0"/>
        <v>0.33434185411435835</v>
      </c>
      <c r="Q6" s="155">
        <v>2025</v>
      </c>
      <c r="R6" s="25">
        <f>MAX(D9:O9)</f>
        <v>389079</v>
      </c>
      <c r="S6" s="25">
        <f>MIN(D9:O9)</f>
        <v>74329</v>
      </c>
      <c r="T6" s="25">
        <f>AVERAGE(D9:K9)</f>
        <v>153900.34</v>
      </c>
      <c r="U6" s="105">
        <v>283.06</v>
      </c>
      <c r="V6" s="160">
        <v>2.08</v>
      </c>
    </row>
    <row r="7" spans="3:23" x14ac:dyDescent="0.25">
      <c r="C7" s="97" t="s">
        <v>121</v>
      </c>
      <c r="D7" s="109">
        <v>0.2</v>
      </c>
      <c r="E7" s="109">
        <v>0.2</v>
      </c>
      <c r="F7" s="109">
        <v>0.2</v>
      </c>
      <c r="G7" s="109">
        <v>0.2</v>
      </c>
      <c r="H7" s="109">
        <v>0.2</v>
      </c>
      <c r="I7" s="109">
        <v>0.2</v>
      </c>
      <c r="J7" s="109">
        <v>0.2</v>
      </c>
      <c r="K7" s="109">
        <v>0.2</v>
      </c>
      <c r="L7" s="109">
        <v>0.2</v>
      </c>
      <c r="M7" s="109">
        <v>0.2</v>
      </c>
      <c r="N7" s="109">
        <v>0.2</v>
      </c>
      <c r="O7" s="109">
        <v>0.2</v>
      </c>
      <c r="P7" s="109">
        <v>0.2</v>
      </c>
      <c r="Q7" s="154"/>
      <c r="U7" s="36"/>
    </row>
    <row r="8" spans="3:23" x14ac:dyDescent="0.25">
      <c r="C8" s="97" t="s">
        <v>122</v>
      </c>
      <c r="D8" s="25">
        <f>D5*(100%+D7)</f>
        <v>67691.28</v>
      </c>
      <c r="E8" s="25">
        <f t="shared" ref="E8:P8" si="1">E5*(100%+E7)</f>
        <v>142949.89199999999</v>
      </c>
      <c r="F8" s="25">
        <f t="shared" si="1"/>
        <v>182600.34</v>
      </c>
      <c r="G8" s="25">
        <f t="shared" si="1"/>
        <v>103615.2</v>
      </c>
      <c r="H8" s="25">
        <f t="shared" si="1"/>
        <v>210015.576</v>
      </c>
      <c r="I8" s="25">
        <f t="shared" si="1"/>
        <v>181571.87999999998</v>
      </c>
      <c r="J8" s="25">
        <f t="shared" si="1"/>
        <v>319317.95999999996</v>
      </c>
      <c r="K8" s="25">
        <f t="shared" si="1"/>
        <v>226241.75999999998</v>
      </c>
      <c r="L8" s="25">
        <f t="shared" si="1"/>
        <v>170720.04</v>
      </c>
      <c r="M8" s="25">
        <f>150000*1.2</f>
        <v>180000</v>
      </c>
      <c r="N8" s="25">
        <f t="shared" si="1"/>
        <v>223167.64800000002</v>
      </c>
      <c r="O8" s="25">
        <f t="shared" si="1"/>
        <v>328522.92</v>
      </c>
      <c r="P8" s="25">
        <f t="shared" si="1"/>
        <v>2435038.3680000002</v>
      </c>
      <c r="Q8" s="33">
        <f>P8-P9</f>
        <v>-212729.08199999947</v>
      </c>
    </row>
    <row r="9" spans="3:23" x14ac:dyDescent="0.25">
      <c r="C9" s="97" t="s">
        <v>123</v>
      </c>
      <c r="D9" s="105">
        <v>74329</v>
      </c>
      <c r="E9" s="105">
        <v>119813.5</v>
      </c>
      <c r="F9" s="105">
        <v>234836.65</v>
      </c>
      <c r="G9" s="105">
        <v>119501</v>
      </c>
      <c r="H9" s="105">
        <v>173353</v>
      </c>
      <c r="I9" s="105">
        <v>168340.47</v>
      </c>
      <c r="J9" s="105">
        <v>186236.1</v>
      </c>
      <c r="K9" s="105">
        <v>154793</v>
      </c>
      <c r="L9" s="105">
        <v>243869.83</v>
      </c>
      <c r="M9" s="105">
        <v>164821</v>
      </c>
      <c r="N9" s="25">
        <f>215407.6+89040</f>
        <v>304447.59999999998</v>
      </c>
      <c r="O9" s="25">
        <v>389079</v>
      </c>
      <c r="P9" s="25">
        <f>SUM(D9:O9)+Q9</f>
        <v>2647767.4499999997</v>
      </c>
      <c r="Q9" s="166">
        <v>314347.3</v>
      </c>
    </row>
    <row r="10" spans="3:23" x14ac:dyDescent="0.25">
      <c r="C10" s="97" t="s">
        <v>124</v>
      </c>
      <c r="D10" s="106">
        <f>D9/D8-1</f>
        <v>9.8058715982324518E-2</v>
      </c>
      <c r="E10" s="106">
        <f t="shared" ref="E10:P10" si="2">E9/E8-1</f>
        <v>-0.1618496640766961</v>
      </c>
      <c r="F10" s="106">
        <f t="shared" si="2"/>
        <v>0.2860690730367752</v>
      </c>
      <c r="G10" s="106">
        <f t="shared" si="2"/>
        <v>0.15331534369474742</v>
      </c>
      <c r="H10" s="106">
        <f t="shared" si="2"/>
        <v>-0.17457074707639786</v>
      </c>
      <c r="I10" s="106">
        <f t="shared" si="2"/>
        <v>-7.287147106699543E-2</v>
      </c>
      <c r="J10" s="106">
        <f t="shared" si="2"/>
        <v>-0.41676910374850185</v>
      </c>
      <c r="K10" s="106">
        <f t="shared" si="2"/>
        <v>-0.31580712597002425</v>
      </c>
      <c r="L10" s="106">
        <f t="shared" si="2"/>
        <v>0.42847805096577996</v>
      </c>
      <c r="M10" s="106">
        <f t="shared" si="2"/>
        <v>-8.4327777777777779E-2</v>
      </c>
      <c r="N10" s="106">
        <f t="shared" si="2"/>
        <v>0.36421028194911109</v>
      </c>
      <c r="O10" s="106">
        <f t="shared" si="2"/>
        <v>0.1843283263158626</v>
      </c>
      <c r="P10" s="106">
        <f t="shared" si="2"/>
        <v>8.7361696142275846E-2</v>
      </c>
      <c r="Q10" s="114">
        <f>P9/P5-1</f>
        <v>0.30483403537073106</v>
      </c>
      <c r="V10" s="121">
        <v>6.9500000000000006E-2</v>
      </c>
    </row>
    <row r="11" spans="3:23" x14ac:dyDescent="0.25">
      <c r="C11" s="45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V11" s="121">
        <v>4.8300000000000003E-2</v>
      </c>
      <c r="W11" s="121">
        <f>V10-V11</f>
        <v>2.1200000000000004E-2</v>
      </c>
    </row>
    <row r="12" spans="3:23" x14ac:dyDescent="0.25">
      <c r="C12" s="45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59"/>
      <c r="R12">
        <v>2024</v>
      </c>
      <c r="S12" t="s">
        <v>125</v>
      </c>
      <c r="T12" s="36">
        <f>SUM(D5:K5)</f>
        <v>1195003.24</v>
      </c>
    </row>
    <row r="13" spans="3:23" x14ac:dyDescent="0.25">
      <c r="D13" s="108" t="s">
        <v>102</v>
      </c>
      <c r="E13" s="108" t="s">
        <v>103</v>
      </c>
      <c r="F13" s="108" t="s">
        <v>104</v>
      </c>
      <c r="G13" s="108" t="s">
        <v>105</v>
      </c>
      <c r="H13" s="108" t="s">
        <v>106</v>
      </c>
      <c r="I13" s="108" t="s">
        <v>107</v>
      </c>
      <c r="J13" s="108" t="s">
        <v>108</v>
      </c>
      <c r="K13" s="108" t="s">
        <v>109</v>
      </c>
      <c r="L13" s="108" t="s">
        <v>110</v>
      </c>
      <c r="M13" s="108" t="s">
        <v>111</v>
      </c>
      <c r="N13" s="108" t="s">
        <v>112</v>
      </c>
      <c r="O13" s="108" t="s">
        <v>113</v>
      </c>
      <c r="Q13" s="110"/>
      <c r="R13">
        <v>2025</v>
      </c>
      <c r="S13" t="s">
        <v>125</v>
      </c>
      <c r="T13" s="36">
        <f>P9</f>
        <v>2647767.4499999997</v>
      </c>
      <c r="U13" s="158">
        <f>T13/T12</f>
        <v>2.2156989716613653</v>
      </c>
    </row>
    <row r="14" spans="3:23" x14ac:dyDescent="0.25">
      <c r="C14" s="108" t="s">
        <v>7</v>
      </c>
      <c r="D14" s="38">
        <v>70000</v>
      </c>
      <c r="E14" s="38">
        <v>100000</v>
      </c>
      <c r="F14" s="38">
        <v>80000</v>
      </c>
      <c r="G14" s="38">
        <v>80000</v>
      </c>
      <c r="H14" s="38">
        <v>100000</v>
      </c>
      <c r="I14" s="38">
        <v>120000</v>
      </c>
      <c r="J14" s="38">
        <v>80000</v>
      </c>
      <c r="K14" s="38">
        <v>120000</v>
      </c>
      <c r="L14" s="38">
        <v>80000</v>
      </c>
      <c r="M14" s="38">
        <v>100000</v>
      </c>
      <c r="N14" s="38">
        <v>110000</v>
      </c>
      <c r="O14" s="38">
        <v>150000</v>
      </c>
      <c r="P14" s="73"/>
      <c r="Q14" s="110"/>
    </row>
    <row r="15" spans="3:23" x14ac:dyDescent="0.25">
      <c r="C15" s="108" t="s">
        <v>2</v>
      </c>
      <c r="D15" s="38">
        <v>80000</v>
      </c>
      <c r="E15" s="38">
        <v>115000</v>
      </c>
      <c r="F15" s="38">
        <v>88000</v>
      </c>
      <c r="G15" s="38">
        <v>100000</v>
      </c>
      <c r="H15" s="38">
        <v>130000</v>
      </c>
      <c r="I15" s="38">
        <v>150000</v>
      </c>
      <c r="J15" s="38">
        <v>90000</v>
      </c>
      <c r="K15" s="38">
        <v>140000</v>
      </c>
      <c r="L15" s="38">
        <v>100000</v>
      </c>
      <c r="M15" s="38">
        <v>120000</v>
      </c>
      <c r="N15" s="38">
        <v>140000</v>
      </c>
      <c r="O15" s="38">
        <v>200000</v>
      </c>
      <c r="P15" s="73"/>
      <c r="Q15" s="110"/>
      <c r="R15">
        <v>2025</v>
      </c>
      <c r="S15" t="s">
        <v>125</v>
      </c>
      <c r="T15" s="36">
        <f>SUM(D8:J8)</f>
        <v>1207762.128</v>
      </c>
      <c r="U15" s="157">
        <f>T13/T15</f>
        <v>2.1922921646703593</v>
      </c>
    </row>
    <row r="16" spans="3:23" x14ac:dyDescent="0.25">
      <c r="C16" s="108" t="s">
        <v>3</v>
      </c>
      <c r="D16" s="38">
        <v>90000</v>
      </c>
      <c r="E16" s="38">
        <v>130000</v>
      </c>
      <c r="F16" s="38">
        <v>90000</v>
      </c>
      <c r="G16" s="38">
        <v>130000</v>
      </c>
      <c r="H16" s="38">
        <v>160000</v>
      </c>
      <c r="I16" s="38">
        <v>180000</v>
      </c>
      <c r="J16" s="38">
        <v>100000</v>
      </c>
      <c r="K16" s="38">
        <v>160000</v>
      </c>
      <c r="L16" s="38">
        <v>120000</v>
      </c>
      <c r="M16" s="38">
        <v>140000</v>
      </c>
      <c r="N16" s="38">
        <v>170000</v>
      </c>
      <c r="O16" s="38">
        <v>250000</v>
      </c>
      <c r="P16" s="73"/>
      <c r="Q16" s="110"/>
      <c r="T16" s="36">
        <f>T15-T13</f>
        <v>-1440005.3219999997</v>
      </c>
    </row>
    <row r="17" spans="3:20" x14ac:dyDescent="0.25">
      <c r="C17" s="108" t="s">
        <v>4</v>
      </c>
      <c r="D17" s="38">
        <v>100000</v>
      </c>
      <c r="E17" s="38">
        <v>145000</v>
      </c>
      <c r="F17" s="38">
        <v>95000</v>
      </c>
      <c r="G17" s="38">
        <v>150000</v>
      </c>
      <c r="H17" s="38">
        <v>180000</v>
      </c>
      <c r="I17" s="38">
        <v>200000</v>
      </c>
      <c r="J17" s="38">
        <v>110000</v>
      </c>
      <c r="K17" s="38">
        <v>180000</v>
      </c>
      <c r="L17" s="38">
        <v>140000</v>
      </c>
      <c r="M17" s="38">
        <v>160000</v>
      </c>
      <c r="N17" s="38">
        <v>200000</v>
      </c>
      <c r="O17" s="38">
        <v>300000</v>
      </c>
      <c r="P17" s="73"/>
      <c r="T17" s="36">
        <f>T16/5</f>
        <v>-288001.06439999992</v>
      </c>
    </row>
    <row r="18" spans="3:20" x14ac:dyDescent="0.25">
      <c r="Q18" s="110"/>
    </row>
    <row r="19" spans="3:20" x14ac:dyDescent="0.25">
      <c r="C19" s="108" t="s">
        <v>7</v>
      </c>
      <c r="D19" s="9" t="str">
        <f>IF($D$9&gt;D14,"BATEU","NÃO BATEU")</f>
        <v>BATEU</v>
      </c>
      <c r="E19" s="9" t="str">
        <f>IF($E$9&gt;E14,"BATEU","NÃO BATEU")</f>
        <v>BATEU</v>
      </c>
      <c r="F19" s="9" t="str">
        <f>IF($F$9&gt;F14,"BATEU","NÃO BATEU")</f>
        <v>BATEU</v>
      </c>
      <c r="G19" s="9" t="str">
        <f>IF($G$9&gt;G14,"BATEU","NÃO BATEU")</f>
        <v>BATEU</v>
      </c>
      <c r="H19" s="9" t="str">
        <f>IF($H$9&gt;H14,"BATEU","NÃO BATEU")</f>
        <v>BATEU</v>
      </c>
      <c r="I19" s="9" t="str">
        <f>IF($I$9&gt;I14,"BATEU","NÃO BATEU")</f>
        <v>BATEU</v>
      </c>
      <c r="J19" s="9" t="str">
        <f>IF($J$9&gt;J14,"BATEU","NÃO BATEU")</f>
        <v>BATEU</v>
      </c>
      <c r="K19" s="9" t="str">
        <f>IF($K$9&gt;K14,"BATEU","NÃO BATEU")</f>
        <v>BATEU</v>
      </c>
      <c r="L19" s="9" t="str">
        <f>IF($L$9&gt;L14,"BATEU","NÃO BATEU")</f>
        <v>BATEU</v>
      </c>
      <c r="M19" s="9" t="str">
        <f>IF($M$9&gt;M14,"BATEU","NÃO BATEU")</f>
        <v>BATEU</v>
      </c>
      <c r="N19" s="9" t="str">
        <f>IF($N$9&gt;N14,"BATEU","NÃO BATEU")</f>
        <v>BATEU</v>
      </c>
      <c r="O19" s="9" t="str">
        <f>IF($O$9&gt;O14,"BATEU","NÃO BATEU")</f>
        <v>BATEU</v>
      </c>
      <c r="P19" s="110"/>
      <c r="Q19" s="110"/>
    </row>
    <row r="20" spans="3:20" x14ac:dyDescent="0.25">
      <c r="C20" s="108" t="s">
        <v>2</v>
      </c>
      <c r="D20" s="9" t="str">
        <f>IF($D$9&gt;D15,"BATEU","NÃO BATEU")</f>
        <v>NÃO BATEU</v>
      </c>
      <c r="E20" s="9" t="str">
        <f t="shared" ref="E20:E22" si="3">IF($E$9&gt;E15,"BATEU","NÃO BATEU")</f>
        <v>BATEU</v>
      </c>
      <c r="F20" s="9" t="str">
        <f t="shared" ref="F20:F22" si="4">IF($F$9&gt;F15,"BATEU","NÃO BATEU")</f>
        <v>BATEU</v>
      </c>
      <c r="G20" s="9" t="str">
        <f t="shared" ref="G20:G22" si="5">IF($G$9&gt;G15,"BATEU","NÃO BATEU")</f>
        <v>BATEU</v>
      </c>
      <c r="H20" s="9" t="str">
        <f t="shared" ref="H20:H22" si="6">IF($H$9&gt;H15,"BATEU","NÃO BATEU")</f>
        <v>BATEU</v>
      </c>
      <c r="I20" s="9" t="str">
        <f t="shared" ref="I20:I22" si="7">IF($I$9&gt;I15,"BATEU","NÃO BATEU")</f>
        <v>BATEU</v>
      </c>
      <c r="J20" s="9" t="str">
        <f t="shared" ref="J20:J22" si="8">IF($J$9&gt;J15,"BATEU","NÃO BATEU")</f>
        <v>BATEU</v>
      </c>
      <c r="K20" s="9" t="str">
        <f t="shared" ref="K20:K22" si="9">IF($K$9&gt;K15,"BATEU","NÃO BATEU")</f>
        <v>BATEU</v>
      </c>
      <c r="L20" s="9" t="str">
        <f t="shared" ref="L20:L22" si="10">IF($L$9&gt;L15,"BATEU","NÃO BATEU")</f>
        <v>BATEU</v>
      </c>
      <c r="M20" s="9" t="str">
        <f t="shared" ref="M20:M22" si="11">IF($M$9&gt;M15,"BATEU","NÃO BATEU")</f>
        <v>BATEU</v>
      </c>
      <c r="N20" s="9" t="str">
        <f t="shared" ref="N20:N22" si="12">IF($N$9&gt;N15,"BATEU","NÃO BATEU")</f>
        <v>BATEU</v>
      </c>
      <c r="O20" s="9" t="str">
        <f t="shared" ref="O20:O22" si="13">IF($O$9&gt;O15,"BATEU","NÃO BATEU")</f>
        <v>BATEU</v>
      </c>
      <c r="P20" s="110"/>
      <c r="Q20" s="110"/>
    </row>
    <row r="21" spans="3:20" x14ac:dyDescent="0.25">
      <c r="C21" s="108" t="s">
        <v>3</v>
      </c>
      <c r="D21" s="9" t="str">
        <f t="shared" ref="D21:D22" si="14">IF($D$9&gt;D16,"BATEU","NÃO BATEU")</f>
        <v>NÃO BATEU</v>
      </c>
      <c r="E21" s="9" t="str">
        <f t="shared" si="3"/>
        <v>NÃO BATEU</v>
      </c>
      <c r="F21" s="9" t="str">
        <f t="shared" si="4"/>
        <v>BATEU</v>
      </c>
      <c r="G21" s="9" t="str">
        <f t="shared" si="5"/>
        <v>NÃO BATEU</v>
      </c>
      <c r="H21" s="9" t="str">
        <f t="shared" si="6"/>
        <v>BATEU</v>
      </c>
      <c r="I21" s="9" t="str">
        <f t="shared" si="7"/>
        <v>NÃO BATEU</v>
      </c>
      <c r="J21" s="9" t="str">
        <f t="shared" si="8"/>
        <v>BATEU</v>
      </c>
      <c r="K21" s="9" t="str">
        <f t="shared" si="9"/>
        <v>NÃO BATEU</v>
      </c>
      <c r="L21" s="9" t="str">
        <f t="shared" si="10"/>
        <v>BATEU</v>
      </c>
      <c r="M21" s="9" t="str">
        <f t="shared" si="11"/>
        <v>BATEU</v>
      </c>
      <c r="N21" s="9" t="str">
        <f t="shared" si="12"/>
        <v>BATEU</v>
      </c>
      <c r="O21" s="9" t="str">
        <f t="shared" si="13"/>
        <v>BATEU</v>
      </c>
      <c r="P21" s="110"/>
      <c r="Q21" s="110"/>
    </row>
    <row r="22" spans="3:20" x14ac:dyDescent="0.25">
      <c r="C22" s="108" t="s">
        <v>4</v>
      </c>
      <c r="D22" s="9" t="str">
        <f t="shared" si="14"/>
        <v>NÃO BATEU</v>
      </c>
      <c r="E22" s="9" t="str">
        <f t="shared" si="3"/>
        <v>NÃO BATEU</v>
      </c>
      <c r="F22" s="9" t="str">
        <f t="shared" si="4"/>
        <v>BATEU</v>
      </c>
      <c r="G22" s="9" t="str">
        <f t="shared" si="5"/>
        <v>NÃO BATEU</v>
      </c>
      <c r="H22" s="9" t="str">
        <f t="shared" si="6"/>
        <v>NÃO BATEU</v>
      </c>
      <c r="I22" s="9" t="str">
        <f t="shared" si="7"/>
        <v>NÃO BATEU</v>
      </c>
      <c r="J22" s="9" t="str">
        <f t="shared" si="8"/>
        <v>BATEU</v>
      </c>
      <c r="K22" s="9" t="str">
        <f t="shared" si="9"/>
        <v>NÃO BATEU</v>
      </c>
      <c r="L22" s="9" t="str">
        <f t="shared" si="10"/>
        <v>BATEU</v>
      </c>
      <c r="M22" s="9" t="str">
        <f t="shared" si="11"/>
        <v>BATEU</v>
      </c>
      <c r="N22" s="9" t="str">
        <f t="shared" si="12"/>
        <v>BATEU</v>
      </c>
      <c r="O22" s="9" t="str">
        <f t="shared" si="13"/>
        <v>BATEU</v>
      </c>
      <c r="P22" s="110"/>
    </row>
    <row r="24" spans="3:20" x14ac:dyDescent="0.25">
      <c r="D24" s="1"/>
      <c r="E24" s="1"/>
      <c r="N24" s="108" t="s">
        <v>112</v>
      </c>
      <c r="O24" s="108" t="s">
        <v>113</v>
      </c>
    </row>
    <row r="25" spans="3:20" x14ac:dyDescent="0.25">
      <c r="N25" s="38">
        <f>N14/5</f>
        <v>22000</v>
      </c>
      <c r="O25" s="38">
        <f>O14/5</f>
        <v>30000</v>
      </c>
    </row>
    <row r="26" spans="3:20" x14ac:dyDescent="0.25">
      <c r="N26" s="38">
        <f t="shared" ref="N26:O28" si="15">N15/5</f>
        <v>28000</v>
      </c>
      <c r="O26" s="38">
        <f t="shared" si="15"/>
        <v>40000</v>
      </c>
    </row>
    <row r="27" spans="3:20" x14ac:dyDescent="0.25">
      <c r="N27" s="38">
        <f t="shared" si="15"/>
        <v>34000</v>
      </c>
      <c r="O27" s="38">
        <f t="shared" si="15"/>
        <v>50000</v>
      </c>
    </row>
    <row r="28" spans="3:20" x14ac:dyDescent="0.25">
      <c r="N28" s="38">
        <f t="shared" si="15"/>
        <v>40000</v>
      </c>
      <c r="O28" s="38">
        <f t="shared" si="15"/>
        <v>60000</v>
      </c>
    </row>
  </sheetData>
  <mergeCells count="2">
    <mergeCell ref="C2:P2"/>
    <mergeCell ref="Q2:V2"/>
  </mergeCells>
  <phoneticPr fontId="11" type="noConversion"/>
  <conditionalFormatting sqref="D6:P6 Q9:Q11 D10:P12">
    <cfRule type="cellIs" dxfId="2" priority="4" operator="greaterThan">
      <formula>0</formula>
    </cfRule>
    <cfRule type="cellIs" dxfId="1" priority="5" operator="lessThan">
      <formula>0</formula>
    </cfRule>
  </conditionalFormatting>
  <conditionalFormatting sqref="Q18:Q21 D19:P22">
    <cfRule type="containsText" dxfId="0" priority="1" operator="containsText" text="NÃO BATEU">
      <formula>NOT(ISERROR(SEARCH("NÃO BATEU",D18)))</formula>
    </cfRule>
  </conditionalFormatting>
  <pageMargins left="0.511811024" right="0.511811024" top="0.78740157499999996" bottom="0.78740157499999996" header="0.31496062000000002" footer="0.31496062000000002"/>
  <ignoredErrors>
    <ignoredError sqref="P4:P5 S4:S5 R4:R5 T4:T5 S7 R7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83D7-3ABC-4F30-8FE7-CAF50E28F34C}">
  <dimension ref="G2:H6"/>
  <sheetViews>
    <sheetView workbookViewId="0">
      <selection activeCell="G2" sqref="G2:H6"/>
    </sheetView>
  </sheetViews>
  <sheetFormatPr defaultColWidth="8.7109375" defaultRowHeight="15" x14ac:dyDescent="0.25"/>
  <cols>
    <col min="7" max="7" width="14" bestFit="1" customWidth="1"/>
    <col min="8" max="8" width="12.7109375" bestFit="1" customWidth="1"/>
  </cols>
  <sheetData>
    <row r="2" spans="7:8" x14ac:dyDescent="0.25">
      <c r="G2" s="108" t="s">
        <v>111</v>
      </c>
      <c r="H2" s="108" t="s">
        <v>126</v>
      </c>
    </row>
    <row r="3" spans="7:8" x14ac:dyDescent="0.25">
      <c r="G3" s="38">
        <v>30000</v>
      </c>
      <c r="H3" s="38">
        <f>G3/3</f>
        <v>10000</v>
      </c>
    </row>
    <row r="4" spans="7:8" x14ac:dyDescent="0.25">
      <c r="G4" s="38">
        <v>40000</v>
      </c>
      <c r="H4" s="38">
        <f t="shared" ref="H4:H6" si="0">G4/3</f>
        <v>13333.333333333334</v>
      </c>
    </row>
    <row r="5" spans="7:8" x14ac:dyDescent="0.25">
      <c r="G5" s="38">
        <v>50000</v>
      </c>
      <c r="H5" s="38">
        <f t="shared" si="0"/>
        <v>16666.666666666668</v>
      </c>
    </row>
    <row r="6" spans="7:8" x14ac:dyDescent="0.25">
      <c r="G6" s="38">
        <v>70000</v>
      </c>
      <c r="H6" s="38">
        <f t="shared" si="0"/>
        <v>23333.333333333332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5"/>
  <dimension ref="D3:I6"/>
  <sheetViews>
    <sheetView workbookViewId="0">
      <selection activeCell="K9" sqref="K9"/>
    </sheetView>
  </sheetViews>
  <sheetFormatPr defaultColWidth="8.7109375" defaultRowHeight="15" x14ac:dyDescent="0.25"/>
  <cols>
    <col min="4" max="4" width="25.7109375" customWidth="1"/>
    <col min="5" max="5" width="10.140625" customWidth="1"/>
    <col min="8" max="8" width="18.42578125" style="18" customWidth="1"/>
    <col min="9" max="9" width="19.42578125" style="1" customWidth="1"/>
  </cols>
  <sheetData>
    <row r="3" spans="4:9" s="59" customFormat="1" ht="50.85" customHeight="1" x14ac:dyDescent="0.25">
      <c r="D3" s="59" t="s">
        <v>69</v>
      </c>
      <c r="E3" s="59" t="s">
        <v>70</v>
      </c>
      <c r="H3" s="59" t="s">
        <v>69</v>
      </c>
      <c r="I3" s="59" t="s">
        <v>70</v>
      </c>
    </row>
    <row r="4" spans="4:9" ht="84" customHeight="1" x14ac:dyDescent="0.25">
      <c r="D4" s="60" t="s">
        <v>67</v>
      </c>
      <c r="E4" t="e" vm="1">
        <v>#VALUE!</v>
      </c>
      <c r="H4" s="18" t="s">
        <v>127</v>
      </c>
      <c r="I4" s="1" t="e" vm="4">
        <v>#VALUE!</v>
      </c>
    </row>
    <row r="5" spans="4:9" ht="84" customHeight="1" x14ac:dyDescent="0.25">
      <c r="D5" s="60" t="s">
        <v>66</v>
      </c>
      <c r="E5" t="e" vm="2">
        <v>#VALUE!</v>
      </c>
      <c r="H5" s="18" t="s">
        <v>128</v>
      </c>
      <c r="I5" s="1" t="e" vm="5">
        <v>#VALUE!</v>
      </c>
    </row>
    <row r="6" spans="4:9" ht="84" customHeight="1" x14ac:dyDescent="0.25">
      <c r="D6" s="60" t="s">
        <v>65</v>
      </c>
      <c r="E6" t="e" vm="3">
        <v>#VALUE!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5"/>
  <dimension ref="A1"/>
  <sheetViews>
    <sheetView showGridLines="0" workbookViewId="0">
      <selection activeCell="L7" sqref="L7"/>
    </sheetView>
  </sheetViews>
  <sheetFormatPr defaultColWidth="8.71093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METAS -  SOBRAL</vt:lpstr>
      <vt:lpstr>METAS -  SOBRAL (P VENDEDOR)</vt:lpstr>
      <vt:lpstr>VENDAS</vt:lpstr>
      <vt:lpstr>Detalhes2</vt:lpstr>
      <vt:lpstr>SOBRAL</vt:lpstr>
      <vt:lpstr>VENDAS_VENDEDOR</vt:lpstr>
      <vt:lpstr>Planilha5</vt:lpstr>
      <vt:lpstr>Folha1</vt:lpstr>
      <vt:lpstr>RESUMO</vt:lpstr>
      <vt:lpstr>AUXILIAR</vt:lpstr>
      <vt:lpstr>Planilha2 (2)</vt:lpstr>
      <vt:lpstr>IMAGENS (2)</vt:lpstr>
      <vt:lpstr>VENDEDORES</vt:lpstr>
      <vt:lpstr>Planilha1</vt:lpstr>
      <vt:lpstr>ANÁLISE DO BAZAR ABRIL</vt:lpstr>
      <vt:lpstr>ANÁLISE GERAL SOBRAL (2026)</vt:lpstr>
      <vt:lpstr>Planilha4</vt:lpstr>
      <vt:lpstr>DASHBOARD</vt:lpstr>
      <vt:lpstr>Detalhes1</vt:lpstr>
      <vt:lpstr>ANÁLISE GERAL SOBRAL 2025</vt:lpstr>
      <vt:lpstr>Planilha3</vt:lpstr>
      <vt:lpstr>IMAGENS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Score Consultoria</dc:creator>
  <cp:keywords/>
  <dc:description/>
  <cp:lastModifiedBy>Score Consultoria</cp:lastModifiedBy>
  <cp:revision/>
  <dcterms:created xsi:type="dcterms:W3CDTF">2024-02-05T15:12:38Z</dcterms:created>
  <dcterms:modified xsi:type="dcterms:W3CDTF">2026-09-23T19:37:34Z</dcterms:modified>
  <cp:category/>
  <cp:contentStatus/>
</cp:coreProperties>
</file>