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letronicEgg\doc\"/>
    </mc:Choice>
  </mc:AlternateContent>
  <xr:revisionPtr revIDLastSave="0" documentId="13_ncr:1_{1F65A84B-0671-49AC-A402-B00257EE9523}" xr6:coauthVersionLast="45" xr6:coauthVersionMax="45" xr10:uidLastSave="{00000000-0000-0000-0000-000000000000}"/>
  <bookViews>
    <workbookView xWindow="-120" yWindow="-120" windowWidth="29040" windowHeight="15840" xr2:uid="{CC748F4A-B77A-42D3-919B-40EFF9144FCF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U21" i="1"/>
  <c r="V21" i="1"/>
  <c r="U22" i="1"/>
  <c r="U23" i="1"/>
  <c r="V23" i="1"/>
  <c r="W12" i="1" l="1"/>
  <c r="X30" i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L22" i="1"/>
  <c r="X22" i="1" s="1"/>
  <c r="Y22" i="1" s="1"/>
  <c r="Z22" i="1" s="1"/>
  <c r="AA22" i="1" s="1"/>
  <c r="AB22" i="1" s="1"/>
  <c r="AC22" i="1" s="1"/>
  <c r="K22" i="1"/>
  <c r="J22" i="1" s="1"/>
  <c r="V22" i="1" s="1"/>
  <c r="L21" i="1"/>
  <c r="K21" i="1"/>
  <c r="O23" i="1"/>
  <c r="AA23" i="1" s="1"/>
  <c r="AB23" i="1" s="1"/>
  <c r="AC23" i="1" s="1"/>
  <c r="N23" i="1"/>
  <c r="Z23" i="1" s="1"/>
  <c r="M23" i="1"/>
  <c r="Y23" i="1" s="1"/>
  <c r="L23" i="1"/>
  <c r="X23" i="1" s="1"/>
  <c r="K23" i="1"/>
  <c r="W23" i="1" s="1"/>
  <c r="AB4" i="1"/>
  <c r="AK4" i="1" s="1"/>
  <c r="AC4" i="1"/>
  <c r="AL4" i="1" s="1"/>
  <c r="AB6" i="1"/>
  <c r="AC6" i="1"/>
  <c r="AB7" i="1"/>
  <c r="AC7" i="1" s="1"/>
  <c r="AB8" i="1"/>
  <c r="AC8" i="1"/>
  <c r="AB11" i="1"/>
  <c r="AC11" i="1"/>
  <c r="AB13" i="1"/>
  <c r="AC13" i="1"/>
  <c r="AB14" i="1"/>
  <c r="AC14" i="1"/>
  <c r="AB15" i="1"/>
  <c r="AC15" i="1"/>
  <c r="AC16" i="1"/>
  <c r="AC17" i="1"/>
  <c r="AB18" i="1"/>
  <c r="AC18" i="1"/>
  <c r="AE4" i="1"/>
  <c r="AE12" i="1" s="1"/>
  <c r="X6" i="1"/>
  <c r="Y6" i="1" s="1"/>
  <c r="Z6" i="1" s="1"/>
  <c r="AA6" i="1"/>
  <c r="X7" i="1"/>
  <c r="Y7" i="1"/>
  <c r="Z7" i="1"/>
  <c r="AA7" i="1"/>
  <c r="X8" i="1"/>
  <c r="Y8" i="1"/>
  <c r="Z8" i="1" s="1"/>
  <c r="AA8" i="1"/>
  <c r="Y9" i="1"/>
  <c r="Z9" i="1" s="1"/>
  <c r="AA9" i="1"/>
  <c r="AB9" i="1" s="1"/>
  <c r="AC9" i="1" s="1"/>
  <c r="X10" i="1"/>
  <c r="Y10" i="1"/>
  <c r="Z10" i="1" s="1"/>
  <c r="AA10" i="1"/>
  <c r="AB10" i="1" s="1"/>
  <c r="AC10" i="1" s="1"/>
  <c r="X11" i="1"/>
  <c r="Y11" i="1" s="1"/>
  <c r="Z11" i="1" s="1"/>
  <c r="AA11" i="1"/>
  <c r="X13" i="1"/>
  <c r="Y13" i="1" s="1"/>
  <c r="Z13" i="1" s="1"/>
  <c r="AA13" i="1"/>
  <c r="X14" i="1"/>
  <c r="Y14" i="1" s="1"/>
  <c r="Z14" i="1" s="1"/>
  <c r="AA14" i="1"/>
  <c r="X15" i="1"/>
  <c r="Y15" i="1" s="1"/>
  <c r="Z15" i="1" s="1"/>
  <c r="AA15" i="1"/>
  <c r="X16" i="1"/>
  <c r="Y16" i="1" s="1"/>
  <c r="Z16" i="1" s="1"/>
  <c r="AA16" i="1"/>
  <c r="AB16" i="1" s="1"/>
  <c r="X17" i="1"/>
  <c r="Y17" i="1" s="1"/>
  <c r="Z17" i="1" s="1"/>
  <c r="AA17" i="1"/>
  <c r="AB17" i="1" s="1"/>
  <c r="X18" i="1"/>
  <c r="Y18" i="1"/>
  <c r="Z18" i="1"/>
  <c r="AA18" i="1"/>
  <c r="W4" i="1"/>
  <c r="AF4" i="1" s="1"/>
  <c r="X4" i="1"/>
  <c r="AG4" i="1" s="1"/>
  <c r="Y4" i="1"/>
  <c r="AH4" i="1" s="1"/>
  <c r="Z4" i="1"/>
  <c r="AI4" i="1" s="1"/>
  <c r="AA4" i="1"/>
  <c r="AJ4" i="1" s="1"/>
  <c r="W18" i="1"/>
  <c r="W19" i="1"/>
  <c r="W21" i="1"/>
  <c r="X21" i="1" s="1"/>
  <c r="Y21" i="1" s="1"/>
  <c r="Z21" i="1" s="1"/>
  <c r="AA21" i="1" s="1"/>
  <c r="AB21" i="1" s="1"/>
  <c r="AC21" i="1" s="1"/>
  <c r="W22" i="1"/>
  <c r="W5" i="1"/>
  <c r="AF5" i="1" s="1"/>
  <c r="AE7" i="1"/>
  <c r="AE9" i="1"/>
  <c r="AE16" i="1"/>
  <c r="AE18" i="1"/>
  <c r="W6" i="1"/>
  <c r="W7" i="1"/>
  <c r="W8" i="1"/>
  <c r="W9" i="1"/>
  <c r="X9" i="1" s="1"/>
  <c r="W10" i="1"/>
  <c r="W11" i="1"/>
  <c r="W13" i="1"/>
  <c r="W14" i="1"/>
  <c r="W15" i="1"/>
  <c r="W16" i="1"/>
  <c r="W17" i="1"/>
  <c r="N20" i="1"/>
  <c r="Z20" i="1" s="1"/>
  <c r="O20" i="1"/>
  <c r="AA20" i="1" s="1"/>
  <c r="AB20" i="1" s="1"/>
  <c r="AC20" i="1" s="1"/>
  <c r="M20" i="1"/>
  <c r="Y20" i="1" s="1"/>
  <c r="L20" i="1"/>
  <c r="X20" i="1" s="1"/>
  <c r="K20" i="1"/>
  <c r="W20" i="1" s="1"/>
  <c r="O19" i="1"/>
  <c r="AA19" i="1" s="1"/>
  <c r="AB19" i="1" s="1"/>
  <c r="AC19" i="1" s="1"/>
  <c r="N19" i="1"/>
  <c r="Z19" i="1" s="1"/>
  <c r="M19" i="1"/>
  <c r="Y19" i="1" s="1"/>
  <c r="L19" i="1"/>
  <c r="X19" i="1" s="1"/>
  <c r="AE23" i="1" l="1"/>
  <c r="J20" i="1"/>
  <c r="V20" i="1" s="1"/>
  <c r="AE20" i="1" s="1"/>
  <c r="X5" i="1"/>
  <c r="Y5" i="1" s="1"/>
  <c r="Z5" i="1" s="1"/>
  <c r="AA5" i="1" s="1"/>
  <c r="AB5" i="1" s="1"/>
  <c r="AC5" i="1" s="1"/>
  <c r="AL5" i="1" s="1"/>
  <c r="X12" i="1"/>
  <c r="AF12" i="1"/>
  <c r="AE17" i="1"/>
  <c r="AE8" i="1"/>
  <c r="AE15" i="1"/>
  <c r="AE6" i="1"/>
  <c r="AE14" i="1"/>
  <c r="AE22" i="1"/>
  <c r="AE21" i="1"/>
  <c r="AE13" i="1"/>
  <c r="AE11" i="1"/>
  <c r="AE19" i="1"/>
  <c r="AE10" i="1"/>
  <c r="AE5" i="1"/>
  <c r="AK5" i="1"/>
  <c r="AK15" i="1"/>
  <c r="AJ15" i="1"/>
  <c r="AL14" i="1"/>
  <c r="AK14" i="1"/>
  <c r="AL21" i="1"/>
  <c r="AJ13" i="1"/>
  <c r="AK21" i="1"/>
  <c r="AI13" i="1"/>
  <c r="AJ21" i="1"/>
  <c r="AL11" i="1"/>
  <c r="AI21" i="1"/>
  <c r="AK11" i="1"/>
  <c r="AJ10" i="1"/>
  <c r="AI19" i="1"/>
  <c r="AL22" i="1"/>
  <c r="AL20" i="1"/>
  <c r="AL17" i="1"/>
  <c r="AJ14" i="1"/>
  <c r="AJ11" i="1"/>
  <c r="AK7" i="1"/>
  <c r="AL19" i="1"/>
  <c r="AI10" i="1"/>
  <c r="AK22" i="1"/>
  <c r="AK20" i="1"/>
  <c r="AL16" i="1"/>
  <c r="AI14" i="1"/>
  <c r="AI11" i="1"/>
  <c r="AL6" i="1"/>
  <c r="AL8" i="1"/>
  <c r="AJ22" i="1"/>
  <c r="AJ20" i="1"/>
  <c r="AK16" i="1"/>
  <c r="AL13" i="1"/>
  <c r="AL10" i="1"/>
  <c r="AK6" i="1"/>
  <c r="AK19" i="1"/>
  <c r="AJ19" i="1"/>
  <c r="AL7" i="1"/>
  <c r="AI22" i="1"/>
  <c r="AI20" i="1"/>
  <c r="AL15" i="1"/>
  <c r="AK13" i="1"/>
  <c r="AK10" i="1"/>
  <c r="AJ6" i="1"/>
  <c r="AL9" i="1"/>
  <c r="AK23" i="1"/>
  <c r="AK9" i="1"/>
  <c r="AJ9" i="1"/>
  <c r="AJ5" i="1"/>
  <c r="AI15" i="1"/>
  <c r="AI6" i="1"/>
  <c r="AI5" i="1"/>
  <c r="AH23" i="1"/>
  <c r="AH22" i="1"/>
  <c r="AH21" i="1"/>
  <c r="AH20" i="1"/>
  <c r="AH19" i="1"/>
  <c r="AH18" i="1"/>
  <c r="AH17" i="1"/>
  <c r="AH16" i="1"/>
  <c r="AH15" i="1"/>
  <c r="AH14" i="1"/>
  <c r="AH13" i="1"/>
  <c r="AH11" i="1"/>
  <c r="AH10" i="1"/>
  <c r="AH9" i="1"/>
  <c r="AH8" i="1"/>
  <c r="AH7" i="1"/>
  <c r="AH6" i="1"/>
  <c r="AK18" i="1"/>
  <c r="AJ23" i="1"/>
  <c r="AJ18" i="1"/>
  <c r="AJ8" i="1"/>
  <c r="AI16" i="1"/>
  <c r="AI9" i="1"/>
  <c r="AH5" i="1"/>
  <c r="AG23" i="1"/>
  <c r="AG22" i="1"/>
  <c r="AG21" i="1"/>
  <c r="AG20" i="1"/>
  <c r="AG19" i="1"/>
  <c r="AG18" i="1"/>
  <c r="AG17" i="1"/>
  <c r="AG16" i="1"/>
  <c r="AG15" i="1"/>
  <c r="AG14" i="1"/>
  <c r="AG13" i="1"/>
  <c r="AG11" i="1"/>
  <c r="AG10" i="1"/>
  <c r="AG9" i="1"/>
  <c r="AG8" i="1"/>
  <c r="AG7" i="1"/>
  <c r="AG6" i="1"/>
  <c r="AL23" i="1"/>
  <c r="AJ17" i="1"/>
  <c r="AJ7" i="1"/>
  <c r="AI17" i="1"/>
  <c r="AI8" i="1"/>
  <c r="AG5" i="1"/>
  <c r="AF23" i="1"/>
  <c r="AF22" i="1"/>
  <c r="AF21" i="1"/>
  <c r="AF20" i="1"/>
  <c r="AF19" i="1"/>
  <c r="AF18" i="1"/>
  <c r="AF17" i="1"/>
  <c r="AF16" i="1"/>
  <c r="AF15" i="1"/>
  <c r="AF14" i="1"/>
  <c r="AF13" i="1"/>
  <c r="AF11" i="1"/>
  <c r="AF10" i="1"/>
  <c r="AF9" i="1"/>
  <c r="AF8" i="1"/>
  <c r="AF7" i="1"/>
  <c r="AF6" i="1"/>
  <c r="AL18" i="1"/>
  <c r="AK17" i="1"/>
  <c r="AK8" i="1"/>
  <c r="AJ16" i="1"/>
  <c r="AI23" i="1"/>
  <c r="AI18" i="1"/>
  <c r="AI7" i="1"/>
  <c r="Y12" i="1" l="1"/>
  <c r="AG12" i="1"/>
  <c r="AM23" i="1"/>
  <c r="D23" i="1" s="1"/>
  <c r="AM20" i="1"/>
  <c r="D20" i="1" s="1"/>
  <c r="AM22" i="1"/>
  <c r="D22" i="1" s="1"/>
  <c r="AM15" i="1"/>
  <c r="D15" i="1" s="1"/>
  <c r="AM6" i="1"/>
  <c r="D6" i="1" s="1"/>
  <c r="AM13" i="1"/>
  <c r="D13" i="1" s="1"/>
  <c r="AM11" i="1"/>
  <c r="D11" i="1" s="1"/>
  <c r="AM17" i="1"/>
  <c r="D17" i="1" s="1"/>
  <c r="AM21" i="1"/>
  <c r="D21" i="1" s="1"/>
  <c r="AM14" i="1"/>
  <c r="D14" i="1" s="1"/>
  <c r="AM7" i="1"/>
  <c r="D7" i="1" s="1"/>
  <c r="AM9" i="1"/>
  <c r="D9" i="1" s="1"/>
  <c r="AM10" i="1"/>
  <c r="D10" i="1" s="1"/>
  <c r="AM16" i="1"/>
  <c r="D16" i="1" s="1"/>
  <c r="AM8" i="1"/>
  <c r="D8" i="1" s="1"/>
  <c r="AM5" i="1"/>
  <c r="D5" i="1" s="1"/>
  <c r="AM18" i="1"/>
  <c r="D18" i="1" s="1"/>
  <c r="AM19" i="1"/>
  <c r="D19" i="1" s="1"/>
  <c r="Z12" i="1" l="1"/>
  <c r="AH12" i="1"/>
  <c r="AA12" i="1" l="1"/>
  <c r="AI12" i="1"/>
  <c r="AJ12" i="1" l="1"/>
  <c r="AB12" i="1"/>
  <c r="AK12" i="1" l="1"/>
  <c r="AC12" i="1"/>
  <c r="AL12" i="1" s="1"/>
  <c r="AM12" i="1" l="1"/>
  <c r="AM24" i="1" l="1"/>
  <c r="D12" i="1"/>
</calcChain>
</file>

<file path=xl/sharedStrings.xml><?xml version="1.0" encoding="utf-8"?>
<sst xmlns="http://schemas.openxmlformats.org/spreadsheetml/2006/main" count="74" uniqueCount="74">
  <si>
    <t>400 mAh Battery</t>
  </si>
  <si>
    <t>Price/quantity</t>
  </si>
  <si>
    <t>Link</t>
  </si>
  <si>
    <t>Description</t>
  </si>
  <si>
    <t>Name</t>
  </si>
  <si>
    <t>https://www.digikey.com/product-detail/en/sparkfun-electronics/PRT-13851/1568-1493-ND/6605199</t>
  </si>
  <si>
    <t>https://www.sparkfun.com/products/13851</t>
  </si>
  <si>
    <t>PRT-13851</t>
  </si>
  <si>
    <t xml:space="preserve">1 uF 0402 </t>
  </si>
  <si>
    <t>100 nF 0402</t>
  </si>
  <si>
    <t>3 segment screen</t>
  </si>
  <si>
    <t>https://www.digikey.com/product-detail/en/varitronix/VI-321-DP-RC-S/153-1101-ND/531266</t>
  </si>
  <si>
    <t>VI-321-DP-RC-S</t>
  </si>
  <si>
    <t>USB header</t>
  </si>
  <si>
    <t>10 uH 0805</t>
  </si>
  <si>
    <t>10k 0402</t>
  </si>
  <si>
    <t>56k 0402</t>
  </si>
  <si>
    <t>10k Thermistor 0402</t>
  </si>
  <si>
    <t>https://www.digikey.com/product-detail/en/stmicroelectronics/H3LIS200DLTR/497-15698-1-ND/5267984</t>
  </si>
  <si>
    <t>200g accel</t>
  </si>
  <si>
    <t>SAML21J</t>
  </si>
  <si>
    <t>PMIC/LDO</t>
  </si>
  <si>
    <t>https://www.digikey.com/product-detail/en/microchip-technology/ATSAML21J16B-AUT/ATSAML21J16B-AUTCT-ND/5702310</t>
  </si>
  <si>
    <t>https://www.digikey.com/product-detail/en/gct/USB4110-GF-A/2073-USB4110-GF-A-1-ND/10384548</t>
  </si>
  <si>
    <t>USB4110-GF-A</t>
  </si>
  <si>
    <t>H3LIS200DLTR</t>
  </si>
  <si>
    <t>ATSAML21J16B-AUT</t>
  </si>
  <si>
    <t>https://www.digikey.com/product-detail/en/texas-instruments/BQ25155YFPT/296-BQ25155YFPTCT-ND/10435202</t>
  </si>
  <si>
    <t>BQ25155YFPT</t>
  </si>
  <si>
    <t>PCB</t>
  </si>
  <si>
    <t>AllPCB 27 * 40 mm</t>
  </si>
  <si>
    <t>Resin</t>
  </si>
  <si>
    <t>Silicone</t>
  </si>
  <si>
    <t>PCBA</t>
  </si>
  <si>
    <t>100 SMT, 11 BOM</t>
  </si>
  <si>
    <t>https://www.allpcb.com/pcba_quote.html</t>
  </si>
  <si>
    <t>https://www.allpcb.com/online_pcb_quote.html</t>
  </si>
  <si>
    <t>CL21A226MQQNNNE</t>
  </si>
  <si>
    <t>CC0402KRX5R5BB105</t>
  </si>
  <si>
    <t>22 uF 0805</t>
  </si>
  <si>
    <t>CL05B104KO5NNNC</t>
  </si>
  <si>
    <t>LBR2012T100K</t>
  </si>
  <si>
    <t>RC0402FR-0710KL</t>
  </si>
  <si>
    <t>RC0402FR-0756KL</t>
  </si>
  <si>
    <t>NCP15XH103F03RC</t>
  </si>
  <si>
    <t>price per</t>
  </si>
  <si>
    <t>ext price</t>
  </si>
  <si>
    <t>best value</t>
  </si>
  <si>
    <t>2 oz/egg</t>
  </si>
  <si>
    <t>https://www.mcmaster.com/8644K58</t>
  </si>
  <si>
    <t>Mold release</t>
  </si>
  <si>
    <t>https://www.mcmaster.com/1409K52</t>
  </si>
  <si>
    <t>1409K52</t>
  </si>
  <si>
    <t>https://www.mcmaster.com/8595K15</t>
  </si>
  <si>
    <t>https://www.mcmaster.com/8595K14</t>
  </si>
  <si>
    <t>8595K14</t>
  </si>
  <si>
    <t>~40</t>
  </si>
  <si>
    <t>~35</t>
  </si>
  <si>
    <t>~30</t>
  </si>
  <si>
    <t>https://www.digikey.com/product-detail/en/yageo/CC0402KRX5R5BB105/311-1438-1-ND/2833744</t>
  </si>
  <si>
    <t>https://www.digikey.com/product-detail/en/samsung-electro-mechanics/CL21A226MQQNNNE/1276-1100-1-ND/3889186</t>
  </si>
  <si>
    <t>https://www.digikey.com/product-detail/en/samsung-electro-mechanics/CL05B104KO5NNNC/1276-1001-1-ND/3889087</t>
  </si>
  <si>
    <t>https://www.digikey.com/product-detail/en/taiyo-yuden/LBR2012T100K/587-2045-1-ND/1788992</t>
  </si>
  <si>
    <t>https://www.digikey.com/product-detail/en/yageo/RC0402FR-0710KL/311-10.0KLRCT-ND/729470</t>
  </si>
  <si>
    <t>https://www.digikey.com/product-detail/en/yageo/RC0402FR-0756KL/311-56.0KLRCT-ND/729582</t>
  </si>
  <si>
    <t>https://www.digikey.com/product-detail/en/murata-electronics/NCP15XH103F03RC/490-4801-1-ND/1644682</t>
  </si>
  <si>
    <t>2.2uF 0402</t>
  </si>
  <si>
    <t>https://www.digikey.com/product-detail/en/murata-electronics/GRM155R61A225KE95D/490-10451-1-ND/5026361</t>
  </si>
  <si>
    <t>GRM155R61A225KE95D</t>
  </si>
  <si>
    <t>System Qty:</t>
  </si>
  <si>
    <t>Component Qty to Order</t>
  </si>
  <si>
    <t>Component Qty/System</t>
  </si>
  <si>
    <t>Cost/System</t>
  </si>
  <si>
    <t>Alternate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</si>
</sst>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Cost vs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BOM!$X$28:$X$48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BOM!$Y$28:$Y$48</c:f>
              <c:numCache>
                <c:formatCode>General</c:formatCode>
                <c:ptCount val="21"/>
                <c:pt idx="0">
                  <c:v>180.82999999999998</c:v>
                </c:pt>
                <c:pt idx="1">
                  <c:v>58.201000000000008</c:v>
                </c:pt>
                <c:pt idx="2">
                  <c:v>41.628499999999988</c:v>
                </c:pt>
                <c:pt idx="3">
                  <c:v>38.548333333333325</c:v>
                </c:pt>
                <c:pt idx="4">
                  <c:v>36.639999999999993</c:v>
                </c:pt>
                <c:pt idx="5">
                  <c:v>34.514600000000002</c:v>
                </c:pt>
                <c:pt idx="6">
                  <c:v>34.448333333333323</c:v>
                </c:pt>
                <c:pt idx="7">
                  <c:v>34.411285714285711</c:v>
                </c:pt>
                <c:pt idx="8">
                  <c:v>34.246099999999998</c:v>
                </c:pt>
                <c:pt idx="9">
                  <c:v>33.778599999999997</c:v>
                </c:pt>
                <c:pt idx="10">
                  <c:v>33.260599999999997</c:v>
                </c:pt>
                <c:pt idx="11">
                  <c:v>33.260599999999997</c:v>
                </c:pt>
                <c:pt idx="12">
                  <c:v>33.260599999999997</c:v>
                </c:pt>
                <c:pt idx="13">
                  <c:v>33.24213846153846</c:v>
                </c:pt>
                <c:pt idx="14">
                  <c:v>33.21631428571429</c:v>
                </c:pt>
                <c:pt idx="15">
                  <c:v>32.84859999999999</c:v>
                </c:pt>
                <c:pt idx="16">
                  <c:v>32.520600000000002</c:v>
                </c:pt>
                <c:pt idx="17">
                  <c:v>31.976341176470587</c:v>
                </c:pt>
                <c:pt idx="18">
                  <c:v>31.163400000000003</c:v>
                </c:pt>
                <c:pt idx="19">
                  <c:v>30.18182105263158</c:v>
                </c:pt>
                <c:pt idx="20">
                  <c:v>29.229300000000002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4752-AC04-903631ED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56528"/>
        <c:axId val="1277141648"/>
      </c:scatterChart>
      <c:valAx>
        <c:axId val="12291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 (#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1648"/>
        <c:crosses val="autoZero"/>
        <c:crossBetween val="midCat"/>
        <c:majorUnit val="10"/>
      </c:valAx>
      <c:valAx>
        <c:axId val="1277141648"/>
        <c:scaling>
          <c:logBase val="2"/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Cost/Unit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285750</xdr:colOff>
      <xdr:row>26</xdr:row>
      <xdr:rowOff>185737</xdr:rowOff>
    </xdr:from>
    <xdr:to>
      <xdr:col>32</xdr:col>
      <xdr:colOff>571500</xdr:colOff>
      <xdr:row>41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197B4-BF77-4C66-800F-0BBC1A20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424-57BA-4A49-86A1-3A232E6B3ACD}">
  <dimension ref="A1:AM48"/>
  <sheetViews>
    <sheetView tabSelected="1" workbookViewId="0">
      <selection activeCell="D2" sqref="D2"/>
    </sheetView>
  </sheetViews>
  <sheetFormatPr defaultRowHeight="15" x14ac:dyDescent="0.25"/>
  <cols>
    <col min="1" max="1" width="15.5703125" bestFit="1" customWidth="1"/>
    <col min="2" max="2" width="19.85546875" bestFit="1" customWidth="1"/>
    <col min="3" max="3" width="22.5703125" bestFit="1" customWidth="1"/>
    <col min="4" max="4" width="23.28515625" bestFit="1" customWidth="1"/>
    <col min="5" max="5" width="114" bestFit="1" customWidth="1"/>
    <col min="6" max="6" width="40.5703125" bestFit="1" customWidth="1"/>
    <col min="8" max="8" width="15.140625" bestFit="1" customWidth="1"/>
    <col min="31" max="31" width="9.42578125" customWidth="1"/>
  </cols>
  <sheetData>
    <row r="1" spans="1:39" x14ac:dyDescent="0.25">
      <c r="A1" s="4" t="s">
        <v>69</v>
      </c>
      <c r="B1" s="5">
        <v>10</v>
      </c>
      <c r="J1" t="s">
        <v>1</v>
      </c>
      <c r="V1" t="s">
        <v>45</v>
      </c>
      <c r="AE1" t="s">
        <v>46</v>
      </c>
    </row>
    <row r="2" spans="1:39" x14ac:dyDescent="0.25">
      <c r="A2" t="s">
        <v>72</v>
      </c>
      <c r="B2" s="8">
        <f>AM24</f>
        <v>41.483999999999995</v>
      </c>
    </row>
    <row r="3" spans="1:39" x14ac:dyDescent="0.25">
      <c r="A3" s="9"/>
      <c r="B3" s="2"/>
    </row>
    <row r="4" spans="1:39" x14ac:dyDescent="0.25">
      <c r="A4" t="s">
        <v>3</v>
      </c>
      <c r="B4" t="s">
        <v>4</v>
      </c>
      <c r="C4" t="s">
        <v>71</v>
      </c>
      <c r="D4" s="7" t="s">
        <v>70</v>
      </c>
      <c r="E4" s="7" t="s">
        <v>2</v>
      </c>
      <c r="F4" s="3" t="s">
        <v>73</v>
      </c>
      <c r="J4">
        <v>1</v>
      </c>
      <c r="K4">
        <v>5</v>
      </c>
      <c r="L4">
        <v>10</v>
      </c>
      <c r="M4">
        <v>25</v>
      </c>
      <c r="N4">
        <v>50</v>
      </c>
      <c r="O4">
        <v>100</v>
      </c>
      <c r="P4">
        <v>500</v>
      </c>
      <c r="Q4">
        <v>1000</v>
      </c>
      <c r="V4">
        <f>J4</f>
        <v>1</v>
      </c>
      <c r="W4">
        <f>K4</f>
        <v>5</v>
      </c>
      <c r="X4">
        <f>L4</f>
        <v>10</v>
      </c>
      <c r="Y4">
        <f>M4</f>
        <v>25</v>
      </c>
      <c r="Z4">
        <f>N4</f>
        <v>50</v>
      </c>
      <c r="AA4">
        <f>O4</f>
        <v>100</v>
      </c>
      <c r="AB4">
        <f>P4</f>
        <v>500</v>
      </c>
      <c r="AC4">
        <f>Q4</f>
        <v>1000</v>
      </c>
      <c r="AE4">
        <f>V4</f>
        <v>1</v>
      </c>
      <c r="AF4">
        <f t="shared" ref="AF4:AJ4" si="0">W4</f>
        <v>5</v>
      </c>
      <c r="AG4">
        <f t="shared" si="0"/>
        <v>10</v>
      </c>
      <c r="AH4">
        <f t="shared" si="0"/>
        <v>25</v>
      </c>
      <c r="AI4">
        <f t="shared" si="0"/>
        <v>50</v>
      </c>
      <c r="AJ4">
        <f t="shared" si="0"/>
        <v>100</v>
      </c>
      <c r="AK4">
        <f t="shared" ref="AK4" si="1">AB4</f>
        <v>500</v>
      </c>
      <c r="AL4">
        <f t="shared" ref="AL4" si="2">AC4</f>
        <v>1000</v>
      </c>
      <c r="AM4" t="s">
        <v>47</v>
      </c>
    </row>
    <row r="5" spans="1:39" x14ac:dyDescent="0.25">
      <c r="A5" t="s">
        <v>0</v>
      </c>
      <c r="B5" t="s">
        <v>7</v>
      </c>
      <c r="C5">
        <v>1</v>
      </c>
      <c r="D5" s="6">
        <f>_xlfn.MAXIFS(AE$4:AL$4,AE5:AL5,CONCATENATE("=",AM5))</f>
        <v>10</v>
      </c>
      <c r="E5" s="6" t="s">
        <v>5</v>
      </c>
      <c r="F5" t="s">
        <v>6</v>
      </c>
      <c r="J5">
        <v>4.95</v>
      </c>
      <c r="U5">
        <f>B$1*C5</f>
        <v>10</v>
      </c>
      <c r="V5">
        <f>J5</f>
        <v>4.95</v>
      </c>
      <c r="W5">
        <f>IF(ISBLANK(K5),V5,K5)</f>
        <v>4.95</v>
      </c>
      <c r="X5">
        <f>IF(ISBLANK(L5),W5,L5)</f>
        <v>4.95</v>
      </c>
      <c r="Y5">
        <f>IF(ISBLANK(M5),X5,M5)</f>
        <v>4.95</v>
      </c>
      <c r="Z5">
        <f>IF(ISBLANK(N5),Y5,N5)</f>
        <v>4.95</v>
      </c>
      <c r="AA5">
        <f>IF(ISBLANK(O5),Z5,O5)</f>
        <v>4.95</v>
      </c>
      <c r="AB5">
        <f>IF(ISBLANK(P5),AA5,P5)</f>
        <v>4.95</v>
      </c>
      <c r="AC5">
        <f>IF(ISBLANK(Q5),AB5,Q5)</f>
        <v>4.95</v>
      </c>
      <c r="AE5">
        <f>V5*MAX($U5,AE$4)/$B$1</f>
        <v>4.95</v>
      </c>
      <c r="AF5">
        <f>W5*MAX($U5,AF$4)/$B$1</f>
        <v>4.95</v>
      </c>
      <c r="AG5">
        <f>X5*MAX($U5,AG$4)/$B$1</f>
        <v>4.95</v>
      </c>
      <c r="AH5">
        <f>Y5*MAX($U5,AH$4)/$B$1</f>
        <v>12.375</v>
      </c>
      <c r="AI5">
        <f>Z5*MAX($U5,AI$4)/$B$1</f>
        <v>24.75</v>
      </c>
      <c r="AJ5">
        <f>AA5*MAX($U5,AJ$4)/$B$1</f>
        <v>49.5</v>
      </c>
      <c r="AK5">
        <f>AB5*MAX($U5,AK$4)/$B$1</f>
        <v>247.5</v>
      </c>
      <c r="AL5">
        <f>AC5*MAX($U5,AL$4)/$B$1</f>
        <v>495</v>
      </c>
      <c r="AM5">
        <f>MIN(AE5:AL5)</f>
        <v>4.95</v>
      </c>
    </row>
    <row r="6" spans="1:39" x14ac:dyDescent="0.25">
      <c r="A6" t="s">
        <v>10</v>
      </c>
      <c r="B6" t="s">
        <v>12</v>
      </c>
      <c r="C6">
        <v>1</v>
      </c>
      <c r="D6" s="6">
        <f>_xlfn.MAXIFS(AE$4:AL$4,AE6:AL6,CONCATENATE("=",AM6))</f>
        <v>10</v>
      </c>
      <c r="E6" s="6" t="s">
        <v>11</v>
      </c>
      <c r="J6">
        <v>6.3</v>
      </c>
      <c r="L6">
        <v>5.25</v>
      </c>
      <c r="O6">
        <v>3.68</v>
      </c>
      <c r="P6">
        <v>3.0449999999999999</v>
      </c>
      <c r="Q6">
        <v>2.7930000000000001</v>
      </c>
      <c r="U6">
        <f>B$1*C6</f>
        <v>10</v>
      </c>
      <c r="V6">
        <f>J6</f>
        <v>6.3</v>
      </c>
      <c r="W6">
        <f>IF(ISBLANK(K6),V6,K6)</f>
        <v>6.3</v>
      </c>
      <c r="X6">
        <f>IF(ISBLANK(L6),W6,L6)</f>
        <v>5.25</v>
      </c>
      <c r="Y6">
        <f>IF(ISBLANK(M6),X6,M6)</f>
        <v>5.25</v>
      </c>
      <c r="Z6">
        <f>IF(ISBLANK(N6),Y6,N6)</f>
        <v>5.25</v>
      </c>
      <c r="AA6">
        <f>IF(ISBLANK(O6),Z6,O6)</f>
        <v>3.68</v>
      </c>
      <c r="AB6">
        <f>IF(ISBLANK(P6),AA6,P6)</f>
        <v>3.0449999999999999</v>
      </c>
      <c r="AC6">
        <f>IF(ISBLANK(Q6),AB6,Q6)</f>
        <v>2.7930000000000001</v>
      </c>
      <c r="AE6">
        <f>V6*MAX($U6,AE$4)/$B$1</f>
        <v>6.3</v>
      </c>
      <c r="AF6">
        <f>W6*MAX($U6,AF$4)/$B$1</f>
        <v>6.3</v>
      </c>
      <c r="AG6">
        <f>X6*MAX($U6,AG$4)/$B$1</f>
        <v>5.25</v>
      </c>
      <c r="AH6">
        <f>Y6*MAX($U6,AH$4)/$B$1</f>
        <v>13.125</v>
      </c>
      <c r="AI6">
        <f>Z6*MAX($U6,AI$4)/$B$1</f>
        <v>26.25</v>
      </c>
      <c r="AJ6">
        <f>AA6*MAX($U6,AJ$4)/$B$1</f>
        <v>36.799999999999997</v>
      </c>
      <c r="AK6">
        <f>AB6*MAX($U6,AK$4)/$B$1</f>
        <v>152.25</v>
      </c>
      <c r="AL6">
        <f>AC6*MAX($U6,AL$4)/$B$1</f>
        <v>279.3</v>
      </c>
      <c r="AM6">
        <f t="shared" ref="AM6:AM22" si="3">MIN(AE6:AL6)</f>
        <v>5.25</v>
      </c>
    </row>
    <row r="7" spans="1:39" x14ac:dyDescent="0.25">
      <c r="A7" t="s">
        <v>13</v>
      </c>
      <c r="B7" t="s">
        <v>24</v>
      </c>
      <c r="C7">
        <v>1</v>
      </c>
      <c r="D7" s="6">
        <f>_xlfn.MAXIFS(AE$4:AL$4,AE7:AL7,CONCATENATE("=",AM7))</f>
        <v>10</v>
      </c>
      <c r="E7" s="6" t="s">
        <v>23</v>
      </c>
      <c r="J7">
        <v>1.37</v>
      </c>
      <c r="L7">
        <v>1.25</v>
      </c>
      <c r="M7">
        <v>1.69</v>
      </c>
      <c r="N7">
        <v>1.1200000000000001</v>
      </c>
      <c r="O7">
        <v>1.0669999999999999</v>
      </c>
      <c r="P7" s="1">
        <v>0.88936000000000004</v>
      </c>
      <c r="Q7" s="1"/>
      <c r="U7">
        <f>B$1*C7</f>
        <v>10</v>
      </c>
      <c r="V7">
        <f>J7</f>
        <v>1.37</v>
      </c>
      <c r="W7">
        <f>IF(ISBLANK(K7),V7,K7)</f>
        <v>1.37</v>
      </c>
      <c r="X7">
        <f>IF(ISBLANK(L7),W7,L7)</f>
        <v>1.25</v>
      </c>
      <c r="Y7">
        <f>IF(ISBLANK(M7),X7,M7)</f>
        <v>1.69</v>
      </c>
      <c r="Z7">
        <f>IF(ISBLANK(N7),Y7,N7)</f>
        <v>1.1200000000000001</v>
      </c>
      <c r="AA7">
        <f>IF(ISBLANK(O7),Z7,O7)</f>
        <v>1.0669999999999999</v>
      </c>
      <c r="AB7">
        <f>IF(ISBLANK(P7),AA7,P7)</f>
        <v>0.88936000000000004</v>
      </c>
      <c r="AC7">
        <f>IF(ISBLANK(Q7),AB7,Q7)</f>
        <v>0.88936000000000004</v>
      </c>
      <c r="AE7">
        <f>V7*MAX($U7,AE$4)/$B$1</f>
        <v>1.37</v>
      </c>
      <c r="AF7">
        <f>W7*MAX($U7,AF$4)/$B$1</f>
        <v>1.37</v>
      </c>
      <c r="AG7">
        <f>X7*MAX($U7,AG$4)/$B$1</f>
        <v>1.25</v>
      </c>
      <c r="AH7">
        <f>Y7*MAX($U7,AH$4)/$B$1</f>
        <v>4.2249999999999996</v>
      </c>
      <c r="AI7">
        <f>Z7*MAX($U7,AI$4)/$B$1</f>
        <v>5.6000000000000005</v>
      </c>
      <c r="AJ7">
        <f>AA7*MAX($U7,AJ$4)/$B$1</f>
        <v>10.669999999999998</v>
      </c>
      <c r="AK7">
        <f>AB7*MAX($U7,AK$4)/$B$1</f>
        <v>44.468000000000004</v>
      </c>
      <c r="AL7">
        <f>AC7*MAX($U7,AL$4)/$B$1</f>
        <v>88.936000000000007</v>
      </c>
      <c r="AM7">
        <f t="shared" si="3"/>
        <v>1.25</v>
      </c>
    </row>
    <row r="8" spans="1:39" x14ac:dyDescent="0.25">
      <c r="A8" t="s">
        <v>19</v>
      </c>
      <c r="B8" t="s">
        <v>25</v>
      </c>
      <c r="C8">
        <v>1</v>
      </c>
      <c r="D8" s="6">
        <f>_xlfn.MAXIFS(AE$4:AL$4,AE8:AL8,CONCATENATE("=",AM8))</f>
        <v>10</v>
      </c>
      <c r="E8" s="6" t="s">
        <v>18</v>
      </c>
      <c r="J8">
        <v>7.34</v>
      </c>
      <c r="L8">
        <v>6.63</v>
      </c>
      <c r="M8">
        <v>6.34</v>
      </c>
      <c r="O8">
        <v>5.49</v>
      </c>
      <c r="P8">
        <v>4.7825199999999999</v>
      </c>
      <c r="Q8">
        <v>4.1654299999999997</v>
      </c>
      <c r="U8">
        <f>B$1*C8</f>
        <v>10</v>
      </c>
      <c r="V8">
        <f>J8</f>
        <v>7.34</v>
      </c>
      <c r="W8">
        <f>IF(ISBLANK(K8),V8,K8)</f>
        <v>7.34</v>
      </c>
      <c r="X8">
        <f>IF(ISBLANK(L8),W8,L8)</f>
        <v>6.63</v>
      </c>
      <c r="Y8">
        <f>IF(ISBLANK(M8),X8,M8)</f>
        <v>6.34</v>
      </c>
      <c r="Z8">
        <f>IF(ISBLANK(N8),Y8,N8)</f>
        <v>6.34</v>
      </c>
      <c r="AA8">
        <f>IF(ISBLANK(O8),Z8,O8)</f>
        <v>5.49</v>
      </c>
      <c r="AB8">
        <f>IF(ISBLANK(P8),AA8,P8)</f>
        <v>4.7825199999999999</v>
      </c>
      <c r="AC8">
        <f>IF(ISBLANK(Q8),AB8,Q8)</f>
        <v>4.1654299999999997</v>
      </c>
      <c r="AE8">
        <f>V8*MAX($U8,AE$4)/$B$1</f>
        <v>7.3400000000000007</v>
      </c>
      <c r="AF8">
        <f>W8*MAX($U8,AF$4)/$B$1</f>
        <v>7.3400000000000007</v>
      </c>
      <c r="AG8">
        <f>X8*MAX($U8,AG$4)/$B$1</f>
        <v>6.63</v>
      </c>
      <c r="AH8">
        <f>Y8*MAX($U8,AH$4)/$B$1</f>
        <v>15.85</v>
      </c>
      <c r="AI8">
        <f>Z8*MAX($U8,AI$4)/$B$1</f>
        <v>31.7</v>
      </c>
      <c r="AJ8">
        <f>AA8*MAX($U8,AJ$4)/$B$1</f>
        <v>54.9</v>
      </c>
      <c r="AK8">
        <f>AB8*MAX($U8,AK$4)/$B$1</f>
        <v>239.12599999999998</v>
      </c>
      <c r="AL8">
        <f>AC8*MAX($U8,AL$4)/$B$1</f>
        <v>416.54299999999995</v>
      </c>
      <c r="AM8">
        <f t="shared" si="3"/>
        <v>6.63</v>
      </c>
    </row>
    <row r="9" spans="1:39" x14ac:dyDescent="0.25">
      <c r="A9" t="s">
        <v>20</v>
      </c>
      <c r="B9" t="s">
        <v>26</v>
      </c>
      <c r="C9">
        <v>1</v>
      </c>
      <c r="D9" s="6">
        <f>_xlfn.MAXIFS(AE$4:AL$4,AE9:AL9,CONCATENATE("=",AM9))</f>
        <v>10</v>
      </c>
      <c r="E9" s="6" t="s">
        <v>22</v>
      </c>
      <c r="J9">
        <v>3.32</v>
      </c>
      <c r="M9">
        <v>3.02</v>
      </c>
      <c r="O9">
        <v>2.73</v>
      </c>
      <c r="U9">
        <f>B$1*C9</f>
        <v>10</v>
      </c>
      <c r="V9">
        <f>J9</f>
        <v>3.32</v>
      </c>
      <c r="W9">
        <f>IF(ISBLANK(K9),V9,K9)</f>
        <v>3.32</v>
      </c>
      <c r="X9">
        <f>IF(ISBLANK(L9),W9,L9)</f>
        <v>3.32</v>
      </c>
      <c r="Y9">
        <f>IF(ISBLANK(M9),X9,M9)</f>
        <v>3.02</v>
      </c>
      <c r="Z9">
        <f>IF(ISBLANK(N9),Y9,N9)</f>
        <v>3.02</v>
      </c>
      <c r="AA9">
        <f>IF(ISBLANK(O9),Z9,O9)</f>
        <v>2.73</v>
      </c>
      <c r="AB9">
        <f>IF(ISBLANK(P9),AA9,P9)</f>
        <v>2.73</v>
      </c>
      <c r="AC9">
        <f>IF(ISBLANK(Q9),AB9,Q9)</f>
        <v>2.73</v>
      </c>
      <c r="AE9">
        <f>V9*MAX($U9,AE$4)/$B$1</f>
        <v>3.3199999999999994</v>
      </c>
      <c r="AF9">
        <f>W9*MAX($U9,AF$4)/$B$1</f>
        <v>3.3199999999999994</v>
      </c>
      <c r="AG9">
        <f>X9*MAX($U9,AG$4)/$B$1</f>
        <v>3.3199999999999994</v>
      </c>
      <c r="AH9">
        <f>Y9*MAX($U9,AH$4)/$B$1</f>
        <v>7.55</v>
      </c>
      <c r="AI9">
        <f>Z9*MAX($U9,AI$4)/$B$1</f>
        <v>15.1</v>
      </c>
      <c r="AJ9">
        <f>AA9*MAX($U9,AJ$4)/$B$1</f>
        <v>27.3</v>
      </c>
      <c r="AK9">
        <f>AB9*MAX($U9,AK$4)/$B$1</f>
        <v>136.5</v>
      </c>
      <c r="AL9">
        <f>AC9*MAX($U9,AL$4)/$B$1</f>
        <v>273</v>
      </c>
      <c r="AM9">
        <f t="shared" si="3"/>
        <v>3.3199999999999994</v>
      </c>
    </row>
    <row r="10" spans="1:39" x14ac:dyDescent="0.25">
      <c r="A10" t="s">
        <v>21</v>
      </c>
      <c r="B10" t="s">
        <v>28</v>
      </c>
      <c r="C10">
        <v>1</v>
      </c>
      <c r="D10" s="6">
        <f>_xlfn.MAXIFS(AE$4:AL$4,AE10:AL10,CONCATENATE("=",AM10))</f>
        <v>10</v>
      </c>
      <c r="E10" s="6" t="s">
        <v>27</v>
      </c>
      <c r="J10">
        <v>3.31</v>
      </c>
      <c r="L10">
        <v>2.98</v>
      </c>
      <c r="M10">
        <v>2.81</v>
      </c>
      <c r="O10">
        <v>2.31</v>
      </c>
      <c r="U10">
        <f>B$1*C10</f>
        <v>10</v>
      </c>
      <c r="V10">
        <f>J10</f>
        <v>3.31</v>
      </c>
      <c r="W10">
        <f>IF(ISBLANK(K10),V10,K10)</f>
        <v>3.31</v>
      </c>
      <c r="X10">
        <f>IF(ISBLANK(L10),W10,L10)</f>
        <v>2.98</v>
      </c>
      <c r="Y10">
        <f>IF(ISBLANK(M10),X10,M10)</f>
        <v>2.81</v>
      </c>
      <c r="Z10">
        <f>IF(ISBLANK(N10),Y10,N10)</f>
        <v>2.81</v>
      </c>
      <c r="AA10">
        <f>IF(ISBLANK(O10),Z10,O10)</f>
        <v>2.31</v>
      </c>
      <c r="AB10">
        <f>IF(ISBLANK(P10),AA10,P10)</f>
        <v>2.31</v>
      </c>
      <c r="AC10">
        <f>IF(ISBLANK(Q10),AB10,Q10)</f>
        <v>2.31</v>
      </c>
      <c r="AE10">
        <f>V10*MAX($U10,AE$4)/$B$1</f>
        <v>3.31</v>
      </c>
      <c r="AF10">
        <f>W10*MAX($U10,AF$4)/$B$1</f>
        <v>3.31</v>
      </c>
      <c r="AG10">
        <f>X10*MAX($U10,AG$4)/$B$1</f>
        <v>2.98</v>
      </c>
      <c r="AH10">
        <f>Y10*MAX($U10,AH$4)/$B$1</f>
        <v>7.0250000000000004</v>
      </c>
      <c r="AI10">
        <f>Z10*MAX($U10,AI$4)/$B$1</f>
        <v>14.05</v>
      </c>
      <c r="AJ10">
        <f>AA10*MAX($U10,AJ$4)/$B$1</f>
        <v>23.1</v>
      </c>
      <c r="AK10">
        <f>AB10*MAX($U10,AK$4)/$B$1</f>
        <v>115.5</v>
      </c>
      <c r="AL10">
        <f>AC10*MAX($U10,AL$4)/$B$1</f>
        <v>231</v>
      </c>
      <c r="AM10">
        <f t="shared" si="3"/>
        <v>2.98</v>
      </c>
    </row>
    <row r="11" spans="1:39" x14ac:dyDescent="0.25">
      <c r="A11" t="s">
        <v>8</v>
      </c>
      <c r="B11" t="s">
        <v>38</v>
      </c>
      <c r="C11">
        <v>2</v>
      </c>
      <c r="D11" s="6">
        <f>_xlfn.MAXIFS(AE$4:AL$4,AE11:AL11,CONCATENATE("=",AM11))</f>
        <v>10</v>
      </c>
      <c r="E11" s="6" t="s">
        <v>59</v>
      </c>
      <c r="J11">
        <v>0.1</v>
      </c>
      <c r="L11">
        <v>4.7E-2</v>
      </c>
      <c r="O11">
        <v>2.1000000000000001E-2</v>
      </c>
      <c r="P11">
        <v>1.502E-2</v>
      </c>
      <c r="Q11">
        <v>1.18E-2</v>
      </c>
      <c r="U11">
        <f>B$1*C11</f>
        <v>20</v>
      </c>
      <c r="V11">
        <f>J11</f>
        <v>0.1</v>
      </c>
      <c r="W11">
        <f>IF(ISBLANK(K11),V11,K11)</f>
        <v>0.1</v>
      </c>
      <c r="X11">
        <f>IF(ISBLANK(L11),W11,L11)</f>
        <v>4.7E-2</v>
      </c>
      <c r="Y11">
        <f>IF(ISBLANK(M11),X11,M11)</f>
        <v>4.7E-2</v>
      </c>
      <c r="Z11">
        <f>IF(ISBLANK(N11),Y11,N11)</f>
        <v>4.7E-2</v>
      </c>
      <c r="AA11">
        <f>IF(ISBLANK(O11),Z11,O11)</f>
        <v>2.1000000000000001E-2</v>
      </c>
      <c r="AB11">
        <f>IF(ISBLANK(P11),AA11,P11)</f>
        <v>1.502E-2</v>
      </c>
      <c r="AC11">
        <f>IF(ISBLANK(Q11),AB11,Q11)</f>
        <v>1.18E-2</v>
      </c>
      <c r="AE11">
        <f>V11*MAX($U11,AE$4)/$B$1</f>
        <v>0.2</v>
      </c>
      <c r="AF11">
        <f>W11*MAX($U11,AF$4)/$B$1</f>
        <v>0.2</v>
      </c>
      <c r="AG11">
        <f>X11*MAX($U11,AG$4)/$B$1</f>
        <v>9.4E-2</v>
      </c>
      <c r="AH11">
        <f>Y11*MAX($U11,AH$4)/$B$1</f>
        <v>0.11750000000000001</v>
      </c>
      <c r="AI11">
        <f>Z11*MAX($U11,AI$4)/$B$1</f>
        <v>0.23500000000000001</v>
      </c>
      <c r="AJ11">
        <f>AA11*MAX($U11,AJ$4)/$B$1</f>
        <v>0.21000000000000002</v>
      </c>
      <c r="AK11">
        <f>AB11*MAX($U11,AK$4)/$B$1</f>
        <v>0.751</v>
      </c>
      <c r="AL11">
        <f>AC11*MAX($U11,AL$4)/$B$1</f>
        <v>1.18</v>
      </c>
      <c r="AM11">
        <f t="shared" si="3"/>
        <v>9.4E-2</v>
      </c>
    </row>
    <row r="12" spans="1:39" x14ac:dyDescent="0.25">
      <c r="A12" s="2" t="s">
        <v>66</v>
      </c>
      <c r="B12" t="s">
        <v>68</v>
      </c>
      <c r="C12">
        <v>3</v>
      </c>
      <c r="D12" s="6">
        <f>_xlfn.MAXIFS(AE$4:AL$4,AE12:AL12,CONCATENATE("=",AM12))</f>
        <v>25</v>
      </c>
      <c r="E12" s="6" t="s">
        <v>67</v>
      </c>
      <c r="J12">
        <v>0.12</v>
      </c>
      <c r="L12">
        <v>8.7999999999999995E-2</v>
      </c>
      <c r="O12">
        <v>4.1399999999999999E-2</v>
      </c>
      <c r="P12">
        <v>2.9000000000000001E-2</v>
      </c>
      <c r="Q12">
        <v>2.0500000000000001E-2</v>
      </c>
      <c r="U12">
        <f>B$1*C12</f>
        <v>30</v>
      </c>
      <c r="V12">
        <f>J12</f>
        <v>0.12</v>
      </c>
      <c r="W12">
        <f>IF(ISBLANK(K12),V12,K12)</f>
        <v>0.12</v>
      </c>
      <c r="X12">
        <f>IF(ISBLANK(L12),W12,L12)</f>
        <v>8.7999999999999995E-2</v>
      </c>
      <c r="Y12">
        <f>IF(ISBLANK(M12),X12,M12)</f>
        <v>8.7999999999999995E-2</v>
      </c>
      <c r="Z12">
        <f>IF(ISBLANK(N12),Y12,N12)</f>
        <v>8.7999999999999995E-2</v>
      </c>
      <c r="AA12">
        <f>IF(ISBLANK(O12),Z12,O12)</f>
        <v>4.1399999999999999E-2</v>
      </c>
      <c r="AB12">
        <f>IF(ISBLANK(P12),AA12,P12)</f>
        <v>2.9000000000000001E-2</v>
      </c>
      <c r="AC12">
        <f>IF(ISBLANK(Q12),AB12,Q12)</f>
        <v>2.0500000000000001E-2</v>
      </c>
      <c r="AE12">
        <f>V12*MAX($U12,AE$4)/$B$1</f>
        <v>0.36</v>
      </c>
      <c r="AF12">
        <f>W12*MAX($U12,AF$4)/$B$1</f>
        <v>0.36</v>
      </c>
      <c r="AG12">
        <f>X12*MAX($U12,AG$4)/$B$1</f>
        <v>0.26399999999999996</v>
      </c>
      <c r="AH12">
        <f>Y12*MAX($U12,AH$4)/$B$1</f>
        <v>0.26399999999999996</v>
      </c>
      <c r="AI12">
        <f>Z12*MAX($U12,AI$4)/$B$1</f>
        <v>0.43999999999999995</v>
      </c>
      <c r="AJ12">
        <f>AA12*MAX($U12,AJ$4)/$B$1</f>
        <v>0.41399999999999998</v>
      </c>
      <c r="AK12">
        <f>AB12*MAX($U12,AK$4)/$B$1</f>
        <v>1.45</v>
      </c>
      <c r="AL12">
        <f>AC12*MAX($U12,AL$4)/$B$1</f>
        <v>2.0499999999999998</v>
      </c>
      <c r="AM12">
        <f t="shared" ref="AM12" si="4">MIN(AE12:AL12)</f>
        <v>0.26399999999999996</v>
      </c>
    </row>
    <row r="13" spans="1:39" x14ac:dyDescent="0.25">
      <c r="A13" t="s">
        <v>39</v>
      </c>
      <c r="B13" t="s">
        <v>37</v>
      </c>
      <c r="C13">
        <v>2</v>
      </c>
      <c r="D13" s="6">
        <f>_xlfn.MAXIFS(AE$4:AL$4,AE13:AL13,CONCATENATE("=",AM13))</f>
        <v>10</v>
      </c>
      <c r="E13" s="6" t="s">
        <v>60</v>
      </c>
      <c r="J13">
        <v>0.18</v>
      </c>
      <c r="L13">
        <v>0.121</v>
      </c>
      <c r="O13">
        <v>6.0999999999999999E-2</v>
      </c>
      <c r="P13">
        <v>4.2040000000000001E-2</v>
      </c>
      <c r="Q13">
        <v>3.7190000000000001E-2</v>
      </c>
      <c r="U13">
        <f>B$1*C13</f>
        <v>20</v>
      </c>
      <c r="V13">
        <f>J13</f>
        <v>0.18</v>
      </c>
      <c r="W13">
        <f>IF(ISBLANK(K13),V13,K13)</f>
        <v>0.18</v>
      </c>
      <c r="X13">
        <f>IF(ISBLANK(L13),W13,L13)</f>
        <v>0.121</v>
      </c>
      <c r="Y13">
        <f>IF(ISBLANK(M13),X13,M13)</f>
        <v>0.121</v>
      </c>
      <c r="Z13">
        <f>IF(ISBLANK(N13),Y13,N13)</f>
        <v>0.121</v>
      </c>
      <c r="AA13">
        <f>IF(ISBLANK(O13),Z13,O13)</f>
        <v>6.0999999999999999E-2</v>
      </c>
      <c r="AB13">
        <f>IF(ISBLANK(P13),AA13,P13)</f>
        <v>4.2040000000000001E-2</v>
      </c>
      <c r="AC13">
        <f>IF(ISBLANK(Q13),AB13,Q13)</f>
        <v>3.7190000000000001E-2</v>
      </c>
      <c r="AE13">
        <f>V13*MAX($U13,AE$4)/$B$1</f>
        <v>0.36</v>
      </c>
      <c r="AF13">
        <f>W13*MAX($U13,AF$4)/$B$1</f>
        <v>0.36</v>
      </c>
      <c r="AG13">
        <f>X13*MAX($U13,AG$4)/$B$1</f>
        <v>0.24199999999999999</v>
      </c>
      <c r="AH13">
        <f>Y13*MAX($U13,AH$4)/$B$1</f>
        <v>0.30249999999999999</v>
      </c>
      <c r="AI13">
        <f>Z13*MAX($U13,AI$4)/$B$1</f>
        <v>0.60499999999999998</v>
      </c>
      <c r="AJ13">
        <f>AA13*MAX($U13,AJ$4)/$B$1</f>
        <v>0.61</v>
      </c>
      <c r="AK13">
        <f>AB13*MAX($U13,AK$4)/$B$1</f>
        <v>2.1019999999999999</v>
      </c>
      <c r="AL13">
        <f>AC13*MAX($U13,AL$4)/$B$1</f>
        <v>3.7189999999999999</v>
      </c>
      <c r="AM13">
        <f t="shared" si="3"/>
        <v>0.24199999999999999</v>
      </c>
    </row>
    <row r="14" spans="1:39" x14ac:dyDescent="0.25">
      <c r="A14" t="s">
        <v>9</v>
      </c>
      <c r="B14" t="s">
        <v>40</v>
      </c>
      <c r="C14">
        <v>4</v>
      </c>
      <c r="D14" s="6">
        <f>_xlfn.MAXIFS(AE$4:AL$4,AE14:AL14,CONCATENATE("=",AM14))</f>
        <v>25</v>
      </c>
      <c r="E14" s="6" t="s">
        <v>61</v>
      </c>
      <c r="J14">
        <v>0.1</v>
      </c>
      <c r="L14">
        <v>2.4E-2</v>
      </c>
      <c r="O14">
        <v>1.0999999999999999E-2</v>
      </c>
      <c r="P14">
        <v>7.6600000000000001E-3</v>
      </c>
      <c r="Q14">
        <v>6.0200000000000002E-3</v>
      </c>
      <c r="U14">
        <f>B$1*C14</f>
        <v>40</v>
      </c>
      <c r="V14">
        <f>J14</f>
        <v>0.1</v>
      </c>
      <c r="W14">
        <f>IF(ISBLANK(K14),V14,K14)</f>
        <v>0.1</v>
      </c>
      <c r="X14">
        <f>IF(ISBLANK(L14),W14,L14)</f>
        <v>2.4E-2</v>
      </c>
      <c r="Y14">
        <f>IF(ISBLANK(M14),X14,M14)</f>
        <v>2.4E-2</v>
      </c>
      <c r="Z14">
        <f>IF(ISBLANK(N14),Y14,N14)</f>
        <v>2.4E-2</v>
      </c>
      <c r="AA14">
        <f>IF(ISBLANK(O14),Z14,O14)</f>
        <v>1.0999999999999999E-2</v>
      </c>
      <c r="AB14">
        <f>IF(ISBLANK(P14),AA14,P14)</f>
        <v>7.6600000000000001E-3</v>
      </c>
      <c r="AC14">
        <f>IF(ISBLANK(Q14),AB14,Q14)</f>
        <v>6.0200000000000002E-3</v>
      </c>
      <c r="AE14">
        <f>V14*MAX($U14,AE$4)/$B$1</f>
        <v>0.4</v>
      </c>
      <c r="AF14">
        <f>W14*MAX($U14,AF$4)/$B$1</f>
        <v>0.4</v>
      </c>
      <c r="AG14">
        <f>X14*MAX($U14,AG$4)/$B$1</f>
        <v>9.6000000000000002E-2</v>
      </c>
      <c r="AH14">
        <f>Y14*MAX($U14,AH$4)/$B$1</f>
        <v>9.6000000000000002E-2</v>
      </c>
      <c r="AI14">
        <f>Z14*MAX($U14,AI$4)/$B$1</f>
        <v>0.12</v>
      </c>
      <c r="AJ14">
        <f>AA14*MAX($U14,AJ$4)/$B$1</f>
        <v>0.10999999999999999</v>
      </c>
      <c r="AK14">
        <f>AB14*MAX($U14,AK$4)/$B$1</f>
        <v>0.38300000000000001</v>
      </c>
      <c r="AL14">
        <f>AC14*MAX($U14,AL$4)/$B$1</f>
        <v>0.60200000000000009</v>
      </c>
      <c r="AM14">
        <f t="shared" si="3"/>
        <v>9.6000000000000002E-2</v>
      </c>
    </row>
    <row r="15" spans="1:39" x14ac:dyDescent="0.25">
      <c r="A15" t="s">
        <v>14</v>
      </c>
      <c r="B15" t="s">
        <v>41</v>
      </c>
      <c r="C15">
        <v>1</v>
      </c>
      <c r="D15" s="6">
        <f>_xlfn.MAXIFS(AE$4:AL$4,AE15:AL15,CONCATENATE("=",AM15))</f>
        <v>10</v>
      </c>
      <c r="E15" s="6" t="s">
        <v>62</v>
      </c>
      <c r="J15">
        <v>0.14000000000000001</v>
      </c>
      <c r="L15">
        <v>0.13</v>
      </c>
      <c r="O15">
        <v>8.5999999999999993E-2</v>
      </c>
      <c r="P15">
        <v>7.1879999999999999E-2</v>
      </c>
      <c r="Q15">
        <v>6.0380000000000003E-2</v>
      </c>
      <c r="U15">
        <f>B$1*C15</f>
        <v>10</v>
      </c>
      <c r="V15">
        <f>J15</f>
        <v>0.14000000000000001</v>
      </c>
      <c r="W15">
        <f>IF(ISBLANK(K15),V15,K15)</f>
        <v>0.14000000000000001</v>
      </c>
      <c r="X15">
        <f>IF(ISBLANK(L15),W15,L15)</f>
        <v>0.13</v>
      </c>
      <c r="Y15">
        <f>IF(ISBLANK(M15),X15,M15)</f>
        <v>0.13</v>
      </c>
      <c r="Z15">
        <f>IF(ISBLANK(N15),Y15,N15)</f>
        <v>0.13</v>
      </c>
      <c r="AA15">
        <f>IF(ISBLANK(O15),Z15,O15)</f>
        <v>8.5999999999999993E-2</v>
      </c>
      <c r="AB15">
        <f>IF(ISBLANK(P15),AA15,P15)</f>
        <v>7.1879999999999999E-2</v>
      </c>
      <c r="AC15">
        <f>IF(ISBLANK(Q15),AB15,Q15)</f>
        <v>6.0380000000000003E-2</v>
      </c>
      <c r="AE15">
        <f>V15*MAX($U15,AE$4)/$B$1</f>
        <v>0.14000000000000001</v>
      </c>
      <c r="AF15">
        <f>W15*MAX($U15,AF$4)/$B$1</f>
        <v>0.14000000000000001</v>
      </c>
      <c r="AG15">
        <f>X15*MAX($U15,AG$4)/$B$1</f>
        <v>0.13</v>
      </c>
      <c r="AH15">
        <f>Y15*MAX($U15,AH$4)/$B$1</f>
        <v>0.32500000000000001</v>
      </c>
      <c r="AI15">
        <f>Z15*MAX($U15,AI$4)/$B$1</f>
        <v>0.65</v>
      </c>
      <c r="AJ15">
        <f>AA15*MAX($U15,AJ$4)/$B$1</f>
        <v>0.86</v>
      </c>
      <c r="AK15">
        <f>AB15*MAX($U15,AK$4)/$B$1</f>
        <v>3.5939999999999999</v>
      </c>
      <c r="AL15">
        <f>AC15*MAX($U15,AL$4)/$B$1</f>
        <v>6.0380000000000003</v>
      </c>
      <c r="AM15">
        <f t="shared" si="3"/>
        <v>0.13</v>
      </c>
    </row>
    <row r="16" spans="1:39" x14ac:dyDescent="0.25">
      <c r="A16" t="s">
        <v>15</v>
      </c>
      <c r="B16" t="s">
        <v>42</v>
      </c>
      <c r="C16">
        <v>5</v>
      </c>
      <c r="D16" s="6">
        <f>_xlfn.MAXIFS(AE$4:AL$4,AE16:AL16,CONCATENATE("=",AM16))</f>
        <v>100</v>
      </c>
      <c r="E16" s="6" t="s">
        <v>63</v>
      </c>
      <c r="J16">
        <v>0.1</v>
      </c>
      <c r="L16">
        <v>1.6E-2</v>
      </c>
      <c r="O16">
        <v>6.4000000000000003E-3</v>
      </c>
      <c r="Q16">
        <v>2.8900000000000002E-3</v>
      </c>
      <c r="U16">
        <f>B$1*C16</f>
        <v>50</v>
      </c>
      <c r="V16">
        <f>J16</f>
        <v>0.1</v>
      </c>
      <c r="W16">
        <f>IF(ISBLANK(K16),V16,K16)</f>
        <v>0.1</v>
      </c>
      <c r="X16">
        <f>IF(ISBLANK(L16),W16,L16)</f>
        <v>1.6E-2</v>
      </c>
      <c r="Y16">
        <f>IF(ISBLANK(M16),X16,M16)</f>
        <v>1.6E-2</v>
      </c>
      <c r="Z16">
        <f>IF(ISBLANK(N16),Y16,N16)</f>
        <v>1.6E-2</v>
      </c>
      <c r="AA16">
        <f>IF(ISBLANK(O16),Z16,O16)</f>
        <v>6.4000000000000003E-3</v>
      </c>
      <c r="AB16">
        <f>IF(ISBLANK(P16),AA16,P16)</f>
        <v>6.4000000000000003E-3</v>
      </c>
      <c r="AC16">
        <f>IF(ISBLANK(Q16),AB16,Q16)</f>
        <v>2.8900000000000002E-3</v>
      </c>
      <c r="AE16">
        <f>V16*MAX($U16,AE$4)/$B$1</f>
        <v>0.5</v>
      </c>
      <c r="AF16">
        <f>W16*MAX($U16,AF$4)/$B$1</f>
        <v>0.5</v>
      </c>
      <c r="AG16">
        <f>X16*MAX($U16,AG$4)/$B$1</f>
        <v>0.08</v>
      </c>
      <c r="AH16">
        <f>Y16*MAX($U16,AH$4)/$B$1</f>
        <v>0.08</v>
      </c>
      <c r="AI16">
        <f>Z16*MAX($U16,AI$4)/$B$1</f>
        <v>0.08</v>
      </c>
      <c r="AJ16">
        <f>AA16*MAX($U16,AJ$4)/$B$1</f>
        <v>6.4000000000000001E-2</v>
      </c>
      <c r="AK16">
        <f>AB16*MAX($U16,AK$4)/$B$1</f>
        <v>0.32</v>
      </c>
      <c r="AL16">
        <f>AC16*MAX($U16,AL$4)/$B$1</f>
        <v>0.28900000000000003</v>
      </c>
      <c r="AM16">
        <f t="shared" si="3"/>
        <v>6.4000000000000001E-2</v>
      </c>
    </row>
    <row r="17" spans="1:39" x14ac:dyDescent="0.25">
      <c r="A17" t="s">
        <v>16</v>
      </c>
      <c r="B17" t="s">
        <v>43</v>
      </c>
      <c r="C17">
        <v>2</v>
      </c>
      <c r="D17" s="6">
        <f>_xlfn.MAXIFS(AE$4:AL$4,AE17:AL17,CONCATENATE("=",AM17))</f>
        <v>10</v>
      </c>
      <c r="E17" s="6" t="s">
        <v>64</v>
      </c>
      <c r="J17">
        <v>0.1</v>
      </c>
      <c r="L17">
        <v>1.6E-2</v>
      </c>
      <c r="O17">
        <v>6.4000000000000003E-3</v>
      </c>
      <c r="Q17">
        <v>2.8900000000000002E-3</v>
      </c>
      <c r="U17">
        <f>B$1*C17</f>
        <v>20</v>
      </c>
      <c r="V17">
        <f>J17</f>
        <v>0.1</v>
      </c>
      <c r="W17">
        <f>IF(ISBLANK(K17),V17,K17)</f>
        <v>0.1</v>
      </c>
      <c r="X17">
        <f>IF(ISBLANK(L17),W17,L17)</f>
        <v>1.6E-2</v>
      </c>
      <c r="Y17">
        <f>IF(ISBLANK(M17),X17,M17)</f>
        <v>1.6E-2</v>
      </c>
      <c r="Z17">
        <f>IF(ISBLANK(N17),Y17,N17)</f>
        <v>1.6E-2</v>
      </c>
      <c r="AA17">
        <f>IF(ISBLANK(O17),Z17,O17)</f>
        <v>6.4000000000000003E-3</v>
      </c>
      <c r="AB17">
        <f>IF(ISBLANK(P17),AA17,P17)</f>
        <v>6.4000000000000003E-3</v>
      </c>
      <c r="AC17">
        <f>IF(ISBLANK(Q17),AB17,Q17)</f>
        <v>2.8900000000000002E-3</v>
      </c>
      <c r="AE17">
        <f>V17*MAX($U17,AE$4)/$B$1</f>
        <v>0.2</v>
      </c>
      <c r="AF17">
        <f>W17*MAX($U17,AF$4)/$B$1</f>
        <v>0.2</v>
      </c>
      <c r="AG17">
        <f>X17*MAX($U17,AG$4)/$B$1</f>
        <v>3.2000000000000001E-2</v>
      </c>
      <c r="AH17">
        <f>Y17*MAX($U17,AH$4)/$B$1</f>
        <v>0.04</v>
      </c>
      <c r="AI17">
        <f>Z17*MAX($U17,AI$4)/$B$1</f>
        <v>0.08</v>
      </c>
      <c r="AJ17">
        <f>AA17*MAX($U17,AJ$4)/$B$1</f>
        <v>6.4000000000000001E-2</v>
      </c>
      <c r="AK17">
        <f>AB17*MAX($U17,AK$4)/$B$1</f>
        <v>0.32</v>
      </c>
      <c r="AL17">
        <f>AC17*MAX($U17,AL$4)/$B$1</f>
        <v>0.28900000000000003</v>
      </c>
      <c r="AM17">
        <f t="shared" si="3"/>
        <v>3.2000000000000001E-2</v>
      </c>
    </row>
    <row r="18" spans="1:39" x14ac:dyDescent="0.25">
      <c r="A18" t="s">
        <v>17</v>
      </c>
      <c r="B18" t="s">
        <v>44</v>
      </c>
      <c r="C18">
        <v>1</v>
      </c>
      <c r="D18" s="6">
        <f>_xlfn.MAXIFS(AE$4:AL$4,AE18:AL18,CONCATENATE("=",AM18))</f>
        <v>10</v>
      </c>
      <c r="E18" s="6" t="s">
        <v>65</v>
      </c>
      <c r="J18">
        <v>0.14000000000000001</v>
      </c>
      <c r="K18">
        <v>0.13400000000000001</v>
      </c>
      <c r="L18">
        <v>0.12</v>
      </c>
      <c r="M18">
        <v>0.11</v>
      </c>
      <c r="N18">
        <v>0.08</v>
      </c>
      <c r="O18">
        <v>7.5999999999999998E-2</v>
      </c>
      <c r="P18" s="1">
        <v>6.6299999999999998E-2</v>
      </c>
      <c r="Q18">
        <v>5.6829999999999999E-2</v>
      </c>
      <c r="U18">
        <f>B$1*C18</f>
        <v>10</v>
      </c>
      <c r="V18">
        <f>J18</f>
        <v>0.14000000000000001</v>
      </c>
      <c r="W18">
        <f>IF(ISBLANK(K18),V18,K18)</f>
        <v>0.13400000000000001</v>
      </c>
      <c r="X18">
        <f>IF(ISBLANK(L18),W18,L18)</f>
        <v>0.12</v>
      </c>
      <c r="Y18">
        <f>IF(ISBLANK(M18),X18,M18)</f>
        <v>0.11</v>
      </c>
      <c r="Z18">
        <f>IF(ISBLANK(N18),Y18,N18)</f>
        <v>0.08</v>
      </c>
      <c r="AA18">
        <f>IF(ISBLANK(O18),Z18,O18)</f>
        <v>7.5999999999999998E-2</v>
      </c>
      <c r="AB18">
        <f>IF(ISBLANK(P18),AA18,P18)</f>
        <v>6.6299999999999998E-2</v>
      </c>
      <c r="AC18">
        <f>IF(ISBLANK(Q18),AB18,Q18)</f>
        <v>5.6829999999999999E-2</v>
      </c>
      <c r="AE18">
        <f>V18*MAX($U18,AE$4)/$B$1</f>
        <v>0.14000000000000001</v>
      </c>
      <c r="AF18">
        <f>W18*MAX($U18,AF$4)/$B$1</f>
        <v>0.13400000000000001</v>
      </c>
      <c r="AG18">
        <f>X18*MAX($U18,AG$4)/$B$1</f>
        <v>0.12</v>
      </c>
      <c r="AH18">
        <f>Y18*MAX($U18,AH$4)/$B$1</f>
        <v>0.27500000000000002</v>
      </c>
      <c r="AI18">
        <f>Z18*MAX($U18,AI$4)/$B$1</f>
        <v>0.4</v>
      </c>
      <c r="AJ18">
        <f>AA18*MAX($U18,AJ$4)/$B$1</f>
        <v>0.76</v>
      </c>
      <c r="AK18">
        <f>AB18*MAX($U18,AK$4)/$B$1</f>
        <v>3.3149999999999999</v>
      </c>
      <c r="AL18">
        <f>AC18*MAX($U18,AL$4)/$B$1</f>
        <v>5.6829999999999998</v>
      </c>
      <c r="AM18">
        <f t="shared" si="3"/>
        <v>0.12</v>
      </c>
    </row>
    <row r="19" spans="1:39" x14ac:dyDescent="0.25">
      <c r="A19" t="s">
        <v>29</v>
      </c>
      <c r="B19" t="s">
        <v>30</v>
      </c>
      <c r="C19">
        <v>1</v>
      </c>
      <c r="D19" s="6">
        <f>_xlfn.MAXIFS(AE$4:AL$4,AE19:AL19,CONCATENATE("=",AM19))</f>
        <v>10</v>
      </c>
      <c r="E19" s="6" t="s">
        <v>36</v>
      </c>
      <c r="J19">
        <v>5</v>
      </c>
      <c r="K19">
        <v>1</v>
      </c>
      <c r="L19">
        <f>7/10</f>
        <v>0.7</v>
      </c>
      <c r="M19">
        <f>8/25</f>
        <v>0.32</v>
      </c>
      <c r="N19">
        <f>14/50</f>
        <v>0.28000000000000003</v>
      </c>
      <c r="O19">
        <f>17/100</f>
        <v>0.17</v>
      </c>
      <c r="U19">
        <f>B$1*C19</f>
        <v>10</v>
      </c>
      <c r="V19">
        <f>J19</f>
        <v>5</v>
      </c>
      <c r="W19">
        <f>IF(ISBLANK(K19),V19,K19)</f>
        <v>1</v>
      </c>
      <c r="X19">
        <f>IF(ISBLANK(L19),W19,L19)</f>
        <v>0.7</v>
      </c>
      <c r="Y19">
        <f>IF(ISBLANK(M19),X19,M19)</f>
        <v>0.32</v>
      </c>
      <c r="Z19">
        <f>IF(ISBLANK(N19),Y19,N19)</f>
        <v>0.28000000000000003</v>
      </c>
      <c r="AA19">
        <f>IF(ISBLANK(O19),Z19,O19)</f>
        <v>0.17</v>
      </c>
      <c r="AB19">
        <f>IF(ISBLANK(P19),AA19,P19)</f>
        <v>0.17</v>
      </c>
      <c r="AC19">
        <f>IF(ISBLANK(Q19),AB19,Q19)</f>
        <v>0.17</v>
      </c>
      <c r="AE19">
        <f>V19*MAX($U19,AE$4)/$B$1</f>
        <v>5</v>
      </c>
      <c r="AF19">
        <f>W19*MAX($U19,AF$4)/$B$1</f>
        <v>1</v>
      </c>
      <c r="AG19">
        <f>X19*MAX($U19,AG$4)/$B$1</f>
        <v>0.7</v>
      </c>
      <c r="AH19">
        <f>Y19*MAX($U19,AH$4)/$B$1</f>
        <v>0.8</v>
      </c>
      <c r="AI19">
        <f>Z19*MAX($U19,AI$4)/$B$1</f>
        <v>1.4000000000000001</v>
      </c>
      <c r="AJ19">
        <f>AA19*MAX($U19,AJ$4)/$B$1</f>
        <v>1.7</v>
      </c>
      <c r="AK19">
        <f>AB19*MAX($U19,AK$4)/$B$1</f>
        <v>8.5</v>
      </c>
      <c r="AL19">
        <f>AC19*MAX($U19,AL$4)/$B$1</f>
        <v>17</v>
      </c>
      <c r="AM19">
        <f t="shared" si="3"/>
        <v>0.7</v>
      </c>
    </row>
    <row r="20" spans="1:39" x14ac:dyDescent="0.25">
      <c r="A20" t="s">
        <v>33</v>
      </c>
      <c r="B20" t="s">
        <v>34</v>
      </c>
      <c r="C20">
        <v>1</v>
      </c>
      <c r="D20" s="6">
        <f>_xlfn.MAXIFS(AE$4:AL$4,AE20:AL20,CONCATENATE("=",AM20))</f>
        <v>10</v>
      </c>
      <c r="E20" s="6" t="s">
        <v>35</v>
      </c>
      <c r="J20">
        <f>K20*5</f>
        <v>88.31</v>
      </c>
      <c r="K20">
        <f>88.31/5</f>
        <v>17.661999999999999</v>
      </c>
      <c r="L20">
        <f>93.38/10</f>
        <v>9.3379999999999992</v>
      </c>
      <c r="M20">
        <f>101.36/25</f>
        <v>4.0544000000000002</v>
      </c>
      <c r="N20">
        <f>156.36/50</f>
        <v>3.1272000000000002</v>
      </c>
      <c r="O20">
        <f>252/100</f>
        <v>2.52</v>
      </c>
      <c r="U20">
        <f>B$1*C20</f>
        <v>10</v>
      </c>
      <c r="V20">
        <f>J20</f>
        <v>88.31</v>
      </c>
      <c r="W20">
        <f>IF(ISBLANK(K20),V20,K20)</f>
        <v>17.661999999999999</v>
      </c>
      <c r="X20">
        <f>IF(ISBLANK(L20),W20,L20)</f>
        <v>9.3379999999999992</v>
      </c>
      <c r="Y20">
        <f>IF(ISBLANK(M20),X20,M20)</f>
        <v>4.0544000000000002</v>
      </c>
      <c r="Z20">
        <f>IF(ISBLANK(N20),Y20,N20)</f>
        <v>3.1272000000000002</v>
      </c>
      <c r="AA20">
        <f>IF(ISBLANK(O20),Z20,O20)</f>
        <v>2.52</v>
      </c>
      <c r="AB20">
        <f>IF(ISBLANK(P20),AA20,P20)</f>
        <v>2.52</v>
      </c>
      <c r="AC20">
        <f>IF(ISBLANK(Q20),AB20,Q20)</f>
        <v>2.52</v>
      </c>
      <c r="AE20">
        <f>V20*MAX($U20,AE$4)/$B$1</f>
        <v>88.31</v>
      </c>
      <c r="AF20">
        <f>W20*MAX($U20,AF$4)/$B$1</f>
        <v>17.661999999999999</v>
      </c>
      <c r="AG20">
        <f>X20*MAX($U20,AG$4)/$B$1</f>
        <v>9.3379999999999992</v>
      </c>
      <c r="AH20">
        <f>Y20*MAX($U20,AH$4)/$B$1</f>
        <v>10.135999999999999</v>
      </c>
      <c r="AI20">
        <f>Z20*MAX($U20,AI$4)/$B$1</f>
        <v>15.636000000000001</v>
      </c>
      <c r="AJ20">
        <f>AA20*MAX($U20,AJ$4)/$B$1</f>
        <v>25.2</v>
      </c>
      <c r="AK20">
        <f>AB20*MAX($U20,AK$4)/$B$1</f>
        <v>126</v>
      </c>
      <c r="AL20">
        <f>AC20*MAX($U20,AL$4)/$B$1</f>
        <v>252</v>
      </c>
      <c r="AM20">
        <f t="shared" si="3"/>
        <v>9.3379999999999992</v>
      </c>
    </row>
    <row r="21" spans="1:39" x14ac:dyDescent="0.25">
      <c r="A21" t="s">
        <v>31</v>
      </c>
      <c r="B21" t="s">
        <v>48</v>
      </c>
      <c r="C21">
        <v>1</v>
      </c>
      <c r="D21" s="6">
        <f>_xlfn.MAXIFS(AE$4:AL$4,AE21:AL21,CONCATENATE("=",AM21))</f>
        <v>10</v>
      </c>
      <c r="E21" s="6" t="s">
        <v>49</v>
      </c>
      <c r="J21">
        <v>35.71</v>
      </c>
      <c r="K21">
        <f>35.71/5</f>
        <v>7.1420000000000003</v>
      </c>
      <c r="L21">
        <f>35.71/10</f>
        <v>3.5710000000000002</v>
      </c>
      <c r="U21">
        <f>B$1*C21</f>
        <v>10</v>
      </c>
      <c r="V21">
        <f>J21</f>
        <v>35.71</v>
      </c>
      <c r="W21">
        <f>IF(ISBLANK(K21),V21,K21)</f>
        <v>7.1420000000000003</v>
      </c>
      <c r="X21">
        <f>IF(ISBLANK(L21),W21,L21)</f>
        <v>3.5710000000000002</v>
      </c>
      <c r="Y21">
        <f>IF(ISBLANK(M21),X21,M21)</f>
        <v>3.5710000000000002</v>
      </c>
      <c r="Z21">
        <f>IF(ISBLANK(N21),Y21,N21)</f>
        <v>3.5710000000000002</v>
      </c>
      <c r="AA21">
        <f>IF(ISBLANK(O21),Z21,O21)</f>
        <v>3.5710000000000002</v>
      </c>
      <c r="AB21">
        <f>IF(ISBLANK(P21),AA21,P21)</f>
        <v>3.5710000000000002</v>
      </c>
      <c r="AC21">
        <f>IF(ISBLANK(Q21),AB21,Q21)</f>
        <v>3.5710000000000002</v>
      </c>
      <c r="AE21">
        <f>V21*MAX($U21,AE$4)/$B$1</f>
        <v>35.71</v>
      </c>
      <c r="AF21">
        <f>W21*MAX($U21,AF$4)/$B$1</f>
        <v>7.1420000000000003</v>
      </c>
      <c r="AG21">
        <f>X21*MAX($U21,AG$4)/$B$1</f>
        <v>3.5710000000000002</v>
      </c>
      <c r="AH21">
        <f>Y21*MAX($U21,AH$4)/$B$1</f>
        <v>8.9275000000000002</v>
      </c>
      <c r="AI21">
        <f>Z21*MAX($U21,AI$4)/$B$1</f>
        <v>17.855</v>
      </c>
      <c r="AJ21">
        <f>AA21*MAX($U21,AJ$4)/$B$1</f>
        <v>35.71</v>
      </c>
      <c r="AK21">
        <f>AB21*MAX($U21,AK$4)/$B$1</f>
        <v>178.55</v>
      </c>
      <c r="AL21">
        <f>AC21*MAX($U21,AL$4)/$B$1</f>
        <v>357.1</v>
      </c>
      <c r="AM21">
        <f t="shared" si="3"/>
        <v>3.5710000000000002</v>
      </c>
    </row>
    <row r="22" spans="1:39" x14ac:dyDescent="0.25">
      <c r="A22" t="s">
        <v>32</v>
      </c>
      <c r="B22" t="s">
        <v>55</v>
      </c>
      <c r="C22">
        <v>1</v>
      </c>
      <c r="D22" s="6">
        <f>_xlfn.MAXIFS(AE$4:AL$4,AE22:AL22,CONCATENATE("=",AM22))</f>
        <v>10</v>
      </c>
      <c r="E22" s="6" t="s">
        <v>54</v>
      </c>
      <c r="F22" s="2" t="s">
        <v>53</v>
      </c>
      <c r="J22">
        <f>K22*5</f>
        <v>14.34</v>
      </c>
      <c r="K22">
        <f>14.34/5</f>
        <v>2.8679999999999999</v>
      </c>
      <c r="L22">
        <f>79.3/50</f>
        <v>1.5859999999999999</v>
      </c>
      <c r="U22">
        <f>B$1*C22</f>
        <v>10</v>
      </c>
      <c r="V22">
        <f>J22</f>
        <v>14.34</v>
      </c>
      <c r="W22">
        <f>IF(ISBLANK(K22),V22,K22)</f>
        <v>2.8679999999999999</v>
      </c>
      <c r="X22">
        <f>IF(ISBLANK(L22),W22,L22)</f>
        <v>1.5859999999999999</v>
      </c>
      <c r="Y22">
        <f>IF(ISBLANK(M22),X22,M22)</f>
        <v>1.5859999999999999</v>
      </c>
      <c r="Z22">
        <f>IF(ISBLANK(N22),Y22,N22)</f>
        <v>1.5859999999999999</v>
      </c>
      <c r="AA22">
        <f>IF(ISBLANK(O22),Z22,O22)</f>
        <v>1.5859999999999999</v>
      </c>
      <c r="AB22">
        <f>IF(ISBLANK(P22),AA22,P22)</f>
        <v>1.5859999999999999</v>
      </c>
      <c r="AC22">
        <f>IF(ISBLANK(Q22),AB22,Q22)</f>
        <v>1.5859999999999999</v>
      </c>
      <c r="AE22">
        <f>V22*MAX($U22,AE$4)/$B$1</f>
        <v>14.34</v>
      </c>
      <c r="AF22">
        <f>W22*MAX($U22,AF$4)/$B$1</f>
        <v>2.8679999999999999</v>
      </c>
      <c r="AG22">
        <f>X22*MAX($U22,AG$4)/$B$1</f>
        <v>1.5859999999999999</v>
      </c>
      <c r="AH22">
        <f>Y22*MAX($U22,AH$4)/$B$1</f>
        <v>3.9649999999999999</v>
      </c>
      <c r="AI22">
        <f>Z22*MAX($U22,AI$4)/$B$1</f>
        <v>7.93</v>
      </c>
      <c r="AJ22">
        <f>AA22*MAX($U22,AJ$4)/$B$1</f>
        <v>15.86</v>
      </c>
      <c r="AK22">
        <f>AB22*MAX($U22,AK$4)/$B$1</f>
        <v>79.299999999999983</v>
      </c>
      <c r="AL22">
        <f>AC22*MAX($U22,AL$4)/$B$1</f>
        <v>158.59999999999997</v>
      </c>
      <c r="AM22">
        <f t="shared" si="3"/>
        <v>1.5859999999999999</v>
      </c>
    </row>
    <row r="23" spans="1:39" x14ac:dyDescent="0.25">
      <c r="A23" t="s">
        <v>50</v>
      </c>
      <c r="B23" t="s">
        <v>52</v>
      </c>
      <c r="C23">
        <v>1</v>
      </c>
      <c r="D23" s="6">
        <f>_xlfn.MAXIFS(AE$4:AL$4,AE23:AL23,CONCATENATE("=",AM23))</f>
        <v>10</v>
      </c>
      <c r="E23" s="6" t="s">
        <v>51</v>
      </c>
      <c r="J23">
        <v>8.67</v>
      </c>
      <c r="K23">
        <f>$J23/K4</f>
        <v>1.734</v>
      </c>
      <c r="L23">
        <f>$J23/L4</f>
        <v>0.86699999999999999</v>
      </c>
      <c r="M23">
        <f>2*$J23/M4</f>
        <v>0.69359999999999999</v>
      </c>
      <c r="N23">
        <f>5*$J23/N4</f>
        <v>0.86699999999999999</v>
      </c>
      <c r="O23">
        <f>10*$J23/O4</f>
        <v>0.86699999999999999</v>
      </c>
      <c r="U23">
        <f>B$1*C23</f>
        <v>10</v>
      </c>
      <c r="V23">
        <f>J23</f>
        <v>8.67</v>
      </c>
      <c r="W23">
        <f>IF(ISBLANK(K23),V23,K23)</f>
        <v>1.734</v>
      </c>
      <c r="X23">
        <f>IF(ISBLANK(L23),W23,L23)</f>
        <v>0.86699999999999999</v>
      </c>
      <c r="Y23">
        <f>IF(ISBLANK(M23),X23,M23)</f>
        <v>0.69359999999999999</v>
      </c>
      <c r="Z23">
        <f>IF(ISBLANK(N23),Y23,N23)</f>
        <v>0.86699999999999999</v>
      </c>
      <c r="AA23">
        <f>IF(ISBLANK(O23),Z23,O23)</f>
        <v>0.86699999999999999</v>
      </c>
      <c r="AB23">
        <f>IF(ISBLANK(P23),AA23,P23)</f>
        <v>0.86699999999999999</v>
      </c>
      <c r="AC23">
        <f>IF(ISBLANK(Q23),AB23,Q23)</f>
        <v>0.86699999999999999</v>
      </c>
      <c r="AE23">
        <f>V23*MAX($U23,AE$4)/$B$1</f>
        <v>8.67</v>
      </c>
      <c r="AF23">
        <f>W23*MAX($U23,AF$4)/$B$1</f>
        <v>1.734</v>
      </c>
      <c r="AG23">
        <f>X23*MAX($U23,AG$4)/$B$1</f>
        <v>0.86699999999999999</v>
      </c>
      <c r="AH23">
        <f>Y23*MAX($U23,AH$4)/$B$1</f>
        <v>1.734</v>
      </c>
      <c r="AI23">
        <f>Z23*MAX($U23,AI$4)/$B$1</f>
        <v>4.335</v>
      </c>
      <c r="AJ23">
        <f>AA23*MAX($U23,AJ$4)/$B$1</f>
        <v>8.67</v>
      </c>
      <c r="AK23">
        <f>AB23*MAX($U23,AK$4)/$B$1</f>
        <v>43.35</v>
      </c>
      <c r="AL23">
        <f>AC23*MAX($U23,AL$4)/$B$1</f>
        <v>86.7</v>
      </c>
      <c r="AM23">
        <f t="shared" ref="AM23" si="5">MIN(AE23:AL23)</f>
        <v>0.86699999999999999</v>
      </c>
    </row>
    <row r="24" spans="1:39" x14ac:dyDescent="0.25">
      <c r="AM24">
        <f>SUM(AM5:AM23)</f>
        <v>41.483999999999995</v>
      </c>
    </row>
    <row r="28" spans="1:39" x14ac:dyDescent="0.25">
      <c r="X28">
        <v>1</v>
      </c>
      <c r="Y28">
        <v>180.82999999999998</v>
      </c>
    </row>
    <row r="29" spans="1:39" x14ac:dyDescent="0.25">
      <c r="X29">
        <v>5</v>
      </c>
      <c r="Y29">
        <v>58.201000000000008</v>
      </c>
    </row>
    <row r="30" spans="1:39" x14ac:dyDescent="0.25">
      <c r="X30">
        <f>X29+5</f>
        <v>10</v>
      </c>
      <c r="Y30">
        <v>41.628499999999988</v>
      </c>
    </row>
    <row r="31" spans="1:39" x14ac:dyDescent="0.25">
      <c r="X31">
        <f t="shared" ref="X31:X48" si="6">X30+5</f>
        <v>15</v>
      </c>
      <c r="Y31">
        <v>38.548333333333325</v>
      </c>
    </row>
    <row r="32" spans="1:39" x14ac:dyDescent="0.25">
      <c r="X32">
        <f t="shared" si="6"/>
        <v>20</v>
      </c>
      <c r="Y32">
        <v>36.639999999999993</v>
      </c>
    </row>
    <row r="33" spans="24:29" x14ac:dyDescent="0.25">
      <c r="X33">
        <f t="shared" si="6"/>
        <v>25</v>
      </c>
      <c r="Y33">
        <v>34.514600000000002</v>
      </c>
    </row>
    <row r="34" spans="24:29" x14ac:dyDescent="0.25">
      <c r="X34">
        <f t="shared" si="6"/>
        <v>30</v>
      </c>
      <c r="Y34">
        <v>34.448333333333323</v>
      </c>
    </row>
    <row r="35" spans="24:29" x14ac:dyDescent="0.25">
      <c r="X35">
        <f t="shared" si="6"/>
        <v>35</v>
      </c>
      <c r="Y35">
        <v>34.411285714285711</v>
      </c>
    </row>
    <row r="36" spans="24:29" x14ac:dyDescent="0.25">
      <c r="X36">
        <f t="shared" si="6"/>
        <v>40</v>
      </c>
      <c r="Y36">
        <v>34.246099999999998</v>
      </c>
    </row>
    <row r="37" spans="24:29" x14ac:dyDescent="0.25">
      <c r="X37">
        <f t="shared" si="6"/>
        <v>45</v>
      </c>
      <c r="Y37">
        <v>33.778599999999997</v>
      </c>
    </row>
    <row r="38" spans="24:29" x14ac:dyDescent="0.25">
      <c r="X38">
        <f t="shared" si="6"/>
        <v>50</v>
      </c>
      <c r="Y38">
        <v>33.260599999999997</v>
      </c>
    </row>
    <row r="39" spans="24:29" x14ac:dyDescent="0.25">
      <c r="X39">
        <f t="shared" si="6"/>
        <v>55</v>
      </c>
      <c r="Y39">
        <v>33.260599999999997</v>
      </c>
    </row>
    <row r="40" spans="24:29" x14ac:dyDescent="0.25">
      <c r="X40">
        <f t="shared" si="6"/>
        <v>60</v>
      </c>
      <c r="Y40">
        <v>33.260599999999997</v>
      </c>
    </row>
    <row r="41" spans="24:29" x14ac:dyDescent="0.25">
      <c r="X41">
        <f t="shared" si="6"/>
        <v>65</v>
      </c>
      <c r="Y41">
        <v>33.24213846153846</v>
      </c>
    </row>
    <row r="42" spans="24:29" x14ac:dyDescent="0.25">
      <c r="X42">
        <f t="shared" si="6"/>
        <v>70</v>
      </c>
      <c r="Y42">
        <v>33.21631428571429</v>
      </c>
    </row>
    <row r="43" spans="24:29" x14ac:dyDescent="0.25">
      <c r="X43">
        <f t="shared" si="6"/>
        <v>75</v>
      </c>
      <c r="Y43">
        <v>32.84859999999999</v>
      </c>
    </row>
    <row r="44" spans="24:29" x14ac:dyDescent="0.25">
      <c r="X44">
        <f t="shared" si="6"/>
        <v>80</v>
      </c>
      <c r="Y44">
        <v>32.520600000000002</v>
      </c>
    </row>
    <row r="45" spans="24:29" x14ac:dyDescent="0.25">
      <c r="X45">
        <f t="shared" si="6"/>
        <v>85</v>
      </c>
      <c r="Y45">
        <v>31.976341176470587</v>
      </c>
    </row>
    <row r="46" spans="24:29" x14ac:dyDescent="0.25">
      <c r="X46">
        <f t="shared" si="6"/>
        <v>90</v>
      </c>
      <c r="Y46">
        <v>31.163400000000003</v>
      </c>
      <c r="AB46">
        <v>10</v>
      </c>
      <c r="AC46" t="s">
        <v>56</v>
      </c>
    </row>
    <row r="47" spans="24:29" x14ac:dyDescent="0.25">
      <c r="X47">
        <f t="shared" si="6"/>
        <v>95</v>
      </c>
      <c r="Y47">
        <v>30.18182105263158</v>
      </c>
      <c r="AB47">
        <v>25</v>
      </c>
      <c r="AC47" t="s">
        <v>57</v>
      </c>
    </row>
    <row r="48" spans="24:29" x14ac:dyDescent="0.25">
      <c r="X48">
        <f t="shared" si="6"/>
        <v>100</v>
      </c>
      <c r="Y48">
        <v>29.229300000000002</v>
      </c>
      <c r="AB48">
        <v>100</v>
      </c>
      <c r="AC48" t="s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2020-01-03T10:45:58Z</dcterms:created>
  <dcterms:modified xsi:type="dcterms:W3CDTF">2020-01-10T07:06:28Z</dcterms:modified>
</cp:coreProperties>
</file>