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lg\code\chuck_model\calcs\"/>
    </mc:Choice>
  </mc:AlternateContent>
  <xr:revisionPtr revIDLastSave="0" documentId="13_ncr:1_{F1694AAA-0A4E-4382-B9AA-1C886071FCCC}" xr6:coauthVersionLast="47" xr6:coauthVersionMax="47" xr10:uidLastSave="{00000000-0000-0000-0000-000000000000}"/>
  <bookViews>
    <workbookView xWindow="38280" yWindow="-120" windowWidth="38640" windowHeight="21120" xr2:uid="{4AEC8417-F2BC-4921-A4C3-11F562BCC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88" i="1"/>
  <c r="B59" i="1"/>
  <c r="B60" i="1" s="1"/>
  <c r="B55" i="1"/>
  <c r="B56" i="1"/>
  <c r="B54" i="1"/>
  <c r="B70" i="1"/>
  <c r="B71" i="1" s="1"/>
  <c r="B74" i="1"/>
  <c r="B79" i="1"/>
  <c r="B75" i="1"/>
  <c r="B76" i="1"/>
  <c r="B50" i="1"/>
  <c r="B22" i="1"/>
  <c r="B49" i="1" s="1"/>
  <c r="C70" i="1"/>
  <c r="C66" i="1"/>
  <c r="B61" i="1" l="1"/>
  <c r="B65" i="1"/>
  <c r="B77" i="1"/>
  <c r="B51" i="1"/>
  <c r="B90" i="1" s="1"/>
  <c r="B66" i="1"/>
  <c r="B67" i="1" s="1"/>
  <c r="E61" i="1" l="1"/>
  <c r="G61" i="1" s="1"/>
  <c r="B84" i="1"/>
  <c r="B57" i="1"/>
  <c r="B58" i="1" l="1"/>
  <c r="B62" i="1"/>
  <c r="B68" i="1" s="1"/>
  <c r="E62" i="1" l="1"/>
  <c r="G62" i="1" s="1"/>
  <c r="B69" i="1"/>
  <c r="B78" i="1"/>
  <c r="B80" i="1" s="1"/>
  <c r="B83" i="1"/>
  <c r="B85" i="1" s="1"/>
  <c r="B86" i="1" s="1"/>
  <c r="B87" i="1" l="1"/>
  <c r="B89" i="1" s="1"/>
  <c r="B91" i="1" l="1"/>
  <c r="B92" i="1" s="1"/>
  <c r="B96" i="1" l="1"/>
  <c r="B95" i="1"/>
  <c r="B98" i="1" l="1"/>
  <c r="B97" i="1"/>
  <c r="B99" i="1" s="1"/>
</calcChain>
</file>

<file path=xl/sharedStrings.xml><?xml version="1.0" encoding="utf-8"?>
<sst xmlns="http://schemas.openxmlformats.org/spreadsheetml/2006/main" count="207" uniqueCount="168">
  <si>
    <t>Parameter</t>
  </si>
  <si>
    <t>Value</t>
  </si>
  <si>
    <t>Units</t>
  </si>
  <si>
    <t>Notes</t>
  </si>
  <si>
    <t>N*cm</t>
  </si>
  <si>
    <t>RPM</t>
  </si>
  <si>
    <t>https://www.omc-stepperonline.com/nema-17-bipolar-45ncm-63-74oz-in-1-5a-42x42x39mm-4-wires-w-1m-pin-connector-17hs15-1504s-x1</t>
  </si>
  <si>
    <t>N</t>
  </si>
  <si>
    <t>kgf</t>
  </si>
  <si>
    <t>Motor Sizing</t>
  </si>
  <si>
    <t>Inputs</t>
  </si>
  <si>
    <t>Motor</t>
  </si>
  <si>
    <t>Gears</t>
  </si>
  <si>
    <t>motor torque</t>
  </si>
  <si>
    <t>motor speed</t>
  </si>
  <si>
    <t>gearbox ratio</t>
  </si>
  <si>
    <t>gear module</t>
  </si>
  <si>
    <t>mm</t>
  </si>
  <si>
    <t>gear module for slip gear and wheel gear</t>
  </si>
  <si>
    <t>slip gear pitch diameter</t>
  </si>
  <si>
    <t>slip gear teeth (original)</t>
  </si>
  <si>
    <t>slip gear teeth (remaining)</t>
  </si>
  <si>
    <t>Number of teeth on gear before removal of teeth</t>
  </si>
  <si>
    <t>Number of teeth remaining on gear</t>
  </si>
  <si>
    <t>wheel gear pitch diameter</t>
  </si>
  <si>
    <t>Wheel</t>
  </si>
  <si>
    <t>wheel diameter</t>
  </si>
  <si>
    <t>diameter of drive wheel</t>
  </si>
  <si>
    <t>rope diameter</t>
  </si>
  <si>
    <t>diameter of rope</t>
  </si>
  <si>
    <t>effective wheel diameter</t>
  </si>
  <si>
    <t>effective diameter of wheel for torque calculations (wheel_diameter + 2*(rope_diameter/2))</t>
  </si>
  <si>
    <t>Shafts</t>
  </si>
  <si>
    <t>shaft diameter</t>
  </si>
  <si>
    <t>shaft width across flats</t>
  </si>
  <si>
    <t>Outputs</t>
  </si>
  <si>
    <t>speed at wheel</t>
  </si>
  <si>
    <t>launch period</t>
  </si>
  <si>
    <t>s</t>
  </si>
  <si>
    <t>overall gear ratio</t>
  </si>
  <si>
    <t>gear ratio including slip/wheel gears</t>
  </si>
  <si>
    <t>wheel speed</t>
  </si>
  <si>
    <t>time to complete one "launch cycle"</t>
  </si>
  <si>
    <t>effective wheel circumference</t>
  </si>
  <si>
    <t>effective total circumference of wheel (pull range for one complete rotation)</t>
  </si>
  <si>
    <t>gear meshing fraction</t>
  </si>
  <si>
    <t>effective pull range</t>
  </si>
  <si>
    <t>approximate distance which the wheel will pull the rope during a "launch cycle"</t>
  </si>
  <si>
    <t>fraction of a complete duration during which the remaining slip gear teeth are meshed with the wheel gear ((remaining_teeth + 0.5)/full_teeth)</t>
  </si>
  <si>
    <t>Shaft Sizing</t>
  </si>
  <si>
    <t>Material Properties</t>
  </si>
  <si>
    <t>PLA tensile strength</t>
  </si>
  <si>
    <t>Mpa</t>
  </si>
  <si>
    <t>https://store.bblcdn.com/s5/default/6cc09734a85147e9a6d3307ffd808498.pdf</t>
  </si>
  <si>
    <t>polar section modulus (circ)</t>
  </si>
  <si>
    <t>polar section modulus (rect)</t>
  </si>
  <si>
    <t>torsional strength reduction</t>
  </si>
  <si>
    <t>reduction in torsional strength of shaft due to flats</t>
  </si>
  <si>
    <t>torsional shear stress</t>
  </si>
  <si>
    <t>MPa</t>
  </si>
  <si>
    <t>mm^3</t>
  </si>
  <si>
    <t>polar section modulus for shaft without flats (for reference) (per pg 278 of Machinery's Handbook 26th Ed)</t>
  </si>
  <si>
    <t>polar section modulus for double-d-shaft, approximating it as a rectangular section  (per pg 278 of Machinery's Handbook 26th Ed)</t>
  </si>
  <si>
    <t>approximate torsional shear stress in shaft</t>
  </si>
  <si>
    <t>allowable shear stress</t>
  </si>
  <si>
    <t>shear stress at ultimate failure</t>
  </si>
  <si>
    <t>aspect ratio of shaft</t>
  </si>
  <si>
    <t>relative size of flats to shaft diameter</t>
  </si>
  <si>
    <t>factor of safety</t>
  </si>
  <si>
    <t>Springs</t>
  </si>
  <si>
    <t>N/mm</t>
  </si>
  <si>
    <t>spring rate</t>
  </si>
  <si>
    <t>free length</t>
  </si>
  <si>
    <t>compressed length</t>
  </si>
  <si>
    <t>number of spindles</t>
  </si>
  <si>
    <t>springs per spindle</t>
  </si>
  <si>
    <t>Spring Sizing</t>
  </si>
  <si>
    <t>Starting Position</t>
  </si>
  <si>
    <t>pad resting position</t>
  </si>
  <si>
    <t>distance from bottom of end cap to top of spindle pad</t>
  </si>
  <si>
    <t>linear bearing height</t>
  </si>
  <si>
    <t>distance from bottom of end cap to bottom of linear bearing</t>
  </si>
  <si>
    <t>spindle spring free length</t>
  </si>
  <si>
    <t>length after rope tensioning</t>
  </si>
  <si>
    <t>length at max compression</t>
  </si>
  <si>
    <t>spindle spring max compr.</t>
  </si>
  <si>
    <t>max compression margin</t>
  </si>
  <si>
    <t>uncompressed length of stacked springs on spindle</t>
  </si>
  <si>
    <t>minimum possible spring compressed length</t>
  </si>
  <si>
    <t>combined spring length after rope tensioning</t>
  </si>
  <si>
    <t>minimum combined spring length during launch</t>
  </si>
  <si>
    <t>difference between max compressed length during launch vs max possible spring compressed length (should be &gt; 0)</t>
  </si>
  <si>
    <t>force at max compression total</t>
  </si>
  <si>
    <t>uncompressed length of individual spring</t>
  </si>
  <si>
    <t>fully compressed length of individual spring</t>
  </si>
  <si>
    <t>number of spindles connected to ball pad</t>
  </si>
  <si>
    <t>number of springs per spindle</t>
  </si>
  <si>
    <t>Stroke Sizing</t>
  </si>
  <si>
    <t>spring rate of selected springs (determined experimentally for single spring)</t>
  </si>
  <si>
    <t>spring rate per spindle</t>
  </si>
  <si>
    <t>spring rate total</t>
  </si>
  <si>
    <t>effective spring rate per spindle (based on series spring equations)</t>
  </si>
  <si>
    <t>effective spring rate total (based on parallel spring equations)</t>
  </si>
  <si>
    <t>lbf</t>
  </si>
  <si>
    <t>Alternate Units</t>
  </si>
  <si>
    <t>launch angle</t>
  </si>
  <si>
    <t>deg</t>
  </si>
  <si>
    <t>orientation of launch tube relative to horizontal</t>
  </si>
  <si>
    <t>g</t>
  </si>
  <si>
    <t>assumed mass of ball</t>
  </si>
  <si>
    <t>initial force</t>
  </si>
  <si>
    <t>final force</t>
  </si>
  <si>
    <t>force exerted on ball at initiation of launch</t>
  </si>
  <si>
    <t>force exerted on ball at end of launch (assumes all force transferred at end of stroke)</t>
  </si>
  <si>
    <t>Masses</t>
  </si>
  <si>
    <t>assumed mass of pad assembly</t>
  </si>
  <si>
    <t>pad assembly</t>
  </si>
  <si>
    <t>ball</t>
  </si>
  <si>
    <t>total mass to accelerate</t>
  </si>
  <si>
    <t>combined mass of ball and pad</t>
  </si>
  <si>
    <t>average force</t>
  </si>
  <si>
    <t>average acceleration</t>
  </si>
  <si>
    <t>kg</t>
  </si>
  <si>
    <t>m/s^2</t>
  </si>
  <si>
    <t>average acceleration over course of launch</t>
  </si>
  <si>
    <t>Efficiencies</t>
  </si>
  <si>
    <t>linear bearings</t>
  </si>
  <si>
    <t>force lost to friction</t>
  </si>
  <si>
    <t>average force lost to friction (arbitrarily assumed)</t>
  </si>
  <si>
    <t>average theoretical force</t>
  </si>
  <si>
    <t>theoretical average force exerted on ball over course of launch</t>
  </si>
  <si>
    <t>average force exerted on ball over course of launch after friction</t>
  </si>
  <si>
    <t>launch duration</t>
  </si>
  <si>
    <t>distance travelled</t>
  </si>
  <si>
    <t>m</t>
  </si>
  <si>
    <t>duration of launch</t>
  </si>
  <si>
    <t>m/s</t>
  </si>
  <si>
    <t>exit velocity</t>
  </si>
  <si>
    <t>theoretical exit velocity</t>
  </si>
  <si>
    <t>Exit Velocity</t>
  </si>
  <si>
    <t>Launch Range</t>
  </si>
  <si>
    <t>time of flight</t>
  </si>
  <si>
    <t>Horizontal velocity</t>
  </si>
  <si>
    <t>Vertical velocity</t>
  </si>
  <si>
    <t>horizontal component of velocity</t>
  </si>
  <si>
    <t>vertical component of velocity</t>
  </si>
  <si>
    <t>duration during which ball is in flight</t>
  </si>
  <si>
    <t>distance travelled during launch (acceleration distance)</t>
  </si>
  <si>
    <t>max height</t>
  </si>
  <si>
    <t>max distance</t>
  </si>
  <si>
    <t>horizontal distance travelled during flight (assumes initial height and air resistance are negligible for simplicity)</t>
  </si>
  <si>
    <t>max height during flight (assumes initial height is negligible for simplicity)</t>
  </si>
  <si>
    <t>efficiency of linear bearings at allowing spindles to move freely (approximated based on launch test results)</t>
  </si>
  <si>
    <t>max force total</t>
  </si>
  <si>
    <t>initial rope tension</t>
  </si>
  <si>
    <t>force applied to rope due to initial tensioning process</t>
  </si>
  <si>
    <t>gearbox efficiency (based on observation - very approximate)</t>
  </si>
  <si>
    <t>gearbox</t>
  </si>
  <si>
    <t>ratio of actual_stress/allowable_stress (target &gt; 1.5 if possible)</t>
  </si>
  <si>
    <t>actual avail. torque at wheel</t>
  </si>
  <si>
    <t>theoretical max torque output available from motor at wheel</t>
  </si>
  <si>
    <t>actual torque output available at wheel after losses due to efficiency of gearbox</t>
  </si>
  <si>
    <t>required torque</t>
  </si>
  <si>
    <t>torque required at wheel</t>
  </si>
  <si>
    <t>output torque margin</t>
  </si>
  <si>
    <t>ideal avail. torque at wheel</t>
  </si>
  <si>
    <t>margin of available output torque vs torque required to fully compress springs (target &gt; 1.2)</t>
  </si>
  <si>
    <t>64:1 gear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</si>
</sst>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0" fontId="1" fillId="2" borderId="0" xfId="0" applyFont="1" applyFill="1"/>
    <xf numFmtId="164" fontId="0" fillId="4" borderId="0" xfId="0" applyNumberFormat="1" applyFill="1"/>
    <xf numFmtId="9" fontId="0" fillId="0" borderId="0" xfId="2" applyFont="1" applyFill="1"/>
    <xf numFmtId="164" fontId="0" fillId="0" borderId="0" xfId="0" applyNumberFormat="1"/>
    <xf numFmtId="0" fontId="0" fillId="5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47625</xdr:rowOff>
    </xdr:from>
    <xdr:to>
      <xdr:col>15</xdr:col>
      <xdr:colOff>51558</xdr:colOff>
      <xdr:row>14</xdr:row>
      <xdr:rowOff>164474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AA1BC58-70E4-7ED1-B94E-BBBFABB53AC1}"/>
            </a:ext>
          </a:extLst>
        </xdr:cNvPr>
        <xdr:cNvGrpSpPr/>
      </xdr:nvGrpSpPr>
      <xdr:grpSpPr>
        <a:xfrm>
          <a:off x="12525375" y="428625"/>
          <a:ext cx="5290308" cy="2402849"/>
          <a:chOff x="12068175" y="571500"/>
          <a:chExt cx="5290308" cy="240284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B2EEF53-C957-F44C-EC15-5269AC1DD18D}"/>
              </a:ext>
            </a:extLst>
          </xdr:cNvPr>
          <xdr:cNvGrpSpPr/>
        </xdr:nvGrpSpPr>
        <xdr:grpSpPr>
          <a:xfrm>
            <a:off x="12550395" y="571500"/>
            <a:ext cx="4808088" cy="2402849"/>
            <a:chOff x="3275462" y="2286768"/>
            <a:chExt cx="4808088" cy="2402849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4D7BA21-A25E-1E50-76B0-B0E342751C30}"/>
                </a:ext>
              </a:extLst>
            </xdr:cNvPr>
            <xdr:cNvSpPr/>
          </xdr:nvSpPr>
          <xdr:spPr>
            <a:xfrm>
              <a:off x="3275462" y="2656100"/>
              <a:ext cx="2033517" cy="2033517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ACCE13AE-D9FF-444B-DFF9-0B9EB1F1AC32}"/>
                </a:ext>
              </a:extLst>
            </xdr:cNvPr>
            <xdr:cNvCxnSpPr>
              <a:stCxn id="7" idx="0"/>
            </xdr:cNvCxnSpPr>
          </xdr:nvCxnSpPr>
          <xdr:spPr>
            <a:xfrm>
              <a:off x="4292221" y="2656100"/>
              <a:ext cx="379132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A4404648-5EE2-0708-397C-615F6ABCAB5D}"/>
                </a:ext>
              </a:extLst>
            </xdr:cNvPr>
            <xdr:cNvSpPr/>
          </xdr:nvSpPr>
          <xdr:spPr>
            <a:xfrm>
              <a:off x="3872551" y="3253189"/>
              <a:ext cx="839338" cy="839338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0" name="Arc 9">
              <a:extLst>
                <a:ext uri="{FF2B5EF4-FFF2-40B4-BE49-F238E27FC236}">
                  <a16:creationId xmlns:a16="http://schemas.microsoft.com/office/drawing/2014/main" id="{C5D6940B-ECB4-4769-00E0-01FD5B9EF973}"/>
                </a:ext>
              </a:extLst>
            </xdr:cNvPr>
            <xdr:cNvSpPr/>
          </xdr:nvSpPr>
          <xdr:spPr>
            <a:xfrm flipH="1">
              <a:off x="4030092" y="3410730"/>
              <a:ext cx="524255" cy="524255"/>
            </a:xfrm>
            <a:prstGeom prst="arc">
              <a:avLst>
                <a:gd name="adj1" fmla="val 16200000"/>
                <a:gd name="adj2" fmla="val 12100320"/>
              </a:avLst>
            </a:prstGeom>
            <a:ln>
              <a:headEnd type="none" w="med" len="med"/>
              <a:tailEnd type="triangle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1" name="TextBox 8">
              <a:extLst>
                <a:ext uri="{FF2B5EF4-FFF2-40B4-BE49-F238E27FC236}">
                  <a16:creationId xmlns:a16="http://schemas.microsoft.com/office/drawing/2014/main" id="{C3D47D3D-D23E-EFB9-842B-520DC796E62D}"/>
                </a:ext>
              </a:extLst>
            </xdr:cNvPr>
            <xdr:cNvSpPr txBox="1"/>
          </xdr:nvSpPr>
          <xdr:spPr>
            <a:xfrm>
              <a:off x="4144582" y="3488193"/>
              <a:ext cx="29527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T</a:t>
              </a:r>
            </a:p>
          </xdr:txBody>
        </xdr:sp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BF5C64A-471E-BABB-4DD0-F8136356B058}"/>
                </a:ext>
              </a:extLst>
            </xdr:cNvPr>
            <xdr:cNvSpPr txBox="1"/>
          </xdr:nvSpPr>
          <xdr:spPr>
            <a:xfrm>
              <a:off x="5948363" y="2286768"/>
              <a:ext cx="30649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F</a:t>
              </a:r>
            </a:p>
          </xdr:txBody>
        </xdr:sp>
      </xdr:grpSp>
      <xdr:sp macro="" textlink="">
        <xdr:nvSpPr>
          <xdr:cNvPr id="3" name="TextBox 11">
            <a:extLst>
              <a:ext uri="{FF2B5EF4-FFF2-40B4-BE49-F238E27FC236}">
                <a16:creationId xmlns:a16="http://schemas.microsoft.com/office/drawing/2014/main" id="{431556F1-9D6F-0253-B906-3717D15DCA7D}"/>
              </a:ext>
            </a:extLst>
          </xdr:cNvPr>
          <xdr:cNvSpPr txBox="1"/>
        </xdr:nvSpPr>
        <xdr:spPr>
          <a:xfrm>
            <a:off x="15336008" y="1758182"/>
            <a:ext cx="123296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T = F*(D/2)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DEFB4C5-E024-279B-F247-8C72E6D616E1}"/>
              </a:ext>
            </a:extLst>
          </xdr:cNvPr>
          <xdr:cNvCxnSpPr>
            <a:cxnSpLocks/>
          </xdr:cNvCxnSpPr>
        </xdr:nvCxnSpPr>
        <xdr:spPr>
          <a:xfrm>
            <a:off x="12373354" y="940832"/>
            <a:ext cx="0" cy="2033517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14">
            <a:extLst>
              <a:ext uri="{FF2B5EF4-FFF2-40B4-BE49-F238E27FC236}">
                <a16:creationId xmlns:a16="http://schemas.microsoft.com/office/drawing/2014/main" id="{491111FB-4ED1-2E5B-F83E-A800005F4D7A}"/>
              </a:ext>
            </a:extLst>
          </xdr:cNvPr>
          <xdr:cNvSpPr txBox="1"/>
        </xdr:nvSpPr>
        <xdr:spPr>
          <a:xfrm>
            <a:off x="12068175" y="1772925"/>
            <a:ext cx="3433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D</a:t>
            </a:r>
          </a:p>
        </xdr:txBody>
      </xdr:sp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5AE27733-95A1-56F6-D0E4-C4D935365FE0}"/>
              </a:ext>
            </a:extLst>
          </xdr:cNvPr>
          <xdr:cNvSpPr txBox="1"/>
        </xdr:nvSpPr>
        <xdr:spPr>
          <a:xfrm>
            <a:off x="15336008" y="2220942"/>
            <a:ext cx="12374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F = (2*T)/D</a:t>
            </a:r>
          </a:p>
        </xdr:txBody>
      </xdr:sp>
    </xdr:grpSp>
    <xdr:clientData/>
  </xdr:twoCellAnchor>
  <xdr:oneCellAnchor>
    <xdr:from>
      <xdr:col>4</xdr:col>
      <xdr:colOff>85725</xdr:colOff>
      <xdr:row>75</xdr:row>
      <xdr:rowOff>123825</xdr:rowOff>
    </xdr:from>
    <xdr:ext cx="3219450" cy="7812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377DE5-B04E-FF2F-C124-F31B9BE8EC81}"/>
            </a:ext>
          </a:extLst>
        </xdr:cNvPr>
        <xdr:cNvSpPr txBox="1"/>
      </xdr:nvSpPr>
      <xdr:spPr>
        <a:xfrm>
          <a:off x="11144250" y="8124825"/>
          <a:ext cx="3219450" cy="781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Stress</a:t>
          </a:r>
          <a:r>
            <a:rPr lang="en-CA" sz="1100" baseline="0"/>
            <a:t> calculations based on tensile strength, since yield strength not published for 3D printing filament.</a:t>
          </a:r>
        </a:p>
        <a:p>
          <a:r>
            <a:rPr lang="en-CA" sz="1100" baseline="0"/>
            <a:t>Extra margin should be designed in to protect against yielding. Target minimum FOS of 1.5.</a:t>
          </a:r>
          <a:endParaRPr lang="en-CA" sz="1100"/>
        </a:p>
      </xdr:txBody>
    </xdr:sp>
    <xdr:clientData/>
  </xdr:oneCellAnchor>
  <xdr:oneCellAnchor>
    <xdr:from>
      <xdr:col>4</xdr:col>
      <xdr:colOff>66675</xdr:colOff>
      <xdr:row>82</xdr:row>
      <xdr:rowOff>38100</xdr:rowOff>
    </xdr:from>
    <xdr:ext cx="3219450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4341FB-5CC0-484C-8276-5FD16DAEBA4C}"/>
            </a:ext>
          </a:extLst>
        </xdr:cNvPr>
        <xdr:cNvSpPr txBox="1"/>
      </xdr:nvSpPr>
      <xdr:spPr>
        <a:xfrm>
          <a:off x="11125200" y="14897100"/>
          <a:ext cx="3219450" cy="609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Exit velocity and launch range calculations are criminally approximate. Intended</a:t>
          </a:r>
          <a:r>
            <a:rPr lang="en-CA" sz="1100" baseline="0"/>
            <a:t> for rough sizing and relative comparison only.</a:t>
          </a:r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mc-stepperonline.com/nema-17-bipolar-45ncm-63-74oz-in-1-5a-42x42x39mm-4-wires-w-1m-pin-connector-17hs15-1504s-x1" TargetMode="External"/><Relationship Id="rId1" Type="http://schemas.openxmlformats.org/officeDocument/2006/relationships/hyperlink" Target="https://www.omc-stepperonline.com/nema-17-bipolar-45ncm-63-74oz-in-1-5a-42x42x39mm-4-wires-w-1m-pin-connector-17hs15-1504s-x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75A-2F0B-464A-B6A3-1ED0F263129A}">
  <dimension ref="A1:H99"/>
  <sheetViews>
    <sheetView tabSelected="1" workbookViewId="0"/>
  </sheetViews>
  <sheetFormatPr defaultRowHeight="15" x14ac:dyDescent="0.25"/>
  <cols>
    <col min="1" max="1" width="27.28515625" bestFit="1" customWidth="1"/>
    <col min="2" max="2" width="6" bestFit="1" customWidth="1"/>
    <col min="3" max="3" width="5.7109375" bestFit="1" customWidth="1"/>
    <col min="4" max="4" width="12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104</v>
      </c>
      <c r="F1" s="8"/>
    </row>
    <row r="2" spans="1:6" x14ac:dyDescent="0.25">
      <c r="A2" s="5" t="s">
        <v>10</v>
      </c>
      <c r="B2" s="4"/>
      <c r="C2" s="4"/>
      <c r="D2" s="4"/>
      <c r="E2" s="4"/>
      <c r="F2" s="4"/>
    </row>
    <row r="3" spans="1:6" x14ac:dyDescent="0.25">
      <c r="A3" s="3" t="s">
        <v>11</v>
      </c>
    </row>
    <row r="4" spans="1:6" x14ac:dyDescent="0.25">
      <c r="A4" t="s">
        <v>13</v>
      </c>
      <c r="B4">
        <v>25</v>
      </c>
      <c r="C4" t="s">
        <v>4</v>
      </c>
      <c r="D4" s="2" t="s">
        <v>6</v>
      </c>
    </row>
    <row r="5" spans="1:6" x14ac:dyDescent="0.25">
      <c r="A5" t="s">
        <v>14</v>
      </c>
      <c r="B5">
        <v>600</v>
      </c>
      <c r="C5" t="s">
        <v>5</v>
      </c>
      <c r="D5" s="2" t="s">
        <v>6</v>
      </c>
    </row>
    <row r="6" spans="1:6" x14ac:dyDescent="0.25">
      <c r="A6" t="s">
        <v>15</v>
      </c>
      <c r="B6">
        <v>64</v>
      </c>
      <c r="D6" t="s">
        <v>167</v>
      </c>
    </row>
    <row r="8" spans="1:6" x14ac:dyDescent="0.25">
      <c r="A8" s="3" t="s">
        <v>32</v>
      </c>
    </row>
    <row r="9" spans="1:6" x14ac:dyDescent="0.25">
      <c r="A9" t="s">
        <v>33</v>
      </c>
      <c r="B9">
        <v>15</v>
      </c>
      <c r="C9" t="s">
        <v>17</v>
      </c>
    </row>
    <row r="10" spans="1:6" x14ac:dyDescent="0.25">
      <c r="A10" t="s">
        <v>34</v>
      </c>
      <c r="B10">
        <v>12.6</v>
      </c>
      <c r="C10" t="s">
        <v>17</v>
      </c>
    </row>
    <row r="12" spans="1:6" x14ac:dyDescent="0.25">
      <c r="A12" s="3" t="s">
        <v>12</v>
      </c>
    </row>
    <row r="13" spans="1:6" x14ac:dyDescent="0.25">
      <c r="A13" t="s">
        <v>16</v>
      </c>
      <c r="B13">
        <v>2</v>
      </c>
      <c r="C13" t="s">
        <v>17</v>
      </c>
      <c r="D13" t="s">
        <v>18</v>
      </c>
    </row>
    <row r="14" spans="1:6" x14ac:dyDescent="0.25">
      <c r="A14" t="s">
        <v>19</v>
      </c>
      <c r="B14" s="12">
        <v>42</v>
      </c>
      <c r="C14" t="s">
        <v>17</v>
      </c>
    </row>
    <row r="15" spans="1:6" x14ac:dyDescent="0.25">
      <c r="A15" t="s">
        <v>20</v>
      </c>
      <c r="B15">
        <v>21</v>
      </c>
      <c r="D15" t="s">
        <v>22</v>
      </c>
    </row>
    <row r="16" spans="1:6" x14ac:dyDescent="0.25">
      <c r="A16" t="s">
        <v>21</v>
      </c>
      <c r="B16" s="12">
        <v>16</v>
      </c>
      <c r="D16" t="s">
        <v>23</v>
      </c>
    </row>
    <row r="17" spans="1:4" x14ac:dyDescent="0.25">
      <c r="A17" t="s">
        <v>24</v>
      </c>
      <c r="B17" s="12">
        <v>42</v>
      </c>
      <c r="C17" t="s">
        <v>17</v>
      </c>
    </row>
    <row r="19" spans="1:4" x14ac:dyDescent="0.25">
      <c r="A19" s="3" t="s">
        <v>25</v>
      </c>
    </row>
    <row r="20" spans="1:4" x14ac:dyDescent="0.25">
      <c r="A20" t="s">
        <v>26</v>
      </c>
      <c r="B20" s="12">
        <v>38</v>
      </c>
      <c r="C20" t="s">
        <v>17</v>
      </c>
      <c r="D20" t="s">
        <v>27</v>
      </c>
    </row>
    <row r="21" spans="1:4" x14ac:dyDescent="0.25">
      <c r="A21" t="s">
        <v>28</v>
      </c>
      <c r="B21">
        <v>2.4</v>
      </c>
      <c r="C21" t="s">
        <v>17</v>
      </c>
      <c r="D21" t="s">
        <v>29</v>
      </c>
    </row>
    <row r="22" spans="1:4" x14ac:dyDescent="0.25">
      <c r="A22" t="s">
        <v>30</v>
      </c>
      <c r="B22">
        <f>B20+B21</f>
        <v>40.4</v>
      </c>
      <c r="C22" t="s">
        <v>17</v>
      </c>
      <c r="D22" t="s">
        <v>31</v>
      </c>
    </row>
    <row r="24" spans="1:4" x14ac:dyDescent="0.25">
      <c r="A24" s="3" t="s">
        <v>69</v>
      </c>
    </row>
    <row r="25" spans="1:4" x14ac:dyDescent="0.25">
      <c r="A25" t="s">
        <v>71</v>
      </c>
      <c r="B25">
        <f>(25/2.205*9.81)/(100-20)</f>
        <v>1.3903061224489797</v>
      </c>
      <c r="C25" t="s">
        <v>70</v>
      </c>
      <c r="D25" t="s">
        <v>98</v>
      </c>
    </row>
    <row r="26" spans="1:4" x14ac:dyDescent="0.25">
      <c r="A26" t="s">
        <v>72</v>
      </c>
      <c r="B26">
        <v>100</v>
      </c>
      <c r="C26" t="s">
        <v>17</v>
      </c>
      <c r="D26" t="s">
        <v>93</v>
      </c>
    </row>
    <row r="27" spans="1:4" x14ac:dyDescent="0.25">
      <c r="A27" t="s">
        <v>73</v>
      </c>
      <c r="B27">
        <v>20</v>
      </c>
      <c r="C27" t="s">
        <v>17</v>
      </c>
      <c r="D27" t="s">
        <v>94</v>
      </c>
    </row>
    <row r="28" spans="1:4" x14ac:dyDescent="0.25">
      <c r="A28" t="s">
        <v>74</v>
      </c>
      <c r="B28">
        <v>4</v>
      </c>
      <c r="D28" t="s">
        <v>95</v>
      </c>
    </row>
    <row r="29" spans="1:4" x14ac:dyDescent="0.25">
      <c r="A29" t="s">
        <v>75</v>
      </c>
      <c r="B29">
        <v>2</v>
      </c>
      <c r="D29" t="s">
        <v>96</v>
      </c>
    </row>
    <row r="31" spans="1:4" x14ac:dyDescent="0.25">
      <c r="A31" s="3" t="s">
        <v>77</v>
      </c>
    </row>
    <row r="32" spans="1:4" x14ac:dyDescent="0.25">
      <c r="A32" t="s">
        <v>78</v>
      </c>
      <c r="B32" s="12">
        <v>145</v>
      </c>
      <c r="C32" t="s">
        <v>17</v>
      </c>
      <c r="D32" t="s">
        <v>79</v>
      </c>
    </row>
    <row r="33" spans="1:6" x14ac:dyDescent="0.25">
      <c r="A33" t="s">
        <v>80</v>
      </c>
      <c r="B33" s="12">
        <v>3</v>
      </c>
      <c r="C33" t="s">
        <v>17</v>
      </c>
      <c r="D33" t="s">
        <v>81</v>
      </c>
    </row>
    <row r="34" spans="1:6" x14ac:dyDescent="0.25">
      <c r="A34" t="s">
        <v>105</v>
      </c>
      <c r="B34">
        <v>45</v>
      </c>
      <c r="C34" t="s">
        <v>106</v>
      </c>
      <c r="D34" t="s">
        <v>107</v>
      </c>
    </row>
    <row r="36" spans="1:6" x14ac:dyDescent="0.25">
      <c r="A36" s="3" t="s">
        <v>114</v>
      </c>
    </row>
    <row r="37" spans="1:6" x14ac:dyDescent="0.25">
      <c r="A37" t="s">
        <v>116</v>
      </c>
      <c r="B37" s="12">
        <v>80</v>
      </c>
      <c r="C37" t="s">
        <v>108</v>
      </c>
      <c r="D37" t="s">
        <v>115</v>
      </c>
    </row>
    <row r="38" spans="1:6" x14ac:dyDescent="0.25">
      <c r="A38" t="s">
        <v>117</v>
      </c>
      <c r="B38">
        <v>60</v>
      </c>
      <c r="C38" t="s">
        <v>108</v>
      </c>
      <c r="D38" t="s">
        <v>109</v>
      </c>
    </row>
    <row r="40" spans="1:6" x14ac:dyDescent="0.25">
      <c r="A40" s="3" t="s">
        <v>125</v>
      </c>
    </row>
    <row r="41" spans="1:6" x14ac:dyDescent="0.25">
      <c r="A41" t="s">
        <v>126</v>
      </c>
      <c r="B41" s="7">
        <v>0.22</v>
      </c>
      <c r="D41" t="s">
        <v>152</v>
      </c>
    </row>
    <row r="42" spans="1:6" x14ac:dyDescent="0.25">
      <c r="A42" t="s">
        <v>157</v>
      </c>
      <c r="B42" s="7">
        <v>0.65</v>
      </c>
      <c r="D42" t="s">
        <v>156</v>
      </c>
    </row>
    <row r="44" spans="1:6" x14ac:dyDescent="0.25">
      <c r="A44" s="3" t="s">
        <v>50</v>
      </c>
    </row>
    <row r="45" spans="1:6" x14ac:dyDescent="0.25">
      <c r="A45" t="s">
        <v>51</v>
      </c>
      <c r="B45">
        <v>35</v>
      </c>
      <c r="C45" t="s">
        <v>52</v>
      </c>
      <c r="D45" t="s">
        <v>53</v>
      </c>
    </row>
    <row r="47" spans="1:6" x14ac:dyDescent="0.25">
      <c r="A47" s="5" t="s">
        <v>35</v>
      </c>
      <c r="B47" s="5"/>
      <c r="C47" s="5"/>
      <c r="D47" s="5"/>
      <c r="E47" s="5"/>
      <c r="F47" s="5"/>
    </row>
    <row r="48" spans="1:6" x14ac:dyDescent="0.25">
      <c r="A48" s="3" t="s">
        <v>97</v>
      </c>
    </row>
    <row r="49" spans="1:8" x14ac:dyDescent="0.25">
      <c r="A49" t="s">
        <v>43</v>
      </c>
      <c r="B49">
        <f>PI()*B22</f>
        <v>126.92034320502763</v>
      </c>
      <c r="C49" t="s">
        <v>17</v>
      </c>
      <c r="D49" t="s">
        <v>44</v>
      </c>
    </row>
    <row r="50" spans="1:8" x14ac:dyDescent="0.25">
      <c r="A50" t="s">
        <v>45</v>
      </c>
      <c r="B50" s="7">
        <f>(B16+0.5)/B15</f>
        <v>0.7857142857142857</v>
      </c>
      <c r="D50" t="s">
        <v>48</v>
      </c>
    </row>
    <row r="51" spans="1:8" x14ac:dyDescent="0.25">
      <c r="A51" t="s">
        <v>46</v>
      </c>
      <c r="B51" s="6">
        <f>B49*B50</f>
        <v>99.723126803950279</v>
      </c>
      <c r="C51" t="s">
        <v>17</v>
      </c>
      <c r="D51" t="s">
        <v>47</v>
      </c>
    </row>
    <row r="53" spans="1:8" x14ac:dyDescent="0.25">
      <c r="A53" s="3" t="s">
        <v>76</v>
      </c>
    </row>
    <row r="54" spans="1:8" x14ac:dyDescent="0.25">
      <c r="A54" t="s">
        <v>82</v>
      </c>
      <c r="B54">
        <f>B29*B26</f>
        <v>200</v>
      </c>
      <c r="C54" t="s">
        <v>17</v>
      </c>
      <c r="D54" t="s">
        <v>87</v>
      </c>
    </row>
    <row r="55" spans="1:8" x14ac:dyDescent="0.25">
      <c r="A55" t="s">
        <v>85</v>
      </c>
      <c r="B55">
        <f>B29*B27</f>
        <v>40</v>
      </c>
      <c r="D55" t="s">
        <v>88</v>
      </c>
    </row>
    <row r="56" spans="1:8" x14ac:dyDescent="0.25">
      <c r="A56" t="s">
        <v>83</v>
      </c>
      <c r="B56">
        <f>B32-B33</f>
        <v>142</v>
      </c>
      <c r="C56" t="s">
        <v>17</v>
      </c>
      <c r="D56" t="s">
        <v>89</v>
      </c>
    </row>
    <row r="57" spans="1:8" x14ac:dyDescent="0.25">
      <c r="A57" t="s">
        <v>84</v>
      </c>
      <c r="B57">
        <f>B56-B51</f>
        <v>42.276873196049721</v>
      </c>
      <c r="C57" t="s">
        <v>17</v>
      </c>
      <c r="D57" t="s">
        <v>90</v>
      </c>
    </row>
    <row r="58" spans="1:8" x14ac:dyDescent="0.25">
      <c r="A58" t="s">
        <v>86</v>
      </c>
      <c r="B58" s="6">
        <f>B57-B55</f>
        <v>2.2768731960497206</v>
      </c>
      <c r="C58" t="s">
        <v>17</v>
      </c>
      <c r="D58" t="s">
        <v>91</v>
      </c>
    </row>
    <row r="59" spans="1:8" x14ac:dyDescent="0.25">
      <c r="A59" t="s">
        <v>99</v>
      </c>
      <c r="B59">
        <f>1/(B29*(1/B25))</f>
        <v>0.69515306122448983</v>
      </c>
      <c r="C59" t="s">
        <v>70</v>
      </c>
      <c r="D59" t="s">
        <v>101</v>
      </c>
    </row>
    <row r="60" spans="1:8" x14ac:dyDescent="0.25">
      <c r="A60" t="s">
        <v>100</v>
      </c>
      <c r="B60">
        <f>B59*B28</f>
        <v>2.7806122448979593</v>
      </c>
      <c r="C60" t="s">
        <v>70</v>
      </c>
      <c r="D60" t="s">
        <v>102</v>
      </c>
    </row>
    <row r="61" spans="1:8" x14ac:dyDescent="0.25">
      <c r="A61" t="s">
        <v>154</v>
      </c>
      <c r="B61" s="6">
        <f>(B54-B56)*B60</f>
        <v>161.27551020408163</v>
      </c>
      <c r="C61" t="s">
        <v>7</v>
      </c>
      <c r="D61" t="s">
        <v>155</v>
      </c>
      <c r="E61" s="9">
        <f>B61/9.81</f>
        <v>16.439909297052154</v>
      </c>
      <c r="F61" t="s">
        <v>8</v>
      </c>
      <c r="G61" s="9">
        <f>E61*2.205</f>
        <v>36.25</v>
      </c>
      <c r="H61" t="s">
        <v>103</v>
      </c>
    </row>
    <row r="62" spans="1:8" x14ac:dyDescent="0.25">
      <c r="A62" t="s">
        <v>153</v>
      </c>
      <c r="B62" s="6">
        <f>(B54-B57)*B60</f>
        <v>438.56685769465764</v>
      </c>
      <c r="C62" t="s">
        <v>7</v>
      </c>
      <c r="D62" t="s">
        <v>92</v>
      </c>
      <c r="E62" s="9">
        <f>B62/9.81</f>
        <v>44.706101701799959</v>
      </c>
      <c r="F62" t="s">
        <v>8</v>
      </c>
      <c r="G62" s="9">
        <f>E62*2.205</f>
        <v>98.576954252468909</v>
      </c>
      <c r="H62" t="s">
        <v>103</v>
      </c>
    </row>
    <row r="64" spans="1:8" x14ac:dyDescent="0.25">
      <c r="A64" s="3" t="s">
        <v>9</v>
      </c>
    </row>
    <row r="65" spans="1:7" x14ac:dyDescent="0.25">
      <c r="A65" t="s">
        <v>39</v>
      </c>
      <c r="B65">
        <f>B6*(B17/B14)</f>
        <v>64</v>
      </c>
      <c r="D65" t="s">
        <v>40</v>
      </c>
    </row>
    <row r="66" spans="1:7" x14ac:dyDescent="0.25">
      <c r="A66" t="s">
        <v>165</v>
      </c>
      <c r="B66">
        <f>B4*B6</f>
        <v>1600</v>
      </c>
      <c r="C66" t="str">
        <f>C4</f>
        <v>N*cm</v>
      </c>
      <c r="D66" t="s">
        <v>160</v>
      </c>
    </row>
    <row r="67" spans="1:7" x14ac:dyDescent="0.25">
      <c r="A67" t="s">
        <v>159</v>
      </c>
      <c r="B67">
        <f>B66*B42</f>
        <v>1040</v>
      </c>
      <c r="C67" t="s">
        <v>4</v>
      </c>
      <c r="D67" t="s">
        <v>161</v>
      </c>
    </row>
    <row r="68" spans="1:7" x14ac:dyDescent="0.25">
      <c r="A68" t="s">
        <v>162</v>
      </c>
      <c r="B68">
        <f>B62*(B22/10/2)</f>
        <v>885.9050525432084</v>
      </c>
      <c r="C68" t="s">
        <v>4</v>
      </c>
      <c r="D68" t="s">
        <v>163</v>
      </c>
    </row>
    <row r="69" spans="1:7" x14ac:dyDescent="0.25">
      <c r="A69" t="s">
        <v>164</v>
      </c>
      <c r="B69" s="6">
        <f>B67/B68</f>
        <v>1.1739407028037872</v>
      </c>
      <c r="D69" t="s">
        <v>166</v>
      </c>
      <c r="E69" s="11"/>
      <c r="G69" s="11"/>
    </row>
    <row r="70" spans="1:7" x14ac:dyDescent="0.25">
      <c r="A70" t="s">
        <v>36</v>
      </c>
      <c r="B70">
        <f>B5/B6</f>
        <v>9.375</v>
      </c>
      <c r="C70" t="str">
        <f>C5</f>
        <v>RPM</v>
      </c>
      <c r="D70" t="s">
        <v>41</v>
      </c>
    </row>
    <row r="71" spans="1:7" x14ac:dyDescent="0.25">
      <c r="A71" t="s">
        <v>37</v>
      </c>
      <c r="B71" s="6">
        <f>60/B70</f>
        <v>6.4</v>
      </c>
      <c r="C71" t="s">
        <v>38</v>
      </c>
      <c r="D71" t="s">
        <v>42</v>
      </c>
    </row>
    <row r="73" spans="1:7" x14ac:dyDescent="0.25">
      <c r="A73" s="3" t="s">
        <v>49</v>
      </c>
    </row>
    <row r="74" spans="1:7" x14ac:dyDescent="0.25">
      <c r="A74" t="s">
        <v>66</v>
      </c>
      <c r="B74">
        <f>B9/B10</f>
        <v>1.1904761904761905</v>
      </c>
      <c r="D74" t="s">
        <v>67</v>
      </c>
    </row>
    <row r="75" spans="1:7" x14ac:dyDescent="0.25">
      <c r="A75" t="s">
        <v>54</v>
      </c>
      <c r="B75">
        <f>PI()*B9^3/16</f>
        <v>662.67970036659699</v>
      </c>
      <c r="C75" t="s">
        <v>60</v>
      </c>
      <c r="D75" t="s">
        <v>61</v>
      </c>
    </row>
    <row r="76" spans="1:7" x14ac:dyDescent="0.25">
      <c r="A76" t="s">
        <v>55</v>
      </c>
      <c r="B76">
        <f>B9*B10^2/(3+1.8*(B10/B9))</f>
        <v>527.79255319148922</v>
      </c>
      <c r="C76" t="s">
        <v>60</v>
      </c>
      <c r="D76" t="s">
        <v>62</v>
      </c>
    </row>
    <row r="77" spans="1:7" x14ac:dyDescent="0.25">
      <c r="A77" t="s">
        <v>56</v>
      </c>
      <c r="B77" s="10">
        <f>(B75-B76)/B75</f>
        <v>0.20354802946353673</v>
      </c>
      <c r="D77" t="s">
        <v>57</v>
      </c>
    </row>
    <row r="78" spans="1:7" x14ac:dyDescent="0.25">
      <c r="A78" t="s">
        <v>58</v>
      </c>
      <c r="B78" s="11">
        <f>(B68*10)/MIN(B75:B76)</f>
        <v>16.785099509007125</v>
      </c>
      <c r="C78" t="s">
        <v>59</v>
      </c>
      <c r="D78" t="s">
        <v>63</v>
      </c>
    </row>
    <row r="79" spans="1:7" x14ac:dyDescent="0.25">
      <c r="A79" t="s">
        <v>64</v>
      </c>
      <c r="B79">
        <f>0.577*B45</f>
        <v>20.195</v>
      </c>
      <c r="C79" t="s">
        <v>59</v>
      </c>
      <c r="D79" t="s">
        <v>65</v>
      </c>
    </row>
    <row r="80" spans="1:7" x14ac:dyDescent="0.25">
      <c r="A80" t="s">
        <v>68</v>
      </c>
      <c r="B80" s="6">
        <f>B79/B78</f>
        <v>1.203150448358264</v>
      </c>
      <c r="D80" t="s">
        <v>158</v>
      </c>
    </row>
    <row r="82" spans="1:4" x14ac:dyDescent="0.25">
      <c r="A82" s="3" t="s">
        <v>139</v>
      </c>
    </row>
    <row r="83" spans="1:4" x14ac:dyDescent="0.25">
      <c r="A83" t="s">
        <v>110</v>
      </c>
      <c r="B83">
        <f>B62</f>
        <v>438.56685769465764</v>
      </c>
      <c r="C83" t="s">
        <v>7</v>
      </c>
      <c r="D83" t="s">
        <v>112</v>
      </c>
    </row>
    <row r="84" spans="1:4" x14ac:dyDescent="0.25">
      <c r="A84" t="s">
        <v>111</v>
      </c>
      <c r="B84">
        <f>B61</f>
        <v>161.27551020408163</v>
      </c>
      <c r="C84" t="s">
        <v>7</v>
      </c>
      <c r="D84" t="s">
        <v>113</v>
      </c>
    </row>
    <row r="85" spans="1:4" x14ac:dyDescent="0.25">
      <c r="A85" t="s">
        <v>129</v>
      </c>
      <c r="B85">
        <f>(B83+B84)/2</f>
        <v>299.92118394936961</v>
      </c>
      <c r="C85" t="s">
        <v>7</v>
      </c>
      <c r="D85" t="s">
        <v>130</v>
      </c>
    </row>
    <row r="86" spans="1:4" x14ac:dyDescent="0.25">
      <c r="A86" t="s">
        <v>127</v>
      </c>
      <c r="B86">
        <f>B85*(1-B41)</f>
        <v>233.93852348050831</v>
      </c>
      <c r="C86" t="s">
        <v>7</v>
      </c>
      <c r="D86" t="s">
        <v>128</v>
      </c>
    </row>
    <row r="87" spans="1:4" x14ac:dyDescent="0.25">
      <c r="A87" t="s">
        <v>120</v>
      </c>
      <c r="B87">
        <f>B85-B86</f>
        <v>65.982660468861297</v>
      </c>
      <c r="C87" t="s">
        <v>7</v>
      </c>
      <c r="D87" t="s">
        <v>131</v>
      </c>
    </row>
    <row r="88" spans="1:4" x14ac:dyDescent="0.25">
      <c r="A88" t="s">
        <v>118</v>
      </c>
      <c r="B88">
        <f>(B38+B37)/1000</f>
        <v>0.14000000000000001</v>
      </c>
      <c r="C88" t="s">
        <v>122</v>
      </c>
      <c r="D88" t="s">
        <v>119</v>
      </c>
    </row>
    <row r="89" spans="1:4" x14ac:dyDescent="0.25">
      <c r="A89" t="s">
        <v>121</v>
      </c>
      <c r="B89">
        <f>B87/B88</f>
        <v>471.30471763472349</v>
      </c>
      <c r="C89" t="s">
        <v>123</v>
      </c>
      <c r="D89" t="s">
        <v>124</v>
      </c>
    </row>
    <row r="90" spans="1:4" x14ac:dyDescent="0.25">
      <c r="A90" t="s">
        <v>133</v>
      </c>
      <c r="B90">
        <f>B51/1000</f>
        <v>9.9723126803950277E-2</v>
      </c>
      <c r="C90" t="s">
        <v>134</v>
      </c>
      <c r="D90" t="s">
        <v>147</v>
      </c>
    </row>
    <row r="91" spans="1:4" x14ac:dyDescent="0.25">
      <c r="A91" t="s">
        <v>132</v>
      </c>
      <c r="B91">
        <f>SQRT(2*B90/B89)</f>
        <v>2.0571314696408223E-2</v>
      </c>
      <c r="C91" t="s">
        <v>38</v>
      </c>
      <c r="D91" t="s">
        <v>135</v>
      </c>
    </row>
    <row r="92" spans="1:4" x14ac:dyDescent="0.25">
      <c r="A92" t="s">
        <v>137</v>
      </c>
      <c r="B92" s="9">
        <f>B89*B91</f>
        <v>9.6953576643657158</v>
      </c>
      <c r="C92" t="s">
        <v>136</v>
      </c>
      <c r="D92" t="s">
        <v>138</v>
      </c>
    </row>
    <row r="94" spans="1:4" x14ac:dyDescent="0.25">
      <c r="A94" s="3" t="s">
        <v>140</v>
      </c>
    </row>
    <row r="95" spans="1:4" x14ac:dyDescent="0.25">
      <c r="A95" t="s">
        <v>142</v>
      </c>
      <c r="B95">
        <f>B92*COS(RADIANS(B34))</f>
        <v>6.8556531505019649</v>
      </c>
      <c r="C95" t="s">
        <v>136</v>
      </c>
      <c r="D95" t="s">
        <v>144</v>
      </c>
    </row>
    <row r="96" spans="1:4" x14ac:dyDescent="0.25">
      <c r="A96" t="s">
        <v>143</v>
      </c>
      <c r="B96">
        <f>B92*SIN(RADIANS(B34))</f>
        <v>6.855653150501964</v>
      </c>
      <c r="C96" t="s">
        <v>136</v>
      </c>
      <c r="D96" t="s">
        <v>145</v>
      </c>
    </row>
    <row r="97" spans="1:4" x14ac:dyDescent="0.25">
      <c r="A97" t="s">
        <v>141</v>
      </c>
      <c r="B97">
        <f>2*B96/9.81</f>
        <v>1.3976866769626837</v>
      </c>
      <c r="C97" t="s">
        <v>38</v>
      </c>
      <c r="D97" t="s">
        <v>146</v>
      </c>
    </row>
    <row r="98" spans="1:4" x14ac:dyDescent="0.25">
      <c r="A98" t="s">
        <v>148</v>
      </c>
      <c r="B98" s="9">
        <f>B96^2/(2*9.81)</f>
        <v>2.395513767583461</v>
      </c>
      <c r="C98" t="s">
        <v>134</v>
      </c>
      <c r="D98" t="s">
        <v>151</v>
      </c>
    </row>
    <row r="99" spans="1:4" x14ac:dyDescent="0.25">
      <c r="A99" t="s">
        <v>149</v>
      </c>
      <c r="B99" s="9">
        <f>B95*B97</f>
        <v>9.5820550703338441</v>
      </c>
      <c r="C99" t="s">
        <v>134</v>
      </c>
      <c r="D99" t="s">
        <v>150</v>
      </c>
    </row>
  </sheetData>
  <hyperlinks>
    <hyperlink ref="D4" r:id="rId1" xr:uid="{166F6241-7E70-4983-8A90-8CCFB345A662}"/>
    <hyperlink ref="D5" r:id="rId2" xr:uid="{7C706B24-42FE-446E-A507-CCBCC80B106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2024-11-15T14:57:18Z</dcterms:created>
  <dcterms:modified xsi:type="dcterms:W3CDTF">2025-04-13T22:10:56Z</dcterms:modified>
</cp:coreProperties>
</file>