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75" windowWidth="18195" windowHeight="7995"/>
  </bookViews>
  <sheets>
    <sheet name="Overview" sheetId="1" r:id="rId1"/>
    <sheet name="Slide 1" sheetId="3" r:id="rId2"/>
    <sheet name="Slide 3" sheetId="2" r:id="rId3"/>
  </sheets>
  <calcPr calcId="145621"/>
  <extLst>
    <ext xmlns:mx="http://schemas.microsoft.com/office/mac/excel/2008/main" uri="http://schemas.microsoft.com/office/mac/excel/2008/main">
      <mx:ArchID Flags="1"/>
    </ext>
  </extLst>
</workbook>
</file>

<file path=xl/calcChain.xml><?xml version="1.0" encoding="utf-8"?>
<calcChain xmlns="http://schemas.openxmlformats.org/spreadsheetml/2006/main">
  <c r="U77" i="1" l="1"/>
  <c r="T77" i="1"/>
  <c r="S77" i="1"/>
  <c r="R79" i="1" l="1"/>
  <c r="S78" i="1"/>
  <c r="R78" i="1"/>
  <c r="U68" i="1"/>
  <c r="U78" i="1" s="1"/>
  <c r="T68" i="1"/>
  <c r="S68" i="1"/>
  <c r="R68" i="1"/>
  <c r="Q68" i="1"/>
  <c r="U67" i="1"/>
  <c r="T67" i="1"/>
  <c r="S67" i="1"/>
  <c r="R67" i="1"/>
  <c r="Q78" i="1"/>
  <c r="L77" i="1"/>
  <c r="Q77" i="1" s="1"/>
  <c r="Q80" i="1" s="1"/>
  <c r="R77" i="1"/>
  <c r="R76" i="1"/>
  <c r="Q76" i="1"/>
  <c r="U75" i="1"/>
  <c r="T75" i="1"/>
  <c r="S75" i="1"/>
  <c r="R75" i="1"/>
  <c r="U89" i="1"/>
  <c r="T89" i="1"/>
  <c r="S89" i="1"/>
  <c r="R89" i="1"/>
  <c r="Q79" i="1"/>
  <c r="S74" i="1"/>
  <c r="R74" i="1"/>
  <c r="Q74" i="1"/>
  <c r="Q75" i="1"/>
  <c r="Q73" i="1"/>
  <c r="T78" i="1"/>
  <c r="U76" i="1"/>
  <c r="T76" i="1"/>
  <c r="S76" i="1"/>
  <c r="U74" i="1"/>
  <c r="T74" i="1"/>
  <c r="U73" i="1"/>
  <c r="T73" i="1"/>
  <c r="S73" i="1"/>
  <c r="R73" i="1"/>
  <c r="J80" i="1"/>
  <c r="K80" i="1" s="1"/>
  <c r="I80" i="1"/>
  <c r="L79" i="1"/>
  <c r="K79" i="1"/>
  <c r="J79" i="1"/>
  <c r="I79" i="1"/>
  <c r="I16" i="1"/>
  <c r="H76" i="1"/>
  <c r="L73" i="1"/>
  <c r="K73" i="1"/>
  <c r="J73" i="1"/>
  <c r="I73" i="1"/>
  <c r="L74" i="1"/>
  <c r="K74" i="1"/>
  <c r="L75" i="1"/>
  <c r="K75" i="1"/>
  <c r="J75" i="1"/>
  <c r="I75" i="1"/>
  <c r="H75" i="1"/>
  <c r="K67" i="1"/>
  <c r="L67" i="1"/>
  <c r="L80" i="1" l="1"/>
  <c r="I47" i="1"/>
  <c r="L47" i="1"/>
  <c r="K47" i="1"/>
  <c r="J47" i="1"/>
  <c r="S16" i="1" l="1"/>
  <c r="G49" i="1" l="1"/>
  <c r="L49" i="1" s="1"/>
  <c r="P49" i="1"/>
  <c r="P48" i="1"/>
  <c r="L48" i="1"/>
  <c r="K48" i="1"/>
  <c r="J48" i="1"/>
  <c r="I48" i="1"/>
  <c r="C11" i="3"/>
  <c r="R63" i="1"/>
  <c r="S63" i="1" s="1"/>
  <c r="T63" i="1" s="1"/>
  <c r="U63" i="1" s="1"/>
  <c r="S34" i="1"/>
  <c r="T34" i="1"/>
  <c r="T35" i="1" s="1"/>
  <c r="U34" i="1"/>
  <c r="R34" i="1"/>
  <c r="R35" i="1" s="1"/>
  <c r="T23" i="1"/>
  <c r="U23" i="1" s="1"/>
  <c r="T22" i="1"/>
  <c r="U22" i="1" s="1"/>
  <c r="T21" i="1"/>
  <c r="U21" i="1" s="1"/>
  <c r="T20" i="1"/>
  <c r="U20" i="1" s="1"/>
  <c r="T19" i="1"/>
  <c r="U19" i="1" s="1"/>
  <c r="T18" i="1"/>
  <c r="U18" i="1" s="1"/>
  <c r="T17" i="1"/>
  <c r="U17" i="1" s="1"/>
  <c r="T16" i="1"/>
  <c r="U16" i="1" s="1"/>
  <c r="T15" i="1"/>
  <c r="U15" i="1" s="1"/>
  <c r="S23" i="1"/>
  <c r="S22" i="1"/>
  <c r="S21" i="1"/>
  <c r="S20" i="1"/>
  <c r="S19" i="1"/>
  <c r="S18" i="1"/>
  <c r="S17" i="1"/>
  <c r="S15" i="1"/>
  <c r="R23" i="1"/>
  <c r="R22" i="1"/>
  <c r="R16" i="1"/>
  <c r="R17" i="1"/>
  <c r="R18" i="1"/>
  <c r="R19" i="1"/>
  <c r="R20" i="1"/>
  <c r="R21" i="1"/>
  <c r="R15" i="1"/>
  <c r="J67" i="1"/>
  <c r="I67" i="1"/>
  <c r="L50" i="1"/>
  <c r="K50" i="1"/>
  <c r="J50" i="1"/>
  <c r="I50" i="1"/>
  <c r="G51" i="1"/>
  <c r="K51" i="1" s="1"/>
  <c r="I49" i="1" l="1"/>
  <c r="K49" i="1"/>
  <c r="M48" i="1"/>
  <c r="Q48" i="1" s="1"/>
  <c r="J49" i="1"/>
  <c r="U35" i="1"/>
  <c r="S35" i="1"/>
  <c r="M50" i="1"/>
  <c r="L34" i="1"/>
  <c r="K34" i="1"/>
  <c r="J34" i="1"/>
  <c r="I34" i="1"/>
  <c r="I36" i="1"/>
  <c r="R48" i="1" l="1"/>
  <c r="S48" i="1" s="1"/>
  <c r="T48" i="1" s="1"/>
  <c r="U48" i="1" s="1"/>
  <c r="M49" i="1"/>
  <c r="Q49" i="1" s="1"/>
  <c r="R50" i="1"/>
  <c r="S50" i="1" s="1"/>
  <c r="T50" i="1" s="1"/>
  <c r="U50" i="1" s="1"/>
  <c r="Q50" i="1"/>
  <c r="H73" i="1"/>
  <c r="G62" i="1"/>
  <c r="U24" i="1"/>
  <c r="T24" i="1"/>
  <c r="S24" i="1"/>
  <c r="R24" i="1"/>
  <c r="I23" i="1"/>
  <c r="J23" i="1"/>
  <c r="K23" i="1"/>
  <c r="L23" i="1"/>
  <c r="L39" i="1"/>
  <c r="K39" i="1"/>
  <c r="J39" i="1"/>
  <c r="I39" i="1"/>
  <c r="R49" i="1" l="1"/>
  <c r="S49" i="1" s="1"/>
  <c r="T49" i="1" s="1"/>
  <c r="U49" i="1" s="1"/>
  <c r="F3" i="2"/>
  <c r="U28" i="1"/>
  <c r="E3" i="2"/>
  <c r="T28" i="1"/>
  <c r="D3" i="2"/>
  <c r="S28" i="1"/>
  <c r="C3" i="2"/>
  <c r="R28" i="1"/>
  <c r="C4" i="2" s="1"/>
  <c r="M23" i="1"/>
  <c r="Q23" i="1" s="1"/>
  <c r="D4" i="2"/>
  <c r="L17" i="1"/>
  <c r="K17" i="1"/>
  <c r="J17" i="1"/>
  <c r="I17" i="1"/>
  <c r="E4" i="2" l="1"/>
  <c r="U30" i="1"/>
  <c r="F5" i="2" s="1"/>
  <c r="F4" i="2"/>
  <c r="T30" i="1"/>
  <c r="E5" i="2" s="1"/>
  <c r="R30" i="1"/>
  <c r="C5" i="2" s="1"/>
  <c r="S30" i="1"/>
  <c r="D5" i="2" s="1"/>
  <c r="M17" i="1"/>
  <c r="Q17" i="1" s="1"/>
  <c r="L22" i="1"/>
  <c r="K22" i="1"/>
  <c r="J22" i="1"/>
  <c r="I22" i="1"/>
  <c r="L21" i="1"/>
  <c r="L20" i="1"/>
  <c r="L19" i="1"/>
  <c r="L18" i="1"/>
  <c r="L16" i="1"/>
  <c r="L15" i="1"/>
  <c r="L24" i="1" l="1"/>
  <c r="L76" i="1" s="1"/>
  <c r="K21" i="1"/>
  <c r="J21" i="1"/>
  <c r="I21" i="1"/>
  <c r="I15" i="1"/>
  <c r="J18" i="1"/>
  <c r="K18" i="1"/>
  <c r="J19" i="1"/>
  <c r="K19" i="1"/>
  <c r="J20" i="1"/>
  <c r="K20" i="1"/>
  <c r="I20" i="1"/>
  <c r="I19" i="1"/>
  <c r="I18" i="1"/>
  <c r="J35" i="1"/>
  <c r="I35" i="1"/>
  <c r="L35" i="1"/>
  <c r="K35" i="1"/>
  <c r="K16" i="1"/>
  <c r="J16" i="1"/>
  <c r="K15" i="1"/>
  <c r="J15" i="1"/>
  <c r="L36" i="1"/>
  <c r="K36" i="1"/>
  <c r="J36" i="1"/>
  <c r="L40" i="1"/>
  <c r="K40" i="1"/>
  <c r="J40" i="1"/>
  <c r="I40" i="1"/>
  <c r="J46" i="1"/>
  <c r="I46" i="1"/>
  <c r="G45" i="1"/>
  <c r="L45" i="1" s="1"/>
  <c r="J51" i="1"/>
  <c r="I51" i="1"/>
  <c r="L57" i="1"/>
  <c r="K57" i="1"/>
  <c r="J57" i="1"/>
  <c r="I57" i="1"/>
  <c r="L59" i="1"/>
  <c r="K59" i="1"/>
  <c r="J59" i="1"/>
  <c r="I59" i="1"/>
  <c r="L58" i="1"/>
  <c r="K58" i="1"/>
  <c r="J58" i="1"/>
  <c r="I58" i="1"/>
  <c r="L56" i="1"/>
  <c r="K56" i="1"/>
  <c r="J56" i="1"/>
  <c r="I56" i="1"/>
  <c r="G64" i="1"/>
  <c r="J64" i="1" s="1"/>
  <c r="J62" i="1"/>
  <c r="K62" i="1"/>
  <c r="L62" i="1"/>
  <c r="I62" i="1"/>
  <c r="M62" i="1"/>
  <c r="K64" i="1"/>
  <c r="K65" i="1" s="1"/>
  <c r="L55" i="1" l="1"/>
  <c r="L60" i="1" s="1"/>
  <c r="L68" i="1" s="1"/>
  <c r="L78" i="1" s="1"/>
  <c r="L28" i="1"/>
  <c r="R62" i="1"/>
  <c r="Q62" i="1"/>
  <c r="K24" i="1"/>
  <c r="K76" i="1" s="1"/>
  <c r="J24" i="1"/>
  <c r="J76" i="1" s="1"/>
  <c r="L64" i="1"/>
  <c r="L65" i="1" s="1"/>
  <c r="I45" i="1"/>
  <c r="I52" i="1" s="1"/>
  <c r="I24" i="1"/>
  <c r="I76" i="1" s="1"/>
  <c r="I64" i="1"/>
  <c r="I65" i="1" s="1"/>
  <c r="K45" i="1"/>
  <c r="K52" i="1" s="1"/>
  <c r="L41" i="1"/>
  <c r="L52" i="1"/>
  <c r="M15" i="1"/>
  <c r="Q15" i="1" s="1"/>
  <c r="J65" i="1"/>
  <c r="M56" i="1"/>
  <c r="M58" i="1"/>
  <c r="M57" i="1"/>
  <c r="J45" i="1"/>
  <c r="J52" i="1" s="1"/>
  <c r="M51" i="1"/>
  <c r="M46" i="1"/>
  <c r="M47" i="1"/>
  <c r="M40" i="1"/>
  <c r="Q40" i="1" s="1"/>
  <c r="M21" i="1"/>
  <c r="Q21" i="1" s="1"/>
  <c r="M16" i="1"/>
  <c r="Q16" i="1" s="1"/>
  <c r="M18" i="1"/>
  <c r="Q18" i="1" s="1"/>
  <c r="M20" i="1"/>
  <c r="Q20" i="1" s="1"/>
  <c r="M67" i="1"/>
  <c r="Q67" i="1" s="1"/>
  <c r="M22" i="1"/>
  <c r="Q22" i="1" s="1"/>
  <c r="M19" i="1"/>
  <c r="Q19" i="1" s="1"/>
  <c r="I41" i="1"/>
  <c r="J41" i="1"/>
  <c r="M36" i="1"/>
  <c r="M35" i="1"/>
  <c r="Q35" i="1" s="1"/>
  <c r="M59" i="1"/>
  <c r="M39" i="1"/>
  <c r="M34" i="1"/>
  <c r="Q34" i="1" s="1"/>
  <c r="K41" i="1"/>
  <c r="S62" i="1" l="1"/>
  <c r="J55" i="1"/>
  <c r="J60" i="1" s="1"/>
  <c r="J68" i="1" s="1"/>
  <c r="J78" i="1" s="1"/>
  <c r="J28" i="1"/>
  <c r="I55" i="1"/>
  <c r="I60" i="1" s="1"/>
  <c r="I68" i="1" s="1"/>
  <c r="I28" i="1"/>
  <c r="H77" i="1" s="1"/>
  <c r="H80" i="1" s="1"/>
  <c r="K55" i="1"/>
  <c r="K60" i="1" s="1"/>
  <c r="K68" i="1" s="1"/>
  <c r="K78" i="1" s="1"/>
  <c r="K28" i="1"/>
  <c r="K77" i="1" s="1"/>
  <c r="Q39" i="1"/>
  <c r="R36" i="1"/>
  <c r="Q36" i="1"/>
  <c r="R46" i="1"/>
  <c r="S46" i="1" s="1"/>
  <c r="T46" i="1" s="1"/>
  <c r="U46" i="1" s="1"/>
  <c r="Q46" i="1"/>
  <c r="R58" i="1"/>
  <c r="S58" i="1" s="1"/>
  <c r="T58" i="1" s="1"/>
  <c r="U58" i="1" s="1"/>
  <c r="Q58" i="1"/>
  <c r="R59" i="1"/>
  <c r="S59" i="1" s="1"/>
  <c r="T59" i="1" s="1"/>
  <c r="U59" i="1" s="1"/>
  <c r="Q59" i="1"/>
  <c r="R47" i="1"/>
  <c r="S47" i="1" s="1"/>
  <c r="T47" i="1" s="1"/>
  <c r="U47" i="1" s="1"/>
  <c r="Q47" i="1"/>
  <c r="R51" i="1"/>
  <c r="S51" i="1" s="1"/>
  <c r="T51" i="1" s="1"/>
  <c r="U51" i="1" s="1"/>
  <c r="Q51" i="1"/>
  <c r="R57" i="1"/>
  <c r="S57" i="1" s="1"/>
  <c r="T57" i="1" s="1"/>
  <c r="U57" i="1" s="1"/>
  <c r="Q57" i="1"/>
  <c r="R56" i="1"/>
  <c r="S56" i="1" s="1"/>
  <c r="T56" i="1" s="1"/>
  <c r="U56" i="1" s="1"/>
  <c r="Q56" i="1"/>
  <c r="S36" i="1"/>
  <c r="M64" i="1"/>
  <c r="Q64" i="1" s="1"/>
  <c r="Q65" i="1" s="1"/>
  <c r="B10" i="2" s="1"/>
  <c r="M24" i="1"/>
  <c r="M28" i="1" s="1"/>
  <c r="M45" i="1"/>
  <c r="Q45" i="1" s="1"/>
  <c r="M41" i="1"/>
  <c r="Q41" i="1" s="1"/>
  <c r="B7" i="2" s="1"/>
  <c r="M68" i="1" l="1"/>
  <c r="I78" i="1"/>
  <c r="I77" i="1"/>
  <c r="J77" i="1"/>
  <c r="H90" i="1"/>
  <c r="T62" i="1"/>
  <c r="Q28" i="1"/>
  <c r="B4" i="2" s="1"/>
  <c r="Q24" i="1"/>
  <c r="B3" i="2" s="1"/>
  <c r="R39" i="1"/>
  <c r="M65" i="1"/>
  <c r="R64" i="1"/>
  <c r="M52" i="1"/>
  <c r="Q52" i="1" s="1"/>
  <c r="B8" i="2" s="1"/>
  <c r="R45" i="1"/>
  <c r="T36" i="1"/>
  <c r="K30" i="1"/>
  <c r="K70" i="1" s="1"/>
  <c r="L30" i="1"/>
  <c r="L70" i="1" s="1"/>
  <c r="I30" i="1"/>
  <c r="I70" i="1" s="1"/>
  <c r="J30" i="1"/>
  <c r="J70" i="1" s="1"/>
  <c r="M55" i="1"/>
  <c r="Q55" i="1" s="1"/>
  <c r="C4" i="3" l="1"/>
  <c r="S64" i="1"/>
  <c r="R65" i="1"/>
  <c r="U62" i="1"/>
  <c r="C5" i="3"/>
  <c r="M30" i="1"/>
  <c r="M60" i="1"/>
  <c r="R55" i="1"/>
  <c r="S39" i="1"/>
  <c r="R40" i="1"/>
  <c r="R41" i="1" s="1"/>
  <c r="C7" i="2" s="1"/>
  <c r="U36" i="1"/>
  <c r="S45" i="1"/>
  <c r="R52" i="1"/>
  <c r="C8" i="2" s="1"/>
  <c r="C6" i="3" l="1"/>
  <c r="Q30" i="1"/>
  <c r="B5" i="2" s="1"/>
  <c r="M70" i="1"/>
  <c r="T64" i="1"/>
  <c r="S65" i="1"/>
  <c r="Q60" i="1"/>
  <c r="B9" i="2" s="1"/>
  <c r="R60" i="1"/>
  <c r="C9" i="2" s="1"/>
  <c r="S55" i="1"/>
  <c r="S40" i="1"/>
  <c r="S41" i="1" s="1"/>
  <c r="D7" i="2" s="1"/>
  <c r="T39" i="1"/>
  <c r="T45" i="1"/>
  <c r="S52" i="1"/>
  <c r="D8" i="2" s="1"/>
  <c r="U64" i="1" l="1"/>
  <c r="U65" i="1" s="1"/>
  <c r="T65" i="1"/>
  <c r="B11" i="2"/>
  <c r="Q70" i="1"/>
  <c r="C10" i="2"/>
  <c r="C11" i="2" s="1"/>
  <c r="T55" i="1"/>
  <c r="S60" i="1"/>
  <c r="D9" i="2" s="1"/>
  <c r="U45" i="1"/>
  <c r="U52" i="1" s="1"/>
  <c r="F8" i="2" s="1"/>
  <c r="T52" i="1"/>
  <c r="E8" i="2" s="1"/>
  <c r="U39" i="1"/>
  <c r="U40" i="1" s="1"/>
  <c r="U41" i="1" s="1"/>
  <c r="F7" i="2" s="1"/>
  <c r="T40" i="1"/>
  <c r="T41" i="1" s="1"/>
  <c r="E7" i="2" s="1"/>
  <c r="D10" i="2" l="1"/>
  <c r="D11" i="2" s="1"/>
  <c r="R70" i="1"/>
  <c r="R80" i="1" s="1"/>
  <c r="S80" i="1" s="1"/>
  <c r="U55" i="1"/>
  <c r="U60" i="1" s="1"/>
  <c r="F9" i="2" s="1"/>
  <c r="T60" i="1"/>
  <c r="E9" i="2" s="1"/>
  <c r="S70" i="1"/>
  <c r="S79" i="1" s="1"/>
  <c r="F10" i="2" l="1"/>
  <c r="F11" i="2" s="1"/>
  <c r="E10" i="2"/>
  <c r="E11" i="2" s="1"/>
  <c r="T70" i="1" l="1"/>
  <c r="T79" i="1" s="1"/>
  <c r="T80" i="1" s="1"/>
  <c r="U80" i="1" s="1"/>
  <c r="U70" i="1"/>
  <c r="U79" i="1" s="1"/>
</calcChain>
</file>

<file path=xl/sharedStrings.xml><?xml version="1.0" encoding="utf-8"?>
<sst xmlns="http://schemas.openxmlformats.org/spreadsheetml/2006/main" count="199" uniqueCount="119">
  <si>
    <t>Assumptions</t>
  </si>
  <si>
    <t>Sunday</t>
  </si>
  <si>
    <t>Annual</t>
  </si>
  <si>
    <t>Customer &amp; Revenue Assumptions</t>
  </si>
  <si>
    <t>Income</t>
  </si>
  <si>
    <t>customers/day</t>
  </si>
  <si>
    <t>Cost of Goods Sold</t>
  </si>
  <si>
    <t>% of Revenue</t>
  </si>
  <si>
    <t>Month</t>
  </si>
  <si>
    <t>Personnel</t>
  </si>
  <si>
    <t>Hourly Staff</t>
  </si>
  <si>
    <t>Part Time Staff (weekly)</t>
  </si>
  <si>
    <t>Marketing</t>
  </si>
  <si>
    <t>Other</t>
  </si>
  <si>
    <t>Monthly</t>
  </si>
  <si>
    <t>Credit Card Fees</t>
  </si>
  <si>
    <t>of revenue</t>
  </si>
  <si>
    <t>Phone/Internet</t>
  </si>
  <si>
    <t>Repair/Maint</t>
  </si>
  <si>
    <t>Supplies</t>
  </si>
  <si>
    <t>Facility</t>
  </si>
  <si>
    <t>Rent</t>
  </si>
  <si>
    <t>Liability Insurance</t>
  </si>
  <si>
    <t>Open 7 Days per Week</t>
  </si>
  <si>
    <t>10 am - 8 pm</t>
  </si>
  <si>
    <t>Monday - Thursday</t>
  </si>
  <si>
    <t>Friday/Saturday</t>
  </si>
  <si>
    <t>11 am - 6 pm</t>
  </si>
  <si>
    <t>10 am - 10 pm</t>
  </si>
  <si>
    <t>of Operation</t>
  </si>
  <si>
    <t>Total Weekly Hours</t>
  </si>
  <si>
    <t>Q1</t>
  </si>
  <si>
    <t>Q2</t>
  </si>
  <si>
    <t>Q3</t>
  </si>
  <si>
    <t>Q4</t>
  </si>
  <si>
    <t>Music Service/DMX</t>
  </si>
  <si>
    <t>Internet Advertising</t>
  </si>
  <si>
    <t>/click</t>
  </si>
  <si>
    <t>Payroll Tax</t>
  </si>
  <si>
    <t>Open/Close - 2 hours/day</t>
  </si>
  <si>
    <t>Gross Margin</t>
  </si>
  <si>
    <t>Net Operating Income</t>
  </si>
  <si>
    <t xml:space="preserve">Cost of Merchandise </t>
  </si>
  <si>
    <t>$/Transaction</t>
  </si>
  <si>
    <t>Architectural/Design Fees</t>
  </si>
  <si>
    <t>Other (Supplies, etc.)</t>
  </si>
  <si>
    <t>Display Cases</t>
  </si>
  <si>
    <t>Construction (Space Build Out-Lighting/Flooring/Paint)</t>
  </si>
  <si>
    <t>Full Run Rate</t>
  </si>
  <si>
    <t>Merchandise</t>
  </si>
  <si>
    <t>Build Up of Customer Bases  (% of Customers Each Quarter)</t>
  </si>
  <si>
    <t>Net Cash Flow</t>
  </si>
  <si>
    <t>Initial Investment</t>
  </si>
  <si>
    <t>Initial Capital Investments</t>
  </si>
  <si>
    <t>Utilities/Prop Tax/Insurance (included in lease)</t>
  </si>
  <si>
    <t xml:space="preserve">Owners/Manager's Salary </t>
  </si>
  <si>
    <t>Cash Flow</t>
  </si>
  <si>
    <t>Year 3</t>
  </si>
  <si>
    <t>Year 2</t>
  </si>
  <si>
    <t>Year 1</t>
  </si>
  <si>
    <t>Year 4</t>
  </si>
  <si>
    <t>Year 5</t>
  </si>
  <si>
    <t>Skis</t>
  </si>
  <si>
    <t>Snowboards</t>
  </si>
  <si>
    <t>Ski Accessories</t>
  </si>
  <si>
    <t>Snowboard Accessories</t>
  </si>
  <si>
    <t>Summer Apparrel</t>
  </si>
  <si>
    <t>Total Income</t>
  </si>
  <si>
    <t>Hats &amp; Gloves</t>
  </si>
  <si>
    <t>Reopening</t>
  </si>
  <si>
    <t>% Increase</t>
  </si>
  <si>
    <t>Over YR3</t>
  </si>
  <si>
    <t>Over YR4</t>
  </si>
  <si>
    <t>Jackets &amp; Pants &amp; Boots</t>
  </si>
  <si>
    <t>Cold Weather</t>
  </si>
  <si>
    <t>Warm Weather</t>
  </si>
  <si>
    <t>Shirts</t>
  </si>
  <si>
    <t>Winter Hours</t>
  </si>
  <si>
    <t>Summer Hours</t>
  </si>
  <si>
    <t>Skateboards</t>
  </si>
  <si>
    <t>for expansion</t>
  </si>
  <si>
    <t>Mammoth Action Sports</t>
  </si>
  <si>
    <t>4000 sq ft</t>
  </si>
  <si>
    <t>New Signage</t>
  </si>
  <si>
    <t>Furniture/Fixtures (Sofas &amp; TV)</t>
  </si>
  <si>
    <t>@$18/sq ft/yr</t>
  </si>
  <si>
    <t>50 hours/week</t>
  </si>
  <si>
    <t>Owner Insurance</t>
  </si>
  <si>
    <t>$400/month</t>
  </si>
  <si>
    <t>Rate</t>
  </si>
  <si>
    <t>Billboard</t>
  </si>
  <si>
    <t>Billboard Vinyl</t>
  </si>
  <si>
    <t>Regrand Opening Event (Celeb Appearance, Food, Banners)</t>
  </si>
  <si>
    <t>Tourism Magazine Ads</t>
  </si>
  <si>
    <t>Hot Chocolate</t>
  </si>
  <si>
    <t>Bank Loan Interest</t>
  </si>
  <si>
    <t>Run</t>
  </si>
  <si>
    <t>* In years 2 - 5, assume expenses increase by 2%</t>
  </si>
  <si>
    <t>Five Year Projections</t>
  </si>
  <si>
    <t>Capital Investments</t>
  </si>
  <si>
    <t>Supplies &amp; Other</t>
  </si>
  <si>
    <t>Bank Loan to Provide Initial Working Capital</t>
  </si>
  <si>
    <t>Personnel Expense</t>
  </si>
  <si>
    <t>Net Income</t>
  </si>
  <si>
    <t>Investment from Owner</t>
  </si>
  <si>
    <t>Short Term Bank Loan</t>
  </si>
  <si>
    <t>Remodeling/Expansion Costs</t>
  </si>
  <si>
    <t>Additional Inventory Investment</t>
  </si>
  <si>
    <t>Source of Funds</t>
  </si>
  <si>
    <t>Promotional Items (Stickers, Bandanas, Bus Cards)</t>
  </si>
  <si>
    <t>Radio Advertising</t>
  </si>
  <si>
    <t>Funds Necessary for Reopening</t>
  </si>
  <si>
    <t>Operating Expenses *</t>
  </si>
  <si>
    <t>Operating Expenses</t>
  </si>
  <si>
    <t>Inventory Investment (1/2 of current quarter, 1/2 of next)</t>
  </si>
  <si>
    <t>Sales for Quarter</t>
  </si>
  <si>
    <t>Income Tax</t>
  </si>
  <si>
    <t>Sales for Year</t>
  </si>
  <si>
    <t>Inventory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</si>
</sst>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[$$-409]* #,##0_);_([$$-409]* \(#,##0\);_([$$-409]* &quot;-&quot;??_);_(@_)"/>
    <numFmt numFmtId="166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Verdana"/>
    </font>
    <font>
      <sz val="14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20"/>
      <name val="Calibri"/>
      <family val="2"/>
      <scheme val="minor"/>
    </font>
    <font>
      <sz val="16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2" borderId="0" xfId="0" applyFont="1" applyFill="1"/>
    <xf numFmtId="0" fontId="3" fillId="0" borderId="0" xfId="0" quotePrefix="1" applyFont="1"/>
    <xf numFmtId="164" fontId="3" fillId="0" borderId="0" xfId="2" applyNumberFormat="1" applyFont="1"/>
    <xf numFmtId="164" fontId="3" fillId="0" borderId="1" xfId="2" applyNumberFormat="1" applyFont="1" applyBorder="1"/>
    <xf numFmtId="9" fontId="3" fillId="0" borderId="0" xfId="0" applyNumberFormat="1" applyFont="1"/>
    <xf numFmtId="6" fontId="3" fillId="0" borderId="0" xfId="0" applyNumberFormat="1" applyFont="1"/>
    <xf numFmtId="43" fontId="3" fillId="0" borderId="0" xfId="1" applyFont="1"/>
    <xf numFmtId="0" fontId="3" fillId="0" borderId="0" xfId="0" applyFont="1" applyAlignment="1">
      <alignment horizontal="center"/>
    </xf>
    <xf numFmtId="164" fontId="3" fillId="2" borderId="0" xfId="2" applyNumberFormat="1" applyFont="1" applyFill="1"/>
    <xf numFmtId="6" fontId="3" fillId="2" borderId="0" xfId="0" applyNumberFormat="1" applyFont="1" applyFill="1"/>
    <xf numFmtId="164" fontId="3" fillId="0" borderId="0" xfId="2" applyNumberFormat="1" applyFont="1" applyBorder="1"/>
    <xf numFmtId="164" fontId="3" fillId="0" borderId="1" xfId="2" applyNumberFormat="1" applyFont="1" applyFill="1" applyBorder="1"/>
    <xf numFmtId="164" fontId="3" fillId="0" borderId="0" xfId="2" applyNumberFormat="1" applyFont="1" applyFill="1"/>
    <xf numFmtId="164" fontId="3" fillId="0" borderId="2" xfId="2" applyNumberFormat="1" applyFont="1" applyBorder="1"/>
    <xf numFmtId="44" fontId="3" fillId="0" borderId="0" xfId="2" applyFont="1"/>
    <xf numFmtId="0" fontId="3" fillId="0" borderId="0" xfId="0" applyFont="1" applyAlignment="1">
      <alignment horizontal="left"/>
    </xf>
    <xf numFmtId="6" fontId="3" fillId="0" borderId="0" xfId="0" applyNumberFormat="1" applyFont="1" applyFill="1"/>
    <xf numFmtId="165" fontId="3" fillId="0" borderId="3" xfId="1" applyNumberFormat="1" applyFont="1" applyBorder="1"/>
    <xf numFmtId="0" fontId="3" fillId="0" borderId="0" xfId="0" applyFont="1" applyAlignment="1">
      <alignment horizontal="center" wrapText="1"/>
    </xf>
    <xf numFmtId="0" fontId="5" fillId="0" borderId="0" xfId="0" applyFont="1"/>
    <xf numFmtId="9" fontId="3" fillId="2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43" fontId="3" fillId="0" borderId="0" xfId="1" applyFont="1" applyFill="1"/>
    <xf numFmtId="164" fontId="3" fillId="0" borderId="2" xfId="0" applyNumberFormat="1" applyFont="1" applyFill="1" applyBorder="1"/>
    <xf numFmtId="165" fontId="3" fillId="0" borderId="2" xfId="0" applyNumberFormat="1" applyFont="1" applyBorder="1"/>
    <xf numFmtId="164" fontId="3" fillId="0" borderId="1" xfId="0" applyNumberFormat="1" applyFont="1" applyBorder="1"/>
    <xf numFmtId="6" fontId="3" fillId="0" borderId="0" xfId="0" applyNumberFormat="1" applyFont="1" applyFill="1" applyBorder="1"/>
    <xf numFmtId="9" fontId="3" fillId="2" borderId="0" xfId="3" applyNumberFormat="1" applyFont="1" applyFill="1"/>
    <xf numFmtId="166" fontId="3" fillId="2" borderId="0" xfId="1" applyNumberFormat="1" applyFont="1" applyFill="1"/>
    <xf numFmtId="0" fontId="3" fillId="0" borderId="0" xfId="0" applyFont="1" applyAlignment="1">
      <alignment wrapText="1"/>
    </xf>
    <xf numFmtId="12" fontId="3" fillId="0" borderId="0" xfId="1" applyNumberFormat="1" applyFont="1"/>
    <xf numFmtId="6" fontId="3" fillId="0" borderId="1" xfId="0" applyNumberFormat="1" applyFont="1" applyFill="1" applyBorder="1"/>
    <xf numFmtId="164" fontId="3" fillId="0" borderId="0" xfId="0" applyNumberFormat="1" applyFont="1"/>
    <xf numFmtId="9" fontId="3" fillId="2" borderId="0" xfId="3" applyFont="1" applyFill="1"/>
    <xf numFmtId="6" fontId="3" fillId="0" borderId="1" xfId="0" applyNumberFormat="1" applyFont="1" applyBorder="1"/>
    <xf numFmtId="0" fontId="7" fillId="0" borderId="0" xfId="0" applyFont="1"/>
    <xf numFmtId="164" fontId="3" fillId="0" borderId="0" xfId="0" applyNumberFormat="1" applyFont="1" applyBorder="1"/>
    <xf numFmtId="0" fontId="3" fillId="0" borderId="0" xfId="0" applyFont="1" applyBorder="1"/>
    <xf numFmtId="43" fontId="3" fillId="0" borderId="0" xfId="1" applyFont="1" applyBorder="1"/>
    <xf numFmtId="164" fontId="3" fillId="0" borderId="0" xfId="2" applyNumberFormat="1" applyFont="1" applyFill="1" applyBorder="1"/>
    <xf numFmtId="165" fontId="3" fillId="0" borderId="0" xfId="1" applyNumberFormat="1" applyFont="1" applyBorder="1"/>
    <xf numFmtId="0" fontId="6" fillId="0" borderId="0" xfId="0" applyFont="1"/>
    <xf numFmtId="0" fontId="8" fillId="0" borderId="0" xfId="0" applyFont="1"/>
    <xf numFmtId="164" fontId="8" fillId="0" borderId="0" xfId="2" applyNumberFormat="1" applyFont="1"/>
    <xf numFmtId="164" fontId="8" fillId="0" borderId="1" xfId="2" applyNumberFormat="1" applyFont="1" applyBorder="1"/>
    <xf numFmtId="0" fontId="7" fillId="0" borderId="0" xfId="0" applyFont="1" applyAlignment="1">
      <alignment horizontal="center"/>
    </xf>
    <xf numFmtId="164" fontId="8" fillId="0" borderId="2" xfId="2" applyNumberFormat="1" applyFont="1" applyBorder="1"/>
    <xf numFmtId="0" fontId="3" fillId="3" borderId="0" xfId="0" applyFont="1" applyFill="1"/>
    <xf numFmtId="44" fontId="3" fillId="3" borderId="0" xfId="2" applyFont="1" applyFill="1"/>
    <xf numFmtId="0" fontId="3" fillId="3" borderId="0" xfId="0" quotePrefix="1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64" fontId="10" fillId="0" borderId="0" xfId="2" applyNumberFormat="1" applyFont="1"/>
    <xf numFmtId="164" fontId="10" fillId="0" borderId="1" xfId="2" applyNumberFormat="1" applyFont="1" applyBorder="1"/>
    <xf numFmtId="164" fontId="10" fillId="0" borderId="0" xfId="0" applyNumberFormat="1" applyFont="1"/>
    <xf numFmtId="0" fontId="13" fillId="0" borderId="0" xfId="0" applyFont="1"/>
    <xf numFmtId="164" fontId="11" fillId="0" borderId="0" xfId="2" applyNumberFormat="1" applyFont="1"/>
    <xf numFmtId="164" fontId="11" fillId="0" borderId="0" xfId="0" applyNumberFormat="1" applyFont="1"/>
    <xf numFmtId="0" fontId="14" fillId="0" borderId="0" xfId="0" applyFont="1"/>
    <xf numFmtId="0" fontId="3" fillId="0" borderId="1" xfId="0" applyFont="1" applyBorder="1"/>
    <xf numFmtId="0" fontId="3" fillId="0" borderId="2" xfId="0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Y113"/>
  <sheetViews>
    <sheetView tabSelected="1" zoomScale="70" zoomScaleNormal="70" workbookViewId="0"/>
  </sheetViews>
  <sheetFormatPr defaultColWidth="8.85546875" defaultRowHeight="18.75" x14ac:dyDescent="0.3"/>
  <cols>
    <col min="1" max="2" width="4.7109375" style="2" customWidth="1"/>
    <col min="3" max="3" width="3.7109375" style="2" customWidth="1"/>
    <col min="4" max="4" width="36.140625" style="2" customWidth="1"/>
    <col min="5" max="5" width="12.7109375" style="2" customWidth="1"/>
    <col min="6" max="6" width="20.42578125" style="2" customWidth="1"/>
    <col min="7" max="7" width="14.42578125" style="2" customWidth="1"/>
    <col min="8" max="8" width="18.28515625" style="2" customWidth="1"/>
    <col min="9" max="9" width="17.5703125" style="2" customWidth="1"/>
    <col min="10" max="12" width="17.5703125" style="2" bestFit="1" customWidth="1"/>
    <col min="13" max="13" width="18.5703125" style="2" bestFit="1" customWidth="1"/>
    <col min="14" max="14" width="5.85546875" style="2" customWidth="1"/>
    <col min="15" max="15" width="5.7109375" style="2" customWidth="1"/>
    <col min="16" max="16" width="77.85546875" style="2" customWidth="1"/>
    <col min="17" max="17" width="18.5703125" style="2" customWidth="1"/>
    <col min="18" max="18" width="16.42578125" style="2" customWidth="1"/>
    <col min="19" max="20" width="15.42578125" style="2" bestFit="1" customWidth="1"/>
    <col min="21" max="21" width="16.140625" style="2" bestFit="1" customWidth="1"/>
    <col min="22" max="265" width="8.85546875" style="2"/>
    <col min="266" max="267" width="4.7109375" style="2" customWidth="1"/>
    <col min="268" max="268" width="40" style="2" customWidth="1"/>
    <col min="269" max="269" width="7.42578125" style="2" customWidth="1"/>
    <col min="270" max="270" width="20.42578125" style="2" customWidth="1"/>
    <col min="271" max="271" width="14.42578125" style="2" customWidth="1"/>
    <col min="272" max="272" width="13.85546875" style="2" customWidth="1"/>
    <col min="273" max="273" width="14.85546875" style="2" customWidth="1"/>
    <col min="274" max="274" width="8.85546875" style="2"/>
    <col min="275" max="275" width="10.85546875" style="2" customWidth="1"/>
    <col min="276" max="521" width="8.85546875" style="2"/>
    <col min="522" max="523" width="4.7109375" style="2" customWidth="1"/>
    <col min="524" max="524" width="40" style="2" customWidth="1"/>
    <col min="525" max="525" width="7.42578125" style="2" customWidth="1"/>
    <col min="526" max="526" width="20.42578125" style="2" customWidth="1"/>
    <col min="527" max="527" width="14.42578125" style="2" customWidth="1"/>
    <col min="528" max="528" width="13.85546875" style="2" customWidth="1"/>
    <col min="529" max="529" width="14.85546875" style="2" customWidth="1"/>
    <col min="530" max="530" width="8.85546875" style="2"/>
    <col min="531" max="531" width="10.85546875" style="2" customWidth="1"/>
    <col min="532" max="777" width="8.85546875" style="2"/>
    <col min="778" max="779" width="4.7109375" style="2" customWidth="1"/>
    <col min="780" max="780" width="40" style="2" customWidth="1"/>
    <col min="781" max="781" width="7.42578125" style="2" customWidth="1"/>
    <col min="782" max="782" width="20.42578125" style="2" customWidth="1"/>
    <col min="783" max="783" width="14.42578125" style="2" customWidth="1"/>
    <col min="784" max="784" width="13.85546875" style="2" customWidth="1"/>
    <col min="785" max="785" width="14.85546875" style="2" customWidth="1"/>
    <col min="786" max="786" width="8.85546875" style="2"/>
    <col min="787" max="787" width="10.85546875" style="2" customWidth="1"/>
    <col min="788" max="1033" width="8.85546875" style="2"/>
    <col min="1034" max="1035" width="4.7109375" style="2" customWidth="1"/>
    <col min="1036" max="1036" width="40" style="2" customWidth="1"/>
    <col min="1037" max="1037" width="7.42578125" style="2" customWidth="1"/>
    <col min="1038" max="1038" width="20.42578125" style="2" customWidth="1"/>
    <col min="1039" max="1039" width="14.42578125" style="2" customWidth="1"/>
    <col min="1040" max="1040" width="13.85546875" style="2" customWidth="1"/>
    <col min="1041" max="1041" width="14.85546875" style="2" customWidth="1"/>
    <col min="1042" max="1042" width="8.85546875" style="2"/>
    <col min="1043" max="1043" width="10.85546875" style="2" customWidth="1"/>
    <col min="1044" max="1289" width="8.85546875" style="2"/>
    <col min="1290" max="1291" width="4.7109375" style="2" customWidth="1"/>
    <col min="1292" max="1292" width="40" style="2" customWidth="1"/>
    <col min="1293" max="1293" width="7.42578125" style="2" customWidth="1"/>
    <col min="1294" max="1294" width="20.42578125" style="2" customWidth="1"/>
    <col min="1295" max="1295" width="14.42578125" style="2" customWidth="1"/>
    <col min="1296" max="1296" width="13.85546875" style="2" customWidth="1"/>
    <col min="1297" max="1297" width="14.85546875" style="2" customWidth="1"/>
    <col min="1298" max="1298" width="8.85546875" style="2"/>
    <col min="1299" max="1299" width="10.85546875" style="2" customWidth="1"/>
    <col min="1300" max="1545" width="8.85546875" style="2"/>
    <col min="1546" max="1547" width="4.7109375" style="2" customWidth="1"/>
    <col min="1548" max="1548" width="40" style="2" customWidth="1"/>
    <col min="1549" max="1549" width="7.42578125" style="2" customWidth="1"/>
    <col min="1550" max="1550" width="20.42578125" style="2" customWidth="1"/>
    <col min="1551" max="1551" width="14.42578125" style="2" customWidth="1"/>
    <col min="1552" max="1552" width="13.85546875" style="2" customWidth="1"/>
    <col min="1553" max="1553" width="14.85546875" style="2" customWidth="1"/>
    <col min="1554" max="1554" width="8.85546875" style="2"/>
    <col min="1555" max="1555" width="10.85546875" style="2" customWidth="1"/>
    <col min="1556" max="1801" width="8.85546875" style="2"/>
    <col min="1802" max="1803" width="4.7109375" style="2" customWidth="1"/>
    <col min="1804" max="1804" width="40" style="2" customWidth="1"/>
    <col min="1805" max="1805" width="7.42578125" style="2" customWidth="1"/>
    <col min="1806" max="1806" width="20.42578125" style="2" customWidth="1"/>
    <col min="1807" max="1807" width="14.42578125" style="2" customWidth="1"/>
    <col min="1808" max="1808" width="13.85546875" style="2" customWidth="1"/>
    <col min="1809" max="1809" width="14.85546875" style="2" customWidth="1"/>
    <col min="1810" max="1810" width="8.85546875" style="2"/>
    <col min="1811" max="1811" width="10.85546875" style="2" customWidth="1"/>
    <col min="1812" max="2057" width="8.85546875" style="2"/>
    <col min="2058" max="2059" width="4.7109375" style="2" customWidth="1"/>
    <col min="2060" max="2060" width="40" style="2" customWidth="1"/>
    <col min="2061" max="2061" width="7.42578125" style="2" customWidth="1"/>
    <col min="2062" max="2062" width="20.42578125" style="2" customWidth="1"/>
    <col min="2063" max="2063" width="14.42578125" style="2" customWidth="1"/>
    <col min="2064" max="2064" width="13.85546875" style="2" customWidth="1"/>
    <col min="2065" max="2065" width="14.85546875" style="2" customWidth="1"/>
    <col min="2066" max="2066" width="8.85546875" style="2"/>
    <col min="2067" max="2067" width="10.85546875" style="2" customWidth="1"/>
    <col min="2068" max="2313" width="8.85546875" style="2"/>
    <col min="2314" max="2315" width="4.7109375" style="2" customWidth="1"/>
    <col min="2316" max="2316" width="40" style="2" customWidth="1"/>
    <col min="2317" max="2317" width="7.42578125" style="2" customWidth="1"/>
    <col min="2318" max="2318" width="20.42578125" style="2" customWidth="1"/>
    <col min="2319" max="2319" width="14.42578125" style="2" customWidth="1"/>
    <col min="2320" max="2320" width="13.85546875" style="2" customWidth="1"/>
    <col min="2321" max="2321" width="14.85546875" style="2" customWidth="1"/>
    <col min="2322" max="2322" width="8.85546875" style="2"/>
    <col min="2323" max="2323" width="10.85546875" style="2" customWidth="1"/>
    <col min="2324" max="2569" width="8.85546875" style="2"/>
    <col min="2570" max="2571" width="4.7109375" style="2" customWidth="1"/>
    <col min="2572" max="2572" width="40" style="2" customWidth="1"/>
    <col min="2573" max="2573" width="7.42578125" style="2" customWidth="1"/>
    <col min="2574" max="2574" width="20.42578125" style="2" customWidth="1"/>
    <col min="2575" max="2575" width="14.42578125" style="2" customWidth="1"/>
    <col min="2576" max="2576" width="13.85546875" style="2" customWidth="1"/>
    <col min="2577" max="2577" width="14.85546875" style="2" customWidth="1"/>
    <col min="2578" max="2578" width="8.85546875" style="2"/>
    <col min="2579" max="2579" width="10.85546875" style="2" customWidth="1"/>
    <col min="2580" max="2825" width="8.85546875" style="2"/>
    <col min="2826" max="2827" width="4.7109375" style="2" customWidth="1"/>
    <col min="2828" max="2828" width="40" style="2" customWidth="1"/>
    <col min="2829" max="2829" width="7.42578125" style="2" customWidth="1"/>
    <col min="2830" max="2830" width="20.42578125" style="2" customWidth="1"/>
    <col min="2831" max="2831" width="14.42578125" style="2" customWidth="1"/>
    <col min="2832" max="2832" width="13.85546875" style="2" customWidth="1"/>
    <col min="2833" max="2833" width="14.85546875" style="2" customWidth="1"/>
    <col min="2834" max="2834" width="8.85546875" style="2"/>
    <col min="2835" max="2835" width="10.85546875" style="2" customWidth="1"/>
    <col min="2836" max="3081" width="8.85546875" style="2"/>
    <col min="3082" max="3083" width="4.7109375" style="2" customWidth="1"/>
    <col min="3084" max="3084" width="40" style="2" customWidth="1"/>
    <col min="3085" max="3085" width="7.42578125" style="2" customWidth="1"/>
    <col min="3086" max="3086" width="20.42578125" style="2" customWidth="1"/>
    <col min="3087" max="3087" width="14.42578125" style="2" customWidth="1"/>
    <col min="3088" max="3088" width="13.85546875" style="2" customWidth="1"/>
    <col min="3089" max="3089" width="14.85546875" style="2" customWidth="1"/>
    <col min="3090" max="3090" width="8.85546875" style="2"/>
    <col min="3091" max="3091" width="10.85546875" style="2" customWidth="1"/>
    <col min="3092" max="3337" width="8.85546875" style="2"/>
    <col min="3338" max="3339" width="4.7109375" style="2" customWidth="1"/>
    <col min="3340" max="3340" width="40" style="2" customWidth="1"/>
    <col min="3341" max="3341" width="7.42578125" style="2" customWidth="1"/>
    <col min="3342" max="3342" width="20.42578125" style="2" customWidth="1"/>
    <col min="3343" max="3343" width="14.42578125" style="2" customWidth="1"/>
    <col min="3344" max="3344" width="13.85546875" style="2" customWidth="1"/>
    <col min="3345" max="3345" width="14.85546875" style="2" customWidth="1"/>
    <col min="3346" max="3346" width="8.85546875" style="2"/>
    <col min="3347" max="3347" width="10.85546875" style="2" customWidth="1"/>
    <col min="3348" max="3593" width="8.85546875" style="2"/>
    <col min="3594" max="3595" width="4.7109375" style="2" customWidth="1"/>
    <col min="3596" max="3596" width="40" style="2" customWidth="1"/>
    <col min="3597" max="3597" width="7.42578125" style="2" customWidth="1"/>
    <col min="3598" max="3598" width="20.42578125" style="2" customWidth="1"/>
    <col min="3599" max="3599" width="14.42578125" style="2" customWidth="1"/>
    <col min="3600" max="3600" width="13.85546875" style="2" customWidth="1"/>
    <col min="3601" max="3601" width="14.85546875" style="2" customWidth="1"/>
    <col min="3602" max="3602" width="8.85546875" style="2"/>
    <col min="3603" max="3603" width="10.85546875" style="2" customWidth="1"/>
    <col min="3604" max="3849" width="8.85546875" style="2"/>
    <col min="3850" max="3851" width="4.7109375" style="2" customWidth="1"/>
    <col min="3852" max="3852" width="40" style="2" customWidth="1"/>
    <col min="3853" max="3853" width="7.42578125" style="2" customWidth="1"/>
    <col min="3854" max="3854" width="20.42578125" style="2" customWidth="1"/>
    <col min="3855" max="3855" width="14.42578125" style="2" customWidth="1"/>
    <col min="3856" max="3856" width="13.85546875" style="2" customWidth="1"/>
    <col min="3857" max="3857" width="14.85546875" style="2" customWidth="1"/>
    <col min="3858" max="3858" width="8.85546875" style="2"/>
    <col min="3859" max="3859" width="10.85546875" style="2" customWidth="1"/>
    <col min="3860" max="4105" width="8.85546875" style="2"/>
    <col min="4106" max="4107" width="4.7109375" style="2" customWidth="1"/>
    <col min="4108" max="4108" width="40" style="2" customWidth="1"/>
    <col min="4109" max="4109" width="7.42578125" style="2" customWidth="1"/>
    <col min="4110" max="4110" width="20.42578125" style="2" customWidth="1"/>
    <col min="4111" max="4111" width="14.42578125" style="2" customWidth="1"/>
    <col min="4112" max="4112" width="13.85546875" style="2" customWidth="1"/>
    <col min="4113" max="4113" width="14.85546875" style="2" customWidth="1"/>
    <col min="4114" max="4114" width="8.85546875" style="2"/>
    <col min="4115" max="4115" width="10.85546875" style="2" customWidth="1"/>
    <col min="4116" max="4361" width="8.85546875" style="2"/>
    <col min="4362" max="4363" width="4.7109375" style="2" customWidth="1"/>
    <col min="4364" max="4364" width="40" style="2" customWidth="1"/>
    <col min="4365" max="4365" width="7.42578125" style="2" customWidth="1"/>
    <col min="4366" max="4366" width="20.42578125" style="2" customWidth="1"/>
    <col min="4367" max="4367" width="14.42578125" style="2" customWidth="1"/>
    <col min="4368" max="4368" width="13.85546875" style="2" customWidth="1"/>
    <col min="4369" max="4369" width="14.85546875" style="2" customWidth="1"/>
    <col min="4370" max="4370" width="8.85546875" style="2"/>
    <col min="4371" max="4371" width="10.85546875" style="2" customWidth="1"/>
    <col min="4372" max="4617" width="8.85546875" style="2"/>
    <col min="4618" max="4619" width="4.7109375" style="2" customWidth="1"/>
    <col min="4620" max="4620" width="40" style="2" customWidth="1"/>
    <col min="4621" max="4621" width="7.42578125" style="2" customWidth="1"/>
    <col min="4622" max="4622" width="20.42578125" style="2" customWidth="1"/>
    <col min="4623" max="4623" width="14.42578125" style="2" customWidth="1"/>
    <col min="4624" max="4624" width="13.85546875" style="2" customWidth="1"/>
    <col min="4625" max="4625" width="14.85546875" style="2" customWidth="1"/>
    <col min="4626" max="4626" width="8.85546875" style="2"/>
    <col min="4627" max="4627" width="10.85546875" style="2" customWidth="1"/>
    <col min="4628" max="4873" width="8.85546875" style="2"/>
    <col min="4874" max="4875" width="4.7109375" style="2" customWidth="1"/>
    <col min="4876" max="4876" width="40" style="2" customWidth="1"/>
    <col min="4877" max="4877" width="7.42578125" style="2" customWidth="1"/>
    <col min="4878" max="4878" width="20.42578125" style="2" customWidth="1"/>
    <col min="4879" max="4879" width="14.42578125" style="2" customWidth="1"/>
    <col min="4880" max="4880" width="13.85546875" style="2" customWidth="1"/>
    <col min="4881" max="4881" width="14.85546875" style="2" customWidth="1"/>
    <col min="4882" max="4882" width="8.85546875" style="2"/>
    <col min="4883" max="4883" width="10.85546875" style="2" customWidth="1"/>
    <col min="4884" max="5129" width="8.85546875" style="2"/>
    <col min="5130" max="5131" width="4.7109375" style="2" customWidth="1"/>
    <col min="5132" max="5132" width="40" style="2" customWidth="1"/>
    <col min="5133" max="5133" width="7.42578125" style="2" customWidth="1"/>
    <col min="5134" max="5134" width="20.42578125" style="2" customWidth="1"/>
    <col min="5135" max="5135" width="14.42578125" style="2" customWidth="1"/>
    <col min="5136" max="5136" width="13.85546875" style="2" customWidth="1"/>
    <col min="5137" max="5137" width="14.85546875" style="2" customWidth="1"/>
    <col min="5138" max="5138" width="8.85546875" style="2"/>
    <col min="5139" max="5139" width="10.85546875" style="2" customWidth="1"/>
    <col min="5140" max="5385" width="8.85546875" style="2"/>
    <col min="5386" max="5387" width="4.7109375" style="2" customWidth="1"/>
    <col min="5388" max="5388" width="40" style="2" customWidth="1"/>
    <col min="5389" max="5389" width="7.42578125" style="2" customWidth="1"/>
    <col min="5390" max="5390" width="20.42578125" style="2" customWidth="1"/>
    <col min="5391" max="5391" width="14.42578125" style="2" customWidth="1"/>
    <col min="5392" max="5392" width="13.85546875" style="2" customWidth="1"/>
    <col min="5393" max="5393" width="14.85546875" style="2" customWidth="1"/>
    <col min="5394" max="5394" width="8.85546875" style="2"/>
    <col min="5395" max="5395" width="10.85546875" style="2" customWidth="1"/>
    <col min="5396" max="5641" width="8.85546875" style="2"/>
    <col min="5642" max="5643" width="4.7109375" style="2" customWidth="1"/>
    <col min="5644" max="5644" width="40" style="2" customWidth="1"/>
    <col min="5645" max="5645" width="7.42578125" style="2" customWidth="1"/>
    <col min="5646" max="5646" width="20.42578125" style="2" customWidth="1"/>
    <col min="5647" max="5647" width="14.42578125" style="2" customWidth="1"/>
    <col min="5648" max="5648" width="13.85546875" style="2" customWidth="1"/>
    <col min="5649" max="5649" width="14.85546875" style="2" customWidth="1"/>
    <col min="5650" max="5650" width="8.85546875" style="2"/>
    <col min="5651" max="5651" width="10.85546875" style="2" customWidth="1"/>
    <col min="5652" max="5897" width="8.85546875" style="2"/>
    <col min="5898" max="5899" width="4.7109375" style="2" customWidth="1"/>
    <col min="5900" max="5900" width="40" style="2" customWidth="1"/>
    <col min="5901" max="5901" width="7.42578125" style="2" customWidth="1"/>
    <col min="5902" max="5902" width="20.42578125" style="2" customWidth="1"/>
    <col min="5903" max="5903" width="14.42578125" style="2" customWidth="1"/>
    <col min="5904" max="5904" width="13.85546875" style="2" customWidth="1"/>
    <col min="5905" max="5905" width="14.85546875" style="2" customWidth="1"/>
    <col min="5906" max="5906" width="8.85546875" style="2"/>
    <col min="5907" max="5907" width="10.85546875" style="2" customWidth="1"/>
    <col min="5908" max="6153" width="8.85546875" style="2"/>
    <col min="6154" max="6155" width="4.7109375" style="2" customWidth="1"/>
    <col min="6156" max="6156" width="40" style="2" customWidth="1"/>
    <col min="6157" max="6157" width="7.42578125" style="2" customWidth="1"/>
    <col min="6158" max="6158" width="20.42578125" style="2" customWidth="1"/>
    <col min="6159" max="6159" width="14.42578125" style="2" customWidth="1"/>
    <col min="6160" max="6160" width="13.85546875" style="2" customWidth="1"/>
    <col min="6161" max="6161" width="14.85546875" style="2" customWidth="1"/>
    <col min="6162" max="6162" width="8.85546875" style="2"/>
    <col min="6163" max="6163" width="10.85546875" style="2" customWidth="1"/>
    <col min="6164" max="6409" width="8.85546875" style="2"/>
    <col min="6410" max="6411" width="4.7109375" style="2" customWidth="1"/>
    <col min="6412" max="6412" width="40" style="2" customWidth="1"/>
    <col min="6413" max="6413" width="7.42578125" style="2" customWidth="1"/>
    <col min="6414" max="6414" width="20.42578125" style="2" customWidth="1"/>
    <col min="6415" max="6415" width="14.42578125" style="2" customWidth="1"/>
    <col min="6416" max="6416" width="13.85546875" style="2" customWidth="1"/>
    <col min="6417" max="6417" width="14.85546875" style="2" customWidth="1"/>
    <col min="6418" max="6418" width="8.85546875" style="2"/>
    <col min="6419" max="6419" width="10.85546875" style="2" customWidth="1"/>
    <col min="6420" max="6665" width="8.85546875" style="2"/>
    <col min="6666" max="6667" width="4.7109375" style="2" customWidth="1"/>
    <col min="6668" max="6668" width="40" style="2" customWidth="1"/>
    <col min="6669" max="6669" width="7.42578125" style="2" customWidth="1"/>
    <col min="6670" max="6670" width="20.42578125" style="2" customWidth="1"/>
    <col min="6671" max="6671" width="14.42578125" style="2" customWidth="1"/>
    <col min="6672" max="6672" width="13.85546875" style="2" customWidth="1"/>
    <col min="6673" max="6673" width="14.85546875" style="2" customWidth="1"/>
    <col min="6674" max="6674" width="8.85546875" style="2"/>
    <col min="6675" max="6675" width="10.85546875" style="2" customWidth="1"/>
    <col min="6676" max="6921" width="8.85546875" style="2"/>
    <col min="6922" max="6923" width="4.7109375" style="2" customWidth="1"/>
    <col min="6924" max="6924" width="40" style="2" customWidth="1"/>
    <col min="6925" max="6925" width="7.42578125" style="2" customWidth="1"/>
    <col min="6926" max="6926" width="20.42578125" style="2" customWidth="1"/>
    <col min="6927" max="6927" width="14.42578125" style="2" customWidth="1"/>
    <col min="6928" max="6928" width="13.85546875" style="2" customWidth="1"/>
    <col min="6929" max="6929" width="14.85546875" style="2" customWidth="1"/>
    <col min="6930" max="6930" width="8.85546875" style="2"/>
    <col min="6931" max="6931" width="10.85546875" style="2" customWidth="1"/>
    <col min="6932" max="7177" width="8.85546875" style="2"/>
    <col min="7178" max="7179" width="4.7109375" style="2" customWidth="1"/>
    <col min="7180" max="7180" width="40" style="2" customWidth="1"/>
    <col min="7181" max="7181" width="7.42578125" style="2" customWidth="1"/>
    <col min="7182" max="7182" width="20.42578125" style="2" customWidth="1"/>
    <col min="7183" max="7183" width="14.42578125" style="2" customWidth="1"/>
    <col min="7184" max="7184" width="13.85546875" style="2" customWidth="1"/>
    <col min="7185" max="7185" width="14.85546875" style="2" customWidth="1"/>
    <col min="7186" max="7186" width="8.85546875" style="2"/>
    <col min="7187" max="7187" width="10.85546875" style="2" customWidth="1"/>
    <col min="7188" max="7433" width="8.85546875" style="2"/>
    <col min="7434" max="7435" width="4.7109375" style="2" customWidth="1"/>
    <col min="7436" max="7436" width="40" style="2" customWidth="1"/>
    <col min="7437" max="7437" width="7.42578125" style="2" customWidth="1"/>
    <col min="7438" max="7438" width="20.42578125" style="2" customWidth="1"/>
    <col min="7439" max="7439" width="14.42578125" style="2" customWidth="1"/>
    <col min="7440" max="7440" width="13.85546875" style="2" customWidth="1"/>
    <col min="7441" max="7441" width="14.85546875" style="2" customWidth="1"/>
    <col min="7442" max="7442" width="8.85546875" style="2"/>
    <col min="7443" max="7443" width="10.85546875" style="2" customWidth="1"/>
    <col min="7444" max="7689" width="8.85546875" style="2"/>
    <col min="7690" max="7691" width="4.7109375" style="2" customWidth="1"/>
    <col min="7692" max="7692" width="40" style="2" customWidth="1"/>
    <col min="7693" max="7693" width="7.42578125" style="2" customWidth="1"/>
    <col min="7694" max="7694" width="20.42578125" style="2" customWidth="1"/>
    <col min="7695" max="7695" width="14.42578125" style="2" customWidth="1"/>
    <col min="7696" max="7696" width="13.85546875" style="2" customWidth="1"/>
    <col min="7697" max="7697" width="14.85546875" style="2" customWidth="1"/>
    <col min="7698" max="7698" width="8.85546875" style="2"/>
    <col min="7699" max="7699" width="10.85546875" style="2" customWidth="1"/>
    <col min="7700" max="7945" width="8.85546875" style="2"/>
    <col min="7946" max="7947" width="4.7109375" style="2" customWidth="1"/>
    <col min="7948" max="7948" width="40" style="2" customWidth="1"/>
    <col min="7949" max="7949" width="7.42578125" style="2" customWidth="1"/>
    <col min="7950" max="7950" width="20.42578125" style="2" customWidth="1"/>
    <col min="7951" max="7951" width="14.42578125" style="2" customWidth="1"/>
    <col min="7952" max="7952" width="13.85546875" style="2" customWidth="1"/>
    <col min="7953" max="7953" width="14.85546875" style="2" customWidth="1"/>
    <col min="7954" max="7954" width="8.85546875" style="2"/>
    <col min="7955" max="7955" width="10.85546875" style="2" customWidth="1"/>
    <col min="7956" max="8201" width="8.85546875" style="2"/>
    <col min="8202" max="8203" width="4.7109375" style="2" customWidth="1"/>
    <col min="8204" max="8204" width="40" style="2" customWidth="1"/>
    <col min="8205" max="8205" width="7.42578125" style="2" customWidth="1"/>
    <col min="8206" max="8206" width="20.42578125" style="2" customWidth="1"/>
    <col min="8207" max="8207" width="14.42578125" style="2" customWidth="1"/>
    <col min="8208" max="8208" width="13.85546875" style="2" customWidth="1"/>
    <col min="8209" max="8209" width="14.85546875" style="2" customWidth="1"/>
    <col min="8210" max="8210" width="8.85546875" style="2"/>
    <col min="8211" max="8211" width="10.85546875" style="2" customWidth="1"/>
    <col min="8212" max="8457" width="8.85546875" style="2"/>
    <col min="8458" max="8459" width="4.7109375" style="2" customWidth="1"/>
    <col min="8460" max="8460" width="40" style="2" customWidth="1"/>
    <col min="8461" max="8461" width="7.42578125" style="2" customWidth="1"/>
    <col min="8462" max="8462" width="20.42578125" style="2" customWidth="1"/>
    <col min="8463" max="8463" width="14.42578125" style="2" customWidth="1"/>
    <col min="8464" max="8464" width="13.85546875" style="2" customWidth="1"/>
    <col min="8465" max="8465" width="14.85546875" style="2" customWidth="1"/>
    <col min="8466" max="8466" width="8.85546875" style="2"/>
    <col min="8467" max="8467" width="10.85546875" style="2" customWidth="1"/>
    <col min="8468" max="8713" width="8.85546875" style="2"/>
    <col min="8714" max="8715" width="4.7109375" style="2" customWidth="1"/>
    <col min="8716" max="8716" width="40" style="2" customWidth="1"/>
    <col min="8717" max="8717" width="7.42578125" style="2" customWidth="1"/>
    <col min="8718" max="8718" width="20.42578125" style="2" customWidth="1"/>
    <col min="8719" max="8719" width="14.42578125" style="2" customWidth="1"/>
    <col min="8720" max="8720" width="13.85546875" style="2" customWidth="1"/>
    <col min="8721" max="8721" width="14.85546875" style="2" customWidth="1"/>
    <col min="8722" max="8722" width="8.85546875" style="2"/>
    <col min="8723" max="8723" width="10.85546875" style="2" customWidth="1"/>
    <col min="8724" max="8969" width="8.85546875" style="2"/>
    <col min="8970" max="8971" width="4.7109375" style="2" customWidth="1"/>
    <col min="8972" max="8972" width="40" style="2" customWidth="1"/>
    <col min="8973" max="8973" width="7.42578125" style="2" customWidth="1"/>
    <col min="8974" max="8974" width="20.42578125" style="2" customWidth="1"/>
    <col min="8975" max="8975" width="14.42578125" style="2" customWidth="1"/>
    <col min="8976" max="8976" width="13.85546875" style="2" customWidth="1"/>
    <col min="8977" max="8977" width="14.85546875" style="2" customWidth="1"/>
    <col min="8978" max="8978" width="8.85546875" style="2"/>
    <col min="8979" max="8979" width="10.85546875" style="2" customWidth="1"/>
    <col min="8980" max="9225" width="8.85546875" style="2"/>
    <col min="9226" max="9227" width="4.7109375" style="2" customWidth="1"/>
    <col min="9228" max="9228" width="40" style="2" customWidth="1"/>
    <col min="9229" max="9229" width="7.42578125" style="2" customWidth="1"/>
    <col min="9230" max="9230" width="20.42578125" style="2" customWidth="1"/>
    <col min="9231" max="9231" width="14.42578125" style="2" customWidth="1"/>
    <col min="9232" max="9232" width="13.85546875" style="2" customWidth="1"/>
    <col min="9233" max="9233" width="14.85546875" style="2" customWidth="1"/>
    <col min="9234" max="9234" width="8.85546875" style="2"/>
    <col min="9235" max="9235" width="10.85546875" style="2" customWidth="1"/>
    <col min="9236" max="9481" width="8.85546875" style="2"/>
    <col min="9482" max="9483" width="4.7109375" style="2" customWidth="1"/>
    <col min="9484" max="9484" width="40" style="2" customWidth="1"/>
    <col min="9485" max="9485" width="7.42578125" style="2" customWidth="1"/>
    <col min="9486" max="9486" width="20.42578125" style="2" customWidth="1"/>
    <col min="9487" max="9487" width="14.42578125" style="2" customWidth="1"/>
    <col min="9488" max="9488" width="13.85546875" style="2" customWidth="1"/>
    <col min="9489" max="9489" width="14.85546875" style="2" customWidth="1"/>
    <col min="9490" max="9490" width="8.85546875" style="2"/>
    <col min="9491" max="9491" width="10.85546875" style="2" customWidth="1"/>
    <col min="9492" max="9737" width="8.85546875" style="2"/>
    <col min="9738" max="9739" width="4.7109375" style="2" customWidth="1"/>
    <col min="9740" max="9740" width="40" style="2" customWidth="1"/>
    <col min="9741" max="9741" width="7.42578125" style="2" customWidth="1"/>
    <col min="9742" max="9742" width="20.42578125" style="2" customWidth="1"/>
    <col min="9743" max="9743" width="14.42578125" style="2" customWidth="1"/>
    <col min="9744" max="9744" width="13.85546875" style="2" customWidth="1"/>
    <col min="9745" max="9745" width="14.85546875" style="2" customWidth="1"/>
    <col min="9746" max="9746" width="8.85546875" style="2"/>
    <col min="9747" max="9747" width="10.85546875" style="2" customWidth="1"/>
    <col min="9748" max="9993" width="8.85546875" style="2"/>
    <col min="9994" max="9995" width="4.7109375" style="2" customWidth="1"/>
    <col min="9996" max="9996" width="40" style="2" customWidth="1"/>
    <col min="9997" max="9997" width="7.42578125" style="2" customWidth="1"/>
    <col min="9998" max="9998" width="20.42578125" style="2" customWidth="1"/>
    <col min="9999" max="9999" width="14.42578125" style="2" customWidth="1"/>
    <col min="10000" max="10000" width="13.85546875" style="2" customWidth="1"/>
    <col min="10001" max="10001" width="14.85546875" style="2" customWidth="1"/>
    <col min="10002" max="10002" width="8.85546875" style="2"/>
    <col min="10003" max="10003" width="10.85546875" style="2" customWidth="1"/>
    <col min="10004" max="10249" width="8.85546875" style="2"/>
    <col min="10250" max="10251" width="4.7109375" style="2" customWidth="1"/>
    <col min="10252" max="10252" width="40" style="2" customWidth="1"/>
    <col min="10253" max="10253" width="7.42578125" style="2" customWidth="1"/>
    <col min="10254" max="10254" width="20.42578125" style="2" customWidth="1"/>
    <col min="10255" max="10255" width="14.42578125" style="2" customWidth="1"/>
    <col min="10256" max="10256" width="13.85546875" style="2" customWidth="1"/>
    <col min="10257" max="10257" width="14.85546875" style="2" customWidth="1"/>
    <col min="10258" max="10258" width="8.85546875" style="2"/>
    <col min="10259" max="10259" width="10.85546875" style="2" customWidth="1"/>
    <col min="10260" max="10505" width="8.85546875" style="2"/>
    <col min="10506" max="10507" width="4.7109375" style="2" customWidth="1"/>
    <col min="10508" max="10508" width="40" style="2" customWidth="1"/>
    <col min="10509" max="10509" width="7.42578125" style="2" customWidth="1"/>
    <col min="10510" max="10510" width="20.42578125" style="2" customWidth="1"/>
    <col min="10511" max="10511" width="14.42578125" style="2" customWidth="1"/>
    <col min="10512" max="10512" width="13.85546875" style="2" customWidth="1"/>
    <col min="10513" max="10513" width="14.85546875" style="2" customWidth="1"/>
    <col min="10514" max="10514" width="8.85546875" style="2"/>
    <col min="10515" max="10515" width="10.85546875" style="2" customWidth="1"/>
    <col min="10516" max="10761" width="8.85546875" style="2"/>
    <col min="10762" max="10763" width="4.7109375" style="2" customWidth="1"/>
    <col min="10764" max="10764" width="40" style="2" customWidth="1"/>
    <col min="10765" max="10765" width="7.42578125" style="2" customWidth="1"/>
    <col min="10766" max="10766" width="20.42578125" style="2" customWidth="1"/>
    <col min="10767" max="10767" width="14.42578125" style="2" customWidth="1"/>
    <col min="10768" max="10768" width="13.85546875" style="2" customWidth="1"/>
    <col min="10769" max="10769" width="14.85546875" style="2" customWidth="1"/>
    <col min="10770" max="10770" width="8.85546875" style="2"/>
    <col min="10771" max="10771" width="10.85546875" style="2" customWidth="1"/>
    <col min="10772" max="11017" width="8.85546875" style="2"/>
    <col min="11018" max="11019" width="4.7109375" style="2" customWidth="1"/>
    <col min="11020" max="11020" width="40" style="2" customWidth="1"/>
    <col min="11021" max="11021" width="7.42578125" style="2" customWidth="1"/>
    <col min="11022" max="11022" width="20.42578125" style="2" customWidth="1"/>
    <col min="11023" max="11023" width="14.42578125" style="2" customWidth="1"/>
    <col min="11024" max="11024" width="13.85546875" style="2" customWidth="1"/>
    <col min="11025" max="11025" width="14.85546875" style="2" customWidth="1"/>
    <col min="11026" max="11026" width="8.85546875" style="2"/>
    <col min="11027" max="11027" width="10.85546875" style="2" customWidth="1"/>
    <col min="11028" max="11273" width="8.85546875" style="2"/>
    <col min="11274" max="11275" width="4.7109375" style="2" customWidth="1"/>
    <col min="11276" max="11276" width="40" style="2" customWidth="1"/>
    <col min="11277" max="11277" width="7.42578125" style="2" customWidth="1"/>
    <col min="11278" max="11278" width="20.42578125" style="2" customWidth="1"/>
    <col min="11279" max="11279" width="14.42578125" style="2" customWidth="1"/>
    <col min="11280" max="11280" width="13.85546875" style="2" customWidth="1"/>
    <col min="11281" max="11281" width="14.85546875" style="2" customWidth="1"/>
    <col min="11282" max="11282" width="8.85546875" style="2"/>
    <col min="11283" max="11283" width="10.85546875" style="2" customWidth="1"/>
    <col min="11284" max="11529" width="8.85546875" style="2"/>
    <col min="11530" max="11531" width="4.7109375" style="2" customWidth="1"/>
    <col min="11532" max="11532" width="40" style="2" customWidth="1"/>
    <col min="11533" max="11533" width="7.42578125" style="2" customWidth="1"/>
    <col min="11534" max="11534" width="20.42578125" style="2" customWidth="1"/>
    <col min="11535" max="11535" width="14.42578125" style="2" customWidth="1"/>
    <col min="11536" max="11536" width="13.85546875" style="2" customWidth="1"/>
    <col min="11537" max="11537" width="14.85546875" style="2" customWidth="1"/>
    <col min="11538" max="11538" width="8.85546875" style="2"/>
    <col min="11539" max="11539" width="10.85546875" style="2" customWidth="1"/>
    <col min="11540" max="11785" width="8.85546875" style="2"/>
    <col min="11786" max="11787" width="4.7109375" style="2" customWidth="1"/>
    <col min="11788" max="11788" width="40" style="2" customWidth="1"/>
    <col min="11789" max="11789" width="7.42578125" style="2" customWidth="1"/>
    <col min="11790" max="11790" width="20.42578125" style="2" customWidth="1"/>
    <col min="11791" max="11791" width="14.42578125" style="2" customWidth="1"/>
    <col min="11792" max="11792" width="13.85546875" style="2" customWidth="1"/>
    <col min="11793" max="11793" width="14.85546875" style="2" customWidth="1"/>
    <col min="11794" max="11794" width="8.85546875" style="2"/>
    <col min="11795" max="11795" width="10.85546875" style="2" customWidth="1"/>
    <col min="11796" max="12041" width="8.85546875" style="2"/>
    <col min="12042" max="12043" width="4.7109375" style="2" customWidth="1"/>
    <col min="12044" max="12044" width="40" style="2" customWidth="1"/>
    <col min="12045" max="12045" width="7.42578125" style="2" customWidth="1"/>
    <col min="12046" max="12046" width="20.42578125" style="2" customWidth="1"/>
    <col min="12047" max="12047" width="14.42578125" style="2" customWidth="1"/>
    <col min="12048" max="12048" width="13.85546875" style="2" customWidth="1"/>
    <col min="12049" max="12049" width="14.85546875" style="2" customWidth="1"/>
    <col min="12050" max="12050" width="8.85546875" style="2"/>
    <col min="12051" max="12051" width="10.85546875" style="2" customWidth="1"/>
    <col min="12052" max="12297" width="8.85546875" style="2"/>
    <col min="12298" max="12299" width="4.7109375" style="2" customWidth="1"/>
    <col min="12300" max="12300" width="40" style="2" customWidth="1"/>
    <col min="12301" max="12301" width="7.42578125" style="2" customWidth="1"/>
    <col min="12302" max="12302" width="20.42578125" style="2" customWidth="1"/>
    <col min="12303" max="12303" width="14.42578125" style="2" customWidth="1"/>
    <col min="12304" max="12304" width="13.85546875" style="2" customWidth="1"/>
    <col min="12305" max="12305" width="14.85546875" style="2" customWidth="1"/>
    <col min="12306" max="12306" width="8.85546875" style="2"/>
    <col min="12307" max="12307" width="10.85546875" style="2" customWidth="1"/>
    <col min="12308" max="12553" width="8.85546875" style="2"/>
    <col min="12554" max="12555" width="4.7109375" style="2" customWidth="1"/>
    <col min="12556" max="12556" width="40" style="2" customWidth="1"/>
    <col min="12557" max="12557" width="7.42578125" style="2" customWidth="1"/>
    <col min="12558" max="12558" width="20.42578125" style="2" customWidth="1"/>
    <col min="12559" max="12559" width="14.42578125" style="2" customWidth="1"/>
    <col min="12560" max="12560" width="13.85546875" style="2" customWidth="1"/>
    <col min="12561" max="12561" width="14.85546875" style="2" customWidth="1"/>
    <col min="12562" max="12562" width="8.85546875" style="2"/>
    <col min="12563" max="12563" width="10.85546875" style="2" customWidth="1"/>
    <col min="12564" max="12809" width="8.85546875" style="2"/>
    <col min="12810" max="12811" width="4.7109375" style="2" customWidth="1"/>
    <col min="12812" max="12812" width="40" style="2" customWidth="1"/>
    <col min="12813" max="12813" width="7.42578125" style="2" customWidth="1"/>
    <col min="12814" max="12814" width="20.42578125" style="2" customWidth="1"/>
    <col min="12815" max="12815" width="14.42578125" style="2" customWidth="1"/>
    <col min="12816" max="12816" width="13.85546875" style="2" customWidth="1"/>
    <col min="12817" max="12817" width="14.85546875" style="2" customWidth="1"/>
    <col min="12818" max="12818" width="8.85546875" style="2"/>
    <col min="12819" max="12819" width="10.85546875" style="2" customWidth="1"/>
    <col min="12820" max="13065" width="8.85546875" style="2"/>
    <col min="13066" max="13067" width="4.7109375" style="2" customWidth="1"/>
    <col min="13068" max="13068" width="40" style="2" customWidth="1"/>
    <col min="13069" max="13069" width="7.42578125" style="2" customWidth="1"/>
    <col min="13070" max="13070" width="20.42578125" style="2" customWidth="1"/>
    <col min="13071" max="13071" width="14.42578125" style="2" customWidth="1"/>
    <col min="13072" max="13072" width="13.85546875" style="2" customWidth="1"/>
    <col min="13073" max="13073" width="14.85546875" style="2" customWidth="1"/>
    <col min="13074" max="13074" width="8.85546875" style="2"/>
    <col min="13075" max="13075" width="10.85546875" style="2" customWidth="1"/>
    <col min="13076" max="13321" width="8.85546875" style="2"/>
    <col min="13322" max="13323" width="4.7109375" style="2" customWidth="1"/>
    <col min="13324" max="13324" width="40" style="2" customWidth="1"/>
    <col min="13325" max="13325" width="7.42578125" style="2" customWidth="1"/>
    <col min="13326" max="13326" width="20.42578125" style="2" customWidth="1"/>
    <col min="13327" max="13327" width="14.42578125" style="2" customWidth="1"/>
    <col min="13328" max="13328" width="13.85546875" style="2" customWidth="1"/>
    <col min="13329" max="13329" width="14.85546875" style="2" customWidth="1"/>
    <col min="13330" max="13330" width="8.85546875" style="2"/>
    <col min="13331" max="13331" width="10.85546875" style="2" customWidth="1"/>
    <col min="13332" max="13577" width="8.85546875" style="2"/>
    <col min="13578" max="13579" width="4.7109375" style="2" customWidth="1"/>
    <col min="13580" max="13580" width="40" style="2" customWidth="1"/>
    <col min="13581" max="13581" width="7.42578125" style="2" customWidth="1"/>
    <col min="13582" max="13582" width="20.42578125" style="2" customWidth="1"/>
    <col min="13583" max="13583" width="14.42578125" style="2" customWidth="1"/>
    <col min="13584" max="13584" width="13.85546875" style="2" customWidth="1"/>
    <col min="13585" max="13585" width="14.85546875" style="2" customWidth="1"/>
    <col min="13586" max="13586" width="8.85546875" style="2"/>
    <col min="13587" max="13587" width="10.85546875" style="2" customWidth="1"/>
    <col min="13588" max="13833" width="8.85546875" style="2"/>
    <col min="13834" max="13835" width="4.7109375" style="2" customWidth="1"/>
    <col min="13836" max="13836" width="40" style="2" customWidth="1"/>
    <col min="13837" max="13837" width="7.42578125" style="2" customWidth="1"/>
    <col min="13838" max="13838" width="20.42578125" style="2" customWidth="1"/>
    <col min="13839" max="13839" width="14.42578125" style="2" customWidth="1"/>
    <col min="13840" max="13840" width="13.85546875" style="2" customWidth="1"/>
    <col min="13841" max="13841" width="14.85546875" style="2" customWidth="1"/>
    <col min="13842" max="13842" width="8.85546875" style="2"/>
    <col min="13843" max="13843" width="10.85546875" style="2" customWidth="1"/>
    <col min="13844" max="14089" width="8.85546875" style="2"/>
    <col min="14090" max="14091" width="4.7109375" style="2" customWidth="1"/>
    <col min="14092" max="14092" width="40" style="2" customWidth="1"/>
    <col min="14093" max="14093" width="7.42578125" style="2" customWidth="1"/>
    <col min="14094" max="14094" width="20.42578125" style="2" customWidth="1"/>
    <col min="14095" max="14095" width="14.42578125" style="2" customWidth="1"/>
    <col min="14096" max="14096" width="13.85546875" style="2" customWidth="1"/>
    <col min="14097" max="14097" width="14.85546875" style="2" customWidth="1"/>
    <col min="14098" max="14098" width="8.85546875" style="2"/>
    <col min="14099" max="14099" width="10.85546875" style="2" customWidth="1"/>
    <col min="14100" max="14345" width="8.85546875" style="2"/>
    <col min="14346" max="14347" width="4.7109375" style="2" customWidth="1"/>
    <col min="14348" max="14348" width="40" style="2" customWidth="1"/>
    <col min="14349" max="14349" width="7.42578125" style="2" customWidth="1"/>
    <col min="14350" max="14350" width="20.42578125" style="2" customWidth="1"/>
    <col min="14351" max="14351" width="14.42578125" style="2" customWidth="1"/>
    <col min="14352" max="14352" width="13.85546875" style="2" customWidth="1"/>
    <col min="14353" max="14353" width="14.85546875" style="2" customWidth="1"/>
    <col min="14354" max="14354" width="8.85546875" style="2"/>
    <col min="14355" max="14355" width="10.85546875" style="2" customWidth="1"/>
    <col min="14356" max="14601" width="8.85546875" style="2"/>
    <col min="14602" max="14603" width="4.7109375" style="2" customWidth="1"/>
    <col min="14604" max="14604" width="40" style="2" customWidth="1"/>
    <col min="14605" max="14605" width="7.42578125" style="2" customWidth="1"/>
    <col min="14606" max="14606" width="20.42578125" style="2" customWidth="1"/>
    <col min="14607" max="14607" width="14.42578125" style="2" customWidth="1"/>
    <col min="14608" max="14608" width="13.85546875" style="2" customWidth="1"/>
    <col min="14609" max="14609" width="14.85546875" style="2" customWidth="1"/>
    <col min="14610" max="14610" width="8.85546875" style="2"/>
    <col min="14611" max="14611" width="10.85546875" style="2" customWidth="1"/>
    <col min="14612" max="14857" width="8.85546875" style="2"/>
    <col min="14858" max="14859" width="4.7109375" style="2" customWidth="1"/>
    <col min="14860" max="14860" width="40" style="2" customWidth="1"/>
    <col min="14861" max="14861" width="7.42578125" style="2" customWidth="1"/>
    <col min="14862" max="14862" width="20.42578125" style="2" customWidth="1"/>
    <col min="14863" max="14863" width="14.42578125" style="2" customWidth="1"/>
    <col min="14864" max="14864" width="13.85546875" style="2" customWidth="1"/>
    <col min="14865" max="14865" width="14.85546875" style="2" customWidth="1"/>
    <col min="14866" max="14866" width="8.85546875" style="2"/>
    <col min="14867" max="14867" width="10.85546875" style="2" customWidth="1"/>
    <col min="14868" max="15113" width="8.85546875" style="2"/>
    <col min="15114" max="15115" width="4.7109375" style="2" customWidth="1"/>
    <col min="15116" max="15116" width="40" style="2" customWidth="1"/>
    <col min="15117" max="15117" width="7.42578125" style="2" customWidth="1"/>
    <col min="15118" max="15118" width="20.42578125" style="2" customWidth="1"/>
    <col min="15119" max="15119" width="14.42578125" style="2" customWidth="1"/>
    <col min="15120" max="15120" width="13.85546875" style="2" customWidth="1"/>
    <col min="15121" max="15121" width="14.85546875" style="2" customWidth="1"/>
    <col min="15122" max="15122" width="8.85546875" style="2"/>
    <col min="15123" max="15123" width="10.85546875" style="2" customWidth="1"/>
    <col min="15124" max="15369" width="8.85546875" style="2"/>
    <col min="15370" max="15371" width="4.7109375" style="2" customWidth="1"/>
    <col min="15372" max="15372" width="40" style="2" customWidth="1"/>
    <col min="15373" max="15373" width="7.42578125" style="2" customWidth="1"/>
    <col min="15374" max="15374" width="20.42578125" style="2" customWidth="1"/>
    <col min="15375" max="15375" width="14.42578125" style="2" customWidth="1"/>
    <col min="15376" max="15376" width="13.85546875" style="2" customWidth="1"/>
    <col min="15377" max="15377" width="14.85546875" style="2" customWidth="1"/>
    <col min="15378" max="15378" width="8.85546875" style="2"/>
    <col min="15379" max="15379" width="10.85546875" style="2" customWidth="1"/>
    <col min="15380" max="15625" width="8.85546875" style="2"/>
    <col min="15626" max="15627" width="4.7109375" style="2" customWidth="1"/>
    <col min="15628" max="15628" width="40" style="2" customWidth="1"/>
    <col min="15629" max="15629" width="7.42578125" style="2" customWidth="1"/>
    <col min="15630" max="15630" width="20.42578125" style="2" customWidth="1"/>
    <col min="15631" max="15631" width="14.42578125" style="2" customWidth="1"/>
    <col min="15632" max="15632" width="13.85546875" style="2" customWidth="1"/>
    <col min="15633" max="15633" width="14.85546875" style="2" customWidth="1"/>
    <col min="15634" max="15634" width="8.85546875" style="2"/>
    <col min="15635" max="15635" width="10.85546875" style="2" customWidth="1"/>
    <col min="15636" max="15881" width="8.85546875" style="2"/>
    <col min="15882" max="15883" width="4.7109375" style="2" customWidth="1"/>
    <col min="15884" max="15884" width="40" style="2" customWidth="1"/>
    <col min="15885" max="15885" width="7.42578125" style="2" customWidth="1"/>
    <col min="15886" max="15886" width="20.42578125" style="2" customWidth="1"/>
    <col min="15887" max="15887" width="14.42578125" style="2" customWidth="1"/>
    <col min="15888" max="15888" width="13.85546875" style="2" customWidth="1"/>
    <col min="15889" max="15889" width="14.85546875" style="2" customWidth="1"/>
    <col min="15890" max="15890" width="8.85546875" style="2"/>
    <col min="15891" max="15891" width="10.85546875" style="2" customWidth="1"/>
    <col min="15892" max="16137" width="8.85546875" style="2"/>
    <col min="16138" max="16139" width="4.7109375" style="2" customWidth="1"/>
    <col min="16140" max="16140" width="40" style="2" customWidth="1"/>
    <col min="16141" max="16141" width="7.42578125" style="2" customWidth="1"/>
    <col min="16142" max="16142" width="20.42578125" style="2" customWidth="1"/>
    <col min="16143" max="16143" width="14.42578125" style="2" customWidth="1"/>
    <col min="16144" max="16144" width="13.85546875" style="2" customWidth="1"/>
    <col min="16145" max="16145" width="14.85546875" style="2" customWidth="1"/>
    <col min="16146" max="16146" width="8.85546875" style="2"/>
    <col min="16147" max="16147" width="10.85546875" style="2" customWidth="1"/>
    <col min="16148" max="16384" width="8.85546875" style="2"/>
  </cols>
  <sheetData>
    <row r="1" spans="1:21" ht="23.25" x14ac:dyDescent="0.35">
      <c r="A1" s="41" t="s">
        <v>81</v>
      </c>
      <c r="N1" s="41" t="s">
        <v>81</v>
      </c>
    </row>
    <row r="2" spans="1:21" ht="23.25" x14ac:dyDescent="0.35">
      <c r="A2" s="2" t="s">
        <v>0</v>
      </c>
      <c r="N2" s="41" t="s">
        <v>98</v>
      </c>
    </row>
    <row r="3" spans="1:21" x14ac:dyDescent="0.3">
      <c r="B3" s="2" t="s">
        <v>23</v>
      </c>
    </row>
    <row r="4" spans="1:21" x14ac:dyDescent="0.3">
      <c r="C4" s="2" t="s">
        <v>25</v>
      </c>
      <c r="E4" s="2" t="s">
        <v>24</v>
      </c>
      <c r="G4" s="2" t="s">
        <v>30</v>
      </c>
    </row>
    <row r="5" spans="1:21" x14ac:dyDescent="0.3">
      <c r="C5" s="2" t="s">
        <v>26</v>
      </c>
      <c r="E5" s="2" t="s">
        <v>28</v>
      </c>
      <c r="G5" s="2" t="s">
        <v>29</v>
      </c>
      <c r="I5" s="2">
        <v>59</v>
      </c>
    </row>
    <row r="6" spans="1:21" x14ac:dyDescent="0.3">
      <c r="C6" s="2" t="s">
        <v>1</v>
      </c>
      <c r="E6" s="2" t="s">
        <v>27</v>
      </c>
    </row>
    <row r="7" spans="1:21" x14ac:dyDescent="0.3">
      <c r="G7" s="2" t="s">
        <v>39</v>
      </c>
      <c r="I7" s="2">
        <v>14</v>
      </c>
    </row>
    <row r="8" spans="1:21" x14ac:dyDescent="0.3">
      <c r="M8" s="3" t="s">
        <v>59</v>
      </c>
      <c r="N8" s="3"/>
      <c r="O8" s="3"/>
      <c r="P8" s="3"/>
      <c r="Q8" s="3" t="s">
        <v>59</v>
      </c>
      <c r="R8" s="3" t="s">
        <v>58</v>
      </c>
      <c r="S8" s="3" t="s">
        <v>57</v>
      </c>
      <c r="T8" s="3" t="s">
        <v>60</v>
      </c>
      <c r="U8" s="3" t="s">
        <v>61</v>
      </c>
    </row>
    <row r="9" spans="1:21" x14ac:dyDescent="0.3">
      <c r="H9" s="3" t="s">
        <v>69</v>
      </c>
      <c r="I9" s="3" t="s">
        <v>34</v>
      </c>
      <c r="J9" s="3" t="s">
        <v>31</v>
      </c>
      <c r="K9" s="3" t="s">
        <v>32</v>
      </c>
      <c r="L9" s="3" t="s">
        <v>33</v>
      </c>
      <c r="M9" s="3" t="s">
        <v>2</v>
      </c>
      <c r="N9" s="3"/>
      <c r="O9" s="3"/>
      <c r="P9" s="3"/>
      <c r="Q9" s="3" t="s">
        <v>2</v>
      </c>
      <c r="R9" s="12" t="s">
        <v>96</v>
      </c>
      <c r="S9" s="12" t="s">
        <v>96</v>
      </c>
      <c r="T9" s="12" t="s">
        <v>70</v>
      </c>
      <c r="U9" s="12" t="s">
        <v>70</v>
      </c>
    </row>
    <row r="10" spans="1:21" x14ac:dyDescent="0.3">
      <c r="A10" s="2" t="s">
        <v>3</v>
      </c>
      <c r="N10" s="2" t="s">
        <v>3</v>
      </c>
      <c r="R10" s="12" t="s">
        <v>89</v>
      </c>
      <c r="S10" s="12" t="s">
        <v>89</v>
      </c>
      <c r="T10" s="12" t="s">
        <v>71</v>
      </c>
      <c r="U10" s="12" t="s">
        <v>72</v>
      </c>
    </row>
    <row r="11" spans="1:21" x14ac:dyDescent="0.3">
      <c r="C11" s="2" t="s">
        <v>50</v>
      </c>
      <c r="H11" s="2" t="s">
        <v>74</v>
      </c>
      <c r="I11" s="25">
        <v>0.75</v>
      </c>
      <c r="J11" s="25">
        <v>0.8</v>
      </c>
      <c r="K11" s="25">
        <v>0.35</v>
      </c>
      <c r="L11" s="25">
        <v>0</v>
      </c>
      <c r="Q11" s="2" t="s">
        <v>74</v>
      </c>
      <c r="R11" s="25">
        <v>0.9</v>
      </c>
      <c r="S11" s="25">
        <v>1</v>
      </c>
      <c r="T11" s="25">
        <v>0.03</v>
      </c>
      <c r="U11" s="25">
        <v>0.03</v>
      </c>
    </row>
    <row r="12" spans="1:21" x14ac:dyDescent="0.3">
      <c r="H12" s="2" t="s">
        <v>75</v>
      </c>
      <c r="I12" s="5">
        <v>0</v>
      </c>
      <c r="J12" s="5">
        <v>0</v>
      </c>
      <c r="K12" s="25">
        <v>0.5</v>
      </c>
      <c r="L12" s="33">
        <v>1</v>
      </c>
      <c r="Q12" s="2" t="s">
        <v>75</v>
      </c>
      <c r="R12" s="25">
        <v>0.9</v>
      </c>
      <c r="S12" s="25">
        <v>1</v>
      </c>
      <c r="T12" s="25">
        <v>0.03</v>
      </c>
      <c r="U12" s="25">
        <v>0.03</v>
      </c>
    </row>
    <row r="13" spans="1:21" ht="37.5" x14ac:dyDescent="0.3">
      <c r="A13" s="1" t="s">
        <v>4</v>
      </c>
      <c r="E13" s="23" t="s">
        <v>48</v>
      </c>
      <c r="G13" s="2" t="s">
        <v>43</v>
      </c>
      <c r="N13" s="1" t="s">
        <v>4</v>
      </c>
      <c r="S13" s="4"/>
    </row>
    <row r="14" spans="1:21" x14ac:dyDescent="0.3">
      <c r="B14" s="2" t="s">
        <v>49</v>
      </c>
      <c r="E14" s="23"/>
      <c r="H14" s="26"/>
      <c r="O14" s="2" t="s">
        <v>49</v>
      </c>
      <c r="S14" s="4"/>
    </row>
    <row r="15" spans="1:21" x14ac:dyDescent="0.3">
      <c r="C15" s="2" t="s">
        <v>73</v>
      </c>
      <c r="E15" s="5">
        <v>8</v>
      </c>
      <c r="F15" s="6" t="s">
        <v>5</v>
      </c>
      <c r="G15" s="14">
        <v>150</v>
      </c>
      <c r="H15" s="21"/>
      <c r="I15" s="21">
        <f>$E15*7*13*$G15*I$11</f>
        <v>81900</v>
      </c>
      <c r="J15" s="21">
        <f t="shared" ref="J15:L15" si="0">$E15*7*13*$G15*J$11</f>
        <v>87360</v>
      </c>
      <c r="K15" s="21">
        <f t="shared" si="0"/>
        <v>38220</v>
      </c>
      <c r="L15" s="21">
        <f t="shared" si="0"/>
        <v>0</v>
      </c>
      <c r="M15" s="7">
        <f>SUM(I15:L15)</f>
        <v>207480</v>
      </c>
      <c r="P15" s="2" t="s">
        <v>73</v>
      </c>
      <c r="Q15" s="15">
        <f t="shared" ref="Q15:Q21" si="1">M15</f>
        <v>207480</v>
      </c>
      <c r="R15" s="10">
        <f>R$11*$G15*$E15*7*32</f>
        <v>241920</v>
      </c>
      <c r="S15" s="10">
        <f>S$11*$G15*$E15*7*32</f>
        <v>268800</v>
      </c>
      <c r="T15" s="10">
        <f>(1+T$11)*$G15*$E15*7*32</f>
        <v>276864</v>
      </c>
      <c r="U15" s="10">
        <f>(1+U$11)*T15</f>
        <v>285169.91999999998</v>
      </c>
    </row>
    <row r="16" spans="1:21" x14ac:dyDescent="0.3">
      <c r="C16" s="2" t="s">
        <v>68</v>
      </c>
      <c r="E16" s="5">
        <v>10</v>
      </c>
      <c r="F16" s="6" t="s">
        <v>5</v>
      </c>
      <c r="G16" s="14">
        <v>25</v>
      </c>
      <c r="H16" s="21"/>
      <c r="I16" s="21">
        <f>$E16*7*13*$G16*I$11</f>
        <v>17062.5</v>
      </c>
      <c r="J16" s="21">
        <f t="shared" ref="I16:L17" si="2">$E16*7*13*$G16*J$11</f>
        <v>18200</v>
      </c>
      <c r="K16" s="21">
        <f t="shared" si="2"/>
        <v>7962.4999999999991</v>
      </c>
      <c r="L16" s="21">
        <f t="shared" si="2"/>
        <v>0</v>
      </c>
      <c r="M16" s="7">
        <f t="shared" ref="M16:M23" si="3">SUM(I16:L16)</f>
        <v>43225</v>
      </c>
      <c r="P16" s="2" t="s">
        <v>68</v>
      </c>
      <c r="Q16" s="15">
        <f t="shared" si="1"/>
        <v>43225</v>
      </c>
      <c r="R16" s="10">
        <f t="shared" ref="R16:S21" si="4">R$11*$G16*$E16*7*32</f>
        <v>50400</v>
      </c>
      <c r="S16" s="10">
        <f>S$11*$G16*$E16*7*32</f>
        <v>56000</v>
      </c>
      <c r="T16" s="10">
        <f t="shared" ref="T16:T21" si="5">(1+T$11)*$G16*$E16*7*32</f>
        <v>57680</v>
      </c>
      <c r="U16" s="10">
        <f t="shared" ref="U16:U21" si="6">(1+U$11)*T16</f>
        <v>59410.400000000001</v>
      </c>
    </row>
    <row r="17" spans="1:21" x14ac:dyDescent="0.3">
      <c r="C17" s="2" t="s">
        <v>76</v>
      </c>
      <c r="E17" s="5">
        <v>10</v>
      </c>
      <c r="F17" s="6" t="s">
        <v>5</v>
      </c>
      <c r="G17" s="14">
        <v>35</v>
      </c>
      <c r="H17" s="21"/>
      <c r="I17" s="21">
        <f t="shared" si="2"/>
        <v>23887.5</v>
      </c>
      <c r="J17" s="21">
        <f t="shared" si="2"/>
        <v>25480</v>
      </c>
      <c r="K17" s="21">
        <f t="shared" si="2"/>
        <v>11147.5</v>
      </c>
      <c r="L17" s="21">
        <f t="shared" si="2"/>
        <v>0</v>
      </c>
      <c r="M17" s="7">
        <f t="shared" ref="M17" si="7">SUM(I17:L17)</f>
        <v>60515</v>
      </c>
      <c r="P17" s="2" t="s">
        <v>76</v>
      </c>
      <c r="Q17" s="15">
        <f t="shared" si="1"/>
        <v>60515</v>
      </c>
      <c r="R17" s="10">
        <f t="shared" si="4"/>
        <v>70560</v>
      </c>
      <c r="S17" s="10">
        <f t="shared" si="4"/>
        <v>78400</v>
      </c>
      <c r="T17" s="10">
        <f t="shared" si="5"/>
        <v>80752.000000000015</v>
      </c>
      <c r="U17" s="10">
        <f t="shared" si="6"/>
        <v>83174.560000000012</v>
      </c>
    </row>
    <row r="18" spans="1:21" x14ac:dyDescent="0.3">
      <c r="C18" s="2" t="s">
        <v>62</v>
      </c>
      <c r="E18" s="5">
        <v>1.5</v>
      </c>
      <c r="F18" s="6" t="s">
        <v>5</v>
      </c>
      <c r="G18" s="14">
        <v>400</v>
      </c>
      <c r="H18" s="21"/>
      <c r="I18" s="21">
        <f t="shared" ref="I18:L21" si="8">$E18*7*13*$G18*I$11</f>
        <v>40950</v>
      </c>
      <c r="J18" s="21">
        <f t="shared" si="8"/>
        <v>43680</v>
      </c>
      <c r="K18" s="21">
        <f t="shared" si="8"/>
        <v>19110</v>
      </c>
      <c r="L18" s="21">
        <f t="shared" si="8"/>
        <v>0</v>
      </c>
      <c r="M18" s="7">
        <f t="shared" ref="M18:M20" si="9">SUM(I18:L18)</f>
        <v>103740</v>
      </c>
      <c r="P18" s="2" t="s">
        <v>62</v>
      </c>
      <c r="Q18" s="15">
        <f t="shared" si="1"/>
        <v>103740</v>
      </c>
      <c r="R18" s="10">
        <f t="shared" si="4"/>
        <v>120960</v>
      </c>
      <c r="S18" s="10">
        <f t="shared" si="4"/>
        <v>134400</v>
      </c>
      <c r="T18" s="10">
        <f t="shared" si="5"/>
        <v>138432</v>
      </c>
      <c r="U18" s="10">
        <f t="shared" si="6"/>
        <v>142584.95999999999</v>
      </c>
    </row>
    <row r="19" spans="1:21" x14ac:dyDescent="0.3">
      <c r="C19" s="2" t="s">
        <v>64</v>
      </c>
      <c r="E19" s="5">
        <v>8</v>
      </c>
      <c r="F19" s="6" t="s">
        <v>5</v>
      </c>
      <c r="G19" s="14">
        <v>30</v>
      </c>
      <c r="H19" s="21"/>
      <c r="I19" s="21">
        <f t="shared" si="8"/>
        <v>16380</v>
      </c>
      <c r="J19" s="21">
        <f t="shared" si="8"/>
        <v>17472</v>
      </c>
      <c r="K19" s="21">
        <f t="shared" si="8"/>
        <v>7643.9999999999991</v>
      </c>
      <c r="L19" s="21">
        <f t="shared" si="8"/>
        <v>0</v>
      </c>
      <c r="M19" s="7">
        <f t="shared" si="9"/>
        <v>41496</v>
      </c>
      <c r="P19" s="2" t="s">
        <v>64</v>
      </c>
      <c r="Q19" s="15">
        <f t="shared" si="1"/>
        <v>41496</v>
      </c>
      <c r="R19" s="10">
        <f t="shared" si="4"/>
        <v>48384</v>
      </c>
      <c r="S19" s="10">
        <f t="shared" si="4"/>
        <v>53760</v>
      </c>
      <c r="T19" s="10">
        <f t="shared" si="5"/>
        <v>55372.800000000003</v>
      </c>
      <c r="U19" s="10">
        <f t="shared" si="6"/>
        <v>57033.984000000004</v>
      </c>
    </row>
    <row r="20" spans="1:21" x14ac:dyDescent="0.3">
      <c r="C20" s="2" t="s">
        <v>63</v>
      </c>
      <c r="E20" s="5">
        <v>1.5</v>
      </c>
      <c r="F20" s="6" t="s">
        <v>5</v>
      </c>
      <c r="G20" s="14">
        <v>300</v>
      </c>
      <c r="H20" s="21"/>
      <c r="I20" s="21">
        <f t="shared" si="8"/>
        <v>30712.5</v>
      </c>
      <c r="J20" s="21">
        <f t="shared" si="8"/>
        <v>32760</v>
      </c>
      <c r="K20" s="21">
        <f t="shared" si="8"/>
        <v>14332.5</v>
      </c>
      <c r="L20" s="21">
        <f t="shared" si="8"/>
        <v>0</v>
      </c>
      <c r="M20" s="7">
        <f t="shared" si="9"/>
        <v>77805</v>
      </c>
      <c r="P20" s="2" t="s">
        <v>63</v>
      </c>
      <c r="Q20" s="15">
        <f t="shared" si="1"/>
        <v>77805</v>
      </c>
      <c r="R20" s="10">
        <f t="shared" si="4"/>
        <v>90720</v>
      </c>
      <c r="S20" s="10">
        <f t="shared" si="4"/>
        <v>100800</v>
      </c>
      <c r="T20" s="10">
        <f t="shared" si="5"/>
        <v>103824</v>
      </c>
      <c r="U20" s="10">
        <f t="shared" si="6"/>
        <v>106938.72</v>
      </c>
    </row>
    <row r="21" spans="1:21" x14ac:dyDescent="0.3">
      <c r="C21" s="24" t="s">
        <v>65</v>
      </c>
      <c r="E21" s="5">
        <v>8</v>
      </c>
      <c r="F21" s="6" t="s">
        <v>5</v>
      </c>
      <c r="G21" s="14">
        <v>30</v>
      </c>
      <c r="H21" s="21"/>
      <c r="I21" s="21">
        <f t="shared" si="8"/>
        <v>16380</v>
      </c>
      <c r="J21" s="21">
        <f t="shared" si="8"/>
        <v>17472</v>
      </c>
      <c r="K21" s="21">
        <f t="shared" si="8"/>
        <v>7643.9999999999991</v>
      </c>
      <c r="L21" s="21">
        <f t="shared" si="8"/>
        <v>0</v>
      </c>
      <c r="M21" s="7">
        <f t="shared" ref="M21" si="10">SUM(I21:L21)</f>
        <v>41496</v>
      </c>
      <c r="P21" s="24" t="s">
        <v>65</v>
      </c>
      <c r="Q21" s="15">
        <f t="shared" si="1"/>
        <v>41496</v>
      </c>
      <c r="R21" s="10">
        <f t="shared" si="4"/>
        <v>48384</v>
      </c>
      <c r="S21" s="10">
        <f t="shared" si="4"/>
        <v>53760</v>
      </c>
      <c r="T21" s="10">
        <f t="shared" si="5"/>
        <v>55372.800000000003</v>
      </c>
      <c r="U21" s="10">
        <f t="shared" si="6"/>
        <v>57033.984000000004</v>
      </c>
    </row>
    <row r="22" spans="1:21" x14ac:dyDescent="0.3">
      <c r="C22" s="24" t="s">
        <v>66</v>
      </c>
      <c r="E22" s="5">
        <v>10</v>
      </c>
      <c r="F22" s="6" t="s">
        <v>5</v>
      </c>
      <c r="G22" s="14">
        <v>20</v>
      </c>
      <c r="H22" s="21"/>
      <c r="I22" s="21">
        <f t="shared" ref="I22:L23" si="11">$E22*7*13*$G22*I$12</f>
        <v>0</v>
      </c>
      <c r="J22" s="21">
        <f t="shared" si="11"/>
        <v>0</v>
      </c>
      <c r="K22" s="21">
        <f t="shared" si="11"/>
        <v>9100</v>
      </c>
      <c r="L22" s="21">
        <f t="shared" si="11"/>
        <v>18200</v>
      </c>
      <c r="M22" s="15">
        <f t="shared" si="3"/>
        <v>27300</v>
      </c>
      <c r="P22" s="24" t="s">
        <v>66</v>
      </c>
      <c r="Q22" s="15">
        <f>M22</f>
        <v>27300</v>
      </c>
      <c r="R22" s="10">
        <f>R$12*$E22*$G22*7*20</f>
        <v>25200</v>
      </c>
      <c r="S22" s="10">
        <f>S$12*$E22*$G22*7*20</f>
        <v>28000</v>
      </c>
      <c r="T22" s="10">
        <f>(1+T$12)*$E22*$G22*7*20</f>
        <v>28840</v>
      </c>
      <c r="U22" s="10">
        <f>(1+U$12)*T22</f>
        <v>29705.200000000001</v>
      </c>
    </row>
    <row r="23" spans="1:21" x14ac:dyDescent="0.3">
      <c r="C23" s="24" t="s">
        <v>79</v>
      </c>
      <c r="E23" s="5">
        <v>5</v>
      </c>
      <c r="F23" s="6" t="s">
        <v>5</v>
      </c>
      <c r="G23" s="14">
        <v>100</v>
      </c>
      <c r="H23" s="21"/>
      <c r="I23" s="37">
        <f t="shared" si="11"/>
        <v>0</v>
      </c>
      <c r="J23" s="37">
        <f t="shared" si="11"/>
        <v>0</v>
      </c>
      <c r="K23" s="37">
        <f t="shared" si="11"/>
        <v>22750</v>
      </c>
      <c r="L23" s="37">
        <f t="shared" si="11"/>
        <v>45500</v>
      </c>
      <c r="M23" s="8">
        <f t="shared" si="3"/>
        <v>68250</v>
      </c>
      <c r="P23" s="24" t="s">
        <v>79</v>
      </c>
      <c r="Q23" s="8">
        <f>M23</f>
        <v>68250</v>
      </c>
      <c r="R23" s="40">
        <f>R$12*$E23*$G23*7*20</f>
        <v>63000</v>
      </c>
      <c r="S23" s="40">
        <f>S$12*$E23*$G23*7*20</f>
        <v>70000</v>
      </c>
      <c r="T23" s="40">
        <f>(1+T$12)*$E23*$G23*7*20</f>
        <v>72100</v>
      </c>
      <c r="U23" s="40">
        <f>(1+U$12)*T23</f>
        <v>74263</v>
      </c>
    </row>
    <row r="24" spans="1:21" x14ac:dyDescent="0.3">
      <c r="A24" s="1" t="s">
        <v>67</v>
      </c>
      <c r="B24" s="1"/>
      <c r="C24" s="24"/>
      <c r="E24" s="26"/>
      <c r="F24" s="6"/>
      <c r="G24" s="21"/>
      <c r="H24" s="21"/>
      <c r="I24" s="32">
        <f>SUM(I15:I23)</f>
        <v>227272.5</v>
      </c>
      <c r="J24" s="32">
        <f>SUM(J15:J23)</f>
        <v>242424</v>
      </c>
      <c r="K24" s="32">
        <f>SUM(K15:K23)</f>
        <v>137910.5</v>
      </c>
      <c r="L24" s="32">
        <f>SUM(L15:L23)</f>
        <v>63700</v>
      </c>
      <c r="M24" s="32">
        <f t="shared" ref="M24:U24" si="12">SUM(M15:M23)</f>
        <v>671307</v>
      </c>
      <c r="N24" s="1" t="s">
        <v>67</v>
      </c>
      <c r="O24" s="1"/>
      <c r="P24" s="24"/>
      <c r="Q24" s="32">
        <f>M24</f>
        <v>671307</v>
      </c>
      <c r="R24" s="32">
        <f t="shared" si="12"/>
        <v>759528</v>
      </c>
      <c r="S24" s="32">
        <f t="shared" si="12"/>
        <v>843920</v>
      </c>
      <c r="T24" s="32">
        <f t="shared" si="12"/>
        <v>869237.60000000009</v>
      </c>
      <c r="U24" s="32">
        <f t="shared" si="12"/>
        <v>895314.728</v>
      </c>
    </row>
    <row r="25" spans="1:21" x14ac:dyDescent="0.3">
      <c r="H25" s="26"/>
      <c r="I25" s="10"/>
      <c r="J25" s="10"/>
      <c r="K25" s="10"/>
      <c r="L25" s="10"/>
      <c r="M25" s="10"/>
      <c r="Q25" s="10"/>
    </row>
    <row r="26" spans="1:21" x14ac:dyDescent="0.3">
      <c r="H26" s="26"/>
    </row>
    <row r="27" spans="1:21" x14ac:dyDescent="0.3">
      <c r="A27" s="1" t="s">
        <v>6</v>
      </c>
      <c r="E27" s="2" t="s">
        <v>7</v>
      </c>
      <c r="H27" s="26"/>
      <c r="N27" s="1" t="s">
        <v>6</v>
      </c>
    </row>
    <row r="28" spans="1:21" x14ac:dyDescent="0.3">
      <c r="C28" s="2" t="s">
        <v>42</v>
      </c>
      <c r="E28" s="25">
        <v>0.5</v>
      </c>
      <c r="H28" s="26"/>
      <c r="I28" s="10">
        <f>I24*$E28</f>
        <v>113636.25</v>
      </c>
      <c r="J28" s="10">
        <f t="shared" ref="J28:L28" si="13">J24*$E28</f>
        <v>121212</v>
      </c>
      <c r="K28" s="10">
        <f t="shared" si="13"/>
        <v>68955.25</v>
      </c>
      <c r="L28" s="10">
        <f t="shared" si="13"/>
        <v>31850</v>
      </c>
      <c r="M28" s="10">
        <f>M24*$E28</f>
        <v>335653.5</v>
      </c>
      <c r="P28" s="2" t="s">
        <v>42</v>
      </c>
      <c r="Q28" s="10">
        <f>M28</f>
        <v>335653.5</v>
      </c>
      <c r="R28" s="10">
        <f>R24*$E28</f>
        <v>379764</v>
      </c>
      <c r="S28" s="10">
        <f t="shared" ref="S28:U28" si="14">S24*$E28</f>
        <v>421960</v>
      </c>
      <c r="T28" s="10">
        <f t="shared" si="14"/>
        <v>434618.80000000005</v>
      </c>
      <c r="U28" s="10">
        <f t="shared" si="14"/>
        <v>447657.364</v>
      </c>
    </row>
    <row r="29" spans="1:21" x14ac:dyDescent="0.3">
      <c r="H29" s="26"/>
    </row>
    <row r="30" spans="1:21" x14ac:dyDescent="0.3">
      <c r="A30" s="1" t="s">
        <v>40</v>
      </c>
      <c r="H30" s="26"/>
      <c r="I30" s="10">
        <f>I24-I28</f>
        <v>113636.25</v>
      </c>
      <c r="J30" s="10">
        <f>J24-J28</f>
        <v>121212</v>
      </c>
      <c r="K30" s="10">
        <f>K24-K28</f>
        <v>68955.25</v>
      </c>
      <c r="L30" s="10">
        <f>L24-L28</f>
        <v>31850</v>
      </c>
      <c r="M30" s="10">
        <f>M24-M28</f>
        <v>335653.5</v>
      </c>
      <c r="N30" s="1" t="s">
        <v>40</v>
      </c>
      <c r="Q30" s="10">
        <f>M30</f>
        <v>335653.5</v>
      </c>
      <c r="R30" s="10">
        <f t="shared" ref="R30:U30" si="15">R24-R28</f>
        <v>379764</v>
      </c>
      <c r="S30" s="10">
        <f t="shared" si="15"/>
        <v>421960</v>
      </c>
      <c r="T30" s="10">
        <f t="shared" si="15"/>
        <v>434618.80000000005</v>
      </c>
      <c r="U30" s="10">
        <f t="shared" si="15"/>
        <v>447657.364</v>
      </c>
    </row>
    <row r="31" spans="1:21" x14ac:dyDescent="0.3">
      <c r="H31" s="26"/>
    </row>
    <row r="32" spans="1:21" x14ac:dyDescent="0.3">
      <c r="A32" s="1" t="s">
        <v>113</v>
      </c>
      <c r="G32" s="12" t="s">
        <v>8</v>
      </c>
      <c r="H32" s="27"/>
      <c r="N32" s="1" t="s">
        <v>112</v>
      </c>
    </row>
    <row r="33" spans="2:22" x14ac:dyDescent="0.3">
      <c r="B33" s="2" t="s">
        <v>9</v>
      </c>
      <c r="G33" s="11"/>
      <c r="H33" s="28"/>
      <c r="I33" s="11"/>
      <c r="J33" s="11"/>
      <c r="K33" s="11"/>
      <c r="L33" s="11"/>
      <c r="M33" s="11"/>
      <c r="O33" s="2" t="s">
        <v>9</v>
      </c>
      <c r="Q33" s="11"/>
    </row>
    <row r="34" spans="2:22" x14ac:dyDescent="0.3">
      <c r="C34" s="2" t="s">
        <v>55</v>
      </c>
      <c r="E34" s="2" t="s">
        <v>86</v>
      </c>
      <c r="F34" s="12"/>
      <c r="G34" s="13">
        <v>3000</v>
      </c>
      <c r="H34" s="17"/>
      <c r="I34" s="7">
        <f>$G34*3</f>
        <v>9000</v>
      </c>
      <c r="J34" s="7">
        <f t="shared" ref="J34:L34" si="16">$G34*3</f>
        <v>9000</v>
      </c>
      <c r="K34" s="7">
        <f t="shared" si="16"/>
        <v>9000</v>
      </c>
      <c r="L34" s="7">
        <f t="shared" si="16"/>
        <v>9000</v>
      </c>
      <c r="M34" s="17">
        <f>SUM(I34:L34)</f>
        <v>36000</v>
      </c>
      <c r="P34" s="2" t="s">
        <v>55</v>
      </c>
      <c r="Q34" s="17">
        <f>M34</f>
        <v>36000</v>
      </c>
      <c r="R34" s="7">
        <f>4000*12</f>
        <v>48000</v>
      </c>
      <c r="S34" s="7">
        <f t="shared" ref="S34:U34" si="17">4000*12</f>
        <v>48000</v>
      </c>
      <c r="T34" s="7">
        <f t="shared" si="17"/>
        <v>48000</v>
      </c>
      <c r="U34" s="7">
        <f t="shared" si="17"/>
        <v>48000</v>
      </c>
    </row>
    <row r="35" spans="2:22" x14ac:dyDescent="0.3">
      <c r="C35" s="20" t="s">
        <v>38</v>
      </c>
      <c r="E35" s="25">
        <v>0.11</v>
      </c>
      <c r="F35" s="9"/>
      <c r="G35" s="11"/>
      <c r="H35" s="28"/>
      <c r="I35" s="7">
        <f>$E35*I34</f>
        <v>990</v>
      </c>
      <c r="J35" s="7">
        <f>$E35*J34</f>
        <v>990</v>
      </c>
      <c r="K35" s="7">
        <f>$E35*K34</f>
        <v>990</v>
      </c>
      <c r="L35" s="7">
        <f>$E35*L34</f>
        <v>990</v>
      </c>
      <c r="M35" s="7">
        <f>SUM(I35:L35)</f>
        <v>3960</v>
      </c>
      <c r="P35" s="20" t="s">
        <v>38</v>
      </c>
      <c r="Q35" s="17">
        <f t="shared" ref="Q35:Q36" si="18">M35</f>
        <v>3960</v>
      </c>
      <c r="R35" s="7">
        <f>$E35*R34</f>
        <v>5280</v>
      </c>
      <c r="S35" s="7">
        <f t="shared" ref="S35:U35" si="19">$E35*S34</f>
        <v>5280</v>
      </c>
      <c r="T35" s="7">
        <f t="shared" si="19"/>
        <v>5280</v>
      </c>
      <c r="U35" s="7">
        <f t="shared" si="19"/>
        <v>5280</v>
      </c>
    </row>
    <row r="36" spans="2:22" x14ac:dyDescent="0.3">
      <c r="C36" s="2" t="s">
        <v>87</v>
      </c>
      <c r="E36" s="2" t="s">
        <v>88</v>
      </c>
      <c r="G36" s="13">
        <v>400</v>
      </c>
      <c r="H36" s="17"/>
      <c r="I36" s="7">
        <f>$G36*3</f>
        <v>1200</v>
      </c>
      <c r="J36" s="7">
        <f t="shared" ref="J36:L36" si="20">$G36*3</f>
        <v>1200</v>
      </c>
      <c r="K36" s="7">
        <f t="shared" si="20"/>
        <v>1200</v>
      </c>
      <c r="L36" s="7">
        <f t="shared" si="20"/>
        <v>1200</v>
      </c>
      <c r="M36" s="7">
        <f>SUM(I36:L36)</f>
        <v>4800</v>
      </c>
      <c r="P36" s="2" t="s">
        <v>87</v>
      </c>
      <c r="Q36" s="17">
        <f t="shared" si="18"/>
        <v>4800</v>
      </c>
      <c r="R36" s="38">
        <f>M36*1.02</f>
        <v>4896</v>
      </c>
      <c r="S36" s="38">
        <f t="shared" ref="S36:U36" si="21">R36*1.02</f>
        <v>4993.92</v>
      </c>
      <c r="T36" s="38">
        <f t="shared" si="21"/>
        <v>5093.7984000000006</v>
      </c>
      <c r="U36" s="38">
        <f t="shared" si="21"/>
        <v>5195.6743680000009</v>
      </c>
      <c r="V36" s="38"/>
    </row>
    <row r="37" spans="2:22" x14ac:dyDescent="0.3">
      <c r="G37" s="11"/>
      <c r="H37" s="28"/>
      <c r="I37" s="11"/>
      <c r="J37" s="11"/>
      <c r="K37" s="11"/>
      <c r="L37" s="11"/>
      <c r="M37" s="7"/>
      <c r="N37" s="7"/>
      <c r="O37" s="7"/>
      <c r="P37" s="7"/>
      <c r="Q37" s="7"/>
    </row>
    <row r="38" spans="2:22" ht="37.5" x14ac:dyDescent="0.3">
      <c r="C38" s="2" t="s">
        <v>10</v>
      </c>
      <c r="E38" s="23" t="s">
        <v>77</v>
      </c>
      <c r="F38" s="35" t="s">
        <v>78</v>
      </c>
      <c r="G38" s="11"/>
      <c r="H38" s="28"/>
      <c r="I38" s="11"/>
      <c r="J38" s="11"/>
      <c r="K38" s="11"/>
      <c r="L38" s="11"/>
      <c r="M38" s="7"/>
      <c r="N38" s="7"/>
      <c r="O38" s="7"/>
      <c r="P38" s="2" t="s">
        <v>10</v>
      </c>
      <c r="Q38" s="7"/>
    </row>
    <row r="39" spans="2:22" ht="23.25" customHeight="1" x14ac:dyDescent="0.3">
      <c r="C39" s="20" t="s">
        <v>11</v>
      </c>
      <c r="D39" s="4"/>
      <c r="E39" s="5">
        <v>150</v>
      </c>
      <c r="F39" s="34">
        <v>56</v>
      </c>
      <c r="G39" s="14">
        <v>10</v>
      </c>
      <c r="H39" s="28"/>
      <c r="I39" s="7">
        <f>$E39*$G39*13</f>
        <v>19500</v>
      </c>
      <c r="J39" s="7">
        <f>$E39*$G39*13</f>
        <v>19500</v>
      </c>
      <c r="K39" s="7">
        <f>$F39*$G39*13</f>
        <v>7280</v>
      </c>
      <c r="L39" s="7">
        <f>$F39*$G39*13</f>
        <v>7280</v>
      </c>
      <c r="M39" s="7">
        <f>SUM(I39:L39)</f>
        <v>53560</v>
      </c>
      <c r="N39" s="7"/>
      <c r="O39" s="7"/>
      <c r="P39" s="20" t="s">
        <v>11</v>
      </c>
      <c r="Q39" s="17">
        <f t="shared" ref="Q39" si="22">M39</f>
        <v>53560</v>
      </c>
      <c r="R39" s="10">
        <f>M39*(1+(R24-M24)/M24)</f>
        <v>60598.682391215945</v>
      </c>
      <c r="S39" s="10">
        <f t="shared" ref="S39:U39" si="23">R39*(1+(S24-R24)/R24)</f>
        <v>67331.869323573279</v>
      </c>
      <c r="T39" s="10">
        <f t="shared" si="23"/>
        <v>69351.825403280483</v>
      </c>
      <c r="U39" s="10">
        <f t="shared" si="23"/>
        <v>71432.380165378883</v>
      </c>
    </row>
    <row r="40" spans="2:22" x14ac:dyDescent="0.3">
      <c r="C40" s="20" t="s">
        <v>38</v>
      </c>
      <c r="D40" s="4"/>
      <c r="E40" s="25">
        <v>0.11</v>
      </c>
      <c r="F40" s="10"/>
      <c r="G40" s="11"/>
      <c r="H40" s="28"/>
      <c r="I40" s="8">
        <f>I39*$E40</f>
        <v>2145</v>
      </c>
      <c r="J40" s="8">
        <f t="shared" ref="J40:U40" si="24">J39*$E40</f>
        <v>2145</v>
      </c>
      <c r="K40" s="8">
        <f t="shared" si="24"/>
        <v>800.8</v>
      </c>
      <c r="L40" s="8">
        <f t="shared" si="24"/>
        <v>800.8</v>
      </c>
      <c r="M40" s="8">
        <f>SUM(I40:L40)</f>
        <v>5891.6</v>
      </c>
      <c r="N40" s="15"/>
      <c r="O40" s="15"/>
      <c r="P40" s="20" t="s">
        <v>38</v>
      </c>
      <c r="Q40" s="8">
        <f>M40</f>
        <v>5891.6</v>
      </c>
      <c r="R40" s="8">
        <f t="shared" si="24"/>
        <v>6665.855063033754</v>
      </c>
      <c r="S40" s="8">
        <f t="shared" si="24"/>
        <v>7406.5056255930604</v>
      </c>
      <c r="T40" s="8">
        <f t="shared" si="24"/>
        <v>7628.7007943608533</v>
      </c>
      <c r="U40" s="8">
        <f t="shared" si="24"/>
        <v>7857.561818191677</v>
      </c>
    </row>
    <row r="41" spans="2:22" x14ac:dyDescent="0.3">
      <c r="C41" s="20"/>
      <c r="D41" s="4"/>
      <c r="F41" s="10"/>
      <c r="G41" s="11"/>
      <c r="H41" s="28"/>
      <c r="I41" s="7">
        <f>SUM(I34:I40)</f>
        <v>32835</v>
      </c>
      <c r="J41" s="7">
        <f t="shared" ref="J41:U41" si="25">SUM(J34:J40)</f>
        <v>32835</v>
      </c>
      <c r="K41" s="7">
        <f t="shared" si="25"/>
        <v>19270.8</v>
      </c>
      <c r="L41" s="7">
        <f t="shared" si="25"/>
        <v>19270.8</v>
      </c>
      <c r="M41" s="7">
        <f t="shared" si="25"/>
        <v>104211.6</v>
      </c>
      <c r="N41" s="15"/>
      <c r="O41" s="7"/>
      <c r="P41" s="7"/>
      <c r="Q41" s="7">
        <f>M41</f>
        <v>104211.6</v>
      </c>
      <c r="R41" s="7">
        <f t="shared" si="25"/>
        <v>125440.5374542497</v>
      </c>
      <c r="S41" s="7">
        <f t="shared" si="25"/>
        <v>133012.29494916633</v>
      </c>
      <c r="T41" s="7">
        <f t="shared" si="25"/>
        <v>135354.32459764133</v>
      </c>
      <c r="U41" s="7">
        <f t="shared" si="25"/>
        <v>137765.61635157056</v>
      </c>
    </row>
    <row r="42" spans="2:22" x14ac:dyDescent="0.3">
      <c r="C42" s="4"/>
      <c r="D42" s="4"/>
      <c r="F42" s="10"/>
      <c r="G42" s="36"/>
      <c r="H42" s="28"/>
      <c r="I42" s="11"/>
      <c r="J42" s="11"/>
      <c r="K42" s="11"/>
      <c r="L42" s="11"/>
      <c r="M42" s="7"/>
      <c r="N42" s="15"/>
      <c r="O42" s="7"/>
      <c r="P42" s="7"/>
      <c r="Q42" s="7"/>
    </row>
    <row r="43" spans="2:22" x14ac:dyDescent="0.3">
      <c r="C43" s="4"/>
      <c r="D43" s="4"/>
      <c r="F43" s="10"/>
      <c r="G43" s="11"/>
      <c r="H43" s="28"/>
      <c r="I43" s="11"/>
      <c r="J43" s="11"/>
      <c r="K43" s="11"/>
      <c r="L43" s="11"/>
      <c r="M43" s="7"/>
      <c r="N43" s="15"/>
      <c r="O43" s="7"/>
      <c r="P43" s="7"/>
      <c r="Q43" s="7"/>
    </row>
    <row r="44" spans="2:22" x14ac:dyDescent="0.3">
      <c r="B44" s="2" t="s">
        <v>12</v>
      </c>
      <c r="G44" s="11"/>
      <c r="H44" s="28"/>
      <c r="I44" s="17"/>
      <c r="J44" s="17"/>
      <c r="K44" s="17"/>
      <c r="L44" s="17"/>
      <c r="M44" s="15"/>
      <c r="N44" s="15"/>
      <c r="O44" s="2" t="s">
        <v>12</v>
      </c>
      <c r="Q44" s="15"/>
    </row>
    <row r="45" spans="2:22" x14ac:dyDescent="0.3">
      <c r="C45" s="53" t="s">
        <v>36</v>
      </c>
      <c r="D45" s="53"/>
      <c r="E45" s="54">
        <v>0.1</v>
      </c>
      <c r="F45" s="55" t="s">
        <v>37</v>
      </c>
      <c r="G45" s="13">
        <f>E45*250</f>
        <v>25</v>
      </c>
      <c r="H45" s="17"/>
      <c r="I45" s="17">
        <f t="shared" ref="I45:I51" si="26">$G45*3</f>
        <v>75</v>
      </c>
      <c r="J45" s="17">
        <f t="shared" ref="J45:L50" si="27">$G45*3</f>
        <v>75</v>
      </c>
      <c r="K45" s="17">
        <f t="shared" si="27"/>
        <v>75</v>
      </c>
      <c r="L45" s="17">
        <f t="shared" si="27"/>
        <v>75</v>
      </c>
      <c r="M45" s="15">
        <f t="shared" ref="M45:M51" si="28">SUM(I45:L45)</f>
        <v>300</v>
      </c>
      <c r="N45" s="15"/>
      <c r="P45" s="53" t="s">
        <v>36</v>
      </c>
      <c r="Q45" s="15">
        <f t="shared" ref="Q45:Q47" si="29">M45</f>
        <v>300</v>
      </c>
      <c r="R45" s="38">
        <f t="shared" ref="R45:R51" si="30">M45*1.02</f>
        <v>306</v>
      </c>
      <c r="S45" s="38">
        <f t="shared" ref="S45:U45" si="31">R45*1.02</f>
        <v>312.12</v>
      </c>
      <c r="T45" s="38">
        <f t="shared" si="31"/>
        <v>318.36240000000004</v>
      </c>
      <c r="U45" s="38">
        <f t="shared" si="31"/>
        <v>324.72964800000005</v>
      </c>
    </row>
    <row r="46" spans="2:22" x14ac:dyDescent="0.3">
      <c r="C46" s="2" t="s">
        <v>90</v>
      </c>
      <c r="E46" s="19"/>
      <c r="F46" s="6"/>
      <c r="G46" s="13">
        <v>600</v>
      </c>
      <c r="H46" s="17"/>
      <c r="I46" s="17">
        <f t="shared" si="26"/>
        <v>1800</v>
      </c>
      <c r="J46" s="17">
        <f t="shared" si="27"/>
        <v>1800</v>
      </c>
      <c r="K46" s="17">
        <v>0</v>
      </c>
      <c r="L46" s="17">
        <v>0</v>
      </c>
      <c r="M46" s="15">
        <f t="shared" ref="M46:M49" si="32">SUM(I46:L46)</f>
        <v>3600</v>
      </c>
      <c r="N46" s="15"/>
      <c r="P46" s="2" t="s">
        <v>90</v>
      </c>
      <c r="Q46" s="15">
        <f t="shared" si="29"/>
        <v>3600</v>
      </c>
      <c r="R46" s="38">
        <f t="shared" si="30"/>
        <v>3672</v>
      </c>
      <c r="S46" s="38">
        <f t="shared" ref="S46:U46" si="33">R46*1.02</f>
        <v>3745.44</v>
      </c>
      <c r="T46" s="38">
        <f t="shared" si="33"/>
        <v>3820.3488000000002</v>
      </c>
      <c r="U46" s="38">
        <f t="shared" si="33"/>
        <v>3896.7557760000004</v>
      </c>
    </row>
    <row r="47" spans="2:22" x14ac:dyDescent="0.3">
      <c r="C47" s="2" t="s">
        <v>92</v>
      </c>
      <c r="E47" s="19"/>
      <c r="F47" s="6"/>
      <c r="G47" s="13">
        <v>3500</v>
      </c>
      <c r="H47" s="17"/>
      <c r="I47" s="17">
        <f>G47</f>
        <v>3500</v>
      </c>
      <c r="J47" s="17">
        <f>$G47*3*0</f>
        <v>0</v>
      </c>
      <c r="K47" s="17">
        <f>$G47*3*0</f>
        <v>0</v>
      </c>
      <c r="L47" s="17">
        <f>$G47*3*0</f>
        <v>0</v>
      </c>
      <c r="M47" s="15">
        <f t="shared" si="32"/>
        <v>3500</v>
      </c>
      <c r="N47" s="15"/>
      <c r="P47" s="2" t="s">
        <v>92</v>
      </c>
      <c r="Q47" s="15">
        <f t="shared" si="29"/>
        <v>3500</v>
      </c>
      <c r="R47" s="38">
        <f t="shared" si="30"/>
        <v>3570</v>
      </c>
      <c r="S47" s="38">
        <f t="shared" ref="S47:U47" si="34">R47*1.02</f>
        <v>3641.4</v>
      </c>
      <c r="T47" s="38">
        <f t="shared" si="34"/>
        <v>3714.2280000000001</v>
      </c>
      <c r="U47" s="38">
        <f t="shared" si="34"/>
        <v>3788.5125600000001</v>
      </c>
    </row>
    <row r="48" spans="2:22" x14ac:dyDescent="0.3">
      <c r="C48" s="2" t="s">
        <v>109</v>
      </c>
      <c r="E48" s="19"/>
      <c r="F48" s="6"/>
      <c r="G48" s="13">
        <v>150</v>
      </c>
      <c r="H48" s="17"/>
      <c r="I48" s="17">
        <f t="shared" ref="I48:L49" si="35">$G48*3</f>
        <v>450</v>
      </c>
      <c r="J48" s="17">
        <f t="shared" si="35"/>
        <v>450</v>
      </c>
      <c r="K48" s="17">
        <f t="shared" si="35"/>
        <v>450</v>
      </c>
      <c r="L48" s="17">
        <f t="shared" si="35"/>
        <v>450</v>
      </c>
      <c r="M48" s="15">
        <f t="shared" si="32"/>
        <v>1800</v>
      </c>
      <c r="N48" s="15"/>
      <c r="P48" s="2" t="str">
        <f>C48</f>
        <v>Promotional Items (Stickers, Bandanas, Bus Cards)</v>
      </c>
      <c r="Q48" s="15">
        <f>M48</f>
        <v>1800</v>
      </c>
      <c r="R48" s="38">
        <f t="shared" si="30"/>
        <v>1836</v>
      </c>
      <c r="S48" s="38">
        <f t="shared" ref="S48:S49" si="36">R48*1.02</f>
        <v>1872.72</v>
      </c>
      <c r="T48" s="38">
        <f t="shared" ref="T48:T49" si="37">S48*1.02</f>
        <v>1910.1744000000001</v>
      </c>
      <c r="U48" s="38">
        <f t="shared" ref="U48:U49" si="38">T48*1.02</f>
        <v>1948.3778880000002</v>
      </c>
    </row>
    <row r="49" spans="2:21" x14ac:dyDescent="0.3">
      <c r="C49" s="2" t="s">
        <v>110</v>
      </c>
      <c r="E49" s="19"/>
      <c r="F49" s="6"/>
      <c r="G49" s="13">
        <f>300</f>
        <v>300</v>
      </c>
      <c r="H49" s="17"/>
      <c r="I49" s="17">
        <f t="shared" si="35"/>
        <v>900</v>
      </c>
      <c r="J49" s="17">
        <f t="shared" si="35"/>
        <v>900</v>
      </c>
      <c r="K49" s="17">
        <f t="shared" si="35"/>
        <v>900</v>
      </c>
      <c r="L49" s="17">
        <f t="shared" si="35"/>
        <v>900</v>
      </c>
      <c r="M49" s="15">
        <f t="shared" si="32"/>
        <v>3600</v>
      </c>
      <c r="N49" s="15"/>
      <c r="P49" s="2" t="str">
        <f>C49</f>
        <v>Radio Advertising</v>
      </c>
      <c r="Q49" s="15">
        <f>M49</f>
        <v>3600</v>
      </c>
      <c r="R49" s="38">
        <f t="shared" si="30"/>
        <v>3672</v>
      </c>
      <c r="S49" s="38">
        <f t="shared" si="36"/>
        <v>3745.44</v>
      </c>
      <c r="T49" s="38">
        <f t="shared" si="37"/>
        <v>3820.3488000000002</v>
      </c>
      <c r="U49" s="38">
        <f t="shared" si="38"/>
        <v>3896.7557760000004</v>
      </c>
    </row>
    <row r="50" spans="2:21" x14ac:dyDescent="0.3">
      <c r="C50" s="2" t="s">
        <v>93</v>
      </c>
      <c r="G50" s="13">
        <v>800</v>
      </c>
      <c r="H50" s="28"/>
      <c r="I50" s="17">
        <f t="shared" si="26"/>
        <v>2400</v>
      </c>
      <c r="J50" s="17">
        <f t="shared" si="27"/>
        <v>2400</v>
      </c>
      <c r="K50" s="17">
        <f t="shared" si="27"/>
        <v>2400</v>
      </c>
      <c r="L50" s="17">
        <f t="shared" si="27"/>
        <v>2400</v>
      </c>
      <c r="M50" s="15">
        <f t="shared" ref="M50" si="39">SUM(I50:L50)</f>
        <v>9600</v>
      </c>
      <c r="N50" s="15"/>
      <c r="P50" s="2" t="s">
        <v>93</v>
      </c>
      <c r="Q50" s="15">
        <f>M50</f>
        <v>9600</v>
      </c>
      <c r="R50" s="38">
        <f t="shared" si="30"/>
        <v>9792</v>
      </c>
      <c r="S50" s="38">
        <f t="shared" ref="S50:U50" si="40">R50*1.02</f>
        <v>9987.84</v>
      </c>
      <c r="T50" s="38">
        <f t="shared" si="40"/>
        <v>10187.596800000001</v>
      </c>
      <c r="U50" s="38">
        <f t="shared" si="40"/>
        <v>10391.348736000002</v>
      </c>
    </row>
    <row r="51" spans="2:21" x14ac:dyDescent="0.3">
      <c r="C51" s="2" t="s">
        <v>94</v>
      </c>
      <c r="G51" s="13">
        <f>0.3*220*30</f>
        <v>1980</v>
      </c>
      <c r="H51" s="17"/>
      <c r="I51" s="16">
        <f t="shared" si="26"/>
        <v>5940</v>
      </c>
      <c r="J51" s="16">
        <f>$G51*3</f>
        <v>5940</v>
      </c>
      <c r="K51" s="16">
        <f>$G51*3*0.5</f>
        <v>2970</v>
      </c>
      <c r="L51" s="16">
        <v>0</v>
      </c>
      <c r="M51" s="8">
        <f t="shared" si="28"/>
        <v>14850</v>
      </c>
      <c r="N51" s="15"/>
      <c r="P51" s="2" t="s">
        <v>94</v>
      </c>
      <c r="Q51" s="8">
        <f>M51</f>
        <v>14850</v>
      </c>
      <c r="R51" s="31">
        <f t="shared" si="30"/>
        <v>15147</v>
      </c>
      <c r="S51" s="31">
        <f t="shared" ref="S51:U51" si="41">R51*1.02</f>
        <v>15449.94</v>
      </c>
      <c r="T51" s="31">
        <f t="shared" si="41"/>
        <v>15758.9388</v>
      </c>
      <c r="U51" s="31">
        <f t="shared" si="41"/>
        <v>16074.117576000001</v>
      </c>
    </row>
    <row r="52" spans="2:21" x14ac:dyDescent="0.3">
      <c r="C52" s="4"/>
      <c r="D52" s="4"/>
      <c r="F52" s="10"/>
      <c r="G52" s="11"/>
      <c r="H52" s="28"/>
      <c r="I52" s="7">
        <f>SUM(I45:I51)</f>
        <v>15065</v>
      </c>
      <c r="J52" s="7">
        <f>SUM(J45:J51)</f>
        <v>11565</v>
      </c>
      <c r="K52" s="7">
        <f>SUM(K45:K51)</f>
        <v>6795</v>
      </c>
      <c r="L52" s="7">
        <f>SUM(L45:L51)</f>
        <v>3825</v>
      </c>
      <c r="M52" s="7">
        <f>SUM(M45:M51)</f>
        <v>37250</v>
      </c>
      <c r="N52" s="15"/>
      <c r="O52" s="7"/>
      <c r="P52" s="7"/>
      <c r="Q52" s="32">
        <f>M52</f>
        <v>37250</v>
      </c>
      <c r="R52" s="7">
        <f>SUM(R45:R51)</f>
        <v>37995</v>
      </c>
      <c r="S52" s="7">
        <f>SUM(S45:S51)</f>
        <v>38754.9</v>
      </c>
      <c r="T52" s="7">
        <f>SUM(T45:T51)</f>
        <v>39529.998000000007</v>
      </c>
      <c r="U52" s="7">
        <f>SUM(U45:U51)</f>
        <v>40320.597959999999</v>
      </c>
    </row>
    <row r="53" spans="2:21" x14ac:dyDescent="0.3">
      <c r="C53" s="4"/>
      <c r="D53" s="4"/>
      <c r="F53" s="10"/>
      <c r="G53" s="11"/>
      <c r="H53" s="28"/>
      <c r="I53" s="11"/>
      <c r="J53" s="11"/>
      <c r="K53" s="11"/>
      <c r="L53" s="11"/>
      <c r="M53" s="11"/>
      <c r="N53" s="11"/>
      <c r="O53" s="11"/>
      <c r="P53" s="11"/>
      <c r="Q53" s="11"/>
    </row>
    <row r="54" spans="2:21" x14ac:dyDescent="0.3">
      <c r="B54" s="2" t="s">
        <v>13</v>
      </c>
      <c r="G54" s="11" t="s">
        <v>14</v>
      </c>
      <c r="H54" s="28"/>
      <c r="I54" s="11"/>
      <c r="J54" s="11"/>
      <c r="K54" s="11"/>
      <c r="L54" s="11"/>
      <c r="M54" s="11"/>
      <c r="N54" s="11"/>
      <c r="O54" s="2" t="s">
        <v>13</v>
      </c>
      <c r="Q54" s="11"/>
    </row>
    <row r="55" spans="2:21" x14ac:dyDescent="0.3">
      <c r="C55" s="2" t="s">
        <v>15</v>
      </c>
      <c r="E55" s="9">
        <v>0.02</v>
      </c>
      <c r="F55" s="2" t="s">
        <v>16</v>
      </c>
      <c r="G55" s="7"/>
      <c r="H55" s="17"/>
      <c r="I55" s="7">
        <f>I24*$E55</f>
        <v>4545.45</v>
      </c>
      <c r="J55" s="7">
        <f>J24*$E55</f>
        <v>4848.4800000000005</v>
      </c>
      <c r="K55" s="7">
        <f>K24*$E55</f>
        <v>2758.21</v>
      </c>
      <c r="L55" s="7">
        <f>L24*$E55</f>
        <v>1274</v>
      </c>
      <c r="M55" s="15">
        <f t="shared" ref="M55" si="42">SUM(I55:L55)</f>
        <v>13426.14</v>
      </c>
      <c r="N55" s="15"/>
      <c r="P55" s="2" t="s">
        <v>15</v>
      </c>
      <c r="Q55" s="15">
        <f t="shared" ref="Q55:Q57" si="43">M55</f>
        <v>13426.14</v>
      </c>
      <c r="R55" s="38">
        <f>M55*1.02</f>
        <v>13694.6628</v>
      </c>
      <c r="S55" s="38">
        <f t="shared" ref="S55:U55" si="44">R55*1.02</f>
        <v>13968.556055999999</v>
      </c>
      <c r="T55" s="38">
        <f t="shared" si="44"/>
        <v>14247.92717712</v>
      </c>
      <c r="U55" s="38">
        <f t="shared" si="44"/>
        <v>14532.8857206624</v>
      </c>
    </row>
    <row r="56" spans="2:21" x14ac:dyDescent="0.3">
      <c r="C56" s="2" t="s">
        <v>17</v>
      </c>
      <c r="G56" s="13">
        <v>200</v>
      </c>
      <c r="H56" s="17"/>
      <c r="I56" s="17">
        <f t="shared" ref="I56:L59" si="45">$G56*3</f>
        <v>600</v>
      </c>
      <c r="J56" s="17">
        <f t="shared" si="45"/>
        <v>600</v>
      </c>
      <c r="K56" s="17">
        <f t="shared" si="45"/>
        <v>600</v>
      </c>
      <c r="L56" s="17">
        <f t="shared" si="45"/>
        <v>600</v>
      </c>
      <c r="M56" s="7">
        <f t="shared" ref="M56:M59" si="46">SUM(I56:L56)</f>
        <v>2400</v>
      </c>
      <c r="N56" s="7"/>
      <c r="P56" s="2" t="s">
        <v>17</v>
      </c>
      <c r="Q56" s="15">
        <f t="shared" si="43"/>
        <v>2400</v>
      </c>
      <c r="R56" s="38">
        <f>M56*1.02</f>
        <v>2448</v>
      </c>
      <c r="S56" s="38">
        <f t="shared" ref="S56:U56" si="47">R56*1.02</f>
        <v>2496.96</v>
      </c>
      <c r="T56" s="38">
        <f t="shared" si="47"/>
        <v>2546.8992000000003</v>
      </c>
      <c r="U56" s="38">
        <f t="shared" si="47"/>
        <v>2597.8371840000004</v>
      </c>
    </row>
    <row r="57" spans="2:21" x14ac:dyDescent="0.3">
      <c r="C57" s="2" t="s">
        <v>35</v>
      </c>
      <c r="G57" s="13">
        <v>15</v>
      </c>
      <c r="H57" s="17"/>
      <c r="I57" s="17">
        <f t="shared" si="45"/>
        <v>45</v>
      </c>
      <c r="J57" s="17">
        <f t="shared" si="45"/>
        <v>45</v>
      </c>
      <c r="K57" s="17">
        <f t="shared" si="45"/>
        <v>45</v>
      </c>
      <c r="L57" s="17">
        <f t="shared" si="45"/>
        <v>45</v>
      </c>
      <c r="M57" s="7">
        <f t="shared" ref="M57" si="48">SUM(I57:L57)</f>
        <v>180</v>
      </c>
      <c r="N57" s="7"/>
      <c r="P57" s="2" t="s">
        <v>35</v>
      </c>
      <c r="Q57" s="15">
        <f t="shared" si="43"/>
        <v>180</v>
      </c>
      <c r="R57" s="38">
        <f>M57*1.02</f>
        <v>183.6</v>
      </c>
      <c r="S57" s="38">
        <f t="shared" ref="S57:U57" si="49">R57*1.02</f>
        <v>187.27199999999999</v>
      </c>
      <c r="T57" s="38">
        <f t="shared" si="49"/>
        <v>191.01743999999999</v>
      </c>
      <c r="U57" s="38">
        <f t="shared" si="49"/>
        <v>194.8377888</v>
      </c>
    </row>
    <row r="58" spans="2:21" x14ac:dyDescent="0.3">
      <c r="C58" s="2" t="s">
        <v>18</v>
      </c>
      <c r="G58" s="13">
        <v>25</v>
      </c>
      <c r="H58" s="17"/>
      <c r="I58" s="17">
        <f t="shared" si="45"/>
        <v>75</v>
      </c>
      <c r="J58" s="17">
        <f t="shared" si="45"/>
        <v>75</v>
      </c>
      <c r="K58" s="17">
        <f t="shared" si="45"/>
        <v>75</v>
      </c>
      <c r="L58" s="17">
        <f t="shared" si="45"/>
        <v>75</v>
      </c>
      <c r="M58" s="7">
        <f t="shared" si="46"/>
        <v>300</v>
      </c>
      <c r="N58" s="7"/>
      <c r="P58" s="2" t="s">
        <v>18</v>
      </c>
      <c r="Q58" s="15">
        <f>M58</f>
        <v>300</v>
      </c>
      <c r="R58" s="38">
        <f>M58*1.02</f>
        <v>306</v>
      </c>
      <c r="S58" s="38">
        <f t="shared" ref="S58:U58" si="50">R58*1.02</f>
        <v>312.12</v>
      </c>
      <c r="T58" s="38">
        <f t="shared" si="50"/>
        <v>318.36240000000004</v>
      </c>
      <c r="U58" s="38">
        <f t="shared" si="50"/>
        <v>324.72964800000005</v>
      </c>
    </row>
    <row r="59" spans="2:21" x14ac:dyDescent="0.3">
      <c r="C59" s="2" t="s">
        <v>100</v>
      </c>
      <c r="G59" s="13">
        <v>400</v>
      </c>
      <c r="H59" s="17"/>
      <c r="I59" s="16">
        <f t="shared" si="45"/>
        <v>1200</v>
      </c>
      <c r="J59" s="16">
        <f t="shared" si="45"/>
        <v>1200</v>
      </c>
      <c r="K59" s="16">
        <f t="shared" si="45"/>
        <v>1200</v>
      </c>
      <c r="L59" s="16">
        <f t="shared" si="45"/>
        <v>1200</v>
      </c>
      <c r="M59" s="8">
        <f t="shared" si="46"/>
        <v>4800</v>
      </c>
      <c r="N59" s="15"/>
      <c r="P59" s="2" t="s">
        <v>19</v>
      </c>
      <c r="Q59" s="8">
        <f>M59</f>
        <v>4800</v>
      </c>
      <c r="R59" s="31">
        <f>M59*1.02</f>
        <v>4896</v>
      </c>
      <c r="S59" s="31">
        <f t="shared" ref="S59:U59" si="51">R59*1.02</f>
        <v>4993.92</v>
      </c>
      <c r="T59" s="31">
        <f t="shared" si="51"/>
        <v>5093.7984000000006</v>
      </c>
      <c r="U59" s="31">
        <f t="shared" si="51"/>
        <v>5195.6743680000009</v>
      </c>
    </row>
    <row r="60" spans="2:21" x14ac:dyDescent="0.3">
      <c r="G60" s="7"/>
      <c r="H60" s="17"/>
      <c r="I60" s="7">
        <f>SUM(I55:I59)</f>
        <v>6465.45</v>
      </c>
      <c r="J60" s="7">
        <f t="shared" ref="J60:L60" si="52">SUM(J55:J59)</f>
        <v>6768.4800000000005</v>
      </c>
      <c r="K60" s="7">
        <f t="shared" si="52"/>
        <v>4678.21</v>
      </c>
      <c r="L60" s="7">
        <f t="shared" si="52"/>
        <v>3194</v>
      </c>
      <c r="M60" s="7">
        <f>SUM(M55:M59)</f>
        <v>21106.14</v>
      </c>
      <c r="N60" s="15"/>
      <c r="O60" s="7"/>
      <c r="P60" s="7"/>
      <c r="Q60" s="32">
        <f>M60</f>
        <v>21106.14</v>
      </c>
      <c r="R60" s="7">
        <f t="shared" ref="R60:U60" si="53">SUM(R55:R59)</f>
        <v>21528.2628</v>
      </c>
      <c r="S60" s="7">
        <f t="shared" si="53"/>
        <v>21958.828055999998</v>
      </c>
      <c r="T60" s="7">
        <f t="shared" si="53"/>
        <v>22398.004617120001</v>
      </c>
      <c r="U60" s="7">
        <f t="shared" si="53"/>
        <v>22845.964709462402</v>
      </c>
    </row>
    <row r="61" spans="2:21" x14ac:dyDescent="0.3">
      <c r="B61" s="2" t="s">
        <v>20</v>
      </c>
      <c r="G61" s="7"/>
      <c r="H61" s="17"/>
      <c r="I61" s="7"/>
      <c r="J61" s="7"/>
      <c r="K61" s="7"/>
      <c r="L61" s="7"/>
      <c r="M61" s="7"/>
      <c r="N61" s="15"/>
      <c r="O61" s="2" t="s">
        <v>20</v>
      </c>
      <c r="Q61" s="7"/>
    </row>
    <row r="62" spans="2:21" x14ac:dyDescent="0.3">
      <c r="C62" s="2" t="s">
        <v>21</v>
      </c>
      <c r="E62" s="2" t="s">
        <v>82</v>
      </c>
      <c r="F62" s="6" t="s">
        <v>85</v>
      </c>
      <c r="G62" s="13">
        <f>18*4000/12</f>
        <v>6000</v>
      </c>
      <c r="H62" s="17"/>
      <c r="I62" s="17">
        <f>$G62*3</f>
        <v>18000</v>
      </c>
      <c r="J62" s="17">
        <f t="shared" ref="J62:L62" si="54">$G62*3</f>
        <v>18000</v>
      </c>
      <c r="K62" s="17">
        <f t="shared" si="54"/>
        <v>18000</v>
      </c>
      <c r="L62" s="17">
        <f t="shared" si="54"/>
        <v>18000</v>
      </c>
      <c r="M62" s="7">
        <f>G62*12</f>
        <v>72000</v>
      </c>
      <c r="N62" s="15"/>
      <c r="P62" s="2" t="s">
        <v>21</v>
      </c>
      <c r="Q62" s="7">
        <f>M62</f>
        <v>72000</v>
      </c>
      <c r="R62" s="38">
        <f>M62*1.02</f>
        <v>73440</v>
      </c>
      <c r="S62" s="38">
        <f t="shared" ref="S62:U62" si="55">R62*1.02</f>
        <v>74908.800000000003</v>
      </c>
      <c r="T62" s="38">
        <f t="shared" si="55"/>
        <v>76406.97600000001</v>
      </c>
      <c r="U62" s="38">
        <f t="shared" si="55"/>
        <v>77935.115520000007</v>
      </c>
    </row>
    <row r="63" spans="2:21" x14ac:dyDescent="0.3">
      <c r="C63" s="2" t="s">
        <v>54</v>
      </c>
      <c r="G63" s="11"/>
      <c r="H63" s="28"/>
      <c r="I63" s="11"/>
      <c r="J63" s="11"/>
      <c r="K63" s="11"/>
      <c r="L63" s="11"/>
      <c r="M63" s="11"/>
      <c r="N63" s="44"/>
      <c r="P63" s="2" t="s">
        <v>54</v>
      </c>
      <c r="Q63" s="11"/>
      <c r="R63" s="38">
        <f>M63*1.02</f>
        <v>0</v>
      </c>
      <c r="S63" s="38">
        <f t="shared" ref="S63:U63" si="56">R63*1.02</f>
        <v>0</v>
      </c>
      <c r="T63" s="38">
        <f t="shared" si="56"/>
        <v>0</v>
      </c>
      <c r="U63" s="38">
        <f t="shared" si="56"/>
        <v>0</v>
      </c>
    </row>
    <row r="64" spans="2:21" x14ac:dyDescent="0.3">
      <c r="C64" s="2" t="s">
        <v>22</v>
      </c>
      <c r="G64" s="13">
        <f>1500/12</f>
        <v>125</v>
      </c>
      <c r="H64" s="17"/>
      <c r="I64" s="8">
        <f>$G64*3</f>
        <v>375</v>
      </c>
      <c r="J64" s="8">
        <f t="shared" ref="J64:L64" si="57">$G64*3</f>
        <v>375</v>
      </c>
      <c r="K64" s="8">
        <f t="shared" si="57"/>
        <v>375</v>
      </c>
      <c r="L64" s="8">
        <f t="shared" si="57"/>
        <v>375</v>
      </c>
      <c r="M64" s="16">
        <f>SUM(I64:L64)</f>
        <v>1500</v>
      </c>
      <c r="N64" s="45"/>
      <c r="P64" s="2" t="s">
        <v>22</v>
      </c>
      <c r="Q64" s="16">
        <f>M64</f>
        <v>1500</v>
      </c>
      <c r="R64" s="31">
        <f>M64*1.02</f>
        <v>1530</v>
      </c>
      <c r="S64" s="31">
        <f t="shared" ref="S64:U64" si="58">R64*1.02</f>
        <v>1560.6000000000001</v>
      </c>
      <c r="T64" s="31">
        <f t="shared" si="58"/>
        <v>1591.8120000000001</v>
      </c>
      <c r="U64" s="31">
        <f t="shared" si="58"/>
        <v>1623.6482400000002</v>
      </c>
    </row>
    <row r="65" spans="1:25" x14ac:dyDescent="0.3">
      <c r="G65" s="11"/>
      <c r="H65" s="28"/>
      <c r="I65" s="7">
        <f>SUM(I62:I64)</f>
        <v>18375</v>
      </c>
      <c r="J65" s="7">
        <f t="shared" ref="J65:M65" si="59">SUM(J62:J64)</f>
        <v>18375</v>
      </c>
      <c r="K65" s="7">
        <f t="shared" si="59"/>
        <v>18375</v>
      </c>
      <c r="L65" s="7">
        <f t="shared" si="59"/>
        <v>18375</v>
      </c>
      <c r="M65" s="7">
        <f t="shared" si="59"/>
        <v>73500</v>
      </c>
      <c r="N65" s="7"/>
      <c r="O65" s="7"/>
      <c r="P65" s="7"/>
      <c r="Q65" s="7">
        <f t="shared" ref="Q65:U65" si="60">SUM(Q62:Q64)</f>
        <v>73500</v>
      </c>
      <c r="R65" s="7">
        <f t="shared" si="60"/>
        <v>74970</v>
      </c>
      <c r="S65" s="7">
        <f t="shared" si="60"/>
        <v>76469.400000000009</v>
      </c>
      <c r="T65" s="7">
        <f t="shared" si="60"/>
        <v>77998.788000000015</v>
      </c>
      <c r="U65" s="7">
        <f t="shared" si="60"/>
        <v>79558.763760000002</v>
      </c>
    </row>
    <row r="66" spans="1:25" x14ac:dyDescent="0.3">
      <c r="G66" s="11"/>
      <c r="H66" s="28"/>
      <c r="I66" s="11"/>
      <c r="J66" s="11"/>
      <c r="K66" s="11"/>
      <c r="L66" s="11"/>
      <c r="M66" s="11"/>
      <c r="N66" s="11"/>
      <c r="O66" s="11"/>
      <c r="P66" s="11"/>
      <c r="Q66" s="11"/>
    </row>
    <row r="67" spans="1:25" x14ac:dyDescent="0.3">
      <c r="B67" s="2" t="s">
        <v>95</v>
      </c>
      <c r="G67" s="39">
        <v>0.05</v>
      </c>
      <c r="H67" s="28"/>
      <c r="I67" s="8">
        <f>(50000*G67*3/12)</f>
        <v>625</v>
      </c>
      <c r="J67" s="8">
        <f>25000*G67*3/12</f>
        <v>312.5</v>
      </c>
      <c r="K67" s="8">
        <f>0</f>
        <v>0</v>
      </c>
      <c r="L67" s="8">
        <f>0</f>
        <v>0</v>
      </c>
      <c r="M67" s="8">
        <f>SUM(I67:L67)</f>
        <v>937.5</v>
      </c>
      <c r="N67" s="7"/>
      <c r="O67" s="7" t="s">
        <v>95</v>
      </c>
      <c r="P67" s="7"/>
      <c r="Q67" s="8">
        <f>M67</f>
        <v>937.5</v>
      </c>
      <c r="R67" s="8">
        <f>0</f>
        <v>0</v>
      </c>
      <c r="S67" s="8">
        <f>0</f>
        <v>0</v>
      </c>
      <c r="T67" s="8">
        <f>0</f>
        <v>0</v>
      </c>
      <c r="U67" s="8">
        <f>0</f>
        <v>0</v>
      </c>
    </row>
    <row r="68" spans="1:25" ht="19.5" thickBot="1" x14ac:dyDescent="0.35">
      <c r="G68" s="11"/>
      <c r="H68" s="28"/>
      <c r="I68" s="18">
        <f>I41+I52+I60+I65+I67</f>
        <v>73365.45</v>
      </c>
      <c r="J68" s="18">
        <f>J41+J52+J60+J65+J67</f>
        <v>69855.98000000001</v>
      </c>
      <c r="K68" s="18">
        <f>K41+K52+K60+K65+K67</f>
        <v>49119.009999999995</v>
      </c>
      <c r="L68" s="18">
        <f>L41+L52+L60+L65+L67</f>
        <v>44664.800000000003</v>
      </c>
      <c r="M68" s="18">
        <f>SUM(I68:L68)</f>
        <v>237005.24</v>
      </c>
      <c r="N68" s="11"/>
      <c r="O68" s="11"/>
      <c r="P68" s="11"/>
      <c r="Q68" s="18">
        <f>Q41+Q52+Q60+Q65+Q67</f>
        <v>237005.24</v>
      </c>
      <c r="R68" s="18">
        <f t="shared" ref="R68:U68" si="61">R41+R52+R60+R65+R67</f>
        <v>259933.80025424968</v>
      </c>
      <c r="S68" s="18">
        <f t="shared" si="61"/>
        <v>270195.42300516635</v>
      </c>
      <c r="T68" s="18">
        <f t="shared" si="61"/>
        <v>275281.11521476135</v>
      </c>
      <c r="U68" s="18">
        <f t="shared" si="61"/>
        <v>280490.94278103299</v>
      </c>
    </row>
    <row r="69" spans="1:25" ht="19.5" thickTop="1" x14ac:dyDescent="0.3">
      <c r="G69" s="11"/>
      <c r="H69" s="28"/>
      <c r="I69" s="11"/>
      <c r="J69" s="11"/>
      <c r="K69" s="11"/>
      <c r="L69" s="11"/>
      <c r="M69" s="11"/>
      <c r="N69" s="11"/>
      <c r="O69" s="11"/>
      <c r="P69" s="11"/>
      <c r="Q69" s="11"/>
    </row>
    <row r="70" spans="1:25" ht="19.5" thickBot="1" x14ac:dyDescent="0.35">
      <c r="A70" s="1" t="s">
        <v>41</v>
      </c>
      <c r="G70" s="11"/>
      <c r="H70" s="28"/>
      <c r="I70" s="22">
        <f>I30-I68</f>
        <v>40270.800000000003</v>
      </c>
      <c r="J70" s="22">
        <f t="shared" ref="J70:M70" si="62">J30-J68</f>
        <v>51356.01999999999</v>
      </c>
      <c r="K70" s="22">
        <f t="shared" si="62"/>
        <v>19836.240000000005</v>
      </c>
      <c r="L70" s="22">
        <f t="shared" si="62"/>
        <v>-12814.800000000003</v>
      </c>
      <c r="M70" s="22">
        <f t="shared" si="62"/>
        <v>98648.260000000009</v>
      </c>
      <c r="N70" s="1" t="s">
        <v>41</v>
      </c>
      <c r="P70" s="46"/>
      <c r="Q70" s="22">
        <f>Q30-Q41-Q52-Q60-Q65-Q67</f>
        <v>98648.260000000009</v>
      </c>
      <c r="R70" s="22">
        <f>R30-R41-R52-R60-R65-R67</f>
        <v>119830.19974575032</v>
      </c>
      <c r="S70" s="22">
        <f>S30-S41-S52-S60-S65-S67</f>
        <v>151764.57699483365</v>
      </c>
      <c r="T70" s="22">
        <f>T30-T41-T52-T60-T65-T67</f>
        <v>159337.68478523864</v>
      </c>
      <c r="U70" s="22">
        <f>U30-U41-U52-U60-U65-U67</f>
        <v>167166.42121896709</v>
      </c>
    </row>
    <row r="71" spans="1:25" ht="19.5" thickTop="1" x14ac:dyDescent="0.3">
      <c r="H71" s="26"/>
    </row>
    <row r="72" spans="1:25" x14ac:dyDescent="0.3">
      <c r="A72" s="1" t="s">
        <v>56</v>
      </c>
      <c r="H72" s="26"/>
      <c r="N72" s="1" t="s">
        <v>56</v>
      </c>
      <c r="U72" s="26"/>
    </row>
    <row r="73" spans="1:25" x14ac:dyDescent="0.3">
      <c r="B73" s="2" t="s">
        <v>52</v>
      </c>
      <c r="E73" s="10">
        <v>100000</v>
      </c>
      <c r="F73" s="6" t="s">
        <v>80</v>
      </c>
      <c r="H73" s="17">
        <f>E73</f>
        <v>100000</v>
      </c>
      <c r="I73" s="17">
        <f>0</f>
        <v>0</v>
      </c>
      <c r="J73" s="17">
        <f>0</f>
        <v>0</v>
      </c>
      <c r="K73" s="17">
        <f>0</f>
        <v>0</v>
      </c>
      <c r="L73" s="17">
        <f>0</f>
        <v>0</v>
      </c>
      <c r="M73"/>
      <c r="O73" s="2" t="s">
        <v>52</v>
      </c>
      <c r="Q73" s="17">
        <f>H73</f>
        <v>100000</v>
      </c>
      <c r="R73" s="17">
        <f>0</f>
        <v>0</v>
      </c>
      <c r="S73" s="17">
        <f>0</f>
        <v>0</v>
      </c>
      <c r="T73" s="17">
        <f>0</f>
        <v>0</v>
      </c>
      <c r="U73" s="17">
        <f>0</f>
        <v>0</v>
      </c>
      <c r="V73"/>
      <c r="W73"/>
      <c r="X73"/>
      <c r="Y73"/>
    </row>
    <row r="74" spans="1:25" x14ac:dyDescent="0.3">
      <c r="B74" s="2" t="s">
        <v>101</v>
      </c>
      <c r="E74" s="10"/>
      <c r="F74" s="6"/>
      <c r="H74" s="17">
        <v>50000</v>
      </c>
      <c r="I74" s="17">
        <v>-25000</v>
      </c>
      <c r="J74" s="17">
        <v>-25000</v>
      </c>
      <c r="K74" s="17">
        <f>0</f>
        <v>0</v>
      </c>
      <c r="L74" s="17">
        <f>0</f>
        <v>0</v>
      </c>
      <c r="M74"/>
      <c r="O74" s="2" t="s">
        <v>101</v>
      </c>
      <c r="Q74" s="17">
        <f>0</f>
        <v>0</v>
      </c>
      <c r="R74" s="17">
        <f>0</f>
        <v>0</v>
      </c>
      <c r="S74" s="17">
        <f>0</f>
        <v>0</v>
      </c>
      <c r="T74" s="17">
        <f>0</f>
        <v>0</v>
      </c>
      <c r="U74" s="17">
        <f>0</f>
        <v>0</v>
      </c>
      <c r="V74"/>
      <c r="W74"/>
      <c r="X74"/>
      <c r="Y74"/>
    </row>
    <row r="75" spans="1:25" x14ac:dyDescent="0.3">
      <c r="B75" s="2" t="s">
        <v>53</v>
      </c>
      <c r="E75" s="10"/>
      <c r="F75" s="6"/>
      <c r="H75" s="17">
        <f>-$H$90</f>
        <v>-42680</v>
      </c>
      <c r="I75" s="17">
        <f>0</f>
        <v>0</v>
      </c>
      <c r="J75" s="17">
        <f>0</f>
        <v>0</v>
      </c>
      <c r="K75" s="17">
        <f>0</f>
        <v>0</v>
      </c>
      <c r="L75" s="17">
        <f>0</f>
        <v>0</v>
      </c>
      <c r="M75"/>
      <c r="O75" s="2" t="s">
        <v>99</v>
      </c>
      <c r="Q75" s="17">
        <f>-$H$90</f>
        <v>-42680</v>
      </c>
      <c r="R75" s="17">
        <f>-R89</f>
        <v>-680</v>
      </c>
      <c r="S75" s="17">
        <f t="shared" ref="S75:U75" si="63">-S89</f>
        <v>-2500</v>
      </c>
      <c r="T75" s="17">
        <f t="shared" si="63"/>
        <v>-680</v>
      </c>
      <c r="U75" s="17">
        <f t="shared" si="63"/>
        <v>-2500</v>
      </c>
      <c r="V75"/>
      <c r="W75"/>
      <c r="X75"/>
      <c r="Y75"/>
    </row>
    <row r="76" spans="1:25" x14ac:dyDescent="0.3">
      <c r="B76" s="2" t="s">
        <v>115</v>
      </c>
      <c r="E76" s="10"/>
      <c r="F76" s="6"/>
      <c r="H76" s="17">
        <f>0</f>
        <v>0</v>
      </c>
      <c r="I76" s="17">
        <f>I$24</f>
        <v>227272.5</v>
      </c>
      <c r="J76" s="17">
        <f t="shared" ref="J76:L76" si="64">J$24</f>
        <v>242424</v>
      </c>
      <c r="K76" s="17">
        <f t="shared" si="64"/>
        <v>137910.5</v>
      </c>
      <c r="L76" s="17">
        <f t="shared" si="64"/>
        <v>63700</v>
      </c>
      <c r="M76"/>
      <c r="O76" s="2" t="s">
        <v>117</v>
      </c>
      <c r="Q76" s="17">
        <f>SUM(I76:L76)</f>
        <v>671307</v>
      </c>
      <c r="R76" s="17">
        <f>R$24</f>
        <v>759528</v>
      </c>
      <c r="S76" s="17">
        <f t="shared" ref="S76:U76" si="65">S$24</f>
        <v>843920</v>
      </c>
      <c r="T76" s="17">
        <f t="shared" si="65"/>
        <v>869237.60000000009</v>
      </c>
      <c r="U76" s="17">
        <f t="shared" si="65"/>
        <v>895314.728</v>
      </c>
      <c r="V76"/>
      <c r="W76"/>
      <c r="X76"/>
      <c r="Y76"/>
    </row>
    <row r="77" spans="1:25" x14ac:dyDescent="0.3">
      <c r="B77" s="2" t="s">
        <v>114</v>
      </c>
      <c r="E77" s="10"/>
      <c r="F77" s="6"/>
      <c r="H77" s="17">
        <f>-(0.5*I$28)</f>
        <v>-56818.125</v>
      </c>
      <c r="I77" s="17">
        <f>-(0.5*I$28+0.5*J$28)</f>
        <v>-117424.125</v>
      </c>
      <c r="J77" s="17">
        <f>-(0.5*J$28+0.5*K$28)</f>
        <v>-95083.625</v>
      </c>
      <c r="K77" s="17">
        <f>-(0.5*K$28+0.5*L$28)</f>
        <v>-50402.625</v>
      </c>
      <c r="L77" s="7">
        <f>-(0.5*L$28+0.5*0.5*(1.2*SUM($I$15:$I$21)))</f>
        <v>-84106.75</v>
      </c>
      <c r="M77"/>
      <c r="O77" s="2" t="s">
        <v>118</v>
      </c>
      <c r="Q77" s="17">
        <f>SUM(H77:L77)</f>
        <v>-403835.25</v>
      </c>
      <c r="R77" s="17">
        <f>-(R$28-0.5*0.5*(1.2*SUM($I$15:$I$21))+0.5*0.5*((1+1/3)*SUM($I$15:$I$21)))</f>
        <v>-387339.75</v>
      </c>
      <c r="S77" s="17">
        <f>-(S$28-0.5*0.5*((1+1/3)*SUM($I$15:$I$21))+0.5*0.5*(1.03*(1+1/3)*SUM($I$15:$I$21)))</f>
        <v>-424232.72499999998</v>
      </c>
      <c r="T77" s="17">
        <f>-(T$28-0.5*0.5*(1.03*(1+1/3)*SUM($I$15:$I$21))+0.5*0.5*(1.03*1.03*(1+1/3)*SUM($I$15:$I$21)))</f>
        <v>-436959.70675000007</v>
      </c>
      <c r="U77" s="17">
        <f>-(U$28-0.5*0.5*(1.03*1.03*(1+1/3)*SUM($I$15:$I$21))+0.5*0.5*(1.03*1.03*1.03*(1+1/3)*SUM($I$15:$I$21)))</f>
        <v>-450068.49795250001</v>
      </c>
      <c r="V77"/>
      <c r="W77"/>
      <c r="X77"/>
      <c r="Y77"/>
    </row>
    <row r="78" spans="1:25" x14ac:dyDescent="0.3">
      <c r="B78" s="2" t="s">
        <v>113</v>
      </c>
      <c r="E78" s="10"/>
      <c r="F78" s="6"/>
      <c r="H78" s="17">
        <v>0</v>
      </c>
      <c r="I78" s="17">
        <f>-I68</f>
        <v>-73365.45</v>
      </c>
      <c r="J78" s="17">
        <f t="shared" ref="J78:K78" si="66">-J68</f>
        <v>-69855.98000000001</v>
      </c>
      <c r="K78" s="17">
        <f t="shared" si="66"/>
        <v>-49119.009999999995</v>
      </c>
      <c r="L78" s="17">
        <f>-L68</f>
        <v>-44664.800000000003</v>
      </c>
      <c r="M78"/>
      <c r="O78" s="2" t="s">
        <v>113</v>
      </c>
      <c r="Q78" s="17">
        <f>SUM(H78:L78)</f>
        <v>-237005.24</v>
      </c>
      <c r="R78" s="17">
        <f>-R68</f>
        <v>-259933.80025424968</v>
      </c>
      <c r="S78" s="17">
        <f>-S68</f>
        <v>-270195.42300516635</v>
      </c>
      <c r="T78" s="17">
        <f t="shared" ref="T78" si="67">-T68</f>
        <v>-275281.11521476135</v>
      </c>
      <c r="U78" s="17">
        <f>-U68</f>
        <v>-280490.94278103299</v>
      </c>
      <c r="V78"/>
      <c r="W78"/>
      <c r="X78"/>
      <c r="Y78"/>
    </row>
    <row r="79" spans="1:25" x14ac:dyDescent="0.3">
      <c r="B79" s="2" t="s">
        <v>116</v>
      </c>
      <c r="E79" s="10"/>
      <c r="F79" s="6"/>
      <c r="G79" s="39">
        <v>0.25</v>
      </c>
      <c r="H79" s="17">
        <v>0</v>
      </c>
      <c r="I79" s="17">
        <f>-($G$79*I70)</f>
        <v>-10067.700000000001</v>
      </c>
      <c r="J79" s="17">
        <f t="shared" ref="J79:L79" si="68">-($G$79*J70)</f>
        <v>-12839.004999999997</v>
      </c>
      <c r="K79" s="17">
        <f t="shared" si="68"/>
        <v>-4959.0600000000013</v>
      </c>
      <c r="L79" s="17">
        <f t="shared" si="68"/>
        <v>3203.7000000000007</v>
      </c>
      <c r="M79"/>
      <c r="O79" s="2" t="s">
        <v>116</v>
      </c>
      <c r="Q79" s="17">
        <f>SUM(H79:L79)</f>
        <v>-24662.064999999999</v>
      </c>
      <c r="R79" s="17">
        <f>-($G$79*R70)</f>
        <v>-29957.549936437579</v>
      </c>
      <c r="S79" s="17">
        <f t="shared" ref="S79:U79" si="69">-($G$79*S70)</f>
        <v>-37941.144248708413</v>
      </c>
      <c r="T79" s="17">
        <f t="shared" si="69"/>
        <v>-39834.42119630966</v>
      </c>
      <c r="U79" s="17">
        <f t="shared" si="69"/>
        <v>-41791.605304741774</v>
      </c>
      <c r="V79"/>
      <c r="W79"/>
      <c r="X79"/>
      <c r="Y79"/>
    </row>
    <row r="80" spans="1:25" ht="19.5" thickBot="1" x14ac:dyDescent="0.35">
      <c r="A80" s="1" t="s">
        <v>51</v>
      </c>
      <c r="H80" s="29">
        <f>SUM(H73:H78)</f>
        <v>50501.875</v>
      </c>
      <c r="I80" s="30">
        <f>H80+SUM(I73:I79)</f>
        <v>51917.100000000006</v>
      </c>
      <c r="J80" s="30">
        <f t="shared" ref="J80:L80" si="70">I80+SUM(J73:J79)</f>
        <v>91562.489999999991</v>
      </c>
      <c r="K80" s="30">
        <f t="shared" si="70"/>
        <v>124992.295</v>
      </c>
      <c r="L80" s="30">
        <f t="shared" si="70"/>
        <v>63124.444999999992</v>
      </c>
      <c r="M80"/>
      <c r="N80" s="1" t="s">
        <v>51</v>
      </c>
      <c r="P80" s="42"/>
      <c r="Q80" s="29">
        <f>SUM(Q73:Q79)</f>
        <v>63124.445000000007</v>
      </c>
      <c r="R80" s="30">
        <f>Q80+SUM(R73:R79)</f>
        <v>144741.34480931275</v>
      </c>
      <c r="S80" s="30">
        <f t="shared" ref="S80" si="71">R80+SUM(S73:S79)</f>
        <v>253792.05255543801</v>
      </c>
      <c r="T80" s="30">
        <f t="shared" ref="T80" si="72">S80+SUM(T73:T79)</f>
        <v>370274.40939436702</v>
      </c>
      <c r="U80" s="30">
        <f t="shared" ref="U80" si="73">T80+SUM(U73:U79)</f>
        <v>490738.09135609225</v>
      </c>
    </row>
    <row r="81" spans="1:21" ht="19.5" thickTop="1" x14ac:dyDescent="0.3"/>
    <row r="82" spans="1:21" x14ac:dyDescent="0.3">
      <c r="B82" s="1" t="s">
        <v>53</v>
      </c>
      <c r="K82"/>
      <c r="L82"/>
      <c r="M82"/>
    </row>
    <row r="83" spans="1:21" x14ac:dyDescent="0.3">
      <c r="C83" s="2" t="s">
        <v>47</v>
      </c>
      <c r="H83" s="7">
        <v>20000</v>
      </c>
      <c r="K83"/>
      <c r="L83"/>
      <c r="M83"/>
    </row>
    <row r="84" spans="1:21" x14ac:dyDescent="0.3">
      <c r="C84" s="2" t="s">
        <v>46</v>
      </c>
      <c r="H84" s="7">
        <v>7500</v>
      </c>
      <c r="K84"/>
      <c r="L84"/>
    </row>
    <row r="85" spans="1:21" x14ac:dyDescent="0.3">
      <c r="C85" s="2" t="s">
        <v>83</v>
      </c>
      <c r="H85" s="17">
        <v>2500</v>
      </c>
      <c r="K85" s="38"/>
    </row>
    <row r="86" spans="1:21" x14ac:dyDescent="0.3">
      <c r="C86" s="2" t="s">
        <v>91</v>
      </c>
      <c r="H86" s="17">
        <v>680</v>
      </c>
      <c r="O86" s="1" t="s">
        <v>99</v>
      </c>
    </row>
    <row r="87" spans="1:21" x14ac:dyDescent="0.3">
      <c r="C87" s="2" t="s">
        <v>44</v>
      </c>
      <c r="H87" s="17">
        <v>2500</v>
      </c>
      <c r="P87" s="2" t="s">
        <v>91</v>
      </c>
      <c r="R87" s="7">
        <v>680</v>
      </c>
      <c r="T87" s="7">
        <v>680</v>
      </c>
    </row>
    <row r="88" spans="1:21" x14ac:dyDescent="0.3">
      <c r="C88" s="2" t="s">
        <v>84</v>
      </c>
      <c r="H88" s="17">
        <v>7000</v>
      </c>
      <c r="P88" s="2" t="s">
        <v>84</v>
      </c>
      <c r="R88" s="67"/>
      <c r="S88" s="8">
        <v>2500</v>
      </c>
      <c r="T88" s="67"/>
      <c r="U88" s="8">
        <v>2500</v>
      </c>
    </row>
    <row r="89" spans="1:21" ht="19.5" thickBot="1" x14ac:dyDescent="0.35">
      <c r="C89" s="2" t="s">
        <v>45</v>
      </c>
      <c r="H89" s="17">
        <v>2500</v>
      </c>
      <c r="R89" s="68">
        <f>SUM(R87:R88)</f>
        <v>680</v>
      </c>
      <c r="S89" s="68">
        <f t="shared" ref="S89:U89" si="74">SUM(S87:S88)</f>
        <v>2500</v>
      </c>
      <c r="T89" s="68">
        <f t="shared" si="74"/>
        <v>680</v>
      </c>
      <c r="U89" s="68">
        <f t="shared" si="74"/>
        <v>2500</v>
      </c>
    </row>
    <row r="90" spans="1:21" ht="20.25" thickTop="1" thickBot="1" x14ac:dyDescent="0.35">
      <c r="H90" s="18">
        <f>SUM(H83:H89)</f>
        <v>42680</v>
      </c>
      <c r="I90" s="11"/>
      <c r="J90" s="11"/>
      <c r="K90" s="11"/>
      <c r="L90" s="11"/>
      <c r="R90"/>
      <c r="S90"/>
      <c r="T90"/>
      <c r="U90"/>
    </row>
    <row r="91" spans="1:21" ht="19.5" thickTop="1" x14ac:dyDescent="0.3"/>
    <row r="92" spans="1:21" x14ac:dyDescent="0.3">
      <c r="A92" s="5" t="s">
        <v>0</v>
      </c>
      <c r="B92" s="5"/>
      <c r="C92" s="5"/>
      <c r="D92" s="5"/>
      <c r="N92" s="43"/>
      <c r="O92" s="2" t="s">
        <v>97</v>
      </c>
    </row>
    <row r="93" spans="1:21" ht="20.25" customHeight="1" x14ac:dyDescent="0.3">
      <c r="N93" s="43"/>
      <c r="O93"/>
      <c r="P93"/>
    </row>
    <row r="110" spans="13:17" x14ac:dyDescent="0.3">
      <c r="M110" s="7"/>
      <c r="N110" s="7"/>
      <c r="O110" s="7"/>
      <c r="P110" s="7"/>
      <c r="Q110" s="7"/>
    </row>
    <row r="111" spans="13:17" x14ac:dyDescent="0.3">
      <c r="M111" s="7"/>
      <c r="N111" s="7"/>
      <c r="O111" s="7"/>
      <c r="P111" s="7"/>
      <c r="Q111" s="7"/>
    </row>
    <row r="112" spans="13:17" x14ac:dyDescent="0.3">
      <c r="M112" s="7"/>
      <c r="N112" s="7"/>
      <c r="O112" s="7"/>
      <c r="P112" s="7"/>
      <c r="Q112" s="7"/>
    </row>
    <row r="113" spans="13:17" x14ac:dyDescent="0.3">
      <c r="M113" s="7"/>
      <c r="N113" s="7"/>
      <c r="O113" s="7"/>
      <c r="P113" s="7"/>
      <c r="Q113" s="7"/>
    </row>
  </sheetData>
  <phoneticPr fontId="4" type="noConversion"/>
  <pageMargins left="0.45" right="0.45" top="0.25" bottom="0.25" header="0.3" footer="0.3"/>
  <pageSetup scale="44" fitToWidth="2" orientation="portrait" r:id="rId1"/>
  <colBreaks count="1" manualBreakCount="1">
    <brk id="13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3:E17"/>
  <sheetViews>
    <sheetView workbookViewId="0">
      <selection activeCell="C9" sqref="C9"/>
    </sheetView>
  </sheetViews>
  <sheetFormatPr defaultColWidth="8.85546875" defaultRowHeight="15" x14ac:dyDescent="0.25"/>
  <cols>
    <col min="1" max="1" width="8.85546875" style="66"/>
    <col min="2" max="2" width="53.28515625" style="59" bestFit="1" customWidth="1"/>
    <col min="3" max="3" width="20.28515625" style="59" bestFit="1" customWidth="1"/>
    <col min="4" max="16384" width="8.85546875" style="59"/>
  </cols>
  <sheetData>
    <row r="3" spans="1:5" ht="26.25" x14ac:dyDescent="0.4">
      <c r="A3" s="56" t="s">
        <v>111</v>
      </c>
      <c r="B3" s="57"/>
      <c r="C3" s="57"/>
      <c r="D3" s="58"/>
      <c r="E3" s="58"/>
    </row>
    <row r="4" spans="1:5" ht="26.25" x14ac:dyDescent="0.4">
      <c r="A4" s="56"/>
      <c r="B4" s="57" t="s">
        <v>106</v>
      </c>
      <c r="C4" s="60">
        <f>-Overview!H90</f>
        <v>-42680</v>
      </c>
      <c r="D4" s="58"/>
      <c r="E4" s="58"/>
    </row>
    <row r="5" spans="1:5" ht="26.25" x14ac:dyDescent="0.4">
      <c r="A5" s="56"/>
      <c r="B5" s="57" t="s">
        <v>107</v>
      </c>
      <c r="C5" s="61" t="e">
        <f>-Overview!#REF!</f>
        <v>#REF!</v>
      </c>
      <c r="D5" s="58"/>
      <c r="E5" s="58"/>
    </row>
    <row r="6" spans="1:5" ht="26.25" x14ac:dyDescent="0.4">
      <c r="A6" s="56"/>
      <c r="B6" s="57"/>
      <c r="C6" s="62" t="e">
        <f>SUM(C4:C5)</f>
        <v>#REF!</v>
      </c>
      <c r="D6" s="58"/>
      <c r="E6" s="58"/>
    </row>
    <row r="7" spans="1:5" ht="26.25" x14ac:dyDescent="0.4">
      <c r="A7" s="56"/>
      <c r="B7" s="57"/>
      <c r="C7" s="57"/>
      <c r="D7" s="58"/>
      <c r="E7" s="58"/>
    </row>
    <row r="8" spans="1:5" ht="26.25" x14ac:dyDescent="0.4">
      <c r="A8" s="56" t="s">
        <v>108</v>
      </c>
      <c r="B8" s="57"/>
      <c r="C8" s="57"/>
      <c r="D8" s="58"/>
      <c r="E8" s="58"/>
    </row>
    <row r="9" spans="1:5" ht="26.25" x14ac:dyDescent="0.4">
      <c r="A9" s="56"/>
      <c r="B9" s="57" t="s">
        <v>104</v>
      </c>
      <c r="C9" s="60">
        <v>100000</v>
      </c>
      <c r="D9" s="58"/>
      <c r="E9" s="58"/>
    </row>
    <row r="10" spans="1:5" ht="26.25" x14ac:dyDescent="0.4">
      <c r="A10" s="56"/>
      <c r="B10" s="57" t="s">
        <v>105</v>
      </c>
      <c r="C10" s="61">
        <v>50000</v>
      </c>
      <c r="D10" s="58"/>
      <c r="E10" s="58"/>
    </row>
    <row r="11" spans="1:5" ht="26.25" x14ac:dyDescent="0.4">
      <c r="A11" s="56"/>
      <c r="B11" s="57"/>
      <c r="C11" s="62">
        <f>SUM(C9:C10)</f>
        <v>150000</v>
      </c>
      <c r="D11" s="58"/>
      <c r="E11" s="58"/>
    </row>
    <row r="12" spans="1:5" ht="21" x14ac:dyDescent="0.35">
      <c r="A12" s="63"/>
      <c r="B12" s="58"/>
      <c r="C12" s="58"/>
      <c r="D12" s="58"/>
      <c r="E12" s="58"/>
    </row>
    <row r="13" spans="1:5" ht="21" x14ac:dyDescent="0.35">
      <c r="A13" s="63"/>
      <c r="B13" s="58"/>
      <c r="C13" s="58"/>
      <c r="D13" s="58"/>
      <c r="E13" s="58"/>
    </row>
    <row r="14" spans="1:5" ht="21" x14ac:dyDescent="0.35">
      <c r="A14" s="63"/>
      <c r="B14" s="58"/>
      <c r="C14" s="58"/>
      <c r="D14" s="58"/>
      <c r="E14" s="58"/>
    </row>
    <row r="15" spans="1:5" ht="21" x14ac:dyDescent="0.35">
      <c r="A15" s="63"/>
      <c r="B15" s="58"/>
      <c r="C15" s="64"/>
      <c r="D15" s="58"/>
      <c r="E15" s="58"/>
    </row>
    <row r="16" spans="1:5" ht="21" x14ac:dyDescent="0.35">
      <c r="A16" s="63"/>
      <c r="B16" s="58"/>
    </row>
    <row r="17" spans="1:3" ht="21" x14ac:dyDescent="0.35">
      <c r="A17" s="63"/>
      <c r="B17" s="58"/>
      <c r="C17" s="65"/>
    </row>
  </sheetData>
  <pageMargins left="0.7" right="0.7" top="0.75" bottom="0.75" header="0.3" footer="0.3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2:F14"/>
  <sheetViews>
    <sheetView workbookViewId="0">
      <selection activeCell="A2" sqref="A2"/>
    </sheetView>
  </sheetViews>
  <sheetFormatPr defaultColWidth="8.85546875" defaultRowHeight="15" x14ac:dyDescent="0.25"/>
  <cols>
    <col min="1" max="1" width="28.85546875" customWidth="1"/>
    <col min="2" max="3" width="18.42578125" bestFit="1" customWidth="1"/>
    <col min="4" max="6" width="19.7109375" bestFit="1" customWidth="1"/>
  </cols>
  <sheetData>
    <row r="2" spans="1:6" ht="23.25" x14ac:dyDescent="0.35">
      <c r="A2" s="48"/>
      <c r="B2" s="51" t="s">
        <v>59</v>
      </c>
      <c r="C2" s="51" t="s">
        <v>58</v>
      </c>
      <c r="D2" s="51" t="s">
        <v>57</v>
      </c>
      <c r="E2" s="51" t="s">
        <v>60</v>
      </c>
      <c r="F2" s="51" t="s">
        <v>61</v>
      </c>
    </row>
    <row r="3" spans="1:6" ht="23.25" x14ac:dyDescent="0.35">
      <c r="A3" s="41" t="s">
        <v>4</v>
      </c>
      <c r="B3" s="49">
        <f>Overview!Q24</f>
        <v>671307</v>
      </c>
      <c r="C3" s="49">
        <f>Overview!R24</f>
        <v>759528</v>
      </c>
      <c r="D3" s="49">
        <f>Overview!S24</f>
        <v>843920</v>
      </c>
      <c r="E3" s="49">
        <f>Overview!T24</f>
        <v>869237.60000000009</v>
      </c>
      <c r="F3" s="49">
        <f>Overview!U24</f>
        <v>895314.728</v>
      </c>
    </row>
    <row r="4" spans="1:6" ht="23.25" x14ac:dyDescent="0.35">
      <c r="A4" s="41" t="s">
        <v>6</v>
      </c>
      <c r="B4" s="50">
        <f>-Overview!Q28</f>
        <v>-335653.5</v>
      </c>
      <c r="C4" s="50">
        <f>-Overview!R28</f>
        <v>-379764</v>
      </c>
      <c r="D4" s="50">
        <f>-Overview!S28</f>
        <v>-421960</v>
      </c>
      <c r="E4" s="50">
        <f>-Overview!T28</f>
        <v>-434618.80000000005</v>
      </c>
      <c r="F4" s="50">
        <f>-Overview!U28</f>
        <v>-447657.364</v>
      </c>
    </row>
    <row r="5" spans="1:6" ht="23.25" x14ac:dyDescent="0.35">
      <c r="A5" s="41" t="s">
        <v>40</v>
      </c>
      <c r="B5" s="49">
        <f>Overview!Q30</f>
        <v>335653.5</v>
      </c>
      <c r="C5" s="49">
        <f>Overview!R30</f>
        <v>379764</v>
      </c>
      <c r="D5" s="49">
        <f>Overview!S30</f>
        <v>421960</v>
      </c>
      <c r="E5" s="49">
        <f>Overview!T30</f>
        <v>434618.80000000005</v>
      </c>
      <c r="F5" s="49">
        <f>Overview!U30</f>
        <v>447657.364</v>
      </c>
    </row>
    <row r="6" spans="1:6" ht="23.25" x14ac:dyDescent="0.35">
      <c r="A6" s="41"/>
      <c r="B6" s="48"/>
      <c r="C6" s="48"/>
      <c r="D6" s="48"/>
      <c r="E6" s="48"/>
      <c r="F6" s="48"/>
    </row>
    <row r="7" spans="1:6" ht="23.25" x14ac:dyDescent="0.35">
      <c r="A7" s="41" t="s">
        <v>102</v>
      </c>
      <c r="B7" s="49">
        <f>-Overview!Q41</f>
        <v>-104211.6</v>
      </c>
      <c r="C7" s="49">
        <f>-Overview!R41</f>
        <v>-125440.5374542497</v>
      </c>
      <c r="D7" s="49">
        <f>-Overview!S41</f>
        <v>-133012.29494916633</v>
      </c>
      <c r="E7" s="49">
        <f>-Overview!T41</f>
        <v>-135354.32459764133</v>
      </c>
      <c r="F7" s="49">
        <f>-Overview!U41</f>
        <v>-137765.61635157056</v>
      </c>
    </row>
    <row r="8" spans="1:6" ht="23.25" x14ac:dyDescent="0.35">
      <c r="A8" s="41" t="s">
        <v>12</v>
      </c>
      <c r="B8" s="49">
        <f>-Overview!Q52</f>
        <v>-37250</v>
      </c>
      <c r="C8" s="49">
        <f>-Overview!R52</f>
        <v>-37995</v>
      </c>
      <c r="D8" s="49">
        <f>-Overview!S52</f>
        <v>-38754.9</v>
      </c>
      <c r="E8" s="49">
        <f>-Overview!T52</f>
        <v>-39529.998000000007</v>
      </c>
      <c r="F8" s="49">
        <f>-Overview!U52</f>
        <v>-40320.597959999999</v>
      </c>
    </row>
    <row r="9" spans="1:6" ht="23.25" x14ac:dyDescent="0.35">
      <c r="A9" s="41" t="s">
        <v>13</v>
      </c>
      <c r="B9" s="49">
        <f>-Overview!Q60</f>
        <v>-21106.14</v>
      </c>
      <c r="C9" s="49">
        <f>-Overview!R60</f>
        <v>-21528.2628</v>
      </c>
      <c r="D9" s="49">
        <f>-Overview!S60</f>
        <v>-21958.828055999998</v>
      </c>
      <c r="E9" s="49">
        <f>-Overview!T60</f>
        <v>-22398.004617120001</v>
      </c>
      <c r="F9" s="49">
        <f>-Overview!U60</f>
        <v>-22845.964709462402</v>
      </c>
    </row>
    <row r="10" spans="1:6" ht="23.25" x14ac:dyDescent="0.35">
      <c r="A10" s="41" t="s">
        <v>20</v>
      </c>
      <c r="B10" s="49">
        <f>-Overview!Q65</f>
        <v>-73500</v>
      </c>
      <c r="C10" s="49">
        <f>-Overview!R65</f>
        <v>-74970</v>
      </c>
      <c r="D10" s="49">
        <f>-Overview!S65</f>
        <v>-76469.400000000009</v>
      </c>
      <c r="E10" s="49">
        <f>-Overview!T65</f>
        <v>-77998.788000000015</v>
      </c>
      <c r="F10" s="49">
        <f>-Overview!U65</f>
        <v>-79558.763760000002</v>
      </c>
    </row>
    <row r="11" spans="1:6" ht="24" thickBot="1" x14ac:dyDescent="0.4">
      <c r="A11" s="41" t="s">
        <v>103</v>
      </c>
      <c r="B11" s="52">
        <f>SUM(B5:B10)</f>
        <v>99585.760000000009</v>
      </c>
      <c r="C11" s="52">
        <f t="shared" ref="C11:F11" si="0">SUM(C5:C10)</f>
        <v>119830.19974575032</v>
      </c>
      <c r="D11" s="52">
        <f t="shared" si="0"/>
        <v>151764.57699483365</v>
      </c>
      <c r="E11" s="52">
        <f t="shared" si="0"/>
        <v>159337.68478523864</v>
      </c>
      <c r="F11" s="52">
        <f t="shared" si="0"/>
        <v>167166.42121896709</v>
      </c>
    </row>
    <row r="12" spans="1:6" ht="19.5" thickTop="1" x14ac:dyDescent="0.3">
      <c r="A12" s="1"/>
      <c r="B12" s="2"/>
      <c r="C12" s="2"/>
      <c r="D12" s="2"/>
      <c r="E12" s="2"/>
      <c r="F12" s="2"/>
    </row>
    <row r="13" spans="1:6" x14ac:dyDescent="0.25">
      <c r="A13" s="47"/>
    </row>
    <row r="14" spans="1:6" x14ac:dyDescent="0.25">
      <c r="A14" s="47"/>
    </row>
  </sheetData>
  <pageMargins left="0.7" right="0.7" top="0.75" bottom="0.75" header="0.3" footer="0.3"/>
  <pageSetup orientation="portrait" horizontalDpi="0" verticalDpi="0"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Slide 1</vt:lpstr>
      <vt:lpstr>Slide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Scott Emmons</cp:lastModifiedBy>
  <cp:lastPrinted>2013-01-06T16:33:57Z</cp:lastPrinted>
  <dcterms:created xsi:type="dcterms:W3CDTF">2012-01-07T17:56:55Z</dcterms:created>
  <dcterms:modified xsi:type="dcterms:W3CDTF">2013-05-05T01:29:54Z</dcterms:modified>
</cp:coreProperties>
</file>