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mcelroy\Desktop\BuckRegulatorCalculator\"/>
    </mc:Choice>
  </mc:AlternateContent>
  <xr:revisionPtr revIDLastSave="0" documentId="13_ncr:1_{3D98FA1D-69C8-4878-BC3D-09E9040E8CDE}" xr6:coauthVersionLast="47" xr6:coauthVersionMax="47" xr10:uidLastSave="{00000000-0000-0000-0000-000000000000}"/>
  <bookViews>
    <workbookView xWindow="28680" yWindow="-120" windowWidth="29040" windowHeight="15720" tabRatio="310" xr2:uid="{B93E645F-2713-4D60-B9B8-7A5BC8875823}"/>
  </bookViews>
  <sheets>
    <sheet name="Formula and Selection Chart" sheetId="1" r:id="rId1"/>
    <sheet name="Frequency vs Set resistor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1" l="1"/>
  <c r="B113" i="1"/>
  <c r="B108" i="1"/>
  <c r="B107" i="1"/>
  <c r="B106" i="1"/>
  <c r="B101" i="1"/>
  <c r="B100" i="1"/>
  <c r="B117" i="1"/>
  <c r="B116" i="1"/>
  <c r="B115" i="1"/>
  <c r="B111" i="1"/>
  <c r="B110" i="1"/>
  <c r="B109" i="1"/>
  <c r="B104" i="1"/>
  <c r="B103" i="1"/>
  <c r="B102" i="1"/>
  <c r="B97" i="1"/>
  <c r="B96" i="1"/>
  <c r="B95" i="1"/>
  <c r="B94" i="1"/>
  <c r="B130" i="1"/>
  <c r="B129" i="1"/>
  <c r="B128" i="1"/>
  <c r="B123" i="1"/>
  <c r="B46" i="1"/>
  <c r="B68" i="1"/>
  <c r="B67" i="1"/>
  <c r="B66" i="1"/>
  <c r="B8" i="1"/>
  <c r="B36" i="1"/>
  <c r="B4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3" i="1"/>
  <c r="B122" i="1" s="1"/>
  <c r="B29" i="1"/>
  <c r="B22" i="1"/>
  <c r="B16" i="1"/>
  <c r="B61" i="1" s="1"/>
  <c r="B120" i="1" s="1"/>
  <c r="B14" i="1"/>
  <c r="B12" i="1"/>
  <c r="B18" i="1" s="1"/>
  <c r="B24" i="1" l="1"/>
  <c r="B77" i="1"/>
  <c r="B78" i="1"/>
  <c r="B83" i="1"/>
  <c r="B79" i="1"/>
  <c r="B62" i="1"/>
  <c r="B19" i="1"/>
  <c r="B20" i="1"/>
  <c r="B23" i="1"/>
  <c r="B121" i="1" l="1"/>
  <c r="B124" i="1"/>
  <c r="B56" i="1"/>
  <c r="B55" i="1"/>
  <c r="B80" i="1"/>
  <c r="B84" i="1" s="1"/>
  <c r="B9" i="1" s="1"/>
  <c r="B7" i="1" l="1"/>
  <c r="B6" i="1" s="1"/>
  <c r="B58" i="1"/>
  <c r="B59" i="1" s="1"/>
  <c r="B60" i="1" s="1"/>
  <c r="B5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<sst xmlns="http://schemas.openxmlformats.org/spreadsheetml/2006/main" count="279" uniqueCount="209">
  <si>
    <t>Duty Cycle</t>
  </si>
  <si>
    <t>V</t>
  </si>
  <si>
    <t>A</t>
  </si>
  <si>
    <t>Highside MOSFET Rds_on</t>
  </si>
  <si>
    <t>Lowside MOSFET Rds_on</t>
  </si>
  <si>
    <t>Ω</t>
  </si>
  <si>
    <t>Inductor DCR</t>
  </si>
  <si>
    <t>Inductor Current (avg)</t>
  </si>
  <si>
    <t>Hz</t>
  </si>
  <si>
    <t>second</t>
  </si>
  <si>
    <t>Inductor Current Ripple Percentage</t>
  </si>
  <si>
    <t>%</t>
  </si>
  <si>
    <t>H</t>
  </si>
  <si>
    <t>Output Voltage Ripple Percentage</t>
  </si>
  <si>
    <t>F</t>
  </si>
  <si>
    <t>Textbook Calculation</t>
  </si>
  <si>
    <t>Units</t>
  </si>
  <si>
    <t>Soft-Start Capacitor Current (Iss)</t>
  </si>
  <si>
    <t>Reference Voltage (Vref)</t>
  </si>
  <si>
    <t>Soft-start Timing (tss)</t>
  </si>
  <si>
    <t>Soft-start Capacitor (Css)</t>
  </si>
  <si>
    <t>nF</t>
  </si>
  <si>
    <t>seconds</t>
  </si>
  <si>
    <t>uA</t>
  </si>
  <si>
    <t>Soft-Start Calculations</t>
  </si>
  <si>
    <t>Feedback Resistors</t>
  </si>
  <si>
    <t>Lowside Feedback Resistor (RFB2)</t>
  </si>
  <si>
    <t>Highside Feedback Resistor (RFB1)</t>
  </si>
  <si>
    <t>Output Voltage (Vout)</t>
  </si>
  <si>
    <t>Input Voltage (Vin)</t>
  </si>
  <si>
    <t>Output Current (Iout)</t>
  </si>
  <si>
    <t>Switching Frequency (Fsw)</t>
  </si>
  <si>
    <t>Period (Tperiod)</t>
  </si>
  <si>
    <r>
      <t>Inductor  Current Ripple (</t>
    </r>
    <r>
      <rPr>
        <b/>
        <sz val="11"/>
        <color theme="1"/>
        <rFont val="Calibri"/>
        <family val="2"/>
      </rPr>
      <t>∆I_L)</t>
    </r>
  </si>
  <si>
    <t>Inductor Peak Current (I_Lpeak)</t>
  </si>
  <si>
    <t>Output Voltage Ripple (∆V)</t>
  </si>
  <si>
    <t>Output Capacitance Minimum (Cout)</t>
  </si>
  <si>
    <t>Resistance (kOhm)</t>
  </si>
  <si>
    <t>Frequency Set (kHz)</t>
  </si>
  <si>
    <t>Formula</t>
  </si>
  <si>
    <t>Frequency Set Resistor</t>
  </si>
  <si>
    <t>Frequency Set Resistor (Rfreq)</t>
  </si>
  <si>
    <t>Trendline Resistance</t>
  </si>
  <si>
    <t>Polynomial Regression Formula (Curve Fitting)</t>
  </si>
  <si>
    <t>y = 6.159031E-17x6 - 4.859178E-13x5 + 1.534733E-09x4 - 2.483918E-06x3 + 2.191222E-03x2 - 1.036002E+00x + 2.386032E+02</t>
  </si>
  <si>
    <t>KΩ</t>
  </si>
  <si>
    <t>Current Sense Resistor</t>
  </si>
  <si>
    <t>AVCC Capacitor</t>
  </si>
  <si>
    <t>uF</t>
  </si>
  <si>
    <t>PVCC Capacitor</t>
  </si>
  <si>
    <t>Capacitors</t>
  </si>
  <si>
    <t>Bootstrap Capacitor</t>
  </si>
  <si>
    <t>Pin Number</t>
  </si>
  <si>
    <t>Pin Name</t>
  </si>
  <si>
    <t>Component</t>
  </si>
  <si>
    <t>Design guide index</t>
  </si>
  <si>
    <t>AGND</t>
  </si>
  <si>
    <t>Pin1, AGND. Connection GND.</t>
  </si>
  <si>
    <t>AVCC</t>
  </si>
  <si>
    <t>C3, R4</t>
  </si>
  <si>
    <t>Pin2, AVCC. Signal Power Supply</t>
  </si>
  <si>
    <t>PVCC</t>
  </si>
  <si>
    <t>C4</t>
  </si>
  <si>
    <t>Pin3, PVCC. Internal LDO Output.</t>
  </si>
  <si>
    <t>VBIAS</t>
  </si>
  <si>
    <t>C5</t>
  </si>
  <si>
    <t>Pin4, VBIAS. Internal LDO Supply.</t>
  </si>
  <si>
    <t>BG</t>
  </si>
  <si>
    <t>Q2</t>
  </si>
  <si>
    <t>Pin5, BG. Bottom Gate Driver Output.</t>
  </si>
  <si>
    <t>PGND</t>
  </si>
  <si>
    <t>Pin6, PGND. Connection GND</t>
  </si>
  <si>
    <t>EN</t>
  </si>
  <si>
    <t>R1, R2</t>
  </si>
  <si>
    <t>Pin7, EN. Enable and Under-Voltage Lockout</t>
  </si>
  <si>
    <t>VIN</t>
  </si>
  <si>
    <t>CIN1, CIA, C1B, C1C, C1D, C1E, C1F</t>
  </si>
  <si>
    <t>Pin8, VIN. Selecting the Input Capacitors</t>
  </si>
  <si>
    <t>TG</t>
  </si>
  <si>
    <t>Q1</t>
  </si>
  <si>
    <t>Pin9, TG. Top gate driver output.</t>
  </si>
  <si>
    <t>SW</t>
  </si>
  <si>
    <t>L1</t>
  </si>
  <si>
    <t>Pin10, SW. Selecting the Inductor and Output Capacitors</t>
  </si>
  <si>
    <t>C2A, C2B, C2C, C2D</t>
  </si>
  <si>
    <t>BSTI</t>
  </si>
  <si>
    <t>R6</t>
  </si>
  <si>
    <t>Pin11, BSTI. Floating Power Source Input</t>
  </si>
  <si>
    <t>BSTO</t>
  </si>
  <si>
    <t>C6</t>
  </si>
  <si>
    <t>Pin12, BSTO. Floating Power Source Output</t>
  </si>
  <si>
    <t>FSS</t>
  </si>
  <si>
    <t>Pin13, FSS. Frequency Spread Spectrum Modulation Setting.</t>
  </si>
  <si>
    <t>CS+</t>
  </si>
  <si>
    <t>R7</t>
  </si>
  <si>
    <t>Pin14, CS+. Positive Current Sense Input.</t>
  </si>
  <si>
    <t>CS-</t>
  </si>
  <si>
    <t>Pin15, CS-. Negative Current Sense Input.</t>
  </si>
  <si>
    <t>SS</t>
  </si>
  <si>
    <t>C7</t>
  </si>
  <si>
    <t>Pin16, SS. Soft-start Capacitor.</t>
  </si>
  <si>
    <t>DNU</t>
  </si>
  <si>
    <t>Pin17, DNU.</t>
  </si>
  <si>
    <t>MODE</t>
  </si>
  <si>
    <t>Pin18, MODE.</t>
  </si>
  <si>
    <t>VSEL</t>
  </si>
  <si>
    <t>Pin19, VSEL. Output Voltage Configuration.</t>
  </si>
  <si>
    <t>PG</t>
  </si>
  <si>
    <t>R3</t>
  </si>
  <si>
    <t>Pin20, PG. Power Good Output.</t>
  </si>
  <si>
    <t>ILIM/SLOPE</t>
  </si>
  <si>
    <t>Pin21, ILIM/SLOPE. Current limit and slope compensation configuration.</t>
  </si>
  <si>
    <t>COMP</t>
  </si>
  <si>
    <t>C5, R5, C6</t>
  </si>
  <si>
    <t>Pin22, COMP. Compensation.</t>
  </si>
  <si>
    <t>VFB</t>
  </si>
  <si>
    <t>R8, R9</t>
  </si>
  <si>
    <t>Pin23, VFB. VOUT Regulation Input / Feedback Divider.</t>
  </si>
  <si>
    <t>FREQ</t>
  </si>
  <si>
    <t>R10</t>
  </si>
  <si>
    <t>Pin24,FREQ. Setting the Switching Frequency</t>
  </si>
  <si>
    <t>Legend</t>
  </si>
  <si>
    <t>Input Parameters</t>
  </si>
  <si>
    <t>Output Components</t>
  </si>
  <si>
    <t>Inductance (I_Ind) minimum</t>
  </si>
  <si>
    <t>Vbias Capacitor</t>
  </si>
  <si>
    <t>Enable UVLO Dvider</t>
  </si>
  <si>
    <t>Highside Enable Resistor (Ren_top)</t>
  </si>
  <si>
    <t>Lowside Enable Resistor (Ren_bottom)</t>
  </si>
  <si>
    <t>Input Capacitors</t>
  </si>
  <si>
    <t>Input Turn-on Voltage (V_UVLO) Rising</t>
  </si>
  <si>
    <t>Enable Pin Turn-on Voltage (Ven) Rising</t>
  </si>
  <si>
    <t>Highside Conduction Loss</t>
  </si>
  <si>
    <t>Lowside Conduction Loss</t>
  </si>
  <si>
    <t>W</t>
  </si>
  <si>
    <t>Sense Resistor</t>
  </si>
  <si>
    <t>Sensing Voltage</t>
  </si>
  <si>
    <t>Inductor DCR Losses</t>
  </si>
  <si>
    <t>Total Conduction Losses</t>
  </si>
  <si>
    <t>Total Switching Loss</t>
  </si>
  <si>
    <t>Power Input (Pin)</t>
  </si>
  <si>
    <t>Power Output (Pout)</t>
  </si>
  <si>
    <r>
      <t>Efficiency (</t>
    </r>
    <r>
      <rPr>
        <b/>
        <sz val="11"/>
        <color theme="1"/>
        <rFont val="Calibri"/>
        <family val="2"/>
      </rPr>
      <t>η</t>
    </r>
    <r>
      <rPr>
        <b/>
        <sz val="9.9"/>
        <color theme="1"/>
        <rFont val="Calibri"/>
        <family val="2"/>
      </rPr>
      <t>)</t>
    </r>
  </si>
  <si>
    <t>Input Current (Iin) - Not including device operational Iq</t>
  </si>
  <si>
    <t>Lowside Reverse Recovery Time (trr)</t>
  </si>
  <si>
    <t>Lowside Reverse Recovery Charge (Qrr)</t>
  </si>
  <si>
    <t>Columbs</t>
  </si>
  <si>
    <t>Power Loss Estimation (Based on selected MOSFET)</t>
  </si>
  <si>
    <t>Total Power Dissipation Peak</t>
  </si>
  <si>
    <t>From MOSFET Datasheet</t>
  </si>
  <si>
    <t>Notes</t>
  </si>
  <si>
    <t>Lowside Gate Charge (Qg_LS)</t>
  </si>
  <si>
    <t>Highside Gate Charge (Qg_HS)</t>
  </si>
  <si>
    <t>Highside Gate Rise Time (tr_HS)</t>
  </si>
  <si>
    <t>Highside Gate Fall Time (tf_HS)</t>
  </si>
  <si>
    <t>Lowside Gate Rise Time (tr_LS)</t>
  </si>
  <si>
    <t>Lowside Gate Fall Time (tf_LS)</t>
  </si>
  <si>
    <t>Gate Driver High Output Voltage</t>
  </si>
  <si>
    <t>From Inductor Datasheet</t>
  </si>
  <si>
    <t>Compensation Components</t>
  </si>
  <si>
    <t>Numerator (A)</t>
  </si>
  <si>
    <t>Denominator (dc)</t>
  </si>
  <si>
    <t>Denominator first order (B)</t>
  </si>
  <si>
    <t>Denominator second order (C)</t>
  </si>
  <si>
    <t>Slope Compensation</t>
  </si>
  <si>
    <t>Inductor Downslope Amplitude</t>
  </si>
  <si>
    <t>V/sec</t>
  </si>
  <si>
    <t>Sensed Downslope Amplitude + Gain</t>
  </si>
  <si>
    <t>mV/usec</t>
  </si>
  <si>
    <t>Slope Compensation at 300mV/T (based on Fsw)</t>
  </si>
  <si>
    <t>A/Sec</t>
  </si>
  <si>
    <t>Minimum Required Slope Compensation (1/2 downslope)</t>
  </si>
  <si>
    <t>Inductor Upslope Amplitude</t>
  </si>
  <si>
    <t>Subharmonic Oscillation Factor (|x| &lt; 1)</t>
  </si>
  <si>
    <t>Slope Compensation in inductor current</t>
  </si>
  <si>
    <t>Slope Compensation Set Value</t>
  </si>
  <si>
    <t>A/sec</t>
  </si>
  <si>
    <t>mV/T</t>
  </si>
  <si>
    <t>Total Capacitor Value (Approximate)</t>
  </si>
  <si>
    <t>Refer to Capacitor Datasheet for Cap value at Voltage and Frequency</t>
  </si>
  <si>
    <t>Input Current Discontinuous Ripple (I_Cin)</t>
  </si>
  <si>
    <t>Input Voltage Ripple (∆Vin)</t>
  </si>
  <si>
    <t>Input Impedance at Fsw (assuming no input inductor)</t>
  </si>
  <si>
    <t>Output Impedance needs to be less then input impedance of plant for stability</t>
  </si>
  <si>
    <t>On-time at Max Vin</t>
  </si>
  <si>
    <t>Numerator (dc)</t>
  </si>
  <si>
    <t>Transfer Functoins of Control Loop</t>
  </si>
  <si>
    <t>Power Stage Output Voltage-to-Input Voltage Transfer Function = Gvout-vg</t>
  </si>
  <si>
    <t>Power Stage Output Voltage-to-Input Voltage Transfer Function = Gvout-duty</t>
  </si>
  <si>
    <t>Power Stage Inductor Current-to-Input Voltage Transfer Function = Gi_ind-vg</t>
  </si>
  <si>
    <t>Power Stage Inductor Current-to-Duty Transfer Function = Gi_ind-duty</t>
  </si>
  <si>
    <t>Fm Gain (Slope Compensation gain)</t>
  </si>
  <si>
    <t>Hv (Voltage Feedback times OpAmp Gain)</t>
  </si>
  <si>
    <t>Fv (Voltage coefficient)</t>
  </si>
  <si>
    <t>Type II Compensation</t>
  </si>
  <si>
    <t>Cs</t>
  </si>
  <si>
    <t>Cp</t>
  </si>
  <si>
    <t>Rs</t>
  </si>
  <si>
    <t>Hi (Inductor Feedback times opamp gain)</t>
  </si>
  <si>
    <t>Sensing Gain</t>
  </si>
  <si>
    <t>V/A</t>
  </si>
  <si>
    <t>Fi (inductor current coefficient)</t>
  </si>
  <si>
    <t>Open Loop Gain Coefficient = T</t>
  </si>
  <si>
    <t>Semse Gain (gm)</t>
  </si>
  <si>
    <t>Denominator  (B)</t>
  </si>
  <si>
    <t>DC Gain (G0)</t>
  </si>
  <si>
    <t>DC Gain</t>
  </si>
  <si>
    <t>Closed Loop Gain Coefficients = A/(1+T)</t>
  </si>
  <si>
    <t>Buck Regulator Calculator (Continous Conduction - CCM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</si>
</sst>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9"/>
      <color rgb="FF595959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</font>
    <font>
      <b/>
      <sz val="9.9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6" fillId="0" borderId="0" xfId="0" applyFont="1"/>
    <xf numFmtId="11" fontId="0" fillId="0" borderId="0" xfId="0" applyNumberFormat="1"/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4" borderId="0" xfId="0" applyFont="1" applyFill="1"/>
    <xf numFmtId="165" fontId="0" fillId="0" borderId="0" xfId="0" applyNumberFormat="1"/>
    <xf numFmtId="2" fontId="0" fillId="0" borderId="0" xfId="0" applyNumberFormat="1"/>
    <xf numFmtId="0" fontId="8" fillId="0" borderId="0" xfId="0" applyFont="1" applyAlignment="1">
      <alignment vertical="center" readingOrder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1" fillId="4" borderId="0" xfId="0" applyFont="1" applyFill="1"/>
    <xf numFmtId="0" fontId="7" fillId="4" borderId="0" xfId="0" applyFont="1" applyFill="1"/>
    <xf numFmtId="0" fontId="0" fillId="2" borderId="2" xfId="0" applyFill="1" applyBorder="1"/>
    <xf numFmtId="0" fontId="2" fillId="2" borderId="2" xfId="0" applyFont="1" applyFill="1" applyBorder="1"/>
    <xf numFmtId="0" fontId="2" fillId="3" borderId="2" xfId="0" applyFont="1" applyFill="1" applyBorder="1"/>
    <xf numFmtId="11" fontId="2" fillId="3" borderId="2" xfId="0" applyNumberFormat="1" applyFont="1" applyFill="1" applyBorder="1"/>
    <xf numFmtId="2" fontId="2" fillId="3" borderId="2" xfId="0" applyNumberFormat="1" applyFont="1" applyFill="1" applyBorder="1"/>
    <xf numFmtId="2" fontId="2" fillId="0" borderId="0" xfId="0" applyNumberFormat="1" applyFont="1"/>
    <xf numFmtId="0" fontId="10" fillId="4" borderId="0" xfId="0" applyFont="1" applyFill="1"/>
    <xf numFmtId="0" fontId="11" fillId="4" borderId="0" xfId="0" applyFont="1" applyFill="1"/>
    <xf numFmtId="0" fontId="0" fillId="3" borderId="2" xfId="0" applyFill="1" applyBorder="1"/>
    <xf numFmtId="164" fontId="2" fillId="0" borderId="0" xfId="0" applyNumberFormat="1" applyFont="1"/>
    <xf numFmtId="166" fontId="2" fillId="0" borderId="0" xfId="0" applyNumberFormat="1" applyFont="1"/>
    <xf numFmtId="165" fontId="0" fillId="3" borderId="2" xfId="0" applyNumberFormat="1" applyFill="1" applyBorder="1"/>
    <xf numFmtId="11" fontId="0" fillId="2" borderId="2" xfId="0" applyNumberFormat="1" applyFill="1" applyBorder="1"/>
    <xf numFmtId="0" fontId="14" fillId="0" borderId="0" xfId="0" applyFont="1" applyAlignment="1">
      <alignment horizontal="left"/>
    </xf>
    <xf numFmtId="11" fontId="13" fillId="2" borderId="2" xfId="0" applyNumberFormat="1" applyFont="1" applyFill="1" applyBorder="1" applyAlignment="1">
      <alignment horizontal="right"/>
    </xf>
    <xf numFmtId="0" fontId="10" fillId="4" borderId="0" xfId="0" applyFont="1" applyFill="1" applyAlignment="1">
      <alignment horizontal="left"/>
    </xf>
    <xf numFmtId="0" fontId="13" fillId="0" borderId="0" xfId="0" applyFont="1" applyAlignment="1">
      <alignment horizontal="right"/>
    </xf>
    <xf numFmtId="0" fontId="0" fillId="5" borderId="0" xfId="0" applyFill="1"/>
    <xf numFmtId="165" fontId="2" fillId="3" borderId="2" xfId="0" applyNumberFormat="1" applyFont="1" applyFill="1" applyBorder="1"/>
    <xf numFmtId="2" fontId="14" fillId="3" borderId="2" xfId="0" applyNumberFormat="1" applyFont="1" applyFill="1" applyBorder="1"/>
    <xf numFmtId="2" fontId="0" fillId="0" borderId="0" xfId="1" applyNumberFormat="1" applyFont="1"/>
    <xf numFmtId="0" fontId="2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right"/>
    </xf>
    <xf numFmtId="2" fontId="13" fillId="0" borderId="0" xfId="0" applyNumberFormat="1" applyFont="1"/>
    <xf numFmtId="2" fontId="15" fillId="0" borderId="2" xfId="1" applyNumberFormat="1" applyFont="1" applyBorder="1"/>
    <xf numFmtId="11" fontId="0" fillId="0" borderId="2" xfId="0" applyNumberFormat="1" applyBorder="1"/>
    <xf numFmtId="2" fontId="0" fillId="3" borderId="2" xfId="0" applyNumberFormat="1" applyFill="1" applyBorder="1"/>
    <xf numFmtId="0" fontId="1" fillId="5" borderId="0" xfId="0" applyFont="1" applyFill="1" applyAlignment="1">
      <alignment horizontal="center"/>
    </xf>
    <xf numFmtId="0" fontId="0" fillId="6" borderId="2" xfId="0" applyFill="1" applyBorder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readingOrder="1"/>
    </xf>
  </cellXfs>
  <cellStyles count="2">
    <cellStyle name="Currency" xfId="1" builtinId="4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vs Set 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 Resistance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7375944847625106E-2"/>
                  <c:y val="-0.6623223330299523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 vs Set resistor graph'!$B$2:$B$15</c:f>
              <c:numCache>
                <c:formatCode>General</c:formatCode>
                <c:ptCount val="14"/>
                <c:pt idx="0">
                  <c:v>205</c:v>
                </c:pt>
                <c:pt idx="1">
                  <c:v>250</c:v>
                </c:pt>
                <c:pt idx="2">
                  <c:v>339</c:v>
                </c:pt>
                <c:pt idx="3">
                  <c:v>415</c:v>
                </c:pt>
                <c:pt idx="4">
                  <c:v>490</c:v>
                </c:pt>
                <c:pt idx="5">
                  <c:v>550</c:v>
                </c:pt>
                <c:pt idx="6">
                  <c:v>680</c:v>
                </c:pt>
                <c:pt idx="7">
                  <c:v>920</c:v>
                </c:pt>
                <c:pt idx="8">
                  <c:v>1000</c:v>
                </c:pt>
                <c:pt idx="9">
                  <c:v>1200</c:v>
                </c:pt>
                <c:pt idx="10">
                  <c:v>1380</c:v>
                </c:pt>
                <c:pt idx="11">
                  <c:v>1600</c:v>
                </c:pt>
                <c:pt idx="12">
                  <c:v>1900</c:v>
                </c:pt>
                <c:pt idx="13">
                  <c:v>2200</c:v>
                </c:pt>
              </c:numCache>
            </c:numRef>
          </c:xVal>
          <c:yVal>
            <c:numRef>
              <c:f>'Frequency vs Set resistor graph'!$A$2:$A$15</c:f>
              <c:numCache>
                <c:formatCode>General</c:formatCode>
                <c:ptCount val="14"/>
                <c:pt idx="0">
                  <c:v>100</c:v>
                </c:pt>
                <c:pt idx="1">
                  <c:v>82.5</c:v>
                </c:pt>
                <c:pt idx="2">
                  <c:v>60.4</c:v>
                </c:pt>
                <c:pt idx="3">
                  <c:v>48.7</c:v>
                </c:pt>
                <c:pt idx="4">
                  <c:v>41.2</c:v>
                </c:pt>
                <c:pt idx="5">
                  <c:v>35.700000000000003</c:v>
                </c:pt>
                <c:pt idx="6">
                  <c:v>29.4</c:v>
                </c:pt>
                <c:pt idx="7">
                  <c:v>23.7</c:v>
                </c:pt>
                <c:pt idx="8">
                  <c:v>19.100000000000001</c:v>
                </c:pt>
                <c:pt idx="9">
                  <c:v>15.8</c:v>
                </c:pt>
                <c:pt idx="10">
                  <c:v>14</c:v>
                </c:pt>
                <c:pt idx="11">
                  <c:v>12.1</c:v>
                </c:pt>
                <c:pt idx="12">
                  <c:v>10</c:v>
                </c:pt>
                <c:pt idx="13">
                  <c:v>8.8699999999999992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D62-4AFB-AA1D-F9B8D0A6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80191"/>
        <c:axId val="1984758927"/>
      </c:scatterChart>
      <c:valAx>
        <c:axId val="19697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58927"/>
        <c:crosses val="autoZero"/>
        <c:crossBetween val="midCat"/>
      </c:valAx>
      <c:valAx>
        <c:axId val="19847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</a:t>
                </a: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3350558</xdr:colOff>
      <xdr:row>120</xdr:row>
      <xdr:rowOff>89647</xdr:rowOff>
    </xdr:from>
    <xdr:to>
      <xdr:col>17</xdr:col>
      <xdr:colOff>55362</xdr:colOff>
      <xdr:row>141</xdr:row>
      <xdr:rowOff>79623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7F6CD11-5A59-382A-678D-5795759CE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25382" y="23162559"/>
          <a:ext cx="5333333" cy="3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638736</xdr:colOff>
      <xdr:row>97</xdr:row>
      <xdr:rowOff>134470</xdr:rowOff>
    </xdr:from>
    <xdr:to>
      <xdr:col>9</xdr:col>
      <xdr:colOff>3170598</xdr:colOff>
      <xdr:row>118</xdr:row>
      <xdr:rowOff>124446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2F0C99C-AF5B-D3E4-1A04-238231FBF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2089" y="18825882"/>
          <a:ext cx="5333333" cy="39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3316941</xdr:colOff>
      <xdr:row>91</xdr:row>
      <xdr:rowOff>100852</xdr:rowOff>
    </xdr:from>
    <xdr:to>
      <xdr:col>17</xdr:col>
      <xdr:colOff>125003</xdr:colOff>
      <xdr:row>112</xdr:row>
      <xdr:rowOff>168087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D129F40-9CF8-5C4A-3641-9EA3ED1C3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1765" y="17649264"/>
          <a:ext cx="5436591" cy="4067735"/>
        </a:xfrm>
        <a:prstGeom prst="rect">
          <a:avLst/>
        </a:prstGeom>
      </xdr:spPr>
    </xdr:pic>
    <xdr:clientData/>
  </xdr:twoCellAnchor>
  <xdr:twoCellAnchor editAs="oneCell">
    <xdr:from>
      <xdr:col>8</xdr:col>
      <xdr:colOff>40217</xdr:colOff>
      <xdr:row>31</xdr:row>
      <xdr:rowOff>118534</xdr:rowOff>
    </xdr:from>
    <xdr:to>
      <xdr:col>15</xdr:col>
      <xdr:colOff>244076</xdr:colOff>
      <xdr:row>66</xdr:row>
      <xdr:rowOff>53003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105BE6-7BA2-45EA-8A77-A70ECBFBD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80550" y="6235701"/>
          <a:ext cx="9739443" cy="66019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</xdr:row>
      <xdr:rowOff>38100</xdr:rowOff>
    </xdr:from>
    <xdr:to>
      <xdr:col>5</xdr:col>
      <xdr:colOff>321464</xdr:colOff>
      <xdr:row>29</xdr:row>
      <xdr:rowOff>177122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0E11BD-7C0E-4DE9-BC4D-AAD1E1F3C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91100"/>
          <a:ext cx="2432839" cy="710522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3</xdr:row>
      <xdr:rowOff>9525</xdr:rowOff>
    </xdr:from>
    <xdr:to>
      <xdr:col>14</xdr:col>
      <xdr:colOff>168778</xdr:colOff>
      <xdr:row>10</xdr:row>
      <xdr:rowOff>10307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851291-8655-4D90-BB3B-AA7689AF5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925675" y="790575"/>
          <a:ext cx="2302378" cy="1334282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10</xdr:row>
      <xdr:rowOff>66675</xdr:rowOff>
    </xdr:from>
    <xdr:to>
      <xdr:col>14</xdr:col>
      <xdr:colOff>126686</xdr:colOff>
      <xdr:row>17</xdr:row>
      <xdr:rowOff>70280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3B8F69-B93E-4227-AD92-F4505722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44725" y="2181225"/>
          <a:ext cx="2241236" cy="133710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17</xdr:row>
      <xdr:rowOff>114300</xdr:rowOff>
    </xdr:from>
    <xdr:to>
      <xdr:col>14</xdr:col>
      <xdr:colOff>291265</xdr:colOff>
      <xdr:row>24</xdr:row>
      <xdr:rowOff>122182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A6339D-E7FB-4D65-A190-F7241CCBF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16150" y="3562350"/>
          <a:ext cx="2434390" cy="1341382"/>
        </a:xfrm>
        <a:prstGeom prst="rect">
          <a:avLst/>
        </a:prstGeom>
      </xdr:spPr>
    </xdr:pic>
    <xdr:clientData/>
  </xdr:twoCellAnchor>
  <xdr:twoCellAnchor>
    <xdr:from>
      <xdr:col>3</xdr:col>
      <xdr:colOff>1476375</xdr:colOff>
      <xdr:row>103</xdr:row>
      <xdr:rowOff>179294</xdr:rowOff>
    </xdr:from>
    <xdr:to>
      <xdr:col>8</xdr:col>
      <xdr:colOff>201706</xdr:colOff>
      <xdr:row>104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501775C-0F6F-4EDF-B469-7734A55A7A46}"/>
            </a:ext>
          </a:extLst>
        </xdr:cNvPr>
        <xdr:cNvCxnSpPr/>
      </xdr:nvCxnSpPr>
      <xdr:spPr>
        <a:xfrm flipV="1">
          <a:off x="6799169" y="20013706"/>
          <a:ext cx="2804272" cy="10645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27213</xdr:colOff>
      <xdr:row>93</xdr:row>
      <xdr:rowOff>108857</xdr:rowOff>
    </xdr:from>
    <xdr:to>
      <xdr:col>7</xdr:col>
      <xdr:colOff>153423</xdr:colOff>
      <xdr:row>97</xdr:row>
      <xdr:rowOff>108857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D410EED-D983-E776-A505-2B3B65B5D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61213" y="18029464"/>
          <a:ext cx="3500781" cy="762000"/>
        </a:xfrm>
        <a:prstGeom prst="rect">
          <a:avLst/>
        </a:prstGeom>
      </xdr:spPr>
    </xdr:pic>
    <xdr:clientData/>
  </xdr:twoCellAnchor>
  <xdr:twoCellAnchor>
    <xdr:from>
      <xdr:col>3</xdr:col>
      <xdr:colOff>1466850</xdr:colOff>
      <xdr:row>92</xdr:row>
      <xdr:rowOff>78441</xdr:rowOff>
    </xdr:from>
    <xdr:to>
      <xdr:col>9</xdr:col>
      <xdr:colOff>4000500</xdr:colOff>
      <xdr:row>98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89B383B-C2EB-4778-A095-30EA389E0C07}"/>
            </a:ext>
          </a:extLst>
        </xdr:cNvPr>
        <xdr:cNvCxnSpPr/>
      </xdr:nvCxnSpPr>
      <xdr:spPr>
        <a:xfrm flipV="1">
          <a:off x="6789644" y="17817353"/>
          <a:ext cx="8685680" cy="1169334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54429</xdr:colOff>
      <xdr:row>119</xdr:row>
      <xdr:rowOff>40822</xdr:rowOff>
    </xdr:from>
    <xdr:to>
      <xdr:col>6</xdr:col>
      <xdr:colOff>299795</xdr:colOff>
      <xdr:row>120</xdr:row>
      <xdr:rowOff>176893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4EA941-3037-896F-EBE1-E770151AD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88429" y="22914429"/>
          <a:ext cx="3007616" cy="326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6</xdr:col>
      <xdr:colOff>32204</xdr:colOff>
      <xdr:row>130</xdr:row>
      <xdr:rowOff>68036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1E44E-0ECC-EBE8-1BCE-D719F2ED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34000" y="24207107"/>
          <a:ext cx="2794454" cy="830036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113</xdr:row>
      <xdr:rowOff>95249</xdr:rowOff>
    </xdr:from>
    <xdr:to>
      <xdr:col>7</xdr:col>
      <xdr:colOff>176893</xdr:colOff>
      <xdr:row>117</xdr:row>
      <xdr:rowOff>134047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AE04C8-E846-8CFC-2A48-D21F7E7F7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47607" y="21825856"/>
          <a:ext cx="3537857" cy="800798"/>
        </a:xfrm>
        <a:prstGeom prst="rect">
          <a:avLst/>
        </a:prstGeom>
      </xdr:spPr>
    </xdr:pic>
    <xdr:clientData/>
  </xdr:twoCellAnchor>
  <xdr:twoCellAnchor>
    <xdr:from>
      <xdr:col>3</xdr:col>
      <xdr:colOff>1476375</xdr:colOff>
      <xdr:row>111</xdr:row>
      <xdr:rowOff>95250</xdr:rowOff>
    </xdr:from>
    <xdr:to>
      <xdr:col>9</xdr:col>
      <xdr:colOff>3720352</xdr:colOff>
      <xdr:row>122</xdr:row>
      <xdr:rowOff>145676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F6F2248B-DE5F-41FA-A359-38B902414AF2}"/>
            </a:ext>
          </a:extLst>
        </xdr:cNvPr>
        <xdr:cNvCxnSpPr/>
      </xdr:nvCxnSpPr>
      <xdr:spPr>
        <a:xfrm>
          <a:off x="6799169" y="21453662"/>
          <a:ext cx="8396007" cy="214592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40822</xdr:colOff>
      <xdr:row>105</xdr:row>
      <xdr:rowOff>176894</xdr:rowOff>
    </xdr:from>
    <xdr:to>
      <xdr:col>7</xdr:col>
      <xdr:colOff>278946</xdr:colOff>
      <xdr:row>110</xdr:row>
      <xdr:rowOff>27215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A7EA3C5-E108-7929-4D4F-C9DBEF14B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74822" y="20383501"/>
          <a:ext cx="3612695" cy="802821"/>
        </a:xfrm>
        <a:prstGeom prst="rect">
          <a:avLst/>
        </a:prstGeom>
      </xdr:spPr>
    </xdr:pic>
    <xdr:clientData/>
  </xdr:twoCellAnchor>
  <xdr:twoCellAnchor editAs="oneCell">
    <xdr:from>
      <xdr:col>3</xdr:col>
      <xdr:colOff>54427</xdr:colOff>
      <xdr:row>99</xdr:row>
      <xdr:rowOff>95250</xdr:rowOff>
    </xdr:from>
    <xdr:to>
      <xdr:col>7</xdr:col>
      <xdr:colOff>442967</xdr:colOff>
      <xdr:row>103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64A087-B7F6-2D9E-5F56-FE6BA4217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88427" y="19158857"/>
          <a:ext cx="3763111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70</xdr:row>
      <xdr:rowOff>123825</xdr:rowOff>
    </xdr:from>
    <xdr:to>
      <xdr:col>9</xdr:col>
      <xdr:colOff>2961608</xdr:colOff>
      <xdr:row>91</xdr:row>
      <xdr:rowOff>113801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89A04C2-7ED7-DFA8-9CFE-88C7DBC4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34475" y="13668375"/>
          <a:ext cx="5333333" cy="3990476"/>
        </a:xfrm>
        <a:prstGeom prst="rect">
          <a:avLst/>
        </a:prstGeom>
      </xdr:spPr>
    </xdr:pic>
    <xdr:clientData/>
  </xdr:twoCellAnchor>
  <xdr:twoCellAnchor>
    <xdr:from>
      <xdr:col>3</xdr:col>
      <xdr:colOff>1447800</xdr:colOff>
      <xdr:row>71</xdr:row>
      <xdr:rowOff>123825</xdr:rowOff>
    </xdr:from>
    <xdr:to>
      <xdr:col>8</xdr:col>
      <xdr:colOff>133350</xdr:colOff>
      <xdr:row>92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7BF0C76-BF8C-D9C8-932C-F7FEFF8A8C1B}"/>
            </a:ext>
          </a:extLst>
        </xdr:cNvPr>
        <xdr:cNvCxnSpPr/>
      </xdr:nvCxnSpPr>
      <xdr:spPr>
        <a:xfrm flipV="1">
          <a:off x="6781800" y="13858875"/>
          <a:ext cx="2781300" cy="39528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122</xdr:row>
      <xdr:rowOff>13606</xdr:rowOff>
    </xdr:from>
    <xdr:to>
      <xdr:col>9</xdr:col>
      <xdr:colOff>3130195</xdr:colOff>
      <xdr:row>145</xdr:row>
      <xdr:rowOff>81642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3A6F59A-52C1-9B88-4D5B-890C7C9E5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708571" y="23458713"/>
          <a:ext cx="5946874" cy="4449536"/>
        </a:xfrm>
        <a:prstGeom prst="rect">
          <a:avLst/>
        </a:prstGeom>
      </xdr:spPr>
    </xdr:pic>
    <xdr:clientData/>
  </xdr:twoCellAnchor>
  <xdr:twoCellAnchor editAs="oneCell">
    <xdr:from>
      <xdr:col>6</xdr:col>
      <xdr:colOff>544285</xdr:colOff>
      <xdr:row>147</xdr:row>
      <xdr:rowOff>27213</xdr:rowOff>
    </xdr:from>
    <xdr:to>
      <xdr:col>9</xdr:col>
      <xdr:colOff>2825739</xdr:colOff>
      <xdr:row>169</xdr:row>
      <xdr:rowOff>108856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5E7775E-3CC4-DB09-1298-4595B42F9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40535" y="28234820"/>
          <a:ext cx="5710454" cy="4272643"/>
        </a:xfrm>
        <a:prstGeom prst="rect">
          <a:avLst/>
        </a:prstGeom>
      </xdr:spPr>
    </xdr:pic>
    <xdr:clientData/>
  </xdr:twoCellAnchor>
  <xdr:twoCellAnchor>
    <xdr:from>
      <xdr:col>2</xdr:col>
      <xdr:colOff>394607</xdr:colOff>
      <xdr:row>121</xdr:row>
      <xdr:rowOff>81643</xdr:rowOff>
    </xdr:from>
    <xdr:to>
      <xdr:col>8</xdr:col>
      <xdr:colOff>1197429</xdr:colOff>
      <xdr:row>122</xdr:row>
      <xdr:rowOff>163286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CA4F973-043E-43DE-9780-1222B5A4E735}"/>
            </a:ext>
          </a:extLst>
        </xdr:cNvPr>
        <xdr:cNvCxnSpPr/>
      </xdr:nvCxnSpPr>
      <xdr:spPr>
        <a:xfrm>
          <a:off x="5116286" y="23336250"/>
          <a:ext cx="5524500" cy="27214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340178</xdr:colOff>
      <xdr:row>128</xdr:row>
      <xdr:rowOff>122464</xdr:rowOff>
    </xdr:from>
    <xdr:to>
      <xdr:col>8</xdr:col>
      <xdr:colOff>734786</xdr:colOff>
      <xdr:row>148</xdr:row>
      <xdr:rowOff>95250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476935D-5EB3-4764-B5C8-0BCF12515004}"/>
            </a:ext>
          </a:extLst>
        </xdr:cNvPr>
        <xdr:cNvCxnSpPr/>
      </xdr:nvCxnSpPr>
      <xdr:spPr>
        <a:xfrm>
          <a:off x="5061857" y="24710571"/>
          <a:ext cx="5116286" cy="378278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489856</xdr:colOff>
      <xdr:row>132</xdr:row>
      <xdr:rowOff>176894</xdr:rowOff>
    </xdr:from>
    <xdr:to>
      <xdr:col>0</xdr:col>
      <xdr:colOff>2642806</xdr:colOff>
      <xdr:row>136</xdr:row>
      <xdr:rowOff>157948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58CD5BD-9BFF-45C8-4A1B-C2B2DDFEF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9856" y="25527001"/>
          <a:ext cx="2152950" cy="743054"/>
        </a:xfrm>
        <a:prstGeom prst="rect">
          <a:avLst/>
        </a:prstGeom>
      </xdr:spPr>
    </xdr:pic>
    <xdr:clientData/>
  </xdr:twoCellAnchor>
  <xdr:twoCellAnchor editAs="oneCell">
    <xdr:from>
      <xdr:col>0</xdr:col>
      <xdr:colOff>353786</xdr:colOff>
      <xdr:row>139</xdr:row>
      <xdr:rowOff>122465</xdr:rowOff>
    </xdr:from>
    <xdr:to>
      <xdr:col>3</xdr:col>
      <xdr:colOff>1384941</xdr:colOff>
      <xdr:row>164</xdr:row>
      <xdr:rowOff>122465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C524B81-071E-BC59-5E30-CD2D94CFD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3786" y="26806072"/>
          <a:ext cx="6365155" cy="4762500"/>
        </a:xfrm>
        <a:prstGeom prst="rect">
          <a:avLst/>
        </a:prstGeom>
      </xdr:spPr>
    </xdr:pic>
    <xdr:clientData/>
  </xdr:twoCellAnchor>
  <xdr:twoCellAnchor>
    <xdr:from>
      <xdr:col>0</xdr:col>
      <xdr:colOff>3214007</xdr:colOff>
      <xdr:row>131</xdr:row>
      <xdr:rowOff>84364</xdr:rowOff>
    </xdr:from>
    <xdr:to>
      <xdr:col>0</xdr:col>
      <xdr:colOff>3252107</xdr:colOff>
      <xdr:row>140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BB1A1A9-540D-41C1-896E-D28530B24C2C}"/>
            </a:ext>
          </a:extLst>
        </xdr:cNvPr>
        <xdr:cNvCxnSpPr/>
      </xdr:nvCxnSpPr>
      <xdr:spPr>
        <a:xfrm>
          <a:off x="3214007" y="25243971"/>
          <a:ext cx="38100" cy="163013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47625</xdr:rowOff>
    </xdr:from>
    <xdr:to>
      <xdr:col>9</xdr:col>
      <xdr:colOff>323850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814EC-AFCC-4129-B94B-EB08CFA9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5C5C-2DBF-44E1-8CE0-A1AA8C6F1C09}">
  <dimension ref="A1:J144"/>
  <sheetViews>
    <sheetView tabSelected="1" zoomScale="70" zoomScaleNormal="70" workbookViewId="0">
      <selection activeCell="F8" sqref="F8"/>
    </sheetView>
  </sheetViews>
  <sheetFormatPr defaultRowHeight="15" x14ac:dyDescent="0.25"/>
  <cols>
    <col min="1" max="1" width="51" bestFit="1" customWidth="1"/>
    <col min="2" max="2" width="19.85546875" bestFit="1" customWidth="1"/>
    <col min="4" max="4" width="23" bestFit="1" customWidth="1"/>
    <col min="8" max="8" width="11" bestFit="1" customWidth="1"/>
    <col min="9" max="9" width="31.140625" bestFit="1" customWidth="1"/>
    <col min="10" max="10" width="65.85546875" bestFit="1" customWidth="1"/>
  </cols>
  <sheetData>
    <row r="1" spans="1:10" ht="31.5" x14ac:dyDescent="0.5">
      <c r="A1" s="57" t="s">
        <v>208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x14ac:dyDescent="0.25">
      <c r="A2" s="4"/>
      <c r="B2" s="5" t="s">
        <v>15</v>
      </c>
      <c r="C2" s="5" t="s">
        <v>16</v>
      </c>
      <c r="D2" s="5" t="s">
        <v>150</v>
      </c>
      <c r="E2" s="5"/>
      <c r="F2" s="5"/>
      <c r="G2" s="5"/>
      <c r="H2" s="5"/>
      <c r="I2" s="5"/>
      <c r="J2" s="5"/>
    </row>
    <row r="3" spans="1:10" x14ac:dyDescent="0.25">
      <c r="A3" s="1" t="s">
        <v>29</v>
      </c>
      <c r="B3" s="17">
        <v>36</v>
      </c>
      <c r="C3" s="22" t="s">
        <v>1</v>
      </c>
      <c r="D3" s="15" t="s">
        <v>121</v>
      </c>
    </row>
    <row r="4" spans="1:10" x14ac:dyDescent="0.25">
      <c r="A4" s="1" t="s">
        <v>28</v>
      </c>
      <c r="B4" s="17">
        <v>15</v>
      </c>
      <c r="C4" s="22" t="s">
        <v>1</v>
      </c>
      <c r="D4" s="17" t="s">
        <v>122</v>
      </c>
      <c r="G4" s="12" t="s">
        <v>52</v>
      </c>
      <c r="H4" s="12" t="s">
        <v>53</v>
      </c>
      <c r="I4" s="12" t="s">
        <v>54</v>
      </c>
      <c r="J4" s="12" t="s">
        <v>55</v>
      </c>
    </row>
    <row r="5" spans="1:10" x14ac:dyDescent="0.25">
      <c r="A5" s="1" t="s">
        <v>30</v>
      </c>
      <c r="B5" s="17">
        <v>14.375</v>
      </c>
      <c r="C5" s="22" t="s">
        <v>2</v>
      </c>
      <c r="D5" s="18" t="s">
        <v>123</v>
      </c>
      <c r="G5" s="13">
        <v>1</v>
      </c>
      <c r="H5" s="10" t="s">
        <v>56</v>
      </c>
      <c r="I5" s="10"/>
      <c r="J5" s="11" t="s">
        <v>57</v>
      </c>
    </row>
    <row r="6" spans="1:10" x14ac:dyDescent="0.25">
      <c r="A6" s="1" t="s">
        <v>143</v>
      </c>
      <c r="B6" s="21">
        <f>B7/B3</f>
        <v>6.3456675246099623</v>
      </c>
      <c r="C6" s="22" t="s">
        <v>2</v>
      </c>
      <c r="G6" s="13">
        <v>2</v>
      </c>
      <c r="H6" s="10" t="s">
        <v>58</v>
      </c>
      <c r="I6" s="10" t="s">
        <v>59</v>
      </c>
      <c r="J6" s="11" t="s">
        <v>60</v>
      </c>
    </row>
    <row r="7" spans="1:10" x14ac:dyDescent="0.25">
      <c r="A7" s="1" t="s">
        <v>140</v>
      </c>
      <c r="B7" s="26">
        <f>B8/(B9/100)</f>
        <v>228.44403088595865</v>
      </c>
      <c r="C7" s="22" t="s">
        <v>134</v>
      </c>
      <c r="G7" s="13">
        <v>3</v>
      </c>
      <c r="H7" s="10" t="s">
        <v>61</v>
      </c>
      <c r="I7" s="10" t="s">
        <v>62</v>
      </c>
      <c r="J7" s="11" t="s">
        <v>63</v>
      </c>
    </row>
    <row r="8" spans="1:10" x14ac:dyDescent="0.25">
      <c r="A8" s="1" t="s">
        <v>141</v>
      </c>
      <c r="B8" s="1">
        <f>B4*B5</f>
        <v>215.625</v>
      </c>
      <c r="C8" s="22" t="s">
        <v>134</v>
      </c>
      <c r="G8" s="13"/>
      <c r="H8" s="10"/>
      <c r="I8" s="10"/>
      <c r="J8" s="11"/>
    </row>
    <row r="9" spans="1:10" x14ac:dyDescent="0.25">
      <c r="A9" s="1" t="s">
        <v>142</v>
      </c>
      <c r="B9" s="25">
        <f>(1-B84/B8)*100</f>
        <v>94.3885463602426</v>
      </c>
      <c r="C9" s="22" t="s">
        <v>11</v>
      </c>
      <c r="G9" s="13"/>
      <c r="H9" s="10"/>
      <c r="I9" s="10"/>
      <c r="J9" s="11"/>
    </row>
    <row r="10" spans="1:10" x14ac:dyDescent="0.25">
      <c r="A10" s="1" t="s">
        <v>3</v>
      </c>
      <c r="B10" s="17">
        <v>5.0000000000000001E-3</v>
      </c>
      <c r="C10" s="23" t="s">
        <v>5</v>
      </c>
      <c r="D10" s="2" t="s">
        <v>149</v>
      </c>
      <c r="G10" s="13">
        <v>4</v>
      </c>
      <c r="H10" s="10" t="s">
        <v>64</v>
      </c>
      <c r="I10" s="10" t="s">
        <v>65</v>
      </c>
      <c r="J10" s="11" t="s">
        <v>66</v>
      </c>
    </row>
    <row r="11" spans="1:10" x14ac:dyDescent="0.25">
      <c r="A11" s="1" t="s">
        <v>4</v>
      </c>
      <c r="B11" s="17">
        <v>5.0000000000000001E-3</v>
      </c>
      <c r="C11" s="23" t="s">
        <v>5</v>
      </c>
      <c r="D11" s="2" t="s">
        <v>149</v>
      </c>
      <c r="G11" s="13">
        <v>5</v>
      </c>
      <c r="H11" s="10" t="s">
        <v>67</v>
      </c>
      <c r="I11" s="10" t="s">
        <v>68</v>
      </c>
      <c r="J11" s="11" t="s">
        <v>69</v>
      </c>
    </row>
    <row r="12" spans="1:10" x14ac:dyDescent="0.25">
      <c r="A12" s="1" t="s">
        <v>7</v>
      </c>
      <c r="B12">
        <f>B5</f>
        <v>14.375</v>
      </c>
      <c r="C12" s="23" t="s">
        <v>2</v>
      </c>
      <c r="G12" s="13">
        <v>6</v>
      </c>
      <c r="H12" s="10" t="s">
        <v>70</v>
      </c>
      <c r="I12" s="10"/>
      <c r="J12" s="11" t="s">
        <v>71</v>
      </c>
    </row>
    <row r="13" spans="1:10" x14ac:dyDescent="0.25">
      <c r="A13" s="1" t="s">
        <v>6</v>
      </c>
      <c r="B13" s="17">
        <v>1.4999999999999999E-2</v>
      </c>
      <c r="C13" s="23" t="s">
        <v>5</v>
      </c>
      <c r="D13" s="2" t="s">
        <v>158</v>
      </c>
      <c r="G13" s="13">
        <v>7</v>
      </c>
      <c r="H13" s="10" t="s">
        <v>72</v>
      </c>
      <c r="I13" s="10" t="s">
        <v>73</v>
      </c>
      <c r="J13" s="11" t="s">
        <v>74</v>
      </c>
    </row>
    <row r="14" spans="1:10" x14ac:dyDescent="0.25">
      <c r="A14" s="1" t="s">
        <v>0</v>
      </c>
      <c r="B14">
        <f>(B4-B5*(B11+B13))/(B3-B5*(B10+B11+2*B13))</f>
        <v>0.41531404375441078</v>
      </c>
      <c r="C14" s="6"/>
      <c r="G14" s="13">
        <v>8</v>
      </c>
      <c r="H14" s="10" t="s">
        <v>75</v>
      </c>
      <c r="I14" s="10" t="s">
        <v>76</v>
      </c>
      <c r="J14" s="11" t="s">
        <v>77</v>
      </c>
    </row>
    <row r="15" spans="1:10" x14ac:dyDescent="0.25">
      <c r="A15" s="1" t="s">
        <v>31</v>
      </c>
      <c r="B15" s="17">
        <v>400000</v>
      </c>
      <c r="C15" s="23" t="s">
        <v>8</v>
      </c>
      <c r="G15" s="13">
        <v>9</v>
      </c>
      <c r="H15" s="10" t="s">
        <v>78</v>
      </c>
      <c r="I15" s="10" t="s">
        <v>79</v>
      </c>
      <c r="J15" s="11" t="s">
        <v>80</v>
      </c>
    </row>
    <row r="16" spans="1:10" x14ac:dyDescent="0.25">
      <c r="A16" s="1" t="s">
        <v>32</v>
      </c>
      <c r="B16" s="3">
        <f>1/B15</f>
        <v>2.5000000000000002E-6</v>
      </c>
      <c r="C16" s="23" t="s">
        <v>9</v>
      </c>
      <c r="D16" s="3"/>
      <c r="E16" s="2"/>
      <c r="G16" s="51">
        <v>10</v>
      </c>
      <c r="H16" s="53" t="s">
        <v>81</v>
      </c>
      <c r="I16" s="10" t="s">
        <v>82</v>
      </c>
      <c r="J16" s="53" t="s">
        <v>83</v>
      </c>
    </row>
    <row r="17" spans="1:10" x14ac:dyDescent="0.25">
      <c r="A17" s="1" t="s">
        <v>10</v>
      </c>
      <c r="B17" s="17">
        <v>35</v>
      </c>
      <c r="C17" s="23" t="s">
        <v>11</v>
      </c>
      <c r="G17" s="52"/>
      <c r="H17" s="54"/>
      <c r="I17" s="10" t="s">
        <v>84</v>
      </c>
      <c r="J17" s="54"/>
    </row>
    <row r="18" spans="1:10" x14ac:dyDescent="0.25">
      <c r="A18" s="1" t="s">
        <v>33</v>
      </c>
      <c r="B18">
        <f>(B17/100)*B12</f>
        <v>5.03125</v>
      </c>
      <c r="C18" s="23" t="s">
        <v>2</v>
      </c>
      <c r="G18" s="13">
        <v>11</v>
      </c>
      <c r="H18" s="10" t="s">
        <v>85</v>
      </c>
      <c r="I18" s="10" t="s">
        <v>86</v>
      </c>
      <c r="J18" s="11" t="s">
        <v>87</v>
      </c>
    </row>
    <row r="19" spans="1:10" x14ac:dyDescent="0.25">
      <c r="A19" s="1" t="s">
        <v>34</v>
      </c>
      <c r="B19">
        <f>B12+B18</f>
        <v>19.40625</v>
      </c>
      <c r="C19" s="23" t="s">
        <v>2</v>
      </c>
      <c r="D19" s="3"/>
      <c r="E19" s="2"/>
      <c r="G19" s="13">
        <v>12</v>
      </c>
      <c r="H19" s="10" t="s">
        <v>88</v>
      </c>
      <c r="I19" s="10" t="s">
        <v>89</v>
      </c>
      <c r="J19" s="11" t="s">
        <v>90</v>
      </c>
    </row>
    <row r="20" spans="1:10" x14ac:dyDescent="0.25">
      <c r="A20" s="1" t="s">
        <v>124</v>
      </c>
      <c r="B20" s="18">
        <f>(B3-B12*(B10+B13)-B4)*B14/(2*B18*B15)</f>
        <v>2.1371905916181942E-6</v>
      </c>
      <c r="C20" s="23" t="s">
        <v>12</v>
      </c>
      <c r="G20" s="13">
        <v>13</v>
      </c>
      <c r="H20" s="10" t="s">
        <v>91</v>
      </c>
      <c r="I20" s="10"/>
      <c r="J20" s="11" t="s">
        <v>92</v>
      </c>
    </row>
    <row r="21" spans="1:10" x14ac:dyDescent="0.25">
      <c r="A21" s="1" t="s">
        <v>13</v>
      </c>
      <c r="B21" s="17">
        <v>0.5</v>
      </c>
      <c r="C21" s="23" t="s">
        <v>11</v>
      </c>
      <c r="G21" s="13">
        <v>14</v>
      </c>
      <c r="H21" s="10" t="s">
        <v>93</v>
      </c>
      <c r="I21" s="10" t="s">
        <v>94</v>
      </c>
      <c r="J21" s="11" t="s">
        <v>95</v>
      </c>
    </row>
    <row r="22" spans="1:10" x14ac:dyDescent="0.25">
      <c r="A22" s="1" t="s">
        <v>35</v>
      </c>
      <c r="B22">
        <f>B4/100*B21</f>
        <v>7.4999999999999997E-2</v>
      </c>
      <c r="C22" s="23" t="s">
        <v>1</v>
      </c>
      <c r="G22" s="13">
        <v>15</v>
      </c>
      <c r="H22" s="10" t="s">
        <v>96</v>
      </c>
      <c r="I22" s="10"/>
      <c r="J22" s="11" t="s">
        <v>97</v>
      </c>
    </row>
    <row r="23" spans="1:10" x14ac:dyDescent="0.25">
      <c r="A23" s="1" t="s">
        <v>36</v>
      </c>
      <c r="B23" s="19">
        <f>(B18*B16)/(8*B22)</f>
        <v>2.0963541666666669E-5</v>
      </c>
      <c r="C23" s="23" t="s">
        <v>14</v>
      </c>
      <c r="G23" s="13">
        <v>16</v>
      </c>
      <c r="H23" s="10" t="s">
        <v>98</v>
      </c>
      <c r="I23" s="10" t="s">
        <v>99</v>
      </c>
      <c r="J23" s="11" t="s">
        <v>100</v>
      </c>
    </row>
    <row r="24" spans="1:10" x14ac:dyDescent="0.25">
      <c r="A24" s="1" t="s">
        <v>184</v>
      </c>
      <c r="B24" s="3">
        <f>B16*B14</f>
        <v>1.038285109386027E-6</v>
      </c>
      <c r="C24" s="22" t="s">
        <v>22</v>
      </c>
      <c r="G24" s="13">
        <v>17</v>
      </c>
      <c r="H24" s="10" t="s">
        <v>101</v>
      </c>
      <c r="I24" s="10"/>
      <c r="J24" s="11" t="s">
        <v>102</v>
      </c>
    </row>
    <row r="25" spans="1:10" x14ac:dyDescent="0.25">
      <c r="A25" s="50" t="s">
        <v>24</v>
      </c>
      <c r="B25" s="50"/>
      <c r="C25" s="50"/>
      <c r="G25" s="13">
        <v>18</v>
      </c>
      <c r="H25" s="10" t="s">
        <v>103</v>
      </c>
      <c r="I25" s="10"/>
      <c r="J25" s="11" t="s">
        <v>104</v>
      </c>
    </row>
    <row r="26" spans="1:10" x14ac:dyDescent="0.25">
      <c r="A26" s="1" t="s">
        <v>18</v>
      </c>
      <c r="B26">
        <v>1.2</v>
      </c>
      <c r="C26" s="23" t="s">
        <v>1</v>
      </c>
      <c r="G26" s="13">
        <v>19</v>
      </c>
      <c r="H26" s="10" t="s">
        <v>105</v>
      </c>
      <c r="I26" s="10"/>
      <c r="J26" s="11" t="s">
        <v>106</v>
      </c>
    </row>
    <row r="27" spans="1:10" x14ac:dyDescent="0.25">
      <c r="A27" s="1" t="s">
        <v>17</v>
      </c>
      <c r="B27">
        <v>12</v>
      </c>
      <c r="C27" s="22" t="s">
        <v>23</v>
      </c>
      <c r="G27" s="13">
        <v>20</v>
      </c>
      <c r="H27" s="10" t="s">
        <v>107</v>
      </c>
      <c r="I27" s="10" t="s">
        <v>108</v>
      </c>
      <c r="J27" s="11" t="s">
        <v>109</v>
      </c>
    </row>
    <row r="28" spans="1:10" x14ac:dyDescent="0.25">
      <c r="A28" s="1" t="s">
        <v>19</v>
      </c>
      <c r="B28" s="17">
        <v>2.2000000000000001E-3</v>
      </c>
      <c r="C28" s="22" t="s">
        <v>22</v>
      </c>
      <c r="F28" s="9"/>
      <c r="G28" s="13">
        <v>21</v>
      </c>
      <c r="H28" s="10" t="s">
        <v>110</v>
      </c>
      <c r="I28" s="10"/>
      <c r="J28" s="11" t="s">
        <v>111</v>
      </c>
    </row>
    <row r="29" spans="1:10" x14ac:dyDescent="0.25">
      <c r="A29" s="1" t="s">
        <v>20</v>
      </c>
      <c r="B29" s="18">
        <f>(B28*1000)*B27/B26</f>
        <v>22.000000000000004</v>
      </c>
      <c r="C29" s="22" t="s">
        <v>21</v>
      </c>
      <c r="G29" s="13">
        <v>22</v>
      </c>
      <c r="H29" s="10" t="s">
        <v>112</v>
      </c>
      <c r="I29" s="10" t="s">
        <v>113</v>
      </c>
      <c r="J29" s="11" t="s">
        <v>114</v>
      </c>
    </row>
    <row r="30" spans="1:10" x14ac:dyDescent="0.25">
      <c r="C30" s="6"/>
      <c r="G30" s="13">
        <v>23</v>
      </c>
      <c r="H30" s="10" t="s">
        <v>115</v>
      </c>
      <c r="I30" s="10" t="s">
        <v>116</v>
      </c>
      <c r="J30" s="11" t="s">
        <v>117</v>
      </c>
    </row>
    <row r="31" spans="1:10" x14ac:dyDescent="0.25">
      <c r="A31" s="50" t="s">
        <v>25</v>
      </c>
      <c r="B31" s="50"/>
      <c r="C31" s="50"/>
      <c r="G31" s="13">
        <v>24</v>
      </c>
      <c r="H31" s="10" t="s">
        <v>118</v>
      </c>
      <c r="I31" s="10" t="s">
        <v>119</v>
      </c>
      <c r="J31" s="11" t="s">
        <v>120</v>
      </c>
    </row>
    <row r="32" spans="1:10" x14ac:dyDescent="0.25">
      <c r="A32" s="1" t="s">
        <v>27</v>
      </c>
      <c r="B32" s="17">
        <v>100000</v>
      </c>
      <c r="C32" s="23" t="s">
        <v>5</v>
      </c>
    </row>
    <row r="33" spans="1:3" x14ac:dyDescent="0.25">
      <c r="A33" s="1" t="s">
        <v>26</v>
      </c>
      <c r="B33" s="20">
        <f>(B32/((B4/B26)-1))</f>
        <v>8695.652173913044</v>
      </c>
      <c r="C33" s="23" t="s">
        <v>5</v>
      </c>
    </row>
    <row r="34" spans="1:3" x14ac:dyDescent="0.25">
      <c r="A34" s="1"/>
      <c r="B34" s="21"/>
      <c r="C34" s="23"/>
    </row>
    <row r="35" spans="1:3" x14ac:dyDescent="0.25">
      <c r="A35" s="56" t="s">
        <v>126</v>
      </c>
      <c r="B35" s="56"/>
      <c r="C35" s="56"/>
    </row>
    <row r="36" spans="1:3" x14ac:dyDescent="0.25">
      <c r="A36" s="1" t="s">
        <v>127</v>
      </c>
      <c r="B36" s="18">
        <f>B37*(B39/B38-1)</f>
        <v>138095.23809523811</v>
      </c>
      <c r="C36" s="23" t="s">
        <v>5</v>
      </c>
    </row>
    <row r="37" spans="1:3" x14ac:dyDescent="0.25">
      <c r="A37" s="1" t="s">
        <v>128</v>
      </c>
      <c r="B37" s="17">
        <v>100000</v>
      </c>
      <c r="C37" s="23" t="s">
        <v>5</v>
      </c>
    </row>
    <row r="38" spans="1:3" x14ac:dyDescent="0.25">
      <c r="A38" s="1" t="s">
        <v>131</v>
      </c>
      <c r="B38" s="21">
        <v>1.05</v>
      </c>
      <c r="C38" s="23" t="s">
        <v>1</v>
      </c>
    </row>
    <row r="39" spans="1:3" x14ac:dyDescent="0.25">
      <c r="A39" s="1" t="s">
        <v>130</v>
      </c>
      <c r="B39" s="21">
        <v>2.5</v>
      </c>
      <c r="C39" s="23" t="s">
        <v>1</v>
      </c>
    </row>
    <row r="40" spans="1:3" x14ac:dyDescent="0.25">
      <c r="A40" s="1"/>
      <c r="B40" s="21"/>
      <c r="C40" s="23"/>
    </row>
    <row r="41" spans="1:3" x14ac:dyDescent="0.25">
      <c r="A41" s="50" t="s">
        <v>40</v>
      </c>
      <c r="B41" s="50"/>
      <c r="C41" s="50"/>
    </row>
    <row r="42" spans="1:3" x14ac:dyDescent="0.25">
      <c r="A42" s="1" t="s">
        <v>41</v>
      </c>
      <c r="B42" s="20">
        <f>6.159031E-17*(B15/1000)^6-0.0000000000004859178*(B15/1000)^5+0.000000001534733*(B15/1000)^4-0.000002483918*(B15/1000)^3+0.002191222*(B15/1000)^2-1.036002*(B15/1000)+238.6032</f>
        <v>50.392808437759953</v>
      </c>
      <c r="C42" s="23" t="s">
        <v>45</v>
      </c>
    </row>
    <row r="43" spans="1:3" x14ac:dyDescent="0.25">
      <c r="C43" s="6"/>
    </row>
    <row r="44" spans="1:3" x14ac:dyDescent="0.25">
      <c r="A44" s="50" t="s">
        <v>46</v>
      </c>
      <c r="B44" s="50"/>
      <c r="C44" s="50"/>
    </row>
    <row r="45" spans="1:3" x14ac:dyDescent="0.25">
      <c r="A45" s="1" t="s">
        <v>135</v>
      </c>
      <c r="B45" s="16">
        <v>2E-3</v>
      </c>
      <c r="C45" s="23" t="s">
        <v>5</v>
      </c>
    </row>
    <row r="46" spans="1:3" x14ac:dyDescent="0.25">
      <c r="A46" s="1" t="s">
        <v>136</v>
      </c>
      <c r="B46" s="24">
        <f>B12*B45</f>
        <v>2.8750000000000001E-2</v>
      </c>
      <c r="C46" s="22" t="s">
        <v>1</v>
      </c>
    </row>
    <row r="47" spans="1:3" x14ac:dyDescent="0.25">
      <c r="A47" s="1" t="s">
        <v>199</v>
      </c>
      <c r="B47" s="1">
        <v>2E-3</v>
      </c>
      <c r="C47" s="22" t="s">
        <v>200</v>
      </c>
    </row>
    <row r="48" spans="1:3" x14ac:dyDescent="0.25">
      <c r="A48" s="50" t="s">
        <v>50</v>
      </c>
      <c r="B48" s="50"/>
      <c r="C48" s="50"/>
    </row>
    <row r="49" spans="1:3" x14ac:dyDescent="0.25">
      <c r="A49" s="1" t="s">
        <v>47</v>
      </c>
      <c r="B49" s="18">
        <v>0.1</v>
      </c>
      <c r="C49" s="22" t="s">
        <v>48</v>
      </c>
    </row>
    <row r="50" spans="1:3" x14ac:dyDescent="0.25">
      <c r="A50" s="1" t="s">
        <v>49</v>
      </c>
      <c r="B50" s="18">
        <v>4.7</v>
      </c>
      <c r="C50" s="22" t="s">
        <v>48</v>
      </c>
    </row>
    <row r="51" spans="1:3" x14ac:dyDescent="0.25">
      <c r="A51" s="1" t="s">
        <v>51</v>
      </c>
      <c r="B51" s="18">
        <v>0.1</v>
      </c>
      <c r="C51" s="22" t="s">
        <v>48</v>
      </c>
    </row>
    <row r="52" spans="1:3" x14ac:dyDescent="0.25">
      <c r="A52" s="1" t="s">
        <v>125</v>
      </c>
      <c r="B52" s="18">
        <v>1</v>
      </c>
      <c r="C52" s="22" t="s">
        <v>48</v>
      </c>
    </row>
    <row r="53" spans="1:3" x14ac:dyDescent="0.25">
      <c r="C53" s="6"/>
    </row>
    <row r="54" spans="1:3" x14ac:dyDescent="0.25">
      <c r="A54" s="50" t="s">
        <v>164</v>
      </c>
      <c r="B54" s="50"/>
      <c r="C54" s="50"/>
    </row>
    <row r="55" spans="1:3" x14ac:dyDescent="0.25">
      <c r="A55" s="37" t="s">
        <v>172</v>
      </c>
      <c r="B55" s="39">
        <f>(B3-B4-B12*(B10+B13))/B20</f>
        <v>9691461.3423959222</v>
      </c>
      <c r="C55" s="38" t="s">
        <v>170</v>
      </c>
    </row>
    <row r="56" spans="1:3" x14ac:dyDescent="0.25">
      <c r="A56" s="1" t="s">
        <v>165</v>
      </c>
      <c r="B56" s="36">
        <f>(-(B4+B12*(B13+B11)))/B20</f>
        <v>-7153082.2098673582</v>
      </c>
      <c r="C56" s="14" t="s">
        <v>170</v>
      </c>
    </row>
    <row r="57" spans="1:3" x14ac:dyDescent="0.25">
      <c r="A57" s="1" t="s">
        <v>173</v>
      </c>
      <c r="B57" s="41">
        <f>ABS(-((-B56-B62)/(B55+B62)))</f>
        <v>0.32723435842600379</v>
      </c>
      <c r="C57" s="14"/>
    </row>
    <row r="58" spans="1:3" x14ac:dyDescent="0.25">
      <c r="A58" s="1" t="s">
        <v>167</v>
      </c>
      <c r="B58" s="8">
        <f>B56*B45*10</f>
        <v>-143061.64419734717</v>
      </c>
      <c r="C58" s="14" t="s">
        <v>166</v>
      </c>
    </row>
    <row r="59" spans="1:3" x14ac:dyDescent="0.25">
      <c r="A59" s="1" t="s">
        <v>167</v>
      </c>
      <c r="B59" s="8">
        <f>B58*0.001</f>
        <v>-143.06164419734716</v>
      </c>
      <c r="C59" s="14" t="s">
        <v>168</v>
      </c>
    </row>
    <row r="60" spans="1:3" x14ac:dyDescent="0.25">
      <c r="A60" s="1" t="s">
        <v>171</v>
      </c>
      <c r="B60" s="35">
        <f>ABS(B59/2)</f>
        <v>71.530822098673582</v>
      </c>
      <c r="C60" s="14" t="s">
        <v>168</v>
      </c>
    </row>
    <row r="61" spans="1:3" x14ac:dyDescent="0.25">
      <c r="A61" s="1" t="s">
        <v>169</v>
      </c>
      <c r="B61" s="35">
        <f>((B63/1000)/(B16))*0.001</f>
        <v>59.999999999999993</v>
      </c>
      <c r="C61" s="14" t="s">
        <v>168</v>
      </c>
    </row>
    <row r="62" spans="1:3" x14ac:dyDescent="0.25">
      <c r="A62" s="1" t="s">
        <v>174</v>
      </c>
      <c r="B62" s="40">
        <f>(B61/0.001)/(B45*10)</f>
        <v>2999999.9999999995</v>
      </c>
      <c r="C62" s="14" t="s">
        <v>176</v>
      </c>
    </row>
    <row r="63" spans="1:3" x14ac:dyDescent="0.25">
      <c r="A63" s="1" t="s">
        <v>175</v>
      </c>
      <c r="B63" s="17">
        <v>150</v>
      </c>
      <c r="C63" s="14" t="s">
        <v>177</v>
      </c>
    </row>
    <row r="64" spans="1:3" x14ac:dyDescent="0.25">
      <c r="A64" s="50" t="s">
        <v>129</v>
      </c>
      <c r="B64" s="50"/>
      <c r="C64" s="50"/>
    </row>
    <row r="65" spans="1:4" x14ac:dyDescent="0.25">
      <c r="A65" s="1" t="s">
        <v>178</v>
      </c>
      <c r="B65" s="28">
        <v>1.2010000000000001E-4</v>
      </c>
      <c r="C65" s="14" t="s">
        <v>48</v>
      </c>
      <c r="D65" s="2" t="s">
        <v>179</v>
      </c>
    </row>
    <row r="66" spans="1:4" x14ac:dyDescent="0.25">
      <c r="A66" s="1" t="s">
        <v>180</v>
      </c>
      <c r="B66" s="43">
        <f>B5*SQRT((B4/B3)*(1-(B4/B3)))</f>
        <v>7.0869705735047477</v>
      </c>
      <c r="C66" s="14" t="s">
        <v>2</v>
      </c>
    </row>
    <row r="67" spans="1:4" x14ac:dyDescent="0.25">
      <c r="A67" s="1" t="s">
        <v>181</v>
      </c>
      <c r="B67" s="27">
        <f>B5/(B15*B65)*8*(B4/B3)*(1-(B4/B3))</f>
        <v>0.58183573873623828</v>
      </c>
      <c r="C67" s="14" t="s">
        <v>1</v>
      </c>
    </row>
    <row r="68" spans="1:4" x14ac:dyDescent="0.25">
      <c r="A68" s="1" t="s">
        <v>182</v>
      </c>
      <c r="B68" s="42">
        <f>1/(2*PI()*B15*B65)</f>
        <v>3.3129671751019013E-3</v>
      </c>
      <c r="C68" s="23" t="s">
        <v>5</v>
      </c>
      <c r="D68" s="2" t="s">
        <v>183</v>
      </c>
    </row>
    <row r="69" spans="1:4" x14ac:dyDescent="0.25">
      <c r="A69" s="50" t="s">
        <v>147</v>
      </c>
      <c r="B69" s="50"/>
      <c r="C69" s="50"/>
    </row>
    <row r="70" spans="1:4" x14ac:dyDescent="0.25">
      <c r="A70" s="29" t="s">
        <v>157</v>
      </c>
      <c r="B70" s="32">
        <v>5.3</v>
      </c>
      <c r="C70" s="31" t="s">
        <v>1</v>
      </c>
    </row>
    <row r="71" spans="1:4" x14ac:dyDescent="0.25">
      <c r="A71" s="29" t="s">
        <v>152</v>
      </c>
      <c r="B71" s="30">
        <v>1.2E-8</v>
      </c>
      <c r="C71" s="22" t="s">
        <v>146</v>
      </c>
      <c r="D71" s="2" t="s">
        <v>149</v>
      </c>
    </row>
    <row r="72" spans="1:4" x14ac:dyDescent="0.25">
      <c r="A72" s="29" t="s">
        <v>151</v>
      </c>
      <c r="B72" s="30">
        <v>1.2E-8</v>
      </c>
      <c r="C72" s="22" t="s">
        <v>146</v>
      </c>
      <c r="D72" s="2" t="s">
        <v>149</v>
      </c>
    </row>
    <row r="73" spans="1:4" x14ac:dyDescent="0.25">
      <c r="A73" s="29" t="s">
        <v>153</v>
      </c>
      <c r="B73" s="30">
        <v>2.0000000000000001E-9</v>
      </c>
      <c r="C73" s="22" t="s">
        <v>22</v>
      </c>
      <c r="D73" s="2" t="s">
        <v>149</v>
      </c>
    </row>
    <row r="74" spans="1:4" x14ac:dyDescent="0.25">
      <c r="A74" s="29" t="s">
        <v>154</v>
      </c>
      <c r="B74" s="30">
        <v>2.0000000000000001E-9</v>
      </c>
      <c r="C74" s="22" t="s">
        <v>22</v>
      </c>
      <c r="D74" s="2" t="s">
        <v>149</v>
      </c>
    </row>
    <row r="75" spans="1:4" x14ac:dyDescent="0.25">
      <c r="A75" s="29" t="s">
        <v>155</v>
      </c>
      <c r="B75" s="30">
        <v>2.0000000000000001E-9</v>
      </c>
      <c r="C75" s="22" t="s">
        <v>22</v>
      </c>
      <c r="D75" s="2" t="s">
        <v>149</v>
      </c>
    </row>
    <row r="76" spans="1:4" x14ac:dyDescent="0.25">
      <c r="A76" s="29" t="s">
        <v>156</v>
      </c>
      <c r="B76" s="30">
        <v>2.0000000000000001E-9</v>
      </c>
      <c r="C76" s="22" t="s">
        <v>22</v>
      </c>
      <c r="D76" s="2" t="s">
        <v>149</v>
      </c>
    </row>
    <row r="77" spans="1:4" x14ac:dyDescent="0.25">
      <c r="A77" s="1" t="s">
        <v>132</v>
      </c>
      <c r="B77" s="7">
        <f>B14*B12^2*B10+(0.5*B3*B12*(B73+B74)*B15)+(B71*B15*B70)</f>
        <v>0.86854376786344401</v>
      </c>
      <c r="C77" s="22" t="s">
        <v>134</v>
      </c>
      <c r="D77" s="2"/>
    </row>
    <row r="78" spans="1:4" x14ac:dyDescent="0.25">
      <c r="A78" s="1" t="s">
        <v>133</v>
      </c>
      <c r="B78" s="7">
        <f>B14*B12^2*B10+(0.5*B3*B12*(B75+B76)*B15)+(B72*B15*B70)</f>
        <v>0.86854376786344401</v>
      </c>
      <c r="C78" s="22" t="s">
        <v>134</v>
      </c>
      <c r="D78" s="2"/>
    </row>
    <row r="79" spans="1:4" x14ac:dyDescent="0.25">
      <c r="A79" s="1" t="s">
        <v>137</v>
      </c>
      <c r="B79">
        <f>B12^2*B13</f>
        <v>3.099609375</v>
      </c>
      <c r="C79" s="22" t="s">
        <v>134</v>
      </c>
      <c r="D79" s="2"/>
    </row>
    <row r="80" spans="1:4" x14ac:dyDescent="0.25">
      <c r="A80" s="1" t="s">
        <v>138</v>
      </c>
      <c r="B80" s="27">
        <f>SUM(B77:B79)</f>
        <v>4.8366969107268876</v>
      </c>
      <c r="C80" s="22" t="s">
        <v>134</v>
      </c>
      <c r="D80" s="2"/>
    </row>
    <row r="81" spans="1:7" x14ac:dyDescent="0.25">
      <c r="A81" s="1" t="s">
        <v>144</v>
      </c>
      <c r="B81" s="28">
        <v>3.2999999999999998E-8</v>
      </c>
      <c r="C81" s="22" t="s">
        <v>22</v>
      </c>
      <c r="D81" s="2" t="s">
        <v>149</v>
      </c>
    </row>
    <row r="82" spans="1:7" x14ac:dyDescent="0.25">
      <c r="A82" s="1" t="s">
        <v>145</v>
      </c>
      <c r="B82" s="28">
        <v>2.9999999999999997E-8</v>
      </c>
      <c r="C82" s="22" t="s">
        <v>146</v>
      </c>
      <c r="D82" s="2" t="s">
        <v>149</v>
      </c>
    </row>
    <row r="83" spans="1:7" x14ac:dyDescent="0.25">
      <c r="A83" s="1" t="s">
        <v>139</v>
      </c>
      <c r="B83" s="24">
        <f>((B3*B82)+(B3*B12*B81))*B15</f>
        <v>7.2629999999999999</v>
      </c>
      <c r="C83" s="22" t="s">
        <v>134</v>
      </c>
    </row>
    <row r="84" spans="1:7" x14ac:dyDescent="0.25">
      <c r="A84" s="1" t="s">
        <v>148</v>
      </c>
      <c r="B84" s="34">
        <f>B80+B83</f>
        <v>12.099696910726887</v>
      </c>
      <c r="C84" s="22" t="s">
        <v>134</v>
      </c>
    </row>
    <row r="85" spans="1:7" x14ac:dyDescent="0.25">
      <c r="C85" s="33"/>
    </row>
    <row r="86" spans="1:7" x14ac:dyDescent="0.25">
      <c r="A86" s="50" t="s">
        <v>159</v>
      </c>
      <c r="B86" s="50"/>
      <c r="C86" s="50"/>
    </row>
    <row r="87" spans="1:7" x14ac:dyDescent="0.25">
      <c r="A87" s="1" t="s">
        <v>195</v>
      </c>
      <c r="B87" s="28">
        <v>2.9999999999999997E-8</v>
      </c>
      <c r="C87" s="6"/>
    </row>
    <row r="88" spans="1:7" x14ac:dyDescent="0.25">
      <c r="A88" s="1" t="s">
        <v>196</v>
      </c>
      <c r="B88" s="28">
        <v>5.0000000000000002E-11</v>
      </c>
      <c r="C88" s="6"/>
    </row>
    <row r="89" spans="1:7" x14ac:dyDescent="0.25">
      <c r="A89" s="1" t="s">
        <v>197</v>
      </c>
      <c r="B89" s="16">
        <v>1000</v>
      </c>
      <c r="C89" s="6"/>
    </row>
    <row r="90" spans="1:7" x14ac:dyDescent="0.25">
      <c r="C90" s="6"/>
    </row>
    <row r="91" spans="1:7" x14ac:dyDescent="0.25">
      <c r="A91" s="55" t="s">
        <v>186</v>
      </c>
      <c r="B91" s="55"/>
      <c r="C91" s="55"/>
      <c r="D91" s="55"/>
      <c r="E91" s="55"/>
      <c r="F91" s="55"/>
      <c r="G91" s="55"/>
    </row>
    <row r="92" spans="1:7" x14ac:dyDescent="0.25">
      <c r="A92" s="55"/>
      <c r="B92" s="55"/>
      <c r="C92" s="55"/>
      <c r="D92" s="55"/>
      <c r="E92" s="55"/>
      <c r="F92" s="55"/>
      <c r="G92" s="55"/>
    </row>
    <row r="93" spans="1:7" x14ac:dyDescent="0.25">
      <c r="A93" s="49" t="s">
        <v>187</v>
      </c>
      <c r="B93" s="49"/>
      <c r="C93" s="49"/>
      <c r="D93" s="49"/>
    </row>
    <row r="94" spans="1:7" x14ac:dyDescent="0.25">
      <c r="A94" t="s">
        <v>206</v>
      </c>
      <c r="B94" s="11">
        <f>B14</f>
        <v>0.41531404375441078</v>
      </c>
      <c r="C94" s="33"/>
    </row>
    <row r="95" spans="1:7" x14ac:dyDescent="0.25">
      <c r="A95" t="s">
        <v>161</v>
      </c>
      <c r="B95" s="11">
        <f>(B14/(B4/B5))*(B10-B11)+B13/(B4/B5)+B11/(B4/B5)+1</f>
        <v>1.0191666666666668</v>
      </c>
      <c r="C95" s="33"/>
    </row>
    <row r="96" spans="1:7" x14ac:dyDescent="0.25">
      <c r="A96" t="s">
        <v>162</v>
      </c>
      <c r="B96" s="42">
        <f>B23*(B13+B14*(B10-B11)+B11)+B20/(B4/B5)</f>
        <v>2.4674118169674361E-6</v>
      </c>
      <c r="C96" s="33"/>
    </row>
    <row r="97" spans="1:4" x14ac:dyDescent="0.25">
      <c r="A97" t="s">
        <v>163</v>
      </c>
      <c r="B97" s="42">
        <f>B20*B23</f>
        <v>4.4803084016996002E-11</v>
      </c>
      <c r="C97" s="33"/>
    </row>
    <row r="98" spans="1:4" x14ac:dyDescent="0.25">
      <c r="C98" s="33"/>
    </row>
    <row r="99" spans="1:4" x14ac:dyDescent="0.25">
      <c r="A99" s="49" t="s">
        <v>188</v>
      </c>
      <c r="B99" s="49"/>
      <c r="C99" s="49"/>
      <c r="D99" s="49"/>
    </row>
    <row r="100" spans="1:4" x14ac:dyDescent="0.25">
      <c r="A100" t="s">
        <v>206</v>
      </c>
      <c r="B100" s="11">
        <f>B4/B14</f>
        <v>36.117247238742564</v>
      </c>
      <c r="C100" s="33"/>
    </row>
    <row r="101" spans="1:4" x14ac:dyDescent="0.25">
      <c r="A101" t="s">
        <v>160</v>
      </c>
      <c r="B101" s="11">
        <f>1+((B14*B12)/B4)*(B11-B10)</f>
        <v>1</v>
      </c>
      <c r="C101" s="33"/>
    </row>
    <row r="102" spans="1:4" x14ac:dyDescent="0.25">
      <c r="A102" t="s">
        <v>161</v>
      </c>
      <c r="B102" s="11">
        <f>(B14/(B4/B5))*(B10-B11)+B13/(B4/B5)+B11/(B4/B5)+1</f>
        <v>1.0191666666666668</v>
      </c>
      <c r="C102" s="33"/>
    </row>
    <row r="103" spans="1:4" x14ac:dyDescent="0.25">
      <c r="A103" t="s">
        <v>162</v>
      </c>
      <c r="B103" s="42">
        <f>B23*(B13+B14*(B10-B11)+B11)+B20/(B4/B5)</f>
        <v>2.4674118169674361E-6</v>
      </c>
      <c r="C103" s="33"/>
    </row>
    <row r="104" spans="1:4" x14ac:dyDescent="0.25">
      <c r="A104" t="s">
        <v>163</v>
      </c>
      <c r="B104" s="42">
        <f>B20*B23</f>
        <v>4.4803084016996002E-11</v>
      </c>
      <c r="C104" s="33"/>
    </row>
    <row r="105" spans="1:4" x14ac:dyDescent="0.25">
      <c r="A105" s="49" t="s">
        <v>190</v>
      </c>
      <c r="B105" s="49"/>
      <c r="C105" s="49"/>
      <c r="D105" s="49"/>
    </row>
    <row r="106" spans="1:4" x14ac:dyDescent="0.25">
      <c r="A106" t="s">
        <v>206</v>
      </c>
      <c r="B106" s="11">
        <f>B4/(B14*(B4/B5))</f>
        <v>34.612361937128291</v>
      </c>
      <c r="C106" s="33"/>
    </row>
    <row r="107" spans="1:4" x14ac:dyDescent="0.25">
      <c r="A107" t="s">
        <v>185</v>
      </c>
      <c r="B107" s="11">
        <f>(1+((B14*B12)/B4)*(B11-B10))</f>
        <v>1</v>
      </c>
      <c r="C107" s="33"/>
    </row>
    <row r="108" spans="1:4" x14ac:dyDescent="0.25">
      <c r="A108" t="s">
        <v>160</v>
      </c>
      <c r="B108" s="42">
        <f>(B4/B5)*B23*(1+((B14*B12)/B4)*(B11-B10))</f>
        <v>2.1875E-5</v>
      </c>
      <c r="C108" s="33"/>
    </row>
    <row r="109" spans="1:4" x14ac:dyDescent="0.25">
      <c r="A109" t="s">
        <v>161</v>
      </c>
      <c r="B109" s="11">
        <f>(B14/(B4/B5))*(B10-B11)+B13/(B4/B5)+B11/(B4/B5)+1</f>
        <v>1.0191666666666668</v>
      </c>
      <c r="C109" s="33"/>
    </row>
    <row r="110" spans="1:4" x14ac:dyDescent="0.25">
      <c r="A110" t="s">
        <v>162</v>
      </c>
      <c r="B110" s="42">
        <f>B23*(B13+B14*(B10-B11)+B11)+B20/(B4/B5)</f>
        <v>2.4674118169674361E-6</v>
      </c>
      <c r="C110" s="33"/>
    </row>
    <row r="111" spans="1:4" x14ac:dyDescent="0.25">
      <c r="A111" t="s">
        <v>163</v>
      </c>
      <c r="B111" s="42">
        <f>B20*B23</f>
        <v>4.4803084016996002E-11</v>
      </c>
      <c r="C111" s="33"/>
    </row>
    <row r="112" spans="1:4" x14ac:dyDescent="0.25">
      <c r="A112" s="49" t="s">
        <v>189</v>
      </c>
      <c r="B112" s="49"/>
      <c r="C112" s="49"/>
      <c r="D112" s="49"/>
    </row>
    <row r="113" spans="1:4" x14ac:dyDescent="0.25">
      <c r="A113" t="s">
        <v>206</v>
      </c>
      <c r="B113" s="11">
        <f>B14/(B4/B5)</f>
        <v>0.39800929193131035</v>
      </c>
      <c r="C113" s="33"/>
    </row>
    <row r="114" spans="1:4" x14ac:dyDescent="0.25">
      <c r="A114" t="s">
        <v>160</v>
      </c>
      <c r="B114" s="42">
        <f>(B4/B5)*B23</f>
        <v>2.1875E-5</v>
      </c>
      <c r="C114" s="33"/>
    </row>
    <row r="115" spans="1:4" x14ac:dyDescent="0.25">
      <c r="A115" t="s">
        <v>161</v>
      </c>
      <c r="B115" s="11">
        <f>(B14/(B4/B5))*(B10-B11)+B13/(B4/B5)+B11/(B4/B5)+1</f>
        <v>1.0191666666666668</v>
      </c>
      <c r="C115" s="33"/>
    </row>
    <row r="116" spans="1:4" x14ac:dyDescent="0.25">
      <c r="A116" t="s">
        <v>162</v>
      </c>
      <c r="B116" s="42">
        <f>B23*(B13+B14*(B10-B11)+B11)+B20/(B4/B5)</f>
        <v>2.4674118169674361E-6</v>
      </c>
      <c r="C116" s="33"/>
    </row>
    <row r="117" spans="1:4" x14ac:dyDescent="0.25">
      <c r="A117" t="s">
        <v>163</v>
      </c>
      <c r="B117" s="42">
        <f>B20*B23</f>
        <v>4.4803084016996002E-11</v>
      </c>
      <c r="C117" s="33"/>
    </row>
    <row r="118" spans="1:4" x14ac:dyDescent="0.25">
      <c r="B118" s="3"/>
      <c r="C118" s="33"/>
    </row>
    <row r="119" spans="1:4" x14ac:dyDescent="0.25">
      <c r="A119" s="49" t="s">
        <v>202</v>
      </c>
      <c r="B119" s="49"/>
      <c r="C119" s="49"/>
      <c r="D119" s="49"/>
    </row>
    <row r="120" spans="1:4" x14ac:dyDescent="0.25">
      <c r="A120" t="s">
        <v>191</v>
      </c>
      <c r="B120" s="42">
        <f>1/((1000*B61)*B16)</f>
        <v>6.666666666666667</v>
      </c>
      <c r="C120" s="44"/>
      <c r="D120" s="46"/>
    </row>
    <row r="121" spans="1:4" x14ac:dyDescent="0.25">
      <c r="A121" t="s">
        <v>193</v>
      </c>
      <c r="B121" s="42">
        <f>((1-2*B14)*B16)/(2*B20)</f>
        <v>9.9062241544714602E-2</v>
      </c>
      <c r="C121" s="44"/>
      <c r="D121" s="46"/>
    </row>
    <row r="122" spans="1:4" x14ac:dyDescent="0.25">
      <c r="A122" t="s">
        <v>192</v>
      </c>
      <c r="B122" s="45">
        <f>B33/(B33+B32)*1</f>
        <v>0.08</v>
      </c>
      <c r="C122" s="44"/>
      <c r="D122" s="46"/>
    </row>
    <row r="123" spans="1:4" x14ac:dyDescent="0.25">
      <c r="A123" t="s">
        <v>198</v>
      </c>
      <c r="B123" s="42">
        <f>10*B47</f>
        <v>0.02</v>
      </c>
      <c r="C123" s="33"/>
    </row>
    <row r="124" spans="1:4" x14ac:dyDescent="0.25">
      <c r="A124" t="s">
        <v>201</v>
      </c>
      <c r="B124" s="42">
        <f>(2*B20-(B11+B13+2*(B13-B11)*B14-(B10+B11+2*B13)*B14^2)*B16)/(2*B20)</f>
        <v>0.98747956150854199</v>
      </c>
      <c r="C124" s="33"/>
    </row>
    <row r="126" spans="1:4" x14ac:dyDescent="0.25">
      <c r="A126" s="49" t="s">
        <v>194</v>
      </c>
      <c r="B126" s="49"/>
      <c r="C126" s="49"/>
      <c r="D126" s="49"/>
    </row>
    <row r="127" spans="1:4" x14ac:dyDescent="0.25">
      <c r="A127" t="s">
        <v>203</v>
      </c>
      <c r="B127" s="42">
        <v>1</v>
      </c>
      <c r="C127" s="33"/>
    </row>
    <row r="128" spans="1:4" x14ac:dyDescent="0.25">
      <c r="A128" t="s">
        <v>205</v>
      </c>
      <c r="B128" s="42">
        <f>(B87*B89)/(B87+B88)</f>
        <v>998.33610648918477</v>
      </c>
      <c r="C128" s="33"/>
    </row>
    <row r="129" spans="1:9" x14ac:dyDescent="0.25">
      <c r="A129" t="s">
        <v>160</v>
      </c>
      <c r="B129" s="42">
        <f>B87*B89</f>
        <v>2.9999999999999997E-5</v>
      </c>
      <c r="C129" s="33"/>
    </row>
    <row r="130" spans="1:9" x14ac:dyDescent="0.25">
      <c r="A130" t="s">
        <v>204</v>
      </c>
      <c r="B130" s="42">
        <f>(B87*B88*B89)/(B87+B88)</f>
        <v>4.9916805324459243E-8</v>
      </c>
      <c r="C130" s="33"/>
    </row>
    <row r="132" spans="1:9" x14ac:dyDescent="0.25">
      <c r="A132" s="49" t="s">
        <v>207</v>
      </c>
      <c r="B132" s="49"/>
      <c r="C132" s="49"/>
      <c r="D132" s="49"/>
    </row>
    <row r="133" spans="1:9" x14ac:dyDescent="0.25">
      <c r="B133" s="3"/>
      <c r="C133" s="47"/>
      <c r="D133" s="46"/>
    </row>
    <row r="134" spans="1:9" x14ac:dyDescent="0.25">
      <c r="B134" s="3"/>
      <c r="C134" s="47"/>
      <c r="D134" s="46"/>
    </row>
    <row r="135" spans="1:9" x14ac:dyDescent="0.25">
      <c r="C135" s="47"/>
      <c r="D135" s="46"/>
    </row>
    <row r="136" spans="1:9" x14ac:dyDescent="0.25">
      <c r="B136" s="3"/>
      <c r="C136" s="48"/>
    </row>
    <row r="137" spans="1:9" x14ac:dyDescent="0.25">
      <c r="B137" s="3"/>
      <c r="C137" s="48"/>
    </row>
    <row r="144" spans="1:9" x14ac:dyDescent="0.25">
      <c r="I144" t="e" vm="1">
        <v>#VALUE!</v>
      </c>
    </row>
  </sheetData>
  <mergeCells count="22">
    <mergeCell ref="J16:J17"/>
    <mergeCell ref="A35:C35"/>
    <mergeCell ref="A1:J1"/>
    <mergeCell ref="A25:C25"/>
    <mergeCell ref="A31:C31"/>
    <mergeCell ref="G16:G17"/>
    <mergeCell ref="H16:H17"/>
    <mergeCell ref="A41:C41"/>
    <mergeCell ref="A44:C44"/>
    <mergeCell ref="A64:C64"/>
    <mergeCell ref="A112:D112"/>
    <mergeCell ref="A132:D132"/>
    <mergeCell ref="A54:C54"/>
    <mergeCell ref="A126:D126"/>
    <mergeCell ref="A48:C48"/>
    <mergeCell ref="A119:D119"/>
    <mergeCell ref="A105:D105"/>
    <mergeCell ref="A99:D99"/>
    <mergeCell ref="A93:D93"/>
    <mergeCell ref="A91:G92"/>
    <mergeCell ref="A69:C69"/>
    <mergeCell ref="A86:C86"/>
  </mergeCells>
  <conditionalFormatting sqref="B57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1A0B-10A1-4386-A995-81C477D8072C}">
  <dimension ref="A1:H31"/>
  <sheetViews>
    <sheetView topLeftCell="A13" zoomScaleNormal="100" workbookViewId="0">
      <selection activeCell="C42" sqref="C4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9.7109375" bestFit="1" customWidth="1"/>
    <col min="4" max="4" width="12.28515625" customWidth="1"/>
    <col min="5" max="5" width="59.7109375" customWidth="1"/>
  </cols>
  <sheetData>
    <row r="1" spans="1:8" x14ac:dyDescent="0.25">
      <c r="A1" s="6" t="s">
        <v>37</v>
      </c>
      <c r="B1" s="6" t="s">
        <v>38</v>
      </c>
      <c r="C1" s="6" t="s">
        <v>42</v>
      </c>
      <c r="D1" s="6"/>
      <c r="E1" s="6"/>
      <c r="F1" s="6"/>
      <c r="G1" s="6"/>
      <c r="H1" s="6"/>
    </row>
    <row r="2" spans="1:8" x14ac:dyDescent="0.25">
      <c r="A2" s="2">
        <v>100</v>
      </c>
      <c r="B2" s="2">
        <v>205</v>
      </c>
      <c r="C2">
        <f>6.159031E-17*B2^6-0.0000000000004859178*B2^5+0.000000001534733*B2^4-0.000002483918*B2^3+0.002191222*B2^2-1.036002*B2+238.6032</f>
        <v>99.448767812187469</v>
      </c>
    </row>
    <row r="3" spans="1:8" x14ac:dyDescent="0.25">
      <c r="A3" s="2">
        <v>82.5</v>
      </c>
      <c r="B3" s="2">
        <v>250</v>
      </c>
      <c r="C3">
        <f t="shared" ref="C3:C15" si="0">6.159031E-17*B3^6-0.0000000000004859178*B3^5+0.000000001534733*B3^4-0.000002483918*B3^3+0.002191222*B3^2-1.036002*B3+238.6032</f>
        <v>83.278414626464809</v>
      </c>
    </row>
    <row r="4" spans="1:8" x14ac:dyDescent="0.25">
      <c r="A4" s="2">
        <v>60.4</v>
      </c>
      <c r="B4" s="2">
        <v>339</v>
      </c>
      <c r="C4">
        <f t="shared" si="0"/>
        <v>60.633858616879564</v>
      </c>
    </row>
    <row r="5" spans="1:8" x14ac:dyDescent="0.25">
      <c r="A5" s="2">
        <v>48.7</v>
      </c>
      <c r="B5" s="2">
        <v>415</v>
      </c>
      <c r="C5">
        <f t="shared" si="0"/>
        <v>48.367207841868691</v>
      </c>
    </row>
    <row r="6" spans="1:8" x14ac:dyDescent="0.25">
      <c r="A6" s="2">
        <v>41.2</v>
      </c>
      <c r="B6" s="2">
        <v>490</v>
      </c>
      <c r="C6">
        <f t="shared" si="0"/>
        <v>40.444970763985367</v>
      </c>
    </row>
    <row r="7" spans="1:8" x14ac:dyDescent="0.25">
      <c r="A7" s="2">
        <v>35.700000000000003</v>
      </c>
      <c r="B7" s="2">
        <v>550</v>
      </c>
      <c r="C7">
        <f t="shared" si="0"/>
        <v>36.071934940904754</v>
      </c>
    </row>
    <row r="8" spans="1:8" x14ac:dyDescent="0.25">
      <c r="A8" s="2">
        <v>29.4</v>
      </c>
      <c r="B8" s="2">
        <v>680</v>
      </c>
      <c r="C8">
        <f t="shared" si="0"/>
        <v>29.906680382940721</v>
      </c>
    </row>
    <row r="9" spans="1:8" x14ac:dyDescent="0.25">
      <c r="A9" s="2">
        <v>23.7</v>
      </c>
      <c r="B9" s="2">
        <v>920</v>
      </c>
      <c r="C9">
        <f t="shared" si="0"/>
        <v>22.492586624514473</v>
      </c>
    </row>
    <row r="10" spans="1:8" x14ac:dyDescent="0.25">
      <c r="A10" s="2">
        <v>19.100000000000001</v>
      </c>
      <c r="B10" s="2">
        <v>1000</v>
      </c>
      <c r="C10">
        <f t="shared" si="0"/>
        <v>20.310709999999943</v>
      </c>
    </row>
    <row r="11" spans="1:8" x14ac:dyDescent="0.25">
      <c r="A11" s="2">
        <v>15.8</v>
      </c>
      <c r="B11" s="2">
        <v>1200</v>
      </c>
      <c r="C11">
        <f t="shared" si="0"/>
        <v>15.761224919040131</v>
      </c>
    </row>
    <row r="12" spans="1:8" x14ac:dyDescent="0.25">
      <c r="A12" s="2">
        <v>14</v>
      </c>
      <c r="B12" s="2">
        <v>1380</v>
      </c>
      <c r="C12">
        <f t="shared" si="0"/>
        <v>13.464337338638842</v>
      </c>
    </row>
    <row r="13" spans="1:8" x14ac:dyDescent="0.25">
      <c r="A13" s="2">
        <v>12.1</v>
      </c>
      <c r="B13" s="2">
        <v>1600</v>
      </c>
      <c r="C13">
        <f t="shared" si="0"/>
        <v>12.52288464896057</v>
      </c>
    </row>
    <row r="14" spans="1:8" x14ac:dyDescent="0.25">
      <c r="A14" s="2">
        <v>10</v>
      </c>
      <c r="B14" s="2">
        <v>1900</v>
      </c>
      <c r="C14">
        <f t="shared" si="0"/>
        <v>9.8757956911124154</v>
      </c>
    </row>
    <row r="15" spans="1:8" x14ac:dyDescent="0.25">
      <c r="A15" s="2">
        <v>8.8699999999999992</v>
      </c>
      <c r="B15" s="2">
        <v>2200</v>
      </c>
      <c r="C15">
        <f t="shared" si="0"/>
        <v>8.8839814342418038</v>
      </c>
    </row>
    <row r="30" spans="1:5" x14ac:dyDescent="0.25">
      <c r="A30" s="50" t="s">
        <v>43</v>
      </c>
      <c r="B30" s="50"/>
      <c r="C30" s="50"/>
      <c r="D30" s="50"/>
      <c r="E30" s="50"/>
    </row>
    <row r="31" spans="1:5" x14ac:dyDescent="0.25">
      <c r="A31" s="2" t="s">
        <v>39</v>
      </c>
      <c r="B31" s="58" t="s">
        <v>44</v>
      </c>
      <c r="C31" s="58"/>
      <c r="D31" s="58"/>
      <c r="E31" s="58"/>
    </row>
  </sheetData>
  <mergeCells count="2">
    <mergeCell ref="B31:E31"/>
    <mergeCell ref="A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and Selection Chart</vt:lpstr>
      <vt:lpstr>Frequency vs Set resistor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2023-11-07T20:07:08Z</dcterms:created>
  <dcterms:modified xsi:type="dcterms:W3CDTF">2024-01-05T22:00:42Z</dcterms:modified>
</cp:coreProperties>
</file>