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.mcelroy\Desktop\Personal\InductorDesign\inductor_design\"/>
    </mc:Choice>
  </mc:AlternateContent>
  <xr:revisionPtr revIDLastSave="0" documentId="13_ncr:1_{39D848B8-BE9D-4A13-9D38-6FFF1555602A}" xr6:coauthVersionLast="47" xr6:coauthVersionMax="47" xr10:uidLastSave="{00000000-0000-0000-0000-000000000000}"/>
  <bookViews>
    <workbookView xWindow="28680" yWindow="-120" windowWidth="29040" windowHeight="15720" xr2:uid="{880F8341-2F0F-419A-8A65-B6E7E097180D}"/>
  </bookViews>
  <sheets>
    <sheet name="Inductor Design Selector" sheetId="1" r:id="rId1"/>
    <sheet name="AWG 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F47" i="1"/>
  <c r="B56" i="1"/>
  <c r="B55" i="1"/>
  <c r="B51" i="1"/>
  <c r="B52" i="1"/>
  <c r="B53" i="1" s="1"/>
  <c r="B54" i="1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2" i="2"/>
  <c r="B44" i="1"/>
  <c r="B48" i="1" s="1"/>
  <c r="B49" i="1" s="1"/>
  <c r="F49" i="1"/>
  <c r="B70" i="1"/>
  <c r="B77" i="1"/>
  <c r="B76" i="1"/>
  <c r="B73" i="1"/>
  <c r="B75" i="1" s="1"/>
  <c r="B64" i="1"/>
  <c r="B69" i="1" s="1"/>
  <c r="B26" i="1"/>
  <c r="B28" i="1" s="1"/>
  <c r="K27" i="1"/>
  <c r="K19" i="1"/>
  <c r="K14" i="1"/>
  <c r="K10" i="1"/>
  <c r="K7" i="1"/>
  <c r="K5" i="1"/>
  <c r="F19" i="1"/>
  <c r="F39" i="1"/>
  <c r="F38" i="1"/>
  <c r="F36" i="1"/>
  <c r="F34" i="1"/>
  <c r="B14" i="1"/>
  <c r="B13" i="1"/>
  <c r="B17" i="1"/>
  <c r="B19" i="1" s="1"/>
  <c r="B23" i="1" s="1"/>
  <c r="B8" i="1"/>
  <c r="B10" i="1" s="1"/>
  <c r="B11" i="1" s="1"/>
  <c r="B45" i="1" l="1"/>
  <c r="B46" i="1"/>
  <c r="B47" i="1" s="1"/>
  <c r="B81" i="1"/>
  <c r="B82" i="1" s="1"/>
  <c r="B79" i="1"/>
  <c r="B80" i="1" s="1"/>
  <c r="B85" i="1"/>
  <c r="B86" i="1" s="1"/>
  <c r="B68" i="1"/>
  <c r="B72" i="1" s="1"/>
  <c r="B78" i="1"/>
  <c r="B27" i="1"/>
  <c r="B36" i="1"/>
  <c r="B83" i="1" l="1"/>
  <c r="B71" i="1"/>
  <c r="F42" i="1"/>
  <c r="F17" i="1"/>
  <c r="F27" i="1"/>
  <c r="B20" i="1"/>
  <c r="B21" i="1"/>
  <c r="F43" i="1" l="1"/>
  <c r="F48" i="1" s="1"/>
  <c r="F51" i="1" s="1"/>
  <c r="F44" i="1"/>
  <c r="F45" i="1" s="1"/>
  <c r="F50" i="1"/>
  <c r="B41" i="1"/>
  <c r="B22" i="1"/>
  <c r="F52" i="1" l="1"/>
  <c r="B42" i="1"/>
  <c r="B31" i="1"/>
  <c r="B37" i="1"/>
  <c r="B38" i="1" s="1"/>
  <c r="B33" i="1" l="1"/>
  <c r="B32" i="1"/>
</calcChain>
</file>

<file path=xl/sharedStrings.xml><?xml version="1.0" encoding="utf-8"?>
<sst xmlns="http://schemas.openxmlformats.org/spreadsheetml/2006/main" count="305" uniqueCount="174">
  <si>
    <t>Inductor Design Calculator</t>
  </si>
  <si>
    <t>Vin</t>
  </si>
  <si>
    <t>V</t>
  </si>
  <si>
    <t>Vout</t>
  </si>
  <si>
    <t>Topology</t>
  </si>
  <si>
    <t>Buck</t>
  </si>
  <si>
    <t>Iout</t>
  </si>
  <si>
    <t>A</t>
  </si>
  <si>
    <t>efficiency</t>
  </si>
  <si>
    <t>Pout</t>
  </si>
  <si>
    <t>W</t>
  </si>
  <si>
    <t>Pin</t>
  </si>
  <si>
    <t>Iin</t>
  </si>
  <si>
    <t>Inductor</t>
  </si>
  <si>
    <t>I_ind_DC</t>
  </si>
  <si>
    <t>I_ripple</t>
  </si>
  <si>
    <t>I_ripple_percent</t>
  </si>
  <si>
    <t>I_peak</t>
  </si>
  <si>
    <t>%</t>
  </si>
  <si>
    <t>Energy - Wm</t>
  </si>
  <si>
    <t>H</t>
  </si>
  <si>
    <t>Frequency</t>
  </si>
  <si>
    <t>Hz</t>
  </si>
  <si>
    <t>Duty</t>
  </si>
  <si>
    <t>Ts</t>
  </si>
  <si>
    <t>seconds</t>
  </si>
  <si>
    <t>Window Utilization Factor Ku</t>
  </si>
  <si>
    <t>Area Product Ap</t>
  </si>
  <si>
    <t>Saturation Flux Density Bm</t>
  </si>
  <si>
    <t>Tesla</t>
  </si>
  <si>
    <t>A/m^2</t>
  </si>
  <si>
    <t>Current Density (m^2)</t>
  </si>
  <si>
    <t>Current Density (mm^2)</t>
  </si>
  <si>
    <t>A/mm^2</t>
  </si>
  <si>
    <t>m^4</t>
  </si>
  <si>
    <t>mm^4</t>
  </si>
  <si>
    <t>Ferrite Core</t>
  </si>
  <si>
    <t>Type</t>
  </si>
  <si>
    <t>ETD44</t>
  </si>
  <si>
    <t>Magnetic Path Length (MPL)</t>
  </si>
  <si>
    <t>Mean Length per Turn (MLT)</t>
  </si>
  <si>
    <t>Core Weight (Wfte)</t>
  </si>
  <si>
    <t>Cross Sectional Area (Ac)</t>
  </si>
  <si>
    <t>Window Area (Wa)</t>
  </si>
  <si>
    <t>Surface Area (At)</t>
  </si>
  <si>
    <t>Core Dimensions</t>
  </si>
  <si>
    <t>Length</t>
  </si>
  <si>
    <t>Width</t>
  </si>
  <si>
    <t>Height</t>
  </si>
  <si>
    <t>mm</t>
  </si>
  <si>
    <t>Center Post Diameter</t>
  </si>
  <si>
    <t>Center Post Radius</t>
  </si>
  <si>
    <t>mm^2</t>
  </si>
  <si>
    <t>Window Width</t>
  </si>
  <si>
    <t>Window Height</t>
  </si>
  <si>
    <t>Outer wall to outer wall width</t>
  </si>
  <si>
    <t>Effective Volume</t>
  </si>
  <si>
    <t>mm^3</t>
  </si>
  <si>
    <t>Effective Cross Section (Ae)</t>
  </si>
  <si>
    <t>I_Lrms</t>
  </si>
  <si>
    <t>Arms</t>
  </si>
  <si>
    <t>N</t>
  </si>
  <si>
    <t>turns</t>
  </si>
  <si>
    <t>Ke</t>
  </si>
  <si>
    <t>cm^5</t>
  </si>
  <si>
    <t>Kg (cm^5)</t>
  </si>
  <si>
    <t>Kg (mm^5)</t>
  </si>
  <si>
    <t>mm^5</t>
  </si>
  <si>
    <t>Kg (core, mm^5)</t>
  </si>
  <si>
    <t>Kg (core, cm^5)</t>
  </si>
  <si>
    <t>cm^4</t>
  </si>
  <si>
    <t>Ap (calc - cm)</t>
  </si>
  <si>
    <t>Ap (calc - mm)</t>
  </si>
  <si>
    <t>Ap Method</t>
  </si>
  <si>
    <t>Power Stage Parameters</t>
  </si>
  <si>
    <t>Core Parameters</t>
  </si>
  <si>
    <t>A/cm^2</t>
  </si>
  <si>
    <t>Kg Method</t>
  </si>
  <si>
    <t>cm^2</t>
  </si>
  <si>
    <t>Window S parameters</t>
  </si>
  <si>
    <t>S1 (conductor area/wire area)</t>
  </si>
  <si>
    <t>S2 (wound area/usable window area)</t>
  </si>
  <si>
    <t>S3 (usable window area/window area)</t>
  </si>
  <si>
    <t>S4 (usable window area/(usable window area+insulation))</t>
  </si>
  <si>
    <t>Window Area (Wa) effective</t>
  </si>
  <si>
    <t>cm</t>
  </si>
  <si>
    <t>Bare Wire Area (Calc)</t>
  </si>
  <si>
    <t>Number of strands</t>
  </si>
  <si>
    <t>strands</t>
  </si>
  <si>
    <t>Resistance (uOhm/cm)</t>
  </si>
  <si>
    <r>
      <rPr>
        <b/>
        <sz val="11"/>
        <color theme="1"/>
        <rFont val="Calibri"/>
        <family val="2"/>
      </rPr>
      <t>µΩ</t>
    </r>
    <r>
      <rPr>
        <b/>
        <i/>
        <sz val="11"/>
        <color theme="1"/>
        <rFont val="Calibri"/>
        <family val="2"/>
        <scheme val="minor"/>
      </rPr>
      <t>/cm</t>
    </r>
  </si>
  <si>
    <r>
      <rPr>
        <b/>
        <sz val="11"/>
        <color theme="1"/>
        <rFont val="Calibri"/>
        <family val="2"/>
      </rPr>
      <t>Ω</t>
    </r>
    <r>
      <rPr>
        <b/>
        <i/>
        <sz val="11"/>
        <color theme="1"/>
        <rFont val="Calibri"/>
        <family val="2"/>
        <scheme val="minor"/>
      </rPr>
      <t>/km</t>
    </r>
  </si>
  <si>
    <t>Resistance (Ohm/km)</t>
  </si>
  <si>
    <t>N (rounded)</t>
  </si>
  <si>
    <t>lg (gapped length)</t>
  </si>
  <si>
    <t>Effective Permeability (Urc)</t>
  </si>
  <si>
    <t>Permeability</t>
  </si>
  <si>
    <t>Epocs</t>
  </si>
  <si>
    <t>ETD39</t>
  </si>
  <si>
    <t>grams</t>
  </si>
  <si>
    <t>Notes:</t>
  </si>
  <si>
    <r>
      <t xml:space="preserve">Ap </t>
    </r>
    <r>
      <rPr>
        <b/>
        <i/>
        <sz val="11"/>
        <color theme="1"/>
        <rFont val="Calibri"/>
        <family val="2"/>
        <scheme val="minor"/>
      </rPr>
      <t>decreases</t>
    </r>
    <r>
      <rPr>
        <i/>
        <sz val="11"/>
        <color theme="1"/>
        <rFont val="Calibri"/>
        <family val="2"/>
        <scheme val="minor"/>
      </rPr>
      <t xml:space="preserve"> with </t>
    </r>
    <r>
      <rPr>
        <b/>
        <i/>
        <sz val="11"/>
        <color theme="1"/>
        <rFont val="Calibri"/>
        <family val="2"/>
        <scheme val="minor"/>
      </rPr>
      <t>increased</t>
    </r>
    <r>
      <rPr>
        <i/>
        <sz val="11"/>
        <color theme="1"/>
        <rFont val="Calibri"/>
        <family val="2"/>
        <scheme val="minor"/>
      </rPr>
      <t xml:space="preserve"> current density</t>
    </r>
  </si>
  <si>
    <r>
      <t xml:space="preserve">Ap </t>
    </r>
    <r>
      <rPr>
        <b/>
        <i/>
        <sz val="11"/>
        <color theme="1"/>
        <rFont val="Calibri"/>
        <family val="2"/>
        <scheme val="minor"/>
      </rPr>
      <t>increases</t>
    </r>
    <r>
      <rPr>
        <i/>
        <sz val="11"/>
        <color theme="1"/>
        <rFont val="Calibri"/>
        <family val="2"/>
        <scheme val="minor"/>
      </rPr>
      <t xml:space="preserve"> with </t>
    </r>
    <r>
      <rPr>
        <b/>
        <i/>
        <sz val="11"/>
        <color theme="1"/>
        <rFont val="Calibri"/>
        <family val="2"/>
        <scheme val="minor"/>
      </rPr>
      <t>increased</t>
    </r>
    <r>
      <rPr>
        <i/>
        <sz val="11"/>
        <color theme="1"/>
        <rFont val="Calibri"/>
        <family val="2"/>
        <scheme val="minor"/>
      </rPr>
      <t xml:space="preserve"> energy</t>
    </r>
  </si>
  <si>
    <r>
      <t xml:space="preserve">Ap </t>
    </r>
    <r>
      <rPr>
        <b/>
        <i/>
        <sz val="11"/>
        <color theme="1"/>
        <rFont val="Calibri"/>
        <family val="2"/>
        <scheme val="minor"/>
      </rPr>
      <t>decreases</t>
    </r>
    <r>
      <rPr>
        <i/>
        <sz val="11"/>
        <color theme="1"/>
        <rFont val="Calibri"/>
        <family val="2"/>
        <scheme val="minor"/>
      </rPr>
      <t xml:space="preserve"> with </t>
    </r>
    <r>
      <rPr>
        <b/>
        <i/>
        <sz val="11"/>
        <color theme="1"/>
        <rFont val="Calibri"/>
        <family val="2"/>
        <scheme val="minor"/>
      </rPr>
      <t>increased</t>
    </r>
    <r>
      <rPr>
        <i/>
        <sz val="11"/>
        <color theme="1"/>
        <rFont val="Calibri"/>
        <family val="2"/>
        <scheme val="minor"/>
      </rPr>
      <t xml:space="preserve"> Bsat</t>
    </r>
  </si>
  <si>
    <r>
      <t xml:space="preserve">Ap </t>
    </r>
    <r>
      <rPr>
        <b/>
        <i/>
        <sz val="11"/>
        <color theme="1"/>
        <rFont val="Calibri"/>
        <family val="2"/>
        <scheme val="minor"/>
      </rPr>
      <t>increases</t>
    </r>
    <r>
      <rPr>
        <i/>
        <sz val="11"/>
        <color theme="1"/>
        <rFont val="Calibri"/>
        <family val="2"/>
        <scheme val="minor"/>
      </rPr>
      <t xml:space="preserve"> with </t>
    </r>
    <r>
      <rPr>
        <b/>
        <i/>
        <sz val="11"/>
        <color theme="1"/>
        <rFont val="Calibri"/>
        <family val="2"/>
        <scheme val="minor"/>
      </rPr>
      <t>decreased</t>
    </r>
    <r>
      <rPr>
        <i/>
        <sz val="11"/>
        <color theme="1"/>
        <rFont val="Calibri"/>
        <family val="2"/>
        <scheme val="minor"/>
      </rPr>
      <t xml:space="preserve"> window utilization</t>
    </r>
  </si>
  <si>
    <t>L_ind (calc)</t>
  </si>
  <si>
    <t>L_ind (selected)</t>
  </si>
  <si>
    <t>Area Product (Ap)</t>
  </si>
  <si>
    <t>AL (mH/1K turns)</t>
  </si>
  <si>
    <t>Epcos</t>
  </si>
  <si>
    <t>Guess and check method</t>
  </si>
  <si>
    <t>Core Area (Ac)</t>
  </si>
  <si>
    <t>Core selected</t>
  </si>
  <si>
    <t>ETD-44</t>
  </si>
  <si>
    <t>gap (lg)</t>
  </si>
  <si>
    <t>Turns (N)</t>
  </si>
  <si>
    <t>Inductance (from gap)</t>
  </si>
  <si>
    <t>Inductance (from gap and permeability)</t>
  </si>
  <si>
    <t>effective permeability (ue)</t>
  </si>
  <si>
    <t>effective permeability from gap (ue_gap)</t>
  </si>
  <si>
    <t>Flux Density (Bdc) - using lg and um</t>
  </si>
  <si>
    <t>Flux Density (Bdc) - using ue</t>
  </si>
  <si>
    <t>Gap Needed with selected core and Bsat</t>
  </si>
  <si>
    <t>m</t>
  </si>
  <si>
    <t>Winding Length</t>
  </si>
  <si>
    <t>Fringing Factor</t>
  </si>
  <si>
    <t>Inductance (from gap plus fringe)</t>
  </si>
  <si>
    <t>Inductance (from gap and permeability and fringe)</t>
  </si>
  <si>
    <t>Hac_max</t>
  </si>
  <si>
    <t>A*T/cm</t>
  </si>
  <si>
    <t>Bac_max</t>
  </si>
  <si>
    <t>Hac_min</t>
  </si>
  <si>
    <t>Bac_min</t>
  </si>
  <si>
    <t>Bac/2 (for loss curve)</t>
  </si>
  <si>
    <t>Saturation Flux Density (for saturation)</t>
  </si>
  <si>
    <t>Power Loss based on graph</t>
  </si>
  <si>
    <t>mW</t>
  </si>
  <si>
    <t>mW/cm^3</t>
  </si>
  <si>
    <t>Core Power Loss (W)</t>
  </si>
  <si>
    <t>Core Power Loss (mW)</t>
  </si>
  <si>
    <t>ETD-59</t>
  </si>
  <si>
    <t>Bare Wire Diameter (Calc)</t>
  </si>
  <si>
    <t>Bare Wire Area (Selected)</t>
  </si>
  <si>
    <t>Number of strands (rounded)</t>
  </si>
  <si>
    <t>Bare Wire Diamter (selected)</t>
  </si>
  <si>
    <t>Bare Wire Diameter (selected)</t>
  </si>
  <si>
    <t>Bare Wire Total Area (selected)</t>
  </si>
  <si>
    <t>Air gaps in lay pattern of litz</t>
  </si>
  <si>
    <t>Wire Skin Depth (cm)</t>
  </si>
  <si>
    <t>Wire Skin Depth (mm)</t>
  </si>
  <si>
    <t>Max Wire Diameter (cm)</t>
  </si>
  <si>
    <t>Max Wire Diameter (mm)</t>
  </si>
  <si>
    <t>Max Wire Area (cm)</t>
  </si>
  <si>
    <t>Max Wire Area (mm)</t>
  </si>
  <si>
    <t>AWG Gauge</t>
  </si>
  <si>
    <t>Conductor Diameter (Inches)</t>
  </si>
  <si>
    <t>Conductor Diameter (mm)</t>
  </si>
  <si>
    <t>Conductor cross section area (mm^2)</t>
  </si>
  <si>
    <t>Ohm/1000ft</t>
  </si>
  <si>
    <t>Ohm/1000m</t>
  </si>
  <si>
    <t>Conductor cross section area (cm^2)</t>
  </si>
  <si>
    <t>Skin Depth (Inductor, AC and DC current)</t>
  </si>
  <si>
    <t>Larger Wire Diameter can be selected since ripple gives AC current in inductor</t>
  </si>
  <si>
    <t>Skin Depth (Standard AC and Transformer)</t>
  </si>
  <si>
    <t>New Diameter</t>
  </si>
  <si>
    <t>New Bare Wire Area (cm)</t>
  </si>
  <si>
    <t>Selected Wire Diameter (cm) - based on current and density</t>
  </si>
  <si>
    <t>Inductor AC current density</t>
  </si>
  <si>
    <t>Wire Selection (AC and Transformer)</t>
  </si>
  <si>
    <r>
      <rPr>
        <b/>
        <sz val="11"/>
        <color theme="1"/>
        <rFont val="Calibri"/>
        <family val="2"/>
        <scheme val="minor"/>
      </rPr>
      <t>Total Inductor</t>
    </r>
    <r>
      <rPr>
        <sz val="11"/>
        <color theme="1"/>
        <rFont val="Calibri"/>
        <family val="2"/>
        <scheme val="minor"/>
      </rPr>
      <t xml:space="preserve"> AC+DC New Bare Wire Area (mm)</t>
    </r>
  </si>
  <si>
    <t>AC Wire</t>
  </si>
  <si>
    <t>AC + DC</t>
  </si>
  <si>
    <t>Dowell K factor (layer proximity effect)</t>
  </si>
  <si>
    <t>26AWG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</si>
</sst>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E+00"/>
    <numFmt numFmtId="169" formatCode="0.000"/>
    <numFmt numFmtId="171" formatCode="0.000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9"/>
      <name val="Geneva"/>
    </font>
    <font>
      <b/>
      <i/>
      <sz val="10"/>
      <color indexed="5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2" fillId="0" borderId="0"/>
    <xf numFmtId="0" fontId="13" fillId="0" borderId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3" borderId="2" xfId="0" applyFill="1" applyBorder="1"/>
    <xf numFmtId="0" fontId="1" fillId="3" borderId="2" xfId="0" applyFont="1" applyFill="1" applyBorder="1"/>
    <xf numFmtId="0" fontId="4" fillId="3" borderId="2" xfId="0" applyFont="1" applyFill="1" applyBorder="1"/>
    <xf numFmtId="0" fontId="3" fillId="3" borderId="2" xfId="0" applyFont="1" applyFill="1" applyBorder="1"/>
    <xf numFmtId="0" fontId="4" fillId="4" borderId="2" xfId="0" applyFont="1" applyFill="1" applyBorder="1"/>
    <xf numFmtId="0" fontId="3" fillId="4" borderId="2" xfId="0" applyFont="1" applyFill="1" applyBorder="1"/>
    <xf numFmtId="0" fontId="1" fillId="4" borderId="2" xfId="0" applyFont="1" applyFill="1" applyBorder="1"/>
    <xf numFmtId="0" fontId="0" fillId="4" borderId="2" xfId="0" applyFill="1" applyBorder="1"/>
    <xf numFmtId="0" fontId="6" fillId="5" borderId="2" xfId="0" applyFont="1" applyFill="1" applyBorder="1"/>
    <xf numFmtId="0" fontId="7" fillId="5" borderId="2" xfId="0" applyFont="1" applyFill="1" applyBorder="1"/>
    <xf numFmtId="0" fontId="8" fillId="5" borderId="2" xfId="0" applyFont="1" applyFill="1" applyBorder="1"/>
    <xf numFmtId="0" fontId="5" fillId="5" borderId="2" xfId="0" applyFont="1" applyFill="1" applyBorder="1"/>
    <xf numFmtId="0" fontId="4" fillId="6" borderId="2" xfId="0" applyFont="1" applyFill="1" applyBorder="1"/>
    <xf numFmtId="0" fontId="3" fillId="6" borderId="2" xfId="0" applyFont="1" applyFill="1" applyBorder="1"/>
    <xf numFmtId="0" fontId="1" fillId="6" borderId="2" xfId="0" applyFont="1" applyFill="1" applyBorder="1"/>
    <xf numFmtId="0" fontId="3" fillId="7" borderId="2" xfId="0" applyFont="1" applyFill="1" applyBorder="1"/>
    <xf numFmtId="0" fontId="1" fillId="7" borderId="2" xfId="0" applyFont="1" applyFill="1" applyBorder="1"/>
    <xf numFmtId="0" fontId="6" fillId="8" borderId="2" xfId="0" applyFont="1" applyFill="1" applyBorder="1"/>
    <xf numFmtId="0" fontId="7" fillId="8" borderId="2" xfId="0" applyFont="1" applyFill="1" applyBorder="1"/>
    <xf numFmtId="0" fontId="8" fillId="8" borderId="2" xfId="0" applyFont="1" applyFill="1" applyBorder="1"/>
    <xf numFmtId="0" fontId="4" fillId="2" borderId="2" xfId="0" applyFont="1" applyFill="1" applyBorder="1"/>
    <xf numFmtId="0" fontId="0" fillId="9" borderId="2" xfId="0" applyFill="1" applyBorder="1"/>
    <xf numFmtId="0" fontId="1" fillId="9" borderId="2" xfId="0" applyFont="1" applyFill="1" applyBorder="1"/>
    <xf numFmtId="0" fontId="4" fillId="9" borderId="2" xfId="0" applyFont="1" applyFill="1" applyBorder="1"/>
    <xf numFmtId="0" fontId="3" fillId="9" borderId="2" xfId="0" applyFont="1" applyFill="1" applyBorder="1"/>
    <xf numFmtId="0" fontId="5" fillId="8" borderId="2" xfId="0" applyFont="1" applyFill="1" applyBorder="1"/>
    <xf numFmtId="0" fontId="6" fillId="8" borderId="0" xfId="0" applyFont="1" applyFill="1"/>
    <xf numFmtId="0" fontId="5" fillId="8" borderId="0" xfId="0" applyFont="1" applyFill="1"/>
    <xf numFmtId="0" fontId="1" fillId="0" borderId="2" xfId="0" applyFont="1" applyBorder="1"/>
    <xf numFmtId="0" fontId="4" fillId="0" borderId="2" xfId="0" applyFont="1" applyBorder="1"/>
    <xf numFmtId="0" fontId="3" fillId="0" borderId="2" xfId="0" applyFont="1" applyBorder="1"/>
    <xf numFmtId="0" fontId="0" fillId="0" borderId="2" xfId="0" applyBorder="1"/>
    <xf numFmtId="11" fontId="4" fillId="4" borderId="2" xfId="0" applyNumberFormat="1" applyFont="1" applyFill="1" applyBorder="1"/>
    <xf numFmtId="0" fontId="4" fillId="2" borderId="0" xfId="0" applyFont="1" applyFill="1"/>
    <xf numFmtId="11" fontId="4" fillId="2" borderId="0" xfId="0" applyNumberFormat="1" applyFont="1" applyFill="1"/>
    <xf numFmtId="0" fontId="0" fillId="2" borderId="0" xfId="0" applyFill="1"/>
    <xf numFmtId="0" fontId="9" fillId="2" borderId="0" xfId="0" applyFont="1" applyFill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69" fontId="12" fillId="0" borderId="2" xfId="2" applyNumberFormat="1" applyFont="1" applyBorder="1" applyAlignment="1" applyProtection="1">
      <alignment horizontal="center"/>
    </xf>
    <xf numFmtId="2" fontId="12" fillId="0" borderId="2" xfId="2" applyNumberFormat="1" applyFont="1" applyBorder="1" applyAlignment="1" applyProtection="1">
      <alignment horizontal="center"/>
    </xf>
    <xf numFmtId="0" fontId="11" fillId="8" borderId="0" xfId="0" applyFont="1" applyFill="1" applyBorder="1"/>
    <xf numFmtId="0" fontId="14" fillId="0" borderId="2" xfId="1" applyFont="1" applyBorder="1" applyAlignment="1">
      <alignment horizontal="center"/>
    </xf>
    <xf numFmtId="0" fontId="0" fillId="2" borderId="2" xfId="0" applyFill="1" applyBorder="1"/>
    <xf numFmtId="0" fontId="0" fillId="0" borderId="2" xfId="0" applyBorder="1" applyAlignment="1">
      <alignment horizontal="center" vertical="center"/>
    </xf>
    <xf numFmtId="171" fontId="12" fillId="0" borderId="3" xfId="1" applyNumberFormat="1" applyBorder="1" applyAlignment="1">
      <alignment horizontal="center"/>
    </xf>
    <xf numFmtId="171" fontId="12" fillId="0" borderId="4" xfId="1" applyNumberFormat="1" applyBorder="1" applyAlignment="1">
      <alignment horizontal="center"/>
    </xf>
    <xf numFmtId="0" fontId="4" fillId="4" borderId="2" xfId="0" applyFont="1" applyFill="1" applyBorder="1" applyAlignment="1">
      <alignment horizontal="right"/>
    </xf>
    <xf numFmtId="164" fontId="4" fillId="4" borderId="2" xfId="0" applyNumberFormat="1" applyFont="1" applyFill="1" applyBorder="1"/>
  </cellXfs>
  <cellStyles count="3">
    <cellStyle name="Normal" xfId="0" builtinId="0"/>
    <cellStyle name="Normal 2" xfId="1" xr:uid="{457033D9-35F8-4289-8F29-00C2CB8A1ED8}"/>
    <cellStyle name="Normal_EngTools" xfId="2" xr:uid="{8C25D150-F226-460F-86A3-0B7268181B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D8677-D162-484C-A08B-46DF1FF04C8F}">
  <dimension ref="A1:M86"/>
  <sheetViews>
    <sheetView tabSelected="1" topLeftCell="A19" zoomScaleNormal="100" workbookViewId="0">
      <selection activeCell="D35" sqref="D35"/>
    </sheetView>
  </sheetViews>
  <sheetFormatPr defaultRowHeight="15"/>
  <cols>
    <col min="1" max="1" width="53.85546875" bestFit="1" customWidth="1"/>
    <col min="2" max="2" width="13.5703125" bestFit="1" customWidth="1"/>
    <col min="3" max="3" width="11.28515625" bestFit="1" customWidth="1"/>
    <col min="5" max="5" width="33.140625" bestFit="1" customWidth="1"/>
    <col min="6" max="6" width="9.42578125" bestFit="1" customWidth="1"/>
    <col min="10" max="10" width="34.28515625" bestFit="1" customWidth="1"/>
    <col min="11" max="11" width="9.42578125" bestFit="1" customWidth="1"/>
  </cols>
  <sheetData>
    <row r="1" spans="1:13">
      <c r="A1" s="41" t="s">
        <v>0</v>
      </c>
      <c r="B1" s="41"/>
      <c r="C1" s="41"/>
      <c r="D1" s="41"/>
      <c r="E1" s="41"/>
      <c r="F1" s="41"/>
      <c r="G1" s="41"/>
      <c r="H1" s="41"/>
      <c r="I1" s="41"/>
    </row>
    <row r="2" spans="1:13">
      <c r="A2" s="42"/>
      <c r="B2" s="42"/>
      <c r="C2" s="42"/>
      <c r="D2" s="42"/>
      <c r="E2" s="42"/>
      <c r="F2" s="42"/>
      <c r="G2" s="42"/>
      <c r="H2" s="42"/>
      <c r="I2" s="42"/>
    </row>
    <row r="3" spans="1:13">
      <c r="A3" s="13" t="s">
        <v>74</v>
      </c>
      <c r="B3" s="16"/>
      <c r="C3" s="16"/>
      <c r="E3" s="22" t="s">
        <v>36</v>
      </c>
      <c r="F3" s="30"/>
      <c r="G3" s="30"/>
      <c r="H3" s="30"/>
      <c r="J3" s="22" t="s">
        <v>36</v>
      </c>
      <c r="K3" s="30"/>
      <c r="L3" s="30"/>
      <c r="M3" s="30"/>
    </row>
    <row r="4" spans="1:13">
      <c r="A4" s="11" t="s">
        <v>4</v>
      </c>
      <c r="B4" s="52" t="s">
        <v>5</v>
      </c>
      <c r="C4" s="12"/>
      <c r="E4" s="26" t="s">
        <v>37</v>
      </c>
      <c r="F4" s="27" t="s">
        <v>38</v>
      </c>
      <c r="G4" s="26" t="s">
        <v>97</v>
      </c>
      <c r="H4" s="26"/>
      <c r="J4" s="26" t="s">
        <v>37</v>
      </c>
      <c r="K4" s="27" t="s">
        <v>98</v>
      </c>
      <c r="L4" s="26" t="s">
        <v>109</v>
      </c>
      <c r="M4" s="26"/>
    </row>
    <row r="5" spans="1:13">
      <c r="A5" s="11" t="s">
        <v>1</v>
      </c>
      <c r="B5" s="9">
        <v>170</v>
      </c>
      <c r="C5" s="10" t="s">
        <v>2</v>
      </c>
      <c r="E5" s="27" t="s">
        <v>39</v>
      </c>
      <c r="F5" s="28">
        <v>103</v>
      </c>
      <c r="G5" s="29" t="s">
        <v>49</v>
      </c>
      <c r="H5" s="26"/>
      <c r="J5" s="27" t="s">
        <v>39</v>
      </c>
      <c r="K5" s="28">
        <f>K6*10</f>
        <v>92.2</v>
      </c>
      <c r="L5" s="29" t="s">
        <v>49</v>
      </c>
      <c r="M5" s="26"/>
    </row>
    <row r="6" spans="1:13">
      <c r="A6" s="11" t="s">
        <v>3</v>
      </c>
      <c r="B6" s="9">
        <v>30</v>
      </c>
      <c r="C6" s="10" t="s">
        <v>2</v>
      </c>
      <c r="E6" s="27" t="s">
        <v>39</v>
      </c>
      <c r="F6" s="28">
        <v>10.3</v>
      </c>
      <c r="G6" s="29" t="s">
        <v>85</v>
      </c>
      <c r="H6" s="26"/>
      <c r="J6" s="27" t="s">
        <v>39</v>
      </c>
      <c r="K6" s="28">
        <v>9.2200000000000006</v>
      </c>
      <c r="L6" s="29" t="s">
        <v>85</v>
      </c>
      <c r="M6" s="26"/>
    </row>
    <row r="7" spans="1:13">
      <c r="A7" s="11" t="s">
        <v>6</v>
      </c>
      <c r="B7" s="9">
        <v>50</v>
      </c>
      <c r="C7" s="10" t="s">
        <v>7</v>
      </c>
      <c r="E7" s="27" t="s">
        <v>40</v>
      </c>
      <c r="F7" s="28">
        <v>94</v>
      </c>
      <c r="G7" s="29" t="s">
        <v>49</v>
      </c>
      <c r="H7" s="26"/>
      <c r="J7" s="27" t="s">
        <v>40</v>
      </c>
      <c r="K7" s="28">
        <f>K8*10</f>
        <v>83</v>
      </c>
      <c r="L7" s="29" t="s">
        <v>49</v>
      </c>
      <c r="M7" s="26"/>
    </row>
    <row r="8" spans="1:13">
      <c r="A8" s="11" t="s">
        <v>9</v>
      </c>
      <c r="B8" s="9">
        <f>B7*B6</f>
        <v>1500</v>
      </c>
      <c r="C8" s="10" t="s">
        <v>10</v>
      </c>
      <c r="E8" s="27" t="s">
        <v>40</v>
      </c>
      <c r="F8" s="28">
        <v>9.4</v>
      </c>
      <c r="G8" s="29" t="s">
        <v>85</v>
      </c>
      <c r="H8" s="26"/>
      <c r="J8" s="27" t="s">
        <v>40</v>
      </c>
      <c r="K8" s="28">
        <v>8.3000000000000007</v>
      </c>
      <c r="L8" s="29" t="s">
        <v>85</v>
      </c>
      <c r="M8" s="26"/>
    </row>
    <row r="9" spans="1:13">
      <c r="A9" s="11" t="s">
        <v>8</v>
      </c>
      <c r="B9" s="9">
        <v>0.95</v>
      </c>
      <c r="C9" s="10"/>
      <c r="E9" s="27" t="s">
        <v>41</v>
      </c>
      <c r="F9" s="28">
        <v>94</v>
      </c>
      <c r="G9" s="29" t="s">
        <v>99</v>
      </c>
      <c r="H9" s="26"/>
      <c r="J9" s="27" t="s">
        <v>41</v>
      </c>
      <c r="K9" s="28">
        <v>60</v>
      </c>
      <c r="L9" s="29" t="s">
        <v>99</v>
      </c>
      <c r="M9" s="26"/>
    </row>
    <row r="10" spans="1:13">
      <c r="A10" s="11" t="s">
        <v>11</v>
      </c>
      <c r="B10" s="9">
        <f>B8/B9</f>
        <v>1578.9473684210527</v>
      </c>
      <c r="C10" s="10" t="s">
        <v>10</v>
      </c>
      <c r="E10" s="27" t="s">
        <v>42</v>
      </c>
      <c r="F10" s="28">
        <v>174.2</v>
      </c>
      <c r="G10" s="29" t="s">
        <v>52</v>
      </c>
      <c r="H10" s="26"/>
      <c r="J10" s="27" t="s">
        <v>42</v>
      </c>
      <c r="K10" s="28">
        <f>K11*100</f>
        <v>125.2</v>
      </c>
      <c r="L10" s="29" t="s">
        <v>52</v>
      </c>
      <c r="M10" s="26"/>
    </row>
    <row r="11" spans="1:13">
      <c r="A11" s="11" t="s">
        <v>12</v>
      </c>
      <c r="B11" s="9">
        <f>B10/B5</f>
        <v>9.2879256965944279</v>
      </c>
      <c r="C11" s="10" t="s">
        <v>7</v>
      </c>
      <c r="E11" s="27" t="s">
        <v>42</v>
      </c>
      <c r="F11" s="28">
        <v>1.742</v>
      </c>
      <c r="G11" s="29" t="s">
        <v>78</v>
      </c>
      <c r="H11" s="26"/>
      <c r="J11" s="27" t="s">
        <v>42</v>
      </c>
      <c r="K11" s="28">
        <v>1.252</v>
      </c>
      <c r="L11" s="29" t="s">
        <v>78</v>
      </c>
      <c r="M11" s="26"/>
    </row>
    <row r="12" spans="1:13">
      <c r="A12" s="11" t="s">
        <v>21</v>
      </c>
      <c r="B12" s="9">
        <v>100000</v>
      </c>
      <c r="C12" s="10" t="s">
        <v>22</v>
      </c>
      <c r="E12" s="27" t="s">
        <v>58</v>
      </c>
      <c r="F12" s="28">
        <v>0</v>
      </c>
      <c r="G12" s="29" t="s">
        <v>52</v>
      </c>
      <c r="H12" s="26"/>
      <c r="J12" s="27" t="s">
        <v>58</v>
      </c>
      <c r="K12" s="28"/>
      <c r="L12" s="29" t="s">
        <v>52</v>
      </c>
      <c r="M12" s="26"/>
    </row>
    <row r="13" spans="1:13">
      <c r="A13" s="11" t="s">
        <v>23</v>
      </c>
      <c r="B13" s="9">
        <f>B6/B5</f>
        <v>0.17647058823529413</v>
      </c>
      <c r="C13" s="10"/>
      <c r="E13" s="27" t="s">
        <v>58</v>
      </c>
      <c r="F13" s="28">
        <v>0</v>
      </c>
      <c r="G13" s="29" t="s">
        <v>78</v>
      </c>
      <c r="H13" s="26"/>
      <c r="J13" s="27" t="s">
        <v>58</v>
      </c>
      <c r="K13" s="28"/>
      <c r="L13" s="29" t="s">
        <v>78</v>
      </c>
      <c r="M13" s="26"/>
    </row>
    <row r="14" spans="1:13">
      <c r="A14" s="11" t="s">
        <v>24</v>
      </c>
      <c r="B14" s="9">
        <f>1/B12</f>
        <v>1.0000000000000001E-5</v>
      </c>
      <c r="C14" s="10" t="s">
        <v>25</v>
      </c>
      <c r="E14" s="27" t="s">
        <v>43</v>
      </c>
      <c r="F14" s="28">
        <v>278.5</v>
      </c>
      <c r="G14" s="29" t="s">
        <v>52</v>
      </c>
      <c r="H14" s="26"/>
      <c r="J14" s="27" t="s">
        <v>43</v>
      </c>
      <c r="K14" s="28">
        <f>K15*100</f>
        <v>234</v>
      </c>
      <c r="L14" s="29" t="s">
        <v>52</v>
      </c>
      <c r="M14" s="26"/>
    </row>
    <row r="15" spans="1:13">
      <c r="A15" s="11"/>
      <c r="B15" s="9"/>
      <c r="C15" s="10"/>
      <c r="E15" s="27" t="s">
        <v>43</v>
      </c>
      <c r="F15" s="28">
        <v>2.7850000000000001</v>
      </c>
      <c r="G15" s="29" t="s">
        <v>78</v>
      </c>
      <c r="H15" s="26"/>
      <c r="J15" s="27" t="s">
        <v>43</v>
      </c>
      <c r="K15" s="28">
        <v>2.34</v>
      </c>
      <c r="L15" s="29" t="s">
        <v>78</v>
      </c>
      <c r="M15" s="26"/>
    </row>
    <row r="16" spans="1:13">
      <c r="A16" s="22" t="s">
        <v>13</v>
      </c>
      <c r="B16" s="30"/>
      <c r="C16" s="24"/>
      <c r="E16" s="27" t="s">
        <v>84</v>
      </c>
      <c r="F16" s="28">
        <v>0</v>
      </c>
      <c r="G16" s="29" t="s">
        <v>52</v>
      </c>
      <c r="H16" s="26"/>
      <c r="J16" s="27" t="s">
        <v>84</v>
      </c>
      <c r="K16" s="28"/>
      <c r="L16" s="29" t="s">
        <v>52</v>
      </c>
      <c r="M16" s="26"/>
    </row>
    <row r="17" spans="1:13">
      <c r="A17" s="11" t="s">
        <v>14</v>
      </c>
      <c r="B17" s="9">
        <f>B7</f>
        <v>50</v>
      </c>
      <c r="C17" s="10" t="s">
        <v>7</v>
      </c>
      <c r="E17" s="27" t="s">
        <v>84</v>
      </c>
      <c r="F17" s="28">
        <f>F16/100</f>
        <v>0</v>
      </c>
      <c r="G17" s="29" t="s">
        <v>78</v>
      </c>
      <c r="H17" s="26"/>
      <c r="J17" s="27" t="s">
        <v>84</v>
      </c>
      <c r="K17" s="28"/>
      <c r="L17" s="29" t="s">
        <v>78</v>
      </c>
      <c r="M17" s="26"/>
    </row>
    <row r="18" spans="1:13">
      <c r="A18" s="11" t="s">
        <v>16</v>
      </c>
      <c r="B18" s="9">
        <v>10</v>
      </c>
      <c r="C18" s="10" t="s">
        <v>18</v>
      </c>
      <c r="E18" s="27" t="s">
        <v>107</v>
      </c>
      <c r="F18" s="25">
        <v>4.8514999999999997</v>
      </c>
      <c r="G18" s="29" t="s">
        <v>70</v>
      </c>
      <c r="H18" s="26"/>
      <c r="J18" s="27" t="s">
        <v>107</v>
      </c>
      <c r="K18" s="25">
        <v>2.93</v>
      </c>
      <c r="L18" s="29" t="s">
        <v>70</v>
      </c>
      <c r="M18" s="26"/>
    </row>
    <row r="19" spans="1:13">
      <c r="A19" s="11" t="s">
        <v>15</v>
      </c>
      <c r="B19" s="9">
        <f>B17*B18/100</f>
        <v>5</v>
      </c>
      <c r="C19" s="10" t="s">
        <v>7</v>
      </c>
      <c r="E19" s="27" t="s">
        <v>107</v>
      </c>
      <c r="F19" s="25">
        <f>F18*10000</f>
        <v>48515</v>
      </c>
      <c r="G19" s="29" t="s">
        <v>35</v>
      </c>
      <c r="H19" s="26"/>
      <c r="J19" s="27" t="s">
        <v>107</v>
      </c>
      <c r="K19" s="25">
        <f>K18*10000</f>
        <v>29300</v>
      </c>
      <c r="L19" s="29" t="s">
        <v>35</v>
      </c>
      <c r="M19" s="26"/>
    </row>
    <row r="20" spans="1:13">
      <c r="A20" s="11" t="s">
        <v>17</v>
      </c>
      <c r="B20" s="9">
        <f>B17+B19</f>
        <v>55</v>
      </c>
      <c r="C20" s="10" t="s">
        <v>7</v>
      </c>
      <c r="E20" s="27" t="s">
        <v>44</v>
      </c>
      <c r="F20" s="28">
        <v>87.9</v>
      </c>
      <c r="G20" s="29" t="s">
        <v>78</v>
      </c>
      <c r="H20" s="26"/>
      <c r="J20" s="27" t="s">
        <v>44</v>
      </c>
      <c r="K20" s="28">
        <v>69.900000000000006</v>
      </c>
      <c r="L20" s="29" t="s">
        <v>78</v>
      </c>
      <c r="M20" s="26"/>
    </row>
    <row r="21" spans="1:13">
      <c r="A21" s="11" t="s">
        <v>105</v>
      </c>
      <c r="B21" s="53">
        <f>((B5-B6)*B13)/(2*B19*B12)</f>
        <v>2.4705882352941178E-5</v>
      </c>
      <c r="C21" s="10" t="s">
        <v>20</v>
      </c>
      <c r="E21" s="27" t="s">
        <v>95</v>
      </c>
      <c r="F21" s="28">
        <v>124</v>
      </c>
      <c r="G21" s="29"/>
      <c r="H21" s="26"/>
      <c r="J21" s="27" t="s">
        <v>95</v>
      </c>
      <c r="K21" s="28"/>
      <c r="L21" s="29"/>
      <c r="M21" s="26"/>
    </row>
    <row r="22" spans="1:13">
      <c r="A22" s="11" t="s">
        <v>106</v>
      </c>
      <c r="B22" s="53">
        <f>B21</f>
        <v>2.4705882352941178E-5</v>
      </c>
      <c r="C22" s="10" t="s">
        <v>20</v>
      </c>
      <c r="E22" s="27" t="s">
        <v>96</v>
      </c>
      <c r="F22" s="28">
        <v>1650</v>
      </c>
      <c r="G22" s="29"/>
      <c r="H22" s="26"/>
      <c r="J22" s="27" t="s">
        <v>96</v>
      </c>
      <c r="K22" s="28"/>
      <c r="L22" s="29"/>
      <c r="M22" s="26"/>
    </row>
    <row r="23" spans="1:13">
      <c r="A23" s="11" t="s">
        <v>59</v>
      </c>
      <c r="B23" s="9">
        <f>B17*SQRT(1+(1/3)*(B19/B17)^2)</f>
        <v>50.083264004389058</v>
      </c>
      <c r="C23" s="10" t="s">
        <v>60</v>
      </c>
      <c r="E23" s="27" t="s">
        <v>108</v>
      </c>
      <c r="F23" s="28">
        <v>1682</v>
      </c>
      <c r="G23" s="29"/>
      <c r="H23" s="26"/>
      <c r="J23" s="27" t="s">
        <v>108</v>
      </c>
      <c r="K23" s="28">
        <v>1318</v>
      </c>
      <c r="L23" s="29"/>
      <c r="M23" s="26"/>
    </row>
    <row r="24" spans="1:13">
      <c r="A24" s="13" t="s">
        <v>75</v>
      </c>
      <c r="B24" s="14"/>
      <c r="C24" s="15"/>
      <c r="E24" s="27" t="s">
        <v>56</v>
      </c>
      <c r="F24" s="28"/>
      <c r="G24" s="29" t="s">
        <v>57</v>
      </c>
      <c r="H24" s="26"/>
      <c r="J24" s="27" t="s">
        <v>56</v>
      </c>
      <c r="K24" s="28"/>
      <c r="L24" s="29" t="s">
        <v>57</v>
      </c>
      <c r="M24" s="26"/>
    </row>
    <row r="25" spans="1:13">
      <c r="A25" s="11" t="s">
        <v>28</v>
      </c>
      <c r="B25" s="9">
        <v>0.22</v>
      </c>
      <c r="C25" s="10" t="s">
        <v>29</v>
      </c>
      <c r="E25" s="27" t="s">
        <v>61</v>
      </c>
      <c r="F25" s="25"/>
      <c r="G25" s="29" t="s">
        <v>62</v>
      </c>
      <c r="H25" s="26"/>
      <c r="J25" s="27" t="s">
        <v>61</v>
      </c>
      <c r="K25" s="25"/>
      <c r="L25" s="29" t="s">
        <v>62</v>
      </c>
      <c r="M25" s="26"/>
    </row>
    <row r="26" spans="1:13">
      <c r="A26" s="11" t="s">
        <v>31</v>
      </c>
      <c r="B26" s="9">
        <f>8*10^6</f>
        <v>8000000</v>
      </c>
      <c r="C26" s="10" t="s">
        <v>30</v>
      </c>
      <c r="E26" s="27" t="s">
        <v>93</v>
      </c>
      <c r="F26" s="25"/>
      <c r="G26" s="29" t="s">
        <v>62</v>
      </c>
      <c r="H26" s="26"/>
      <c r="J26" s="27" t="s">
        <v>93</v>
      </c>
      <c r="K26" s="25"/>
      <c r="L26" s="29" t="s">
        <v>62</v>
      </c>
      <c r="M26" s="26"/>
    </row>
    <row r="27" spans="1:13">
      <c r="A27" s="11" t="s">
        <v>32</v>
      </c>
      <c r="B27" s="9">
        <f>B26/10000</f>
        <v>800</v>
      </c>
      <c r="C27" s="10" t="s">
        <v>76</v>
      </c>
      <c r="E27" s="27" t="s">
        <v>68</v>
      </c>
      <c r="F27" s="25">
        <f>(F14*F10^2*B30)/F7</f>
        <v>35962.811659574465</v>
      </c>
      <c r="G27" s="29" t="s">
        <v>67</v>
      </c>
      <c r="H27" s="26"/>
      <c r="J27" s="27" t="s">
        <v>68</v>
      </c>
      <c r="K27" s="25">
        <f>K28*100000</f>
        <v>17700</v>
      </c>
      <c r="L27" s="29" t="s">
        <v>67</v>
      </c>
      <c r="M27" s="26"/>
    </row>
    <row r="28" spans="1:13">
      <c r="A28" s="11" t="s">
        <v>32</v>
      </c>
      <c r="B28" s="9">
        <f>B26/1000000</f>
        <v>8</v>
      </c>
      <c r="C28" s="10" t="s">
        <v>33</v>
      </c>
      <c r="E28" s="27" t="s">
        <v>69</v>
      </c>
      <c r="F28" s="25">
        <v>0.35959999999999998</v>
      </c>
      <c r="G28" s="29" t="s">
        <v>64</v>
      </c>
      <c r="H28" s="26"/>
      <c r="J28" s="27" t="s">
        <v>69</v>
      </c>
      <c r="K28" s="25">
        <v>0.17699999999999999</v>
      </c>
      <c r="L28" s="29" t="s">
        <v>64</v>
      </c>
      <c r="M28" s="26"/>
    </row>
    <row r="29" spans="1:13">
      <c r="A29" s="11" t="s">
        <v>19</v>
      </c>
      <c r="B29" s="37">
        <f>0.5*B21*(B20^2)</f>
        <v>3.7367647058823533E-2</v>
      </c>
      <c r="C29" s="10" t="s">
        <v>10</v>
      </c>
      <c r="E29" s="27" t="s">
        <v>94</v>
      </c>
      <c r="F29" s="25"/>
      <c r="G29" s="29" t="s">
        <v>85</v>
      </c>
      <c r="H29" s="26"/>
      <c r="J29" s="27" t="s">
        <v>94</v>
      </c>
      <c r="K29" s="25"/>
      <c r="L29" s="29" t="s">
        <v>85</v>
      </c>
      <c r="M29" s="26"/>
    </row>
    <row r="30" spans="1:13">
      <c r="A30" s="11" t="s">
        <v>26</v>
      </c>
      <c r="B30" s="9">
        <v>0.4</v>
      </c>
      <c r="C30" s="12"/>
      <c r="E30" s="33"/>
      <c r="F30" s="34"/>
      <c r="G30" s="35"/>
      <c r="H30" s="36"/>
    </row>
    <row r="31" spans="1:13">
      <c r="A31" s="11" t="s">
        <v>27</v>
      </c>
      <c r="B31" s="9">
        <f>2*B29/(B30*B25*B26)</f>
        <v>1.0615808823529411E-7</v>
      </c>
      <c r="C31" s="10" t="s">
        <v>34</v>
      </c>
      <c r="E31" s="22" t="s">
        <v>45</v>
      </c>
      <c r="F31" s="23"/>
      <c r="G31" s="24"/>
      <c r="H31" s="30"/>
    </row>
    <row r="32" spans="1:13">
      <c r="A32" s="11" t="s">
        <v>27</v>
      </c>
      <c r="B32" s="9">
        <f>B31*100000000</f>
        <v>10.615808823529411</v>
      </c>
      <c r="C32" s="10" t="s">
        <v>70</v>
      </c>
      <c r="E32" s="27" t="s">
        <v>46</v>
      </c>
      <c r="F32" s="28">
        <v>43.8</v>
      </c>
      <c r="G32" s="29" t="s">
        <v>49</v>
      </c>
      <c r="H32" s="26"/>
    </row>
    <row r="33" spans="1:8">
      <c r="A33" s="11" t="s">
        <v>27</v>
      </c>
      <c r="B33" s="9">
        <f>B31*10^12</f>
        <v>106158.08823529411</v>
      </c>
      <c r="C33" s="10" t="s">
        <v>35</v>
      </c>
      <c r="E33" s="27" t="s">
        <v>47</v>
      </c>
      <c r="F33" s="28">
        <v>15.2</v>
      </c>
      <c r="G33" s="29" t="s">
        <v>49</v>
      </c>
      <c r="H33" s="26"/>
    </row>
    <row r="34" spans="1:8">
      <c r="B34" s="4"/>
      <c r="E34" s="27" t="s">
        <v>48</v>
      </c>
      <c r="F34" s="28">
        <f>2*15.2</f>
        <v>30.4</v>
      </c>
      <c r="G34" s="29" t="s">
        <v>49</v>
      </c>
      <c r="H34" s="26"/>
    </row>
    <row r="35" spans="1:8">
      <c r="A35" s="22" t="s">
        <v>77</v>
      </c>
      <c r="B35" s="23"/>
      <c r="C35" s="24"/>
      <c r="E35" s="27" t="s">
        <v>50</v>
      </c>
      <c r="F35" s="28">
        <v>15.2</v>
      </c>
      <c r="G35" s="29" t="s">
        <v>49</v>
      </c>
      <c r="H35" s="26"/>
    </row>
    <row r="36" spans="1:8">
      <c r="A36" s="19" t="s">
        <v>63</v>
      </c>
      <c r="B36" s="17">
        <f>0.145*B8*B25^2*(10^-4)</f>
        <v>1.0526999999999997E-3</v>
      </c>
      <c r="C36" s="18"/>
      <c r="E36" s="27" t="s">
        <v>51</v>
      </c>
      <c r="F36" s="28">
        <f>F35/2</f>
        <v>7.6</v>
      </c>
      <c r="G36" s="29" t="s">
        <v>49</v>
      </c>
      <c r="H36" s="26"/>
    </row>
    <row r="37" spans="1:8">
      <c r="A37" s="19" t="s">
        <v>65</v>
      </c>
      <c r="B37" s="25">
        <f>B29^2/(B36)</f>
        <v>1.3264377759217283</v>
      </c>
      <c r="C37" s="18" t="s">
        <v>64</v>
      </c>
      <c r="E37" s="27" t="s">
        <v>55</v>
      </c>
      <c r="F37" s="28">
        <v>32.5</v>
      </c>
      <c r="G37" s="29" t="s">
        <v>49</v>
      </c>
      <c r="H37" s="26"/>
    </row>
    <row r="38" spans="1:8">
      <c r="A38" s="19" t="s">
        <v>66</v>
      </c>
      <c r="B38" s="25">
        <f>B37*100000</f>
        <v>132643.77759217282</v>
      </c>
      <c r="C38" s="18" t="s">
        <v>67</v>
      </c>
      <c r="E38" s="27" t="s">
        <v>53</v>
      </c>
      <c r="F38" s="28">
        <f>F37-F35</f>
        <v>17.3</v>
      </c>
      <c r="G38" s="29" t="s">
        <v>49</v>
      </c>
      <c r="H38" s="26"/>
    </row>
    <row r="39" spans="1:8">
      <c r="A39" s="1"/>
      <c r="B39" s="4"/>
      <c r="C39" s="3"/>
      <c r="E39" s="27" t="s">
        <v>54</v>
      </c>
      <c r="F39" s="28">
        <f>16.1*2</f>
        <v>32.200000000000003</v>
      </c>
      <c r="G39" s="29" t="s">
        <v>49</v>
      </c>
      <c r="H39" s="26"/>
    </row>
    <row r="40" spans="1:8">
      <c r="A40" s="22" t="s">
        <v>73</v>
      </c>
      <c r="B40" s="23"/>
      <c r="C40" s="24"/>
      <c r="E40" s="26"/>
      <c r="F40" s="28"/>
      <c r="G40" s="29"/>
      <c r="H40" s="26"/>
    </row>
    <row r="41" spans="1:8">
      <c r="A41" s="21" t="s">
        <v>71</v>
      </c>
      <c r="B41" s="25">
        <f>(2*B29*10^4)/(B25*B27*B30)</f>
        <v>10.615808823529411</v>
      </c>
      <c r="C41" s="20" t="s">
        <v>70</v>
      </c>
      <c r="E41" s="22" t="s">
        <v>168</v>
      </c>
      <c r="F41" s="23"/>
      <c r="G41" s="30"/>
      <c r="H41" s="30"/>
    </row>
    <row r="42" spans="1:8">
      <c r="A42" s="21" t="s">
        <v>72</v>
      </c>
      <c r="B42" s="25">
        <f>B41*10000</f>
        <v>106158.08823529411</v>
      </c>
      <c r="C42" s="20" t="s">
        <v>35</v>
      </c>
      <c r="E42" s="6" t="s">
        <v>86</v>
      </c>
      <c r="F42" s="7">
        <f>B23/B27</f>
        <v>6.2604080005486326E-2</v>
      </c>
      <c r="G42" s="8" t="s">
        <v>78</v>
      </c>
      <c r="H42" s="5"/>
    </row>
    <row r="43" spans="1:8">
      <c r="A43" s="31" t="s">
        <v>163</v>
      </c>
      <c r="B43" s="31"/>
      <c r="C43" s="31"/>
      <c r="E43" s="6" t="s">
        <v>86</v>
      </c>
      <c r="F43" s="25">
        <f>F42*100</f>
        <v>6.2604080005486322</v>
      </c>
      <c r="G43" s="8" t="s">
        <v>52</v>
      </c>
      <c r="H43" s="6" t="s">
        <v>170</v>
      </c>
    </row>
    <row r="44" spans="1:8">
      <c r="A44" s="5" t="s">
        <v>148</v>
      </c>
      <c r="B44" s="7">
        <f>(6.62/SQRT(B12))*1</f>
        <v>2.0934278110314671E-2</v>
      </c>
      <c r="C44" s="8" t="s">
        <v>85</v>
      </c>
      <c r="E44" s="6" t="s">
        <v>141</v>
      </c>
      <c r="F44" s="7">
        <f>SQRT(F42/PI())*2</f>
        <v>0.28232957748834803</v>
      </c>
      <c r="G44" s="8" t="s">
        <v>85</v>
      </c>
      <c r="H44" s="5"/>
    </row>
    <row r="45" spans="1:8">
      <c r="A45" s="5" t="s">
        <v>149</v>
      </c>
      <c r="B45" s="7">
        <f>10*B44</f>
        <v>0.20934278110314672</v>
      </c>
      <c r="C45" s="8" t="s">
        <v>49</v>
      </c>
      <c r="E45" s="6" t="s">
        <v>141</v>
      </c>
      <c r="F45" s="7">
        <f>F44*100</f>
        <v>28.232957748834803</v>
      </c>
      <c r="G45" s="8" t="s">
        <v>49</v>
      </c>
      <c r="H45" s="5"/>
    </row>
    <row r="46" spans="1:8">
      <c r="A46" s="5" t="s">
        <v>150</v>
      </c>
      <c r="B46" s="7">
        <f>2*B44</f>
        <v>4.1868556220629342E-2</v>
      </c>
      <c r="C46" s="8" t="s">
        <v>85</v>
      </c>
      <c r="E46" s="6" t="s">
        <v>142</v>
      </c>
      <c r="F46" s="25">
        <v>0.128</v>
      </c>
      <c r="G46" s="8" t="s">
        <v>52</v>
      </c>
      <c r="H46" s="5" t="s">
        <v>173</v>
      </c>
    </row>
    <row r="47" spans="1:8">
      <c r="A47" s="5" t="s">
        <v>151</v>
      </c>
      <c r="B47" s="7">
        <f>10*B46</f>
        <v>0.41868556220629344</v>
      </c>
      <c r="C47" s="8" t="s">
        <v>49</v>
      </c>
      <c r="E47" s="6" t="s">
        <v>87</v>
      </c>
      <c r="F47" s="7">
        <f>B54/F46</f>
        <v>35.478829737527214</v>
      </c>
      <c r="G47" s="8" t="s">
        <v>88</v>
      </c>
      <c r="H47" s="5"/>
    </row>
    <row r="48" spans="1:8">
      <c r="A48" s="5" t="s">
        <v>152</v>
      </c>
      <c r="B48" s="5">
        <f>PI()*B44^2</f>
        <v>1.3767841308798053E-3</v>
      </c>
      <c r="C48" s="8" t="s">
        <v>78</v>
      </c>
      <c r="E48" s="6" t="s">
        <v>143</v>
      </c>
      <c r="F48" s="7">
        <f>ROUND(F47,0)</f>
        <v>35</v>
      </c>
      <c r="G48" s="8" t="s">
        <v>88</v>
      </c>
      <c r="H48" s="5"/>
    </row>
    <row r="49" spans="1:9">
      <c r="A49" s="5" t="s">
        <v>153</v>
      </c>
      <c r="B49" s="5">
        <f>100*B48</f>
        <v>0.13767841308798054</v>
      </c>
      <c r="C49" s="8" t="s">
        <v>52</v>
      </c>
      <c r="E49" s="6" t="s">
        <v>144</v>
      </c>
      <c r="F49" s="7">
        <f>SQRT(F46/PI())*2</f>
        <v>0.40370120352322564</v>
      </c>
      <c r="G49" s="8" t="s">
        <v>52</v>
      </c>
      <c r="H49" s="5"/>
    </row>
    <row r="50" spans="1:9">
      <c r="A50" s="31" t="s">
        <v>161</v>
      </c>
      <c r="B50" s="31"/>
      <c r="C50" s="31"/>
      <c r="E50" s="6" t="s">
        <v>145</v>
      </c>
      <c r="F50" s="7">
        <f>0.1*F49</f>
        <v>4.0370120352322569E-2</v>
      </c>
      <c r="G50" s="8" t="s">
        <v>78</v>
      </c>
      <c r="H50" s="5"/>
    </row>
    <row r="51" spans="1:9">
      <c r="A51" s="5" t="s">
        <v>166</v>
      </c>
      <c r="B51" s="7">
        <f>F44</f>
        <v>0.28232957748834803</v>
      </c>
      <c r="C51" s="8" t="s">
        <v>85</v>
      </c>
      <c r="E51" s="6" t="s">
        <v>146</v>
      </c>
      <c r="F51" s="7">
        <f>F46*F48/0.907</f>
        <v>4.9393605292171996</v>
      </c>
      <c r="G51" s="8" t="s">
        <v>52</v>
      </c>
      <c r="H51" s="5" t="s">
        <v>147</v>
      </c>
    </row>
    <row r="52" spans="1:9">
      <c r="A52" s="5" t="s">
        <v>164</v>
      </c>
      <c r="B52" s="7">
        <f>B51-B46</f>
        <v>0.24046102126771868</v>
      </c>
      <c r="C52" s="8" t="s">
        <v>49</v>
      </c>
      <c r="E52" s="6" t="s">
        <v>146</v>
      </c>
      <c r="F52" s="7">
        <f>0.1*F51</f>
        <v>0.49393605292171999</v>
      </c>
      <c r="G52" s="8" t="s">
        <v>78</v>
      </c>
      <c r="H52" s="5"/>
    </row>
    <row r="53" spans="1:9">
      <c r="A53" s="5" t="s">
        <v>165</v>
      </c>
      <c r="B53" s="5">
        <f>PI()*B52^2/4</f>
        <v>4.5412902064034838E-2</v>
      </c>
      <c r="C53" s="8" t="s">
        <v>78</v>
      </c>
      <c r="E53" s="6" t="s">
        <v>92</v>
      </c>
      <c r="F53" s="7">
        <v>0.81508000000000003</v>
      </c>
      <c r="G53" s="8" t="s">
        <v>91</v>
      </c>
      <c r="H53" s="5"/>
    </row>
    <row r="54" spans="1:9">
      <c r="A54" s="5" t="s">
        <v>169</v>
      </c>
      <c r="B54" s="48">
        <f>100*B53</f>
        <v>4.5412902064034837</v>
      </c>
      <c r="C54" s="8" t="s">
        <v>52</v>
      </c>
      <c r="D54" s="1" t="s">
        <v>171</v>
      </c>
      <c r="E54" s="6" t="s">
        <v>89</v>
      </c>
      <c r="F54" s="7">
        <v>8.1508000000000003</v>
      </c>
      <c r="G54" s="8" t="s">
        <v>90</v>
      </c>
      <c r="H54" s="5"/>
    </row>
    <row r="55" spans="1:9">
      <c r="A55" s="5" t="s">
        <v>167</v>
      </c>
      <c r="B55" s="5">
        <f>(B20*SQRT(1/3))/B53</f>
        <v>699.23443255518112</v>
      </c>
      <c r="C55" s="8" t="s">
        <v>76</v>
      </c>
    </row>
    <row r="56" spans="1:9">
      <c r="A56" s="5" t="s">
        <v>172</v>
      </c>
      <c r="B56" s="5">
        <f>(0.866*B54)/B45</f>
        <v>18.786209383583572</v>
      </c>
      <c r="C56" s="8"/>
      <c r="E56" s="2" t="s">
        <v>100</v>
      </c>
    </row>
    <row r="57" spans="1:9">
      <c r="A57" s="31" t="s">
        <v>79</v>
      </c>
      <c r="B57" s="32"/>
      <c r="C57" s="32"/>
      <c r="E57" s="4" t="s">
        <v>101</v>
      </c>
    </row>
    <row r="58" spans="1:9">
      <c r="A58" t="s">
        <v>80</v>
      </c>
      <c r="E58" s="4" t="s">
        <v>102</v>
      </c>
    </row>
    <row r="59" spans="1:9">
      <c r="A59" t="s">
        <v>81</v>
      </c>
      <c r="B59">
        <v>0.6</v>
      </c>
      <c r="E59" s="4" t="s">
        <v>103</v>
      </c>
    </row>
    <row r="60" spans="1:9">
      <c r="A60" t="s">
        <v>82</v>
      </c>
      <c r="B60">
        <v>0.75</v>
      </c>
      <c r="E60" s="4" t="s">
        <v>104</v>
      </c>
    </row>
    <row r="61" spans="1:9">
      <c r="A61" t="s">
        <v>83</v>
      </c>
      <c r="E61" s="4" t="s">
        <v>162</v>
      </c>
    </row>
    <row r="62" spans="1:9">
      <c r="A62" s="43" t="s">
        <v>110</v>
      </c>
      <c r="B62" s="43"/>
      <c r="C62" s="43"/>
      <c r="D62" s="43"/>
      <c r="E62" s="43"/>
      <c r="F62" s="43"/>
      <c r="G62" s="43"/>
      <c r="H62" s="43"/>
      <c r="I62" s="43"/>
    </row>
    <row r="63" spans="1:9">
      <c r="A63" s="3" t="s">
        <v>112</v>
      </c>
      <c r="B63" s="3" t="s">
        <v>113</v>
      </c>
      <c r="E63" s="1" t="s">
        <v>140</v>
      </c>
    </row>
    <row r="64" spans="1:9">
      <c r="A64" s="3" t="s">
        <v>111</v>
      </c>
      <c r="B64" s="4">
        <f>F11</f>
        <v>1.742</v>
      </c>
      <c r="C64" s="1" t="s">
        <v>78</v>
      </c>
      <c r="E64">
        <v>0</v>
      </c>
    </row>
    <row r="65" spans="1:3">
      <c r="A65" s="3" t="s">
        <v>115</v>
      </c>
      <c r="B65" s="4">
        <v>19</v>
      </c>
    </row>
    <row r="66" spans="1:3">
      <c r="A66" s="3" t="s">
        <v>114</v>
      </c>
      <c r="B66" s="4">
        <v>0.2</v>
      </c>
      <c r="C66" s="1" t="s">
        <v>85</v>
      </c>
    </row>
    <row r="67" spans="1:3">
      <c r="A67" s="3" t="s">
        <v>124</v>
      </c>
      <c r="B67" s="4">
        <v>2.9750000000000001</v>
      </c>
      <c r="C67" s="1" t="s">
        <v>85</v>
      </c>
    </row>
    <row r="68" spans="1:3">
      <c r="A68" s="3" t="s">
        <v>125</v>
      </c>
      <c r="B68" s="4">
        <f>(1+(B66/SQRT(B64))*LN(2*B67/B66))</f>
        <v>1.5141240367052016</v>
      </c>
      <c r="C68" s="1"/>
    </row>
    <row r="69" spans="1:3">
      <c r="A69" s="3" t="s">
        <v>116</v>
      </c>
      <c r="B69" s="4">
        <f>(0.4*PI()*B65^2*B64*(10^-8))/B66</f>
        <v>3.9512564786435688E-5</v>
      </c>
      <c r="C69" s="1" t="s">
        <v>20</v>
      </c>
    </row>
    <row r="70" spans="1:3">
      <c r="A70" s="3" t="s">
        <v>117</v>
      </c>
      <c r="B70" s="4">
        <f>(0.4*PI()*B65^2*F11*(10^-8))/(B66+(F6/F22))</f>
        <v>3.831662174411924E-5</v>
      </c>
      <c r="C70" s="1" t="s">
        <v>20</v>
      </c>
    </row>
    <row r="71" spans="1:3">
      <c r="A71" s="3" t="s">
        <v>126</v>
      </c>
      <c r="B71" s="39">
        <f>B69*B68</f>
        <v>5.9826924095013807E-5</v>
      </c>
      <c r="C71" s="1" t="s">
        <v>20</v>
      </c>
    </row>
    <row r="72" spans="1:3">
      <c r="A72" s="3" t="s">
        <v>127</v>
      </c>
      <c r="B72" s="39">
        <f>B68*B70</f>
        <v>5.8016117988112127E-5</v>
      </c>
      <c r="C72" s="1" t="s">
        <v>20</v>
      </c>
    </row>
    <row r="73" spans="1:3">
      <c r="A73" s="3" t="s">
        <v>118</v>
      </c>
      <c r="B73" s="4">
        <f>F22/(1+F22*(B66/F6))</f>
        <v>49.941228327945936</v>
      </c>
    </row>
    <row r="74" spans="1:3">
      <c r="A74" s="3" t="s">
        <v>119</v>
      </c>
      <c r="B74" s="4">
        <v>124</v>
      </c>
    </row>
    <row r="75" spans="1:3">
      <c r="A75" s="3" t="s">
        <v>121</v>
      </c>
      <c r="B75" s="4">
        <f>(B74*(0.4*PI()*B65*B7)/F6)/10000</f>
        <v>1.4372023867684567</v>
      </c>
      <c r="C75" s="1" t="s">
        <v>29</v>
      </c>
    </row>
    <row r="76" spans="1:3">
      <c r="A76" s="3" t="s">
        <v>120</v>
      </c>
      <c r="B76" s="38">
        <f>(0.4*PI()*B65*B7)/(B66+(F6/F22))/10000</f>
        <v>0.57883590766993842</v>
      </c>
      <c r="C76" s="1" t="s">
        <v>29</v>
      </c>
    </row>
    <row r="77" spans="1:3">
      <c r="A77" s="3" t="s">
        <v>122</v>
      </c>
      <c r="B77" s="4">
        <f>(0.4*PI()*B65*B7*(10^-4)/(B25*10000))</f>
        <v>5.4263873107460068E-5</v>
      </c>
      <c r="C77" s="1" t="s">
        <v>123</v>
      </c>
    </row>
    <row r="78" spans="1:3">
      <c r="A78" s="3" t="s">
        <v>134</v>
      </c>
      <c r="B78" s="38">
        <f>(0.4*PI()*B65*(B7+B19)*(10^-4))/(B66+(F6/F22))</f>
        <v>0.63671949843693221</v>
      </c>
      <c r="C78" s="1" t="s">
        <v>29</v>
      </c>
    </row>
    <row r="79" spans="1:3">
      <c r="A79" s="3" t="s">
        <v>128</v>
      </c>
      <c r="B79">
        <f>(B65/F6)*(B7+B19)</f>
        <v>101.45631067961165</v>
      </c>
      <c r="C79" s="1" t="s">
        <v>129</v>
      </c>
    </row>
    <row r="80" spans="1:3">
      <c r="A80" s="3" t="s">
        <v>130</v>
      </c>
      <c r="B80">
        <f>B79*B74/10000</f>
        <v>1.2580582524271844</v>
      </c>
      <c r="C80" s="1" t="s">
        <v>29</v>
      </c>
    </row>
    <row r="81" spans="1:3">
      <c r="A81" s="3" t="s">
        <v>131</v>
      </c>
      <c r="B81">
        <f>(B65/F6)*(B7-B19)</f>
        <v>83.009708737864074</v>
      </c>
      <c r="C81" s="1" t="s">
        <v>129</v>
      </c>
    </row>
    <row r="82" spans="1:3">
      <c r="A82" s="3" t="s">
        <v>132</v>
      </c>
      <c r="B82">
        <f>B81*B74/10000</f>
        <v>1.0293203883495146</v>
      </c>
      <c r="C82" s="1" t="s">
        <v>29</v>
      </c>
    </row>
    <row r="83" spans="1:3">
      <c r="A83" s="3" t="s">
        <v>133</v>
      </c>
      <c r="B83">
        <f>(B80-B82)/2</f>
        <v>0.11436893203883491</v>
      </c>
      <c r="C83" s="1" t="s">
        <v>29</v>
      </c>
    </row>
    <row r="84" spans="1:3">
      <c r="A84" s="3" t="s">
        <v>135</v>
      </c>
      <c r="B84" s="40">
        <v>80</v>
      </c>
      <c r="C84" s="1" t="s">
        <v>137</v>
      </c>
    </row>
    <row r="85" spans="1:3">
      <c r="A85" s="3" t="s">
        <v>139</v>
      </c>
      <c r="B85">
        <f>B84*F6*B64</f>
        <v>1435.4079999999999</v>
      </c>
      <c r="C85" s="1" t="s">
        <v>136</v>
      </c>
    </row>
    <row r="86" spans="1:3">
      <c r="A86" s="3" t="s">
        <v>138</v>
      </c>
      <c r="B86">
        <f>B85/1000</f>
        <v>1.4354079999999998</v>
      </c>
      <c r="C86" s="1" t="s">
        <v>10</v>
      </c>
    </row>
  </sheetData>
  <mergeCells count="2">
    <mergeCell ref="A1:I2"/>
    <mergeCell ref="A62:I6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A0B51-818B-4449-9713-11ABF587102C}">
  <dimension ref="A1:G51"/>
  <sheetViews>
    <sheetView topLeftCell="A13" workbookViewId="0">
      <selection activeCell="A27" sqref="A27:XFD27"/>
    </sheetView>
  </sheetViews>
  <sheetFormatPr defaultRowHeight="15"/>
  <cols>
    <col min="1" max="1" width="11.42578125" bestFit="1" customWidth="1"/>
    <col min="2" max="2" width="27" bestFit="1" customWidth="1"/>
    <col min="3" max="3" width="24.5703125" bestFit="1" customWidth="1"/>
    <col min="4" max="4" width="34.28515625" bestFit="1" customWidth="1"/>
    <col min="5" max="5" width="33.28515625" bestFit="1" customWidth="1"/>
    <col min="6" max="6" width="11.5703125" bestFit="1" customWidth="1"/>
    <col min="7" max="7" width="11.85546875" bestFit="1" customWidth="1"/>
  </cols>
  <sheetData>
    <row r="1" spans="1:7">
      <c r="A1" s="46" t="s">
        <v>154</v>
      </c>
      <c r="B1" s="46" t="s">
        <v>155</v>
      </c>
      <c r="C1" s="46" t="s">
        <v>156</v>
      </c>
      <c r="D1" s="46" t="s">
        <v>157</v>
      </c>
      <c r="E1" s="46" t="s">
        <v>160</v>
      </c>
      <c r="F1" s="46" t="s">
        <v>158</v>
      </c>
      <c r="G1" s="46" t="s">
        <v>159</v>
      </c>
    </row>
    <row r="2" spans="1:7">
      <c r="A2" s="47">
        <v>1</v>
      </c>
      <c r="B2" s="50">
        <v>0.28929700000000003</v>
      </c>
      <c r="C2" s="45">
        <v>7.3481437999999999</v>
      </c>
      <c r="D2" s="49">
        <f>PI()*(C2/2)^2</f>
        <v>42.407744503968885</v>
      </c>
      <c r="E2" s="49">
        <f>0.01*D2</f>
        <v>0.42407744503968886</v>
      </c>
      <c r="F2" s="36"/>
      <c r="G2" s="36"/>
    </row>
    <row r="3" spans="1:7">
      <c r="A3" s="47">
        <v>2</v>
      </c>
      <c r="B3" s="50">
        <v>0.25762699999999999</v>
      </c>
      <c r="C3" s="45">
        <v>6.5437257999999998</v>
      </c>
      <c r="D3" s="49">
        <f t="shared" ref="D3:D51" si="0">PI()*(C3/2)^2</f>
        <v>33.631022161263758</v>
      </c>
      <c r="E3" s="49">
        <f t="shared" ref="E3:E51" si="1">0.01*D3</f>
        <v>0.33631022161263757</v>
      </c>
      <c r="F3" s="36"/>
      <c r="G3" s="36"/>
    </row>
    <row r="4" spans="1:7">
      <c r="A4" s="47">
        <v>3</v>
      </c>
      <c r="B4" s="50">
        <v>0.22942299999999999</v>
      </c>
      <c r="C4" s="45">
        <v>5.8273441999999998</v>
      </c>
      <c r="D4" s="49">
        <f t="shared" si="0"/>
        <v>26.670504042769874</v>
      </c>
      <c r="E4" s="49">
        <f t="shared" si="1"/>
        <v>0.26670504042769877</v>
      </c>
      <c r="F4" s="36"/>
      <c r="G4" s="36"/>
    </row>
    <row r="5" spans="1:7">
      <c r="A5" s="47">
        <v>4</v>
      </c>
      <c r="B5" s="50">
        <v>0.20430000000000001</v>
      </c>
      <c r="C5" s="45">
        <v>5.1892199999999997</v>
      </c>
      <c r="D5" s="49">
        <f t="shared" si="0"/>
        <v>21.149205049236116</v>
      </c>
      <c r="E5" s="49">
        <f t="shared" si="1"/>
        <v>0.21149205049236117</v>
      </c>
      <c r="F5" s="36"/>
      <c r="G5" s="36"/>
    </row>
    <row r="6" spans="1:7">
      <c r="A6" s="47">
        <v>5</v>
      </c>
      <c r="B6" s="50">
        <v>0.18190000000000001</v>
      </c>
      <c r="C6" s="45">
        <v>4.62026</v>
      </c>
      <c r="D6" s="49">
        <f t="shared" si="0"/>
        <v>16.765739452461158</v>
      </c>
      <c r="E6" s="49">
        <f t="shared" si="1"/>
        <v>0.16765739452461159</v>
      </c>
      <c r="F6" s="36"/>
      <c r="G6" s="36"/>
    </row>
    <row r="7" spans="1:7">
      <c r="A7" s="47">
        <v>6</v>
      </c>
      <c r="B7" s="50">
        <v>0.16200000000000001</v>
      </c>
      <c r="C7" s="45">
        <v>4.1147999999999998</v>
      </c>
      <c r="D7" s="49">
        <f t="shared" si="0"/>
        <v>13.298031081434729</v>
      </c>
      <c r="E7" s="49">
        <f t="shared" si="1"/>
        <v>0.1329803108143473</v>
      </c>
      <c r="F7" s="36"/>
      <c r="G7" s="36"/>
    </row>
    <row r="8" spans="1:7">
      <c r="A8" s="47">
        <v>7</v>
      </c>
      <c r="B8" s="50">
        <v>0.14430000000000001</v>
      </c>
      <c r="C8" s="45">
        <v>3.6652200000000001</v>
      </c>
      <c r="D8" s="49">
        <f t="shared" si="0"/>
        <v>10.550911416432855</v>
      </c>
      <c r="E8" s="49">
        <f t="shared" si="1"/>
        <v>0.10550911416432855</v>
      </c>
      <c r="F8" s="36"/>
      <c r="G8" s="36"/>
    </row>
    <row r="9" spans="1:7">
      <c r="A9" s="47">
        <v>8</v>
      </c>
      <c r="B9" s="50">
        <v>0.1285</v>
      </c>
      <c r="C9" s="45">
        <v>3.2639</v>
      </c>
      <c r="D9" s="49">
        <f t="shared" si="0"/>
        <v>8.3668805717276573</v>
      </c>
      <c r="E9" s="49">
        <f t="shared" si="1"/>
        <v>8.366880571727657E-2</v>
      </c>
      <c r="F9" s="36"/>
      <c r="G9" s="36"/>
    </row>
    <row r="10" spans="1:7">
      <c r="A10" s="47">
        <v>9</v>
      </c>
      <c r="B10" s="50">
        <v>0.1144</v>
      </c>
      <c r="C10" s="45">
        <v>2.9057599999999999</v>
      </c>
      <c r="D10" s="49">
        <f t="shared" si="0"/>
        <v>6.6314631936414266</v>
      </c>
      <c r="E10" s="49">
        <f t="shared" si="1"/>
        <v>6.6314631936414264E-2</v>
      </c>
      <c r="F10" s="36"/>
      <c r="G10" s="36"/>
    </row>
    <row r="11" spans="1:7">
      <c r="A11" s="47">
        <v>10</v>
      </c>
      <c r="B11" s="50">
        <v>0.1019</v>
      </c>
      <c r="C11" s="45">
        <v>2.58826</v>
      </c>
      <c r="D11" s="49">
        <f t="shared" si="0"/>
        <v>5.2614528470315687</v>
      </c>
      <c r="E11" s="49">
        <f t="shared" si="1"/>
        <v>5.261452847031569E-2</v>
      </c>
      <c r="F11" s="36"/>
      <c r="G11" s="36"/>
    </row>
    <row r="12" spans="1:7">
      <c r="A12" s="47">
        <v>11</v>
      </c>
      <c r="B12" s="50">
        <v>9.0700000000000003E-2</v>
      </c>
      <c r="C12" s="45">
        <v>2.3037800000000002</v>
      </c>
      <c r="D12" s="49">
        <f t="shared" si="0"/>
        <v>4.1684240097207743</v>
      </c>
      <c r="E12" s="49">
        <f t="shared" si="1"/>
        <v>4.1684240097207746E-2</v>
      </c>
      <c r="F12" s="36"/>
      <c r="G12" s="36"/>
    </row>
    <row r="13" spans="1:7">
      <c r="A13" s="47">
        <v>12</v>
      </c>
      <c r="B13" s="50">
        <v>8.0799999999999997E-2</v>
      </c>
      <c r="C13" s="45">
        <v>2.0523199999999999</v>
      </c>
      <c r="D13" s="49">
        <f t="shared" si="0"/>
        <v>3.3081107163350878</v>
      </c>
      <c r="E13" s="49">
        <f t="shared" si="1"/>
        <v>3.308110716335088E-2</v>
      </c>
      <c r="F13" s="36"/>
      <c r="G13" s="36"/>
    </row>
    <row r="14" spans="1:7">
      <c r="A14" s="47">
        <v>13</v>
      </c>
      <c r="B14" s="50">
        <v>7.1999999999999995E-2</v>
      </c>
      <c r="C14" s="45">
        <v>1.8287999999999998</v>
      </c>
      <c r="D14" s="49">
        <f t="shared" si="0"/>
        <v>2.6267715716414277</v>
      </c>
      <c r="E14" s="49">
        <f t="shared" si="1"/>
        <v>2.6267715716414279E-2</v>
      </c>
      <c r="F14" s="36"/>
      <c r="G14" s="36"/>
    </row>
    <row r="15" spans="1:7">
      <c r="A15" s="47">
        <v>14</v>
      </c>
      <c r="B15" s="50">
        <v>6.4100000000000004E-2</v>
      </c>
      <c r="C15" s="45">
        <v>1.6281399999999999</v>
      </c>
      <c r="D15" s="49">
        <f t="shared" si="0"/>
        <v>2.0819647571905895</v>
      </c>
      <c r="E15" s="49">
        <f t="shared" si="1"/>
        <v>2.0819647571905894E-2</v>
      </c>
      <c r="F15" s="36"/>
      <c r="G15" s="36"/>
    </row>
    <row r="16" spans="1:7">
      <c r="A16" s="47">
        <v>15</v>
      </c>
      <c r="B16" s="50">
        <v>5.7099999999999998E-2</v>
      </c>
      <c r="C16" s="45">
        <v>1.45034</v>
      </c>
      <c r="D16" s="49">
        <f t="shared" si="0"/>
        <v>1.6520741319242727</v>
      </c>
      <c r="E16" s="49">
        <f t="shared" si="1"/>
        <v>1.6520741319242728E-2</v>
      </c>
      <c r="F16" s="36"/>
      <c r="G16" s="36"/>
    </row>
    <row r="17" spans="1:7">
      <c r="A17" s="47">
        <v>16</v>
      </c>
      <c r="B17" s="50">
        <v>5.0799999999999998E-2</v>
      </c>
      <c r="C17" s="45">
        <v>1.2903199999999999</v>
      </c>
      <c r="D17" s="49">
        <f t="shared" si="0"/>
        <v>1.3076295888581664</v>
      </c>
      <c r="E17" s="49">
        <f t="shared" si="1"/>
        <v>1.3076295888581665E-2</v>
      </c>
      <c r="F17" s="36"/>
      <c r="G17" s="36"/>
    </row>
    <row r="18" spans="1:7">
      <c r="A18" s="47">
        <v>17</v>
      </c>
      <c r="B18" s="50">
        <v>4.53E-2</v>
      </c>
      <c r="C18" s="45">
        <v>1.15062</v>
      </c>
      <c r="D18" s="49">
        <f t="shared" si="0"/>
        <v>1.0398093507811841</v>
      </c>
      <c r="E18" s="49">
        <f t="shared" si="1"/>
        <v>1.0398093507811842E-2</v>
      </c>
      <c r="F18" s="36"/>
      <c r="G18" s="36"/>
    </row>
    <row r="19" spans="1:7">
      <c r="A19" s="47">
        <v>18</v>
      </c>
      <c r="B19" s="50">
        <v>4.0300000000000002E-2</v>
      </c>
      <c r="C19" s="45">
        <v>1.02362</v>
      </c>
      <c r="D19" s="49">
        <f t="shared" si="0"/>
        <v>0.82293854972745495</v>
      </c>
      <c r="E19" s="49">
        <f t="shared" si="1"/>
        <v>8.2293854972745502E-3</v>
      </c>
      <c r="F19" s="36"/>
      <c r="G19" s="36"/>
    </row>
    <row r="20" spans="1:7">
      <c r="A20" s="47">
        <v>19</v>
      </c>
      <c r="B20" s="50">
        <v>3.5900000000000001E-2</v>
      </c>
      <c r="C20" s="45">
        <v>0.91186</v>
      </c>
      <c r="D20" s="49">
        <f t="shared" si="0"/>
        <v>0.65304966613564597</v>
      </c>
      <c r="E20" s="49">
        <f t="shared" si="1"/>
        <v>6.5304966613564594E-3</v>
      </c>
      <c r="F20" s="36"/>
      <c r="G20" s="36"/>
    </row>
    <row r="21" spans="1:7">
      <c r="A21" s="47">
        <v>20</v>
      </c>
      <c r="B21" s="50">
        <v>3.2000000000000001E-2</v>
      </c>
      <c r="C21" s="45">
        <v>0.81279999999999997</v>
      </c>
      <c r="D21" s="49">
        <f t="shared" si="0"/>
        <v>0.51886845859583763</v>
      </c>
      <c r="E21" s="49">
        <f t="shared" si="1"/>
        <v>5.1886845859583763E-3</v>
      </c>
      <c r="F21" s="36"/>
      <c r="G21" s="36"/>
    </row>
    <row r="22" spans="1:7">
      <c r="A22" s="47">
        <v>21</v>
      </c>
      <c r="B22" s="50">
        <v>2.8500000000000001E-2</v>
      </c>
      <c r="C22" s="45">
        <v>0.72389999999999999</v>
      </c>
      <c r="D22" s="49">
        <f t="shared" si="0"/>
        <v>0.41157314989694249</v>
      </c>
      <c r="E22" s="49">
        <f t="shared" si="1"/>
        <v>4.1157314989694249E-3</v>
      </c>
      <c r="F22" s="36"/>
      <c r="G22" s="36"/>
    </row>
    <row r="23" spans="1:7">
      <c r="A23" s="47">
        <v>22</v>
      </c>
      <c r="B23" s="50">
        <v>2.53E-2</v>
      </c>
      <c r="C23" s="45">
        <v>0.64261999999999997</v>
      </c>
      <c r="D23" s="49">
        <f t="shared" si="0"/>
        <v>0.32433839029551731</v>
      </c>
      <c r="E23" s="49">
        <f t="shared" si="1"/>
        <v>3.2433839029551732E-3</v>
      </c>
      <c r="F23" s="36"/>
      <c r="G23" s="36"/>
    </row>
    <row r="24" spans="1:7">
      <c r="A24" s="47">
        <v>23</v>
      </c>
      <c r="B24" s="50">
        <v>2.2599999999999999E-2</v>
      </c>
      <c r="C24" s="45">
        <v>0.57403999999999988</v>
      </c>
      <c r="D24" s="49">
        <f t="shared" si="0"/>
        <v>0.25880591202383785</v>
      </c>
      <c r="E24" s="49">
        <f t="shared" si="1"/>
        <v>2.5880591202383785E-3</v>
      </c>
      <c r="F24" s="36"/>
      <c r="G24" s="36"/>
    </row>
    <row r="25" spans="1:7">
      <c r="A25" s="47">
        <v>24</v>
      </c>
      <c r="B25" s="50">
        <v>2.01E-2</v>
      </c>
      <c r="C25" s="45">
        <v>0.51053999999999999</v>
      </c>
      <c r="D25" s="49">
        <f t="shared" si="0"/>
        <v>0.20471488863018006</v>
      </c>
      <c r="E25" s="49">
        <f t="shared" si="1"/>
        <v>2.0471488863018006E-3</v>
      </c>
      <c r="F25" s="36"/>
      <c r="G25" s="36"/>
    </row>
    <row r="26" spans="1:7">
      <c r="A26" s="47">
        <v>25</v>
      </c>
      <c r="B26" s="50">
        <v>1.7899999999999999E-2</v>
      </c>
      <c r="C26" s="45">
        <v>0.45465999999999995</v>
      </c>
      <c r="D26" s="49">
        <f t="shared" si="0"/>
        <v>0.16235414337762921</v>
      </c>
      <c r="E26" s="49">
        <f t="shared" si="1"/>
        <v>1.6235414337762921E-3</v>
      </c>
      <c r="F26" s="36"/>
      <c r="G26" s="36"/>
    </row>
    <row r="27" spans="1:7">
      <c r="A27" s="47">
        <v>26</v>
      </c>
      <c r="B27" s="50">
        <v>1.5900000000000001E-2</v>
      </c>
      <c r="C27" s="45">
        <v>0.40386</v>
      </c>
      <c r="D27" s="49">
        <f t="shared" si="0"/>
        <v>0.12810071779063839</v>
      </c>
      <c r="E27" s="49">
        <f t="shared" si="1"/>
        <v>1.2810071779063839E-3</v>
      </c>
      <c r="F27" s="36"/>
      <c r="G27" s="36"/>
    </row>
    <row r="28" spans="1:7">
      <c r="A28" s="47">
        <v>27</v>
      </c>
      <c r="B28" s="50">
        <v>1.4200000000000001E-2</v>
      </c>
      <c r="C28" s="45">
        <v>0.36068</v>
      </c>
      <c r="D28" s="49">
        <f t="shared" si="0"/>
        <v>0.10217249608521946</v>
      </c>
      <c r="E28" s="49">
        <f t="shared" si="1"/>
        <v>1.0217249608521946E-3</v>
      </c>
      <c r="F28" s="36"/>
      <c r="G28" s="36"/>
    </row>
    <row r="29" spans="1:7">
      <c r="A29" s="47">
        <v>28</v>
      </c>
      <c r="B29" s="50">
        <v>1.26E-2</v>
      </c>
      <c r="C29" s="45">
        <v>0.32003999999999999</v>
      </c>
      <c r="D29" s="49">
        <f t="shared" si="0"/>
        <v>8.0444879381518744E-2</v>
      </c>
      <c r="E29" s="49">
        <f t="shared" si="1"/>
        <v>8.0444879381518744E-4</v>
      </c>
      <c r="F29" s="36"/>
      <c r="G29" s="36"/>
    </row>
    <row r="30" spans="1:7">
      <c r="A30" s="47">
        <v>29</v>
      </c>
      <c r="B30" s="50">
        <v>1.1299999999999999E-2</v>
      </c>
      <c r="C30" s="45">
        <v>0.28701999999999994</v>
      </c>
      <c r="D30" s="49">
        <f t="shared" si="0"/>
        <v>6.4701478005959462E-2</v>
      </c>
      <c r="E30" s="49">
        <f t="shared" si="1"/>
        <v>6.4701478005959462E-4</v>
      </c>
      <c r="F30" s="36"/>
      <c r="G30" s="36"/>
    </row>
    <row r="31" spans="1:7">
      <c r="A31" s="47">
        <v>30</v>
      </c>
      <c r="B31" s="50">
        <v>0.01</v>
      </c>
      <c r="C31" s="45">
        <v>0.254</v>
      </c>
      <c r="D31" s="49">
        <f t="shared" si="0"/>
        <v>5.0670747909749778E-2</v>
      </c>
      <c r="E31" s="49">
        <f t="shared" si="1"/>
        <v>5.067074790974978E-4</v>
      </c>
      <c r="F31" s="36"/>
      <c r="G31" s="36"/>
    </row>
    <row r="32" spans="1:7">
      <c r="A32" s="47">
        <v>31</v>
      </c>
      <c r="B32" s="50">
        <v>8.8999999999999999E-3</v>
      </c>
      <c r="C32" s="45">
        <v>0.22605999999999998</v>
      </c>
      <c r="D32" s="49">
        <f t="shared" si="0"/>
        <v>4.0136299419312793E-2</v>
      </c>
      <c r="E32" s="49">
        <f t="shared" si="1"/>
        <v>4.0136299419312794E-4</v>
      </c>
      <c r="F32" s="36"/>
      <c r="G32" s="36"/>
    </row>
    <row r="33" spans="1:7">
      <c r="A33" s="47">
        <v>32</v>
      </c>
      <c r="B33" s="50">
        <v>8.0000000000000002E-3</v>
      </c>
      <c r="C33" s="45">
        <v>0.20319999999999999</v>
      </c>
      <c r="D33" s="49">
        <f t="shared" si="0"/>
        <v>3.2429278662239852E-2</v>
      </c>
      <c r="E33" s="49">
        <f t="shared" si="1"/>
        <v>3.2429278662239852E-4</v>
      </c>
      <c r="F33" s="36"/>
      <c r="G33" s="36"/>
    </row>
    <row r="34" spans="1:7">
      <c r="A34" s="47">
        <v>33</v>
      </c>
      <c r="B34" s="50">
        <v>7.1000000000000004E-3</v>
      </c>
      <c r="C34" s="45">
        <v>0.18034</v>
      </c>
      <c r="D34" s="49">
        <f t="shared" si="0"/>
        <v>2.5543124021304865E-2</v>
      </c>
      <c r="E34" s="49">
        <f t="shared" si="1"/>
        <v>2.5543124021304865E-4</v>
      </c>
      <c r="F34" s="36"/>
      <c r="G34" s="36"/>
    </row>
    <row r="35" spans="1:7">
      <c r="A35" s="47">
        <v>34</v>
      </c>
      <c r="B35" s="50">
        <v>6.3E-3</v>
      </c>
      <c r="C35" s="45">
        <v>0.16002</v>
      </c>
      <c r="D35" s="49">
        <f t="shared" si="0"/>
        <v>2.0111219845379686E-2</v>
      </c>
      <c r="E35" s="49">
        <f t="shared" si="1"/>
        <v>2.0111219845379686E-4</v>
      </c>
      <c r="F35" s="36"/>
      <c r="G35" s="36"/>
    </row>
    <row r="36" spans="1:7">
      <c r="A36" s="47">
        <v>35</v>
      </c>
      <c r="B36" s="50">
        <v>5.5999999999999999E-3</v>
      </c>
      <c r="C36" s="45">
        <v>0.14223999999999998</v>
      </c>
      <c r="D36" s="49">
        <f t="shared" si="0"/>
        <v>1.5890346544497523E-2</v>
      </c>
      <c r="E36" s="49">
        <f t="shared" si="1"/>
        <v>1.5890346544497524E-4</v>
      </c>
      <c r="F36" s="36"/>
      <c r="G36" s="36"/>
    </row>
    <row r="37" spans="1:7">
      <c r="A37" s="47">
        <v>36</v>
      </c>
      <c r="B37" s="50">
        <v>5.0000000000000001E-3</v>
      </c>
      <c r="C37" s="45">
        <v>0.127</v>
      </c>
      <c r="D37" s="49">
        <f t="shared" si="0"/>
        <v>1.2667686977437444E-2</v>
      </c>
      <c r="E37" s="49">
        <f t="shared" si="1"/>
        <v>1.2667686977437445E-4</v>
      </c>
      <c r="F37" s="36"/>
      <c r="G37" s="36"/>
    </row>
    <row r="38" spans="1:7">
      <c r="A38" s="47">
        <v>37</v>
      </c>
      <c r="B38" s="50">
        <v>4.4999999999999997E-3</v>
      </c>
      <c r="C38" s="45">
        <v>0.11429999999999998</v>
      </c>
      <c r="D38" s="49">
        <f t="shared" si="0"/>
        <v>1.0260826451724327E-2</v>
      </c>
      <c r="E38" s="49">
        <f t="shared" si="1"/>
        <v>1.0260826451724328E-4</v>
      </c>
      <c r="F38" s="36"/>
      <c r="G38" s="36"/>
    </row>
    <row r="39" spans="1:7">
      <c r="A39" s="47">
        <v>38</v>
      </c>
      <c r="B39" s="50">
        <v>4.0000000000000001E-3</v>
      </c>
      <c r="C39" s="45">
        <v>0.1016</v>
      </c>
      <c r="D39" s="49">
        <f t="shared" si="0"/>
        <v>8.107319665559963E-3</v>
      </c>
      <c r="E39" s="49">
        <f t="shared" si="1"/>
        <v>8.1073196655599629E-5</v>
      </c>
      <c r="F39" s="36"/>
      <c r="G39" s="36"/>
    </row>
    <row r="40" spans="1:7">
      <c r="A40" s="47">
        <v>39</v>
      </c>
      <c r="B40" s="50">
        <v>3.5000000000000001E-3</v>
      </c>
      <c r="C40" s="44">
        <v>8.8899999999999993E-2</v>
      </c>
      <c r="D40" s="49">
        <f t="shared" si="0"/>
        <v>6.2071666189443464E-3</v>
      </c>
      <c r="E40" s="49">
        <f t="shared" si="1"/>
        <v>6.2071666189443463E-5</v>
      </c>
      <c r="F40" s="36"/>
      <c r="G40" s="36"/>
    </row>
    <row r="41" spans="1:7">
      <c r="A41" s="47">
        <v>40</v>
      </c>
      <c r="B41" s="50">
        <v>3.0999999999999999E-3</v>
      </c>
      <c r="C41" s="44">
        <v>7.8739999999999991E-2</v>
      </c>
      <c r="D41" s="49">
        <f t="shared" si="0"/>
        <v>4.8694588741269515E-3</v>
      </c>
      <c r="E41" s="49">
        <f t="shared" si="1"/>
        <v>4.8694588741269513E-5</v>
      </c>
      <c r="F41" s="36"/>
      <c r="G41" s="36"/>
    </row>
    <row r="42" spans="1:7">
      <c r="A42" s="47">
        <v>41</v>
      </c>
      <c r="B42" s="50">
        <v>2.8E-3</v>
      </c>
      <c r="C42" s="44">
        <v>7.1119999999999989E-2</v>
      </c>
      <c r="D42" s="49">
        <f t="shared" si="0"/>
        <v>3.9725866361243808E-3</v>
      </c>
      <c r="E42" s="49">
        <f t="shared" si="1"/>
        <v>3.972586636124381E-5</v>
      </c>
      <c r="F42" s="36"/>
      <c r="G42" s="36"/>
    </row>
    <row r="43" spans="1:7">
      <c r="A43" s="47">
        <v>42</v>
      </c>
      <c r="B43" s="50">
        <v>2.5000000000000001E-3</v>
      </c>
      <c r="C43" s="44">
        <v>6.3500000000000001E-2</v>
      </c>
      <c r="D43" s="49">
        <f t="shared" si="0"/>
        <v>3.1669217443593611E-3</v>
      </c>
      <c r="E43" s="49">
        <f t="shared" si="1"/>
        <v>3.1669217443593612E-5</v>
      </c>
      <c r="F43" s="36"/>
      <c r="G43" s="36"/>
    </row>
    <row r="44" spans="1:7">
      <c r="A44" s="47">
        <v>43</v>
      </c>
      <c r="B44" s="50">
        <v>2.2000000000000001E-3</v>
      </c>
      <c r="C44" s="44">
        <v>5.5879999999999999E-2</v>
      </c>
      <c r="D44" s="49">
        <f t="shared" si="0"/>
        <v>2.452464198831889E-3</v>
      </c>
      <c r="E44" s="49">
        <f t="shared" si="1"/>
        <v>2.4524641988318891E-5</v>
      </c>
      <c r="F44" s="36"/>
      <c r="G44" s="36"/>
    </row>
    <row r="45" spans="1:7">
      <c r="A45" s="47">
        <v>44</v>
      </c>
      <c r="B45" s="50">
        <v>2E-3</v>
      </c>
      <c r="C45" s="44">
        <v>5.0799999999999998E-2</v>
      </c>
      <c r="D45" s="49">
        <f t="shared" si="0"/>
        <v>2.0268299163899908E-3</v>
      </c>
      <c r="E45" s="49">
        <f t="shared" si="1"/>
        <v>2.0268299163899907E-5</v>
      </c>
      <c r="F45" s="36"/>
      <c r="G45" s="36"/>
    </row>
    <row r="46" spans="1:7">
      <c r="A46" s="47">
        <v>45</v>
      </c>
      <c r="B46" s="50">
        <v>1.8E-3</v>
      </c>
      <c r="C46" s="44">
        <v>4.5719999999999997E-2</v>
      </c>
      <c r="D46" s="49">
        <f t="shared" si="0"/>
        <v>1.6417322322758922E-3</v>
      </c>
      <c r="E46" s="49">
        <f t="shared" si="1"/>
        <v>1.6417322322758923E-5</v>
      </c>
      <c r="F46" s="36"/>
      <c r="G46" s="36"/>
    </row>
    <row r="47" spans="1:7">
      <c r="A47" s="47">
        <v>46</v>
      </c>
      <c r="B47" s="50">
        <v>1.6000000000000001E-3</v>
      </c>
      <c r="C47" s="44">
        <v>4.0640000000000003E-2</v>
      </c>
      <c r="D47" s="49">
        <f t="shared" si="0"/>
        <v>1.2971711464895945E-3</v>
      </c>
      <c r="E47" s="49">
        <f t="shared" si="1"/>
        <v>1.2971711464895946E-5</v>
      </c>
      <c r="F47" s="36"/>
      <c r="G47" s="36"/>
    </row>
    <row r="48" spans="1:7">
      <c r="A48" s="47">
        <v>47</v>
      </c>
      <c r="B48" s="50">
        <v>1.4E-3</v>
      </c>
      <c r="C48" s="44">
        <v>3.5559999999999994E-2</v>
      </c>
      <c r="D48" s="49">
        <f t="shared" si="0"/>
        <v>9.9314665903109519E-4</v>
      </c>
      <c r="E48" s="49">
        <f t="shared" si="1"/>
        <v>9.9314665903109524E-6</v>
      </c>
      <c r="F48" s="36"/>
      <c r="G48" s="36"/>
    </row>
    <row r="49" spans="1:7">
      <c r="A49" s="47">
        <v>48</v>
      </c>
      <c r="B49" s="50">
        <v>1.1999999999999999E-3</v>
      </c>
      <c r="C49" s="44">
        <v>3.0479999999999997E-2</v>
      </c>
      <c r="D49" s="49">
        <f t="shared" si="0"/>
        <v>7.2965876990039658E-4</v>
      </c>
      <c r="E49" s="49">
        <f t="shared" si="1"/>
        <v>7.2965876990039659E-6</v>
      </c>
      <c r="F49" s="36"/>
      <c r="G49" s="36"/>
    </row>
    <row r="50" spans="1:7">
      <c r="A50" s="47">
        <v>49</v>
      </c>
      <c r="B50" s="50">
        <v>1.1000000000000001E-3</v>
      </c>
      <c r="C50" s="44">
        <v>2.794E-2</v>
      </c>
      <c r="D50" s="49">
        <f t="shared" si="0"/>
        <v>6.1311604970797225E-4</v>
      </c>
      <c r="E50" s="49">
        <f t="shared" si="1"/>
        <v>6.1311604970797228E-6</v>
      </c>
      <c r="F50" s="36"/>
      <c r="G50" s="36"/>
    </row>
    <row r="51" spans="1:7" ht="15.75" thickBot="1">
      <c r="A51" s="47">
        <v>50</v>
      </c>
      <c r="B51" s="51">
        <v>1E-3</v>
      </c>
      <c r="C51" s="44">
        <v>2.5399999999999999E-2</v>
      </c>
      <c r="D51" s="49">
        <f t="shared" si="0"/>
        <v>5.0670747909749769E-4</v>
      </c>
      <c r="E51" s="49">
        <f t="shared" si="1"/>
        <v>5.0670747909749768E-6</v>
      </c>
      <c r="F51" s="36"/>
      <c r="G51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Inductor Design Selector</vt:lpstr>
      <vt:lpstr>AWG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McElroy</dc:creator>
  <cp:lastModifiedBy>Scott McElroy</cp:lastModifiedBy>
  <dcterms:created xsi:type="dcterms:W3CDTF">2023-08-23T03:18:10Z</dcterms:created>
  <dcterms:modified xsi:type="dcterms:W3CDTF">2023-09-15T18:30:33Z</dcterms:modified>
</cp:coreProperties>
</file>