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.mcelroy\Desktop\Personal\InductorDesign\inductor_design\"/>
    </mc:Choice>
  </mc:AlternateContent>
  <xr:revisionPtr revIDLastSave="0" documentId="13_ncr:1_{4B30671C-2035-4887-A709-42AD9A380F6C}" xr6:coauthVersionLast="47" xr6:coauthVersionMax="47" xr10:uidLastSave="{00000000-0000-0000-0000-000000000000}"/>
  <bookViews>
    <workbookView xWindow="-96" yWindow="0" windowWidth="11712" windowHeight="12336" xr2:uid="{880F8341-2F0F-419A-8A65-B6E7E097180D}"/>
  </bookViews>
  <sheets>
    <sheet name="Inductor Design Selector" sheetId="1" r:id="rId1"/>
    <sheet name="AWG Cha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1" l="1"/>
  <c r="F25" i="1"/>
  <c r="F60" i="1"/>
  <c r="F59" i="1"/>
  <c r="F58" i="1"/>
  <c r="F16" i="1"/>
  <c r="F17" i="1"/>
  <c r="AO17" i="1"/>
  <c r="AO16" i="1"/>
  <c r="AJ17" i="1"/>
  <c r="AJ16" i="1"/>
  <c r="AE17" i="1"/>
  <c r="AE16" i="1"/>
  <c r="Z17" i="1"/>
  <c r="Z16" i="1"/>
  <c r="U17" i="1"/>
  <c r="U16" i="1"/>
  <c r="P17" i="1"/>
  <c r="P16" i="1"/>
  <c r="K17" i="1"/>
  <c r="K16" i="1"/>
  <c r="F56" i="1"/>
  <c r="H46" i="1"/>
  <c r="F46" i="1"/>
  <c r="F49" i="1" s="1"/>
  <c r="F50" i="1" s="1"/>
  <c r="B35" i="1"/>
  <c r="B37" i="1"/>
  <c r="F11" i="1"/>
  <c r="F12" i="1"/>
  <c r="F13" i="1"/>
  <c r="F14" i="1"/>
  <c r="F15" i="1"/>
  <c r="F18" i="1"/>
  <c r="B36" i="1" s="1"/>
  <c r="F19" i="1"/>
  <c r="F20" i="1"/>
  <c r="F21" i="1"/>
  <c r="B80" i="1"/>
  <c r="F23" i="1"/>
  <c r="F24" i="1"/>
  <c r="F26" i="1"/>
  <c r="F27" i="1"/>
  <c r="F28" i="1"/>
  <c r="F34" i="1"/>
  <c r="F36" i="1"/>
  <c r="F38" i="1"/>
  <c r="F39" i="1"/>
  <c r="F42" i="1"/>
  <c r="F43" i="1"/>
  <c r="F44" i="1"/>
  <c r="F45" i="1"/>
  <c r="F5" i="1"/>
  <c r="F6" i="1"/>
  <c r="F7" i="1"/>
  <c r="F8" i="1"/>
  <c r="F9" i="1"/>
  <c r="F10" i="1"/>
  <c r="F4" i="1"/>
  <c r="B27" i="1"/>
  <c r="AO28" i="1"/>
  <c r="AJ28" i="1"/>
  <c r="AJ27" i="1" s="1"/>
  <c r="AE28" i="1"/>
  <c r="AE27" i="1" s="1"/>
  <c r="Z28" i="1"/>
  <c r="Z27" i="1" s="1"/>
  <c r="U28" i="1"/>
  <c r="U27" i="1" s="1"/>
  <c r="P28" i="1"/>
  <c r="P27" i="1" s="1"/>
  <c r="K28" i="1"/>
  <c r="K27" i="1"/>
  <c r="K19" i="1"/>
  <c r="K14" i="1"/>
  <c r="K10" i="1"/>
  <c r="K7" i="1"/>
  <c r="K5" i="1"/>
  <c r="P19" i="1"/>
  <c r="P14" i="1"/>
  <c r="P10" i="1"/>
  <c r="P7" i="1"/>
  <c r="P5" i="1"/>
  <c r="Z19" i="1"/>
  <c r="AE19" i="1"/>
  <c r="AE14" i="1"/>
  <c r="AE10" i="1"/>
  <c r="AE7" i="1"/>
  <c r="AE5" i="1"/>
  <c r="AJ19" i="1"/>
  <c r="AJ14" i="1"/>
  <c r="AJ10" i="1"/>
  <c r="AJ7" i="1"/>
  <c r="AJ5" i="1"/>
  <c r="AO27" i="1"/>
  <c r="AO19" i="1"/>
  <c r="AO14" i="1"/>
  <c r="AO10" i="1"/>
  <c r="AO7" i="1"/>
  <c r="AO5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2" i="2"/>
  <c r="B48" i="1"/>
  <c r="B52" i="1" s="1"/>
  <c r="B53" i="1" s="1"/>
  <c r="B87" i="1"/>
  <c r="B74" i="1"/>
  <c r="B79" i="1" s="1"/>
  <c r="B29" i="1"/>
  <c r="U19" i="1"/>
  <c r="U14" i="1"/>
  <c r="U10" i="1"/>
  <c r="U7" i="1"/>
  <c r="U5" i="1"/>
  <c r="B14" i="1"/>
  <c r="B13" i="1"/>
  <c r="B17" i="1"/>
  <c r="B19" i="1" s="1"/>
  <c r="B23" i="1" s="1"/>
  <c r="B8" i="1"/>
  <c r="B10" i="1" s="1"/>
  <c r="B11" i="1" s="1"/>
  <c r="B83" i="1" l="1"/>
  <c r="B85" i="1" s="1"/>
  <c r="B86" i="1"/>
  <c r="B26" i="1"/>
  <c r="B40" i="1"/>
  <c r="B49" i="1"/>
  <c r="B50" i="1"/>
  <c r="B51" i="1" s="1"/>
  <c r="B91" i="1"/>
  <c r="B92" i="1" s="1"/>
  <c r="B89" i="1"/>
  <c r="B90" i="1" s="1"/>
  <c r="B95" i="1"/>
  <c r="B96" i="1" s="1"/>
  <c r="B78" i="1"/>
  <c r="B82" i="1" s="1"/>
  <c r="B88" i="1"/>
  <c r="B28" i="1"/>
  <c r="B93" i="1" l="1"/>
  <c r="B81" i="1"/>
  <c r="B20" i="1"/>
  <c r="B21" i="1"/>
  <c r="B30" i="1" l="1"/>
  <c r="B22" i="1"/>
  <c r="B45" i="1" l="1"/>
  <c r="B46" i="1" s="1"/>
  <c r="B41" i="1"/>
  <c r="B42" i="1" s="1"/>
  <c r="B55" i="1"/>
  <c r="B56" i="1" s="1"/>
  <c r="B57" i="1" s="1"/>
  <c r="B32" i="1"/>
  <c r="B58" i="1" l="1"/>
  <c r="F47" i="1" s="1"/>
  <c r="F48" i="1" s="1"/>
  <c r="F51" i="1" s="1"/>
  <c r="F52" i="1" s="1"/>
  <c r="B59" i="1"/>
  <c r="B34" i="1"/>
  <c r="B33" i="1"/>
  <c r="B60" i="1" l="1"/>
</calcChain>
</file>

<file path=xl/sharedStrings.xml><?xml version="1.0" encoding="utf-8"?>
<sst xmlns="http://schemas.openxmlformats.org/spreadsheetml/2006/main" count="636" uniqueCount="195">
  <si>
    <t>Vin</t>
  </si>
  <si>
    <t>V</t>
  </si>
  <si>
    <t>Vout</t>
  </si>
  <si>
    <t>Topology</t>
  </si>
  <si>
    <t>Buck</t>
  </si>
  <si>
    <t>Iout</t>
  </si>
  <si>
    <t>A</t>
  </si>
  <si>
    <t>efficiency</t>
  </si>
  <si>
    <t>Pout</t>
  </si>
  <si>
    <t>W</t>
  </si>
  <si>
    <t>Pin</t>
  </si>
  <si>
    <t>Iin</t>
  </si>
  <si>
    <t>Inductor</t>
  </si>
  <si>
    <t>I_ind_DC</t>
  </si>
  <si>
    <t>I_ripple</t>
  </si>
  <si>
    <t>I_ripple_percent</t>
  </si>
  <si>
    <t>I_peak</t>
  </si>
  <si>
    <t>%</t>
  </si>
  <si>
    <t>Energy - Wm</t>
  </si>
  <si>
    <t>H</t>
  </si>
  <si>
    <t>Frequency</t>
  </si>
  <si>
    <t>Hz</t>
  </si>
  <si>
    <t>Duty</t>
  </si>
  <si>
    <t>Ts</t>
  </si>
  <si>
    <t>seconds</t>
  </si>
  <si>
    <t>Area Product Ap</t>
  </si>
  <si>
    <t>Saturation Flux Density Bm</t>
  </si>
  <si>
    <t>Tesla</t>
  </si>
  <si>
    <t>A/m^2</t>
  </si>
  <si>
    <t>A/mm^2</t>
  </si>
  <si>
    <t>m^4</t>
  </si>
  <si>
    <t>mm^4</t>
  </si>
  <si>
    <t>Ferrite Core</t>
  </si>
  <si>
    <t>Type</t>
  </si>
  <si>
    <t>ETD44</t>
  </si>
  <si>
    <t>Magnetic Path Length (MPL)</t>
  </si>
  <si>
    <t>Mean Length per Turn (MLT)</t>
  </si>
  <si>
    <t>Core Weight (Wfte)</t>
  </si>
  <si>
    <t>Cross Sectional Area (Ac)</t>
  </si>
  <si>
    <t>Window Area (Wa)</t>
  </si>
  <si>
    <t>Surface Area (At)</t>
  </si>
  <si>
    <t>Core Dimensions</t>
  </si>
  <si>
    <t>Length</t>
  </si>
  <si>
    <t>Width</t>
  </si>
  <si>
    <t>Height</t>
  </si>
  <si>
    <t>mm</t>
  </si>
  <si>
    <t>Center Post Diameter</t>
  </si>
  <si>
    <t>Center Post Radius</t>
  </si>
  <si>
    <t>mm^2</t>
  </si>
  <si>
    <t>Window Width</t>
  </si>
  <si>
    <t>Window Height</t>
  </si>
  <si>
    <t>Outer wall to outer wall width</t>
  </si>
  <si>
    <t>Effective Volume</t>
  </si>
  <si>
    <t>mm^3</t>
  </si>
  <si>
    <t>Effective Cross Section (Ae)</t>
  </si>
  <si>
    <t>I_Lrms</t>
  </si>
  <si>
    <t>Arms</t>
  </si>
  <si>
    <t>N</t>
  </si>
  <si>
    <t>turns</t>
  </si>
  <si>
    <t>Ke</t>
  </si>
  <si>
    <t>cm^5</t>
  </si>
  <si>
    <t>Kg (cm^5)</t>
  </si>
  <si>
    <t>Kg (mm^5)</t>
  </si>
  <si>
    <t>mm^5</t>
  </si>
  <si>
    <t>Kg (core, mm^5)</t>
  </si>
  <si>
    <t>Kg (core, cm^5)</t>
  </si>
  <si>
    <t>cm^4</t>
  </si>
  <si>
    <t>Ap (calc - cm)</t>
  </si>
  <si>
    <t>Ap (calc - mm)</t>
  </si>
  <si>
    <t>Ap Method</t>
  </si>
  <si>
    <t>Power Stage Parameters</t>
  </si>
  <si>
    <t>Core Parameters</t>
  </si>
  <si>
    <t>A/cm^2</t>
  </si>
  <si>
    <t>Kg Method</t>
  </si>
  <si>
    <t>cm^2</t>
  </si>
  <si>
    <t>Window S parameters</t>
  </si>
  <si>
    <t>S1 (conductor area/wire area)</t>
  </si>
  <si>
    <t>S2 (wound area/usable window area)</t>
  </si>
  <si>
    <t>S3 (usable window area/window area)</t>
  </si>
  <si>
    <t>S4 (usable window area/(usable window area+insulation))</t>
  </si>
  <si>
    <t>Window Area (Wa) effective</t>
  </si>
  <si>
    <t>cm</t>
  </si>
  <si>
    <t>Bare Wire Area (Calc)</t>
  </si>
  <si>
    <t>Number of strands</t>
  </si>
  <si>
    <t>strands</t>
  </si>
  <si>
    <t>Resistance (uOhm/cm)</t>
  </si>
  <si>
    <r>
      <rPr>
        <b/>
        <sz val="11"/>
        <color theme="1"/>
        <rFont val="Calibri"/>
        <family val="2"/>
      </rPr>
      <t>µΩ</t>
    </r>
    <r>
      <rPr>
        <b/>
        <i/>
        <sz val="11"/>
        <color theme="1"/>
        <rFont val="Calibri"/>
        <family val="2"/>
        <scheme val="minor"/>
      </rPr>
      <t>/cm</t>
    </r>
  </si>
  <si>
    <r>
      <rPr>
        <b/>
        <sz val="11"/>
        <color theme="1"/>
        <rFont val="Calibri"/>
        <family val="2"/>
      </rPr>
      <t>Ω</t>
    </r>
    <r>
      <rPr>
        <b/>
        <i/>
        <sz val="11"/>
        <color theme="1"/>
        <rFont val="Calibri"/>
        <family val="2"/>
        <scheme val="minor"/>
      </rPr>
      <t>/km</t>
    </r>
  </si>
  <si>
    <t>Resistance (Ohm/km)</t>
  </si>
  <si>
    <t>N (rounded)</t>
  </si>
  <si>
    <t>lg (gapped length)</t>
  </si>
  <si>
    <t>Effective Permeability (Urc)</t>
  </si>
  <si>
    <t>Permeability</t>
  </si>
  <si>
    <t>Epocs</t>
  </si>
  <si>
    <t>ETD39</t>
  </si>
  <si>
    <t>grams</t>
  </si>
  <si>
    <t>Notes:</t>
  </si>
  <si>
    <r>
      <t xml:space="preserve">Ap </t>
    </r>
    <r>
      <rPr>
        <b/>
        <i/>
        <sz val="11"/>
        <color theme="1"/>
        <rFont val="Calibri"/>
        <family val="2"/>
        <scheme val="minor"/>
      </rPr>
      <t>decreases</t>
    </r>
    <r>
      <rPr>
        <i/>
        <sz val="11"/>
        <color theme="1"/>
        <rFont val="Calibri"/>
        <family val="2"/>
        <scheme val="minor"/>
      </rPr>
      <t xml:space="preserve"> with </t>
    </r>
    <r>
      <rPr>
        <b/>
        <i/>
        <sz val="11"/>
        <color theme="1"/>
        <rFont val="Calibri"/>
        <family val="2"/>
        <scheme val="minor"/>
      </rPr>
      <t>increased</t>
    </r>
    <r>
      <rPr>
        <i/>
        <sz val="11"/>
        <color theme="1"/>
        <rFont val="Calibri"/>
        <family val="2"/>
        <scheme val="minor"/>
      </rPr>
      <t xml:space="preserve"> current density</t>
    </r>
  </si>
  <si>
    <r>
      <t xml:space="preserve">Ap </t>
    </r>
    <r>
      <rPr>
        <b/>
        <i/>
        <sz val="11"/>
        <color theme="1"/>
        <rFont val="Calibri"/>
        <family val="2"/>
        <scheme val="minor"/>
      </rPr>
      <t>increases</t>
    </r>
    <r>
      <rPr>
        <i/>
        <sz val="11"/>
        <color theme="1"/>
        <rFont val="Calibri"/>
        <family val="2"/>
        <scheme val="minor"/>
      </rPr>
      <t xml:space="preserve"> with </t>
    </r>
    <r>
      <rPr>
        <b/>
        <i/>
        <sz val="11"/>
        <color theme="1"/>
        <rFont val="Calibri"/>
        <family val="2"/>
        <scheme val="minor"/>
      </rPr>
      <t>increased</t>
    </r>
    <r>
      <rPr>
        <i/>
        <sz val="11"/>
        <color theme="1"/>
        <rFont val="Calibri"/>
        <family val="2"/>
        <scheme val="minor"/>
      </rPr>
      <t xml:space="preserve"> energy</t>
    </r>
  </si>
  <si>
    <r>
      <t xml:space="preserve">Ap </t>
    </r>
    <r>
      <rPr>
        <b/>
        <i/>
        <sz val="11"/>
        <color theme="1"/>
        <rFont val="Calibri"/>
        <family val="2"/>
        <scheme val="minor"/>
      </rPr>
      <t>decreases</t>
    </r>
    <r>
      <rPr>
        <i/>
        <sz val="11"/>
        <color theme="1"/>
        <rFont val="Calibri"/>
        <family val="2"/>
        <scheme val="minor"/>
      </rPr>
      <t xml:space="preserve"> with </t>
    </r>
    <r>
      <rPr>
        <b/>
        <i/>
        <sz val="11"/>
        <color theme="1"/>
        <rFont val="Calibri"/>
        <family val="2"/>
        <scheme val="minor"/>
      </rPr>
      <t>increased</t>
    </r>
    <r>
      <rPr>
        <i/>
        <sz val="11"/>
        <color theme="1"/>
        <rFont val="Calibri"/>
        <family val="2"/>
        <scheme val="minor"/>
      </rPr>
      <t xml:space="preserve"> Bsat</t>
    </r>
  </si>
  <si>
    <r>
      <t xml:space="preserve">Ap </t>
    </r>
    <r>
      <rPr>
        <b/>
        <i/>
        <sz val="11"/>
        <color theme="1"/>
        <rFont val="Calibri"/>
        <family val="2"/>
        <scheme val="minor"/>
      </rPr>
      <t>increases</t>
    </r>
    <r>
      <rPr>
        <i/>
        <sz val="11"/>
        <color theme="1"/>
        <rFont val="Calibri"/>
        <family val="2"/>
        <scheme val="minor"/>
      </rPr>
      <t xml:space="preserve"> with </t>
    </r>
    <r>
      <rPr>
        <b/>
        <i/>
        <sz val="11"/>
        <color theme="1"/>
        <rFont val="Calibri"/>
        <family val="2"/>
        <scheme val="minor"/>
      </rPr>
      <t>decreased</t>
    </r>
    <r>
      <rPr>
        <i/>
        <sz val="11"/>
        <color theme="1"/>
        <rFont val="Calibri"/>
        <family val="2"/>
        <scheme val="minor"/>
      </rPr>
      <t xml:space="preserve"> window utilization</t>
    </r>
  </si>
  <si>
    <t>L_ind (calc)</t>
  </si>
  <si>
    <t>L_ind (selected)</t>
  </si>
  <si>
    <t>Area Product (Ap)</t>
  </si>
  <si>
    <t>AL (mH/1K turns)</t>
  </si>
  <si>
    <t>Epcos</t>
  </si>
  <si>
    <t>Guess and check method</t>
  </si>
  <si>
    <t>Core Area (Ac)</t>
  </si>
  <si>
    <t>Core selected</t>
  </si>
  <si>
    <t>ETD-44</t>
  </si>
  <si>
    <t>gap (lg)</t>
  </si>
  <si>
    <t>Turns (N)</t>
  </si>
  <si>
    <t>Inductance (from gap)</t>
  </si>
  <si>
    <t>Inductance (from gap and permeability)</t>
  </si>
  <si>
    <t>effective permeability (ue)</t>
  </si>
  <si>
    <t>effective permeability from gap (ue_gap)</t>
  </si>
  <si>
    <t>Flux Density (Bdc) - using lg and um</t>
  </si>
  <si>
    <t>Flux Density (Bdc) - using ue</t>
  </si>
  <si>
    <t>Gap Needed with selected core and Bsat</t>
  </si>
  <si>
    <t>m</t>
  </si>
  <si>
    <t>Winding Length</t>
  </si>
  <si>
    <t>Fringing Factor</t>
  </si>
  <si>
    <t>Inductance (from gap plus fringe)</t>
  </si>
  <si>
    <t>Inductance (from gap and permeability and fringe)</t>
  </si>
  <si>
    <t>Hac_max</t>
  </si>
  <si>
    <t>A*T/cm</t>
  </si>
  <si>
    <t>Bac_max</t>
  </si>
  <si>
    <t>Hac_min</t>
  </si>
  <si>
    <t>Bac_min</t>
  </si>
  <si>
    <t>Bac/2 (for loss curve)</t>
  </si>
  <si>
    <t>Saturation Flux Density (for saturation)</t>
  </si>
  <si>
    <t>Power Loss based on graph</t>
  </si>
  <si>
    <t>mW</t>
  </si>
  <si>
    <t>mW/cm^3</t>
  </si>
  <si>
    <t>Core Power Loss (W)</t>
  </si>
  <si>
    <t>Core Power Loss (mW)</t>
  </si>
  <si>
    <t>ETD-59</t>
  </si>
  <si>
    <t>Bare Wire Diameter (Calc)</t>
  </si>
  <si>
    <t>Bare Wire Area (Selected)</t>
  </si>
  <si>
    <t>Number of strands (rounded)</t>
  </si>
  <si>
    <t>Bare Wire Diamter (selected)</t>
  </si>
  <si>
    <t>Bare Wire Diameter (selected)</t>
  </si>
  <si>
    <t>Bare Wire Total Area (selected)</t>
  </si>
  <si>
    <t>Air gaps in lay pattern of litz</t>
  </si>
  <si>
    <t>Wire Skin Depth (cm)</t>
  </si>
  <si>
    <t>Wire Skin Depth (mm)</t>
  </si>
  <si>
    <t>Max Wire Diameter (cm)</t>
  </si>
  <si>
    <t>Max Wire Diameter (mm)</t>
  </si>
  <si>
    <t>Max Wire Area (cm)</t>
  </si>
  <si>
    <t>Max Wire Area (mm)</t>
  </si>
  <si>
    <t>AWG Gauge</t>
  </si>
  <si>
    <t>Conductor Diameter (Inches)</t>
  </si>
  <si>
    <t>Conductor Diameter (mm)</t>
  </si>
  <si>
    <t>Conductor cross section area (mm^2)</t>
  </si>
  <si>
    <t>Ohm/1000ft</t>
  </si>
  <si>
    <t>Ohm/1000m</t>
  </si>
  <si>
    <t>Conductor cross section area (cm^2)</t>
  </si>
  <si>
    <t>Skin Depth (Inductor, AC and DC current)</t>
  </si>
  <si>
    <t>Larger Wire Diameter can be selected since ripple gives AC current in inductor</t>
  </si>
  <si>
    <t>Skin Depth (Standard AC and Transformer)</t>
  </si>
  <si>
    <t>New Diameter</t>
  </si>
  <si>
    <t>New Bare Wire Area (cm)</t>
  </si>
  <si>
    <t>Selected Wire Diameter (cm) - based on current and density</t>
  </si>
  <si>
    <t>Inductor AC current density</t>
  </si>
  <si>
    <t>Wire Selection (AC and Transformer)</t>
  </si>
  <si>
    <r>
      <rPr>
        <b/>
        <sz val="11"/>
        <color theme="1"/>
        <rFont val="Calibri"/>
        <family val="2"/>
        <scheme val="minor"/>
      </rPr>
      <t>Total Inductor</t>
    </r>
    <r>
      <rPr>
        <sz val="11"/>
        <color theme="1"/>
        <rFont val="Calibri"/>
        <family val="2"/>
        <scheme val="minor"/>
      </rPr>
      <t xml:space="preserve"> AC+DC New Bare Wire Area (mm)</t>
    </r>
  </si>
  <si>
    <t>AC Wire</t>
  </si>
  <si>
    <t>AC + DC</t>
  </si>
  <si>
    <t>Dowell K factor (layer proximity effect)</t>
  </si>
  <si>
    <t>ETD59</t>
  </si>
  <si>
    <t>ETD54</t>
  </si>
  <si>
    <t>ETD49</t>
  </si>
  <si>
    <t>ETD34</t>
  </si>
  <si>
    <t>ETD29</t>
  </si>
  <si>
    <t>Window Utilization Factor (Ku)</t>
  </si>
  <si>
    <t>Inductor Design Calculator (2 separate independent design selections, Core and Wire)</t>
  </si>
  <si>
    <t>Flux Density Swing (without Fringing Flux)</t>
  </si>
  <si>
    <t>Step 1</t>
  </si>
  <si>
    <t>Choose core based on Kg or Ap</t>
  </si>
  <si>
    <t xml:space="preserve">Step 2 </t>
  </si>
  <si>
    <t>Choose Wire Guage and Number of strands</t>
  </si>
  <si>
    <t>Step 3</t>
  </si>
  <si>
    <t>Figure out the number of turns</t>
  </si>
  <si>
    <t>Step 4</t>
  </si>
  <si>
    <t>Determine core loss and flux density</t>
  </si>
  <si>
    <t>Current Density (m^2) - selected</t>
  </si>
  <si>
    <t>Current Density (mm^2) - selected</t>
  </si>
  <si>
    <t>Current Density (m^2) - calculated based on core</t>
  </si>
  <si>
    <t>Current Density (mm^2) - calculated based on core</t>
  </si>
  <si>
    <t>AWG</t>
  </si>
  <si>
    <t>Strand Cluster</t>
  </si>
  <si>
    <t>Number of Clusters</t>
  </si>
  <si>
    <t>Number of possible turns /select core</t>
  </si>
  <si>
    <t>Possible turns /select core (rounded)</t>
  </si>
  <si>
    <t>Gapped 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</si>
</sst>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E+00"/>
    <numFmt numFmtId="165" formatCode="0.000"/>
    <numFmt numFmtId="166" formatCode="0.0000"/>
    <numFmt numFmtId="170" formatCode="0.000000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9"/>
      <name val="Geneva"/>
    </font>
    <font>
      <b/>
      <i/>
      <sz val="10"/>
      <color indexed="56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2" fillId="0" borderId="0"/>
    <xf numFmtId="0" fontId="13" fillId="0" borderId="0"/>
  </cellStyleXfs>
  <cellXfs count="8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3" borderId="2" xfId="0" applyFill="1" applyBorder="1"/>
    <xf numFmtId="0" fontId="1" fillId="3" borderId="2" xfId="0" applyFont="1" applyFill="1" applyBorder="1"/>
    <xf numFmtId="0" fontId="4" fillId="3" borderId="2" xfId="0" applyFont="1" applyFill="1" applyBorder="1"/>
    <xf numFmtId="0" fontId="3" fillId="3" borderId="2" xfId="0" applyFont="1" applyFill="1" applyBorder="1"/>
    <xf numFmtId="0" fontId="4" fillId="4" borderId="2" xfId="0" applyFont="1" applyFill="1" applyBorder="1"/>
    <xf numFmtId="0" fontId="3" fillId="4" borderId="2" xfId="0" applyFont="1" applyFill="1" applyBorder="1"/>
    <xf numFmtId="0" fontId="1" fillId="4" borderId="2" xfId="0" applyFont="1" applyFill="1" applyBorder="1"/>
    <xf numFmtId="0" fontId="0" fillId="4" borderId="2" xfId="0" applyFill="1" applyBorder="1"/>
    <xf numFmtId="0" fontId="6" fillId="5" borderId="2" xfId="0" applyFont="1" applyFill="1" applyBorder="1"/>
    <xf numFmtId="0" fontId="7" fillId="5" borderId="2" xfId="0" applyFont="1" applyFill="1" applyBorder="1"/>
    <xf numFmtId="0" fontId="8" fillId="5" borderId="2" xfId="0" applyFont="1" applyFill="1" applyBorder="1"/>
    <xf numFmtId="0" fontId="5" fillId="5" borderId="2" xfId="0" applyFont="1" applyFill="1" applyBorder="1"/>
    <xf numFmtId="0" fontId="3" fillId="6" borderId="2" xfId="0" applyFont="1" applyFill="1" applyBorder="1"/>
    <xf numFmtId="0" fontId="1" fillId="6" borderId="2" xfId="0" applyFont="1" applyFill="1" applyBorder="1"/>
    <xf numFmtId="0" fontId="6" fillId="8" borderId="2" xfId="0" applyFont="1" applyFill="1" applyBorder="1"/>
    <xf numFmtId="0" fontId="7" fillId="8" borderId="2" xfId="0" applyFont="1" applyFill="1" applyBorder="1"/>
    <xf numFmtId="0" fontId="8" fillId="8" borderId="2" xfId="0" applyFont="1" applyFill="1" applyBorder="1"/>
    <xf numFmtId="0" fontId="4" fillId="2" borderId="2" xfId="0" applyFont="1" applyFill="1" applyBorder="1"/>
    <xf numFmtId="0" fontId="0" fillId="9" borderId="2" xfId="0" applyFill="1" applyBorder="1"/>
    <xf numFmtId="0" fontId="1" fillId="9" borderId="2" xfId="0" applyFont="1" applyFill="1" applyBorder="1"/>
    <xf numFmtId="0" fontId="4" fillId="9" borderId="2" xfId="0" applyFont="1" applyFill="1" applyBorder="1"/>
    <xf numFmtId="0" fontId="3" fillId="9" borderId="2" xfId="0" applyFont="1" applyFill="1" applyBorder="1"/>
    <xf numFmtId="0" fontId="5" fillId="8" borderId="2" xfId="0" applyFont="1" applyFill="1" applyBorder="1"/>
    <xf numFmtId="0" fontId="6" fillId="8" borderId="0" xfId="0" applyFont="1" applyFill="1"/>
    <xf numFmtId="0" fontId="5" fillId="8" borderId="0" xfId="0" applyFont="1" applyFill="1"/>
    <xf numFmtId="0" fontId="1" fillId="0" borderId="2" xfId="0" applyFont="1" applyBorder="1"/>
    <xf numFmtId="0" fontId="4" fillId="0" borderId="2" xfId="0" applyFont="1" applyBorder="1"/>
    <xf numFmtId="0" fontId="3" fillId="0" borderId="2" xfId="0" applyFont="1" applyBorder="1"/>
    <xf numFmtId="0" fontId="0" fillId="0" borderId="2" xfId="0" applyBorder="1"/>
    <xf numFmtId="0" fontId="4" fillId="2" borderId="0" xfId="0" applyFont="1" applyFill="1"/>
    <xf numFmtId="11" fontId="4" fillId="2" borderId="0" xfId="0" applyNumberFormat="1" applyFont="1" applyFill="1"/>
    <xf numFmtId="0" fontId="0" fillId="2" borderId="0" xfId="0" applyFill="1"/>
    <xf numFmtId="165" fontId="12" fillId="0" borderId="2" xfId="2" applyNumberFormat="1" applyFont="1" applyBorder="1" applyAlignment="1">
      <alignment horizontal="center"/>
    </xf>
    <xf numFmtId="2" fontId="12" fillId="0" borderId="2" xfId="2" applyNumberFormat="1" applyFont="1" applyBorder="1" applyAlignment="1">
      <alignment horizontal="center"/>
    </xf>
    <xf numFmtId="0" fontId="11" fillId="8" borderId="0" xfId="0" applyFont="1" applyFill="1"/>
    <xf numFmtId="0" fontId="14" fillId="0" borderId="2" xfId="1" applyFont="1" applyBorder="1" applyAlignment="1">
      <alignment horizontal="center"/>
    </xf>
    <xf numFmtId="0" fontId="0" fillId="2" borderId="2" xfId="0" applyFill="1" applyBorder="1"/>
    <xf numFmtId="0" fontId="0" fillId="0" borderId="2" xfId="0" applyBorder="1" applyAlignment="1">
      <alignment horizontal="center" vertical="center"/>
    </xf>
    <xf numFmtId="166" fontId="12" fillId="0" borderId="3" xfId="1" applyNumberFormat="1" applyBorder="1" applyAlignment="1">
      <alignment horizontal="center"/>
    </xf>
    <xf numFmtId="166" fontId="12" fillId="0" borderId="4" xfId="1" applyNumberFormat="1" applyBorder="1" applyAlignment="1">
      <alignment horizontal="center"/>
    </xf>
    <xf numFmtId="0" fontId="4" fillId="4" borderId="2" xfId="0" applyFont="1" applyFill="1" applyBorder="1" applyAlignment="1">
      <alignment horizontal="right"/>
    </xf>
    <xf numFmtId="164" fontId="4" fillId="4" borderId="2" xfId="0" applyNumberFormat="1" applyFont="1" applyFill="1" applyBorder="1"/>
    <xf numFmtId="0" fontId="9" fillId="2" borderId="0" xfId="0" applyFont="1" applyFill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170" fontId="4" fillId="4" borderId="2" xfId="0" applyNumberFormat="1" applyFont="1" applyFill="1" applyBorder="1"/>
    <xf numFmtId="0" fontId="1" fillId="9" borderId="5" xfId="0" applyFont="1" applyFill="1" applyBorder="1"/>
    <xf numFmtId="0" fontId="3" fillId="9" borderId="6" xfId="0" applyFont="1" applyFill="1" applyBorder="1"/>
    <xf numFmtId="0" fontId="4" fillId="9" borderId="7" xfId="0" applyFont="1" applyFill="1" applyBorder="1"/>
    <xf numFmtId="0" fontId="4" fillId="9" borderId="8" xfId="0" applyFont="1" applyFill="1" applyBorder="1"/>
    <xf numFmtId="0" fontId="4" fillId="2" borderId="9" xfId="0" applyFont="1" applyFill="1" applyBorder="1"/>
    <xf numFmtId="0" fontId="4" fillId="2" borderId="10" xfId="0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1" fillId="6" borderId="5" xfId="0" applyFont="1" applyFill="1" applyBorder="1"/>
    <xf numFmtId="0" fontId="3" fillId="6" borderId="6" xfId="0" applyFont="1" applyFill="1" applyBorder="1"/>
    <xf numFmtId="0" fontId="4" fillId="6" borderId="7" xfId="0" applyFont="1" applyFill="1" applyBorder="1"/>
    <xf numFmtId="2" fontId="4" fillId="2" borderId="9" xfId="0" applyNumberFormat="1" applyFont="1" applyFill="1" applyBorder="1"/>
    <xf numFmtId="0" fontId="1" fillId="7" borderId="5" xfId="0" applyFont="1" applyFill="1" applyBorder="1"/>
    <xf numFmtId="0" fontId="3" fillId="7" borderId="6" xfId="0" applyFont="1" applyFill="1" applyBorder="1"/>
    <xf numFmtId="0" fontId="7" fillId="8" borderId="7" xfId="0" applyFont="1" applyFill="1" applyBorder="1"/>
    <xf numFmtId="0" fontId="0" fillId="8" borderId="0" xfId="0" applyFill="1"/>
    <xf numFmtId="0" fontId="1" fillId="4" borderId="11" xfId="0" applyFont="1" applyFill="1" applyBorder="1"/>
    <xf numFmtId="0" fontId="3" fillId="4" borderId="11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9" borderId="7" xfId="0" applyFont="1" applyFill="1" applyBorder="1"/>
    <xf numFmtId="0" fontId="1" fillId="9" borderId="8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0" fillId="3" borderId="2" xfId="0" applyFont="1" applyFill="1" applyBorder="1"/>
    <xf numFmtId="0" fontId="1" fillId="3" borderId="0" xfId="0" applyFont="1" applyFill="1" applyBorder="1"/>
  </cellXfs>
  <cellStyles count="3">
    <cellStyle name="Normal" xfId="0" builtinId="0"/>
    <cellStyle name="Normal 2" xfId="1" xr:uid="{457033D9-35F8-4289-8F29-00C2CB8A1ED8}"/>
    <cellStyle name="Normal_EngTools" xfId="2" xr:uid="{8C25D150-F226-460F-86A3-0B7268181B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D8677-D162-484C-A08B-46DF1FF04C8F}">
  <dimension ref="A1:AQ96"/>
  <sheetViews>
    <sheetView tabSelected="1" topLeftCell="D45" zoomScale="117" zoomScaleNormal="80" workbookViewId="0">
      <selection activeCell="F30" sqref="F30"/>
    </sheetView>
  </sheetViews>
  <sheetFormatPr defaultRowHeight="15"/>
  <cols>
    <col min="1" max="1" width="53.85546875" bestFit="1" customWidth="1"/>
    <col min="2" max="2" width="13.85546875" bestFit="1" customWidth="1"/>
    <col min="3" max="3" width="11.28515625" bestFit="1" customWidth="1"/>
    <col min="5" max="5" width="33.28515625" bestFit="1" customWidth="1"/>
    <col min="6" max="6" width="12.5703125" bestFit="1" customWidth="1"/>
    <col min="10" max="10" width="27.140625" bestFit="1" customWidth="1"/>
    <col min="11" max="11" width="12.5703125" bestFit="1" customWidth="1"/>
    <col min="15" max="15" width="27.140625" bestFit="1" customWidth="1"/>
    <col min="16" max="16" width="12.5703125" bestFit="1" customWidth="1"/>
    <col min="20" max="20" width="34.28515625" bestFit="1" customWidth="1"/>
    <col min="21" max="21" width="9.42578125" bestFit="1" customWidth="1"/>
    <col min="25" max="25" width="35.28515625" bestFit="1" customWidth="1"/>
    <col min="26" max="26" width="11.5703125" bestFit="1" customWidth="1"/>
    <col min="30" max="30" width="35.28515625" bestFit="1" customWidth="1"/>
    <col min="35" max="35" width="35.28515625" bestFit="1" customWidth="1"/>
    <col min="40" max="40" width="27" bestFit="1" customWidth="1"/>
    <col min="45" max="45" width="27" bestFit="1" customWidth="1"/>
  </cols>
  <sheetData>
    <row r="1" spans="1:43" ht="31.5">
      <c r="A1" s="47" t="s">
        <v>175</v>
      </c>
      <c r="B1" s="47"/>
      <c r="C1" s="47"/>
      <c r="D1" s="47"/>
      <c r="E1" s="47"/>
      <c r="F1" s="47"/>
      <c r="G1" s="47"/>
      <c r="H1" s="47"/>
      <c r="I1" s="47"/>
      <c r="J1" s="47"/>
      <c r="K1" s="51"/>
      <c r="L1" s="51"/>
      <c r="M1" s="51"/>
      <c r="N1" s="51"/>
      <c r="O1" s="51"/>
      <c r="P1" s="51"/>
      <c r="Q1" s="51"/>
      <c r="R1" s="51"/>
      <c r="S1" s="51"/>
    </row>
    <row r="2" spans="1:43" ht="31.5">
      <c r="A2" s="48"/>
      <c r="B2" s="48"/>
      <c r="C2" s="48"/>
      <c r="D2" s="48"/>
      <c r="E2" s="48"/>
      <c r="F2" s="48"/>
      <c r="G2" s="48"/>
      <c r="H2" s="48"/>
      <c r="I2" s="48"/>
      <c r="J2" s="48"/>
      <c r="K2" s="52"/>
      <c r="L2" s="52"/>
      <c r="M2" s="52"/>
      <c r="N2" s="52"/>
      <c r="O2" s="52"/>
      <c r="P2" s="52"/>
      <c r="Q2" s="52"/>
      <c r="R2" s="52"/>
      <c r="S2" s="52"/>
    </row>
    <row r="3" spans="1:43">
      <c r="A3" s="13" t="s">
        <v>70</v>
      </c>
      <c r="B3" s="16"/>
      <c r="C3" s="16"/>
      <c r="E3" s="19" t="s">
        <v>32</v>
      </c>
      <c r="F3" s="27"/>
      <c r="G3" s="27"/>
      <c r="H3" s="27"/>
      <c r="I3" s="69"/>
      <c r="J3" s="19" t="s">
        <v>32</v>
      </c>
      <c r="K3" s="27"/>
      <c r="L3" s="27"/>
      <c r="M3" s="27"/>
      <c r="O3" s="19" t="s">
        <v>32</v>
      </c>
      <c r="P3" s="27"/>
      <c r="Q3" s="27"/>
      <c r="R3" s="27"/>
      <c r="T3" s="19" t="s">
        <v>32</v>
      </c>
      <c r="U3" s="27"/>
      <c r="V3" s="27"/>
      <c r="W3" s="27"/>
      <c r="Y3" s="19" t="s">
        <v>32</v>
      </c>
      <c r="Z3" s="27"/>
      <c r="AA3" s="27"/>
      <c r="AB3" s="27"/>
      <c r="AD3" s="19" t="s">
        <v>32</v>
      </c>
      <c r="AE3" s="27"/>
      <c r="AF3" s="27"/>
      <c r="AG3" s="27"/>
      <c r="AI3" s="19" t="s">
        <v>32</v>
      </c>
      <c r="AJ3" s="27"/>
      <c r="AK3" s="27"/>
      <c r="AL3" s="27"/>
      <c r="AN3" s="19" t="s">
        <v>32</v>
      </c>
      <c r="AO3" s="27"/>
      <c r="AP3" s="27"/>
      <c r="AQ3" s="27"/>
    </row>
    <row r="4" spans="1:43">
      <c r="A4" s="11" t="s">
        <v>3</v>
      </c>
      <c r="B4" s="45" t="s">
        <v>4</v>
      </c>
      <c r="C4" s="12"/>
      <c r="E4" s="23" t="s">
        <v>33</v>
      </c>
      <c r="F4" s="24" t="str">
        <f>AJ4</f>
        <v>ETD54</v>
      </c>
      <c r="G4" s="23" t="s">
        <v>93</v>
      </c>
      <c r="H4" s="23"/>
      <c r="I4" s="69"/>
      <c r="J4" s="23" t="s">
        <v>33</v>
      </c>
      <c r="K4" s="24" t="s">
        <v>173</v>
      </c>
      <c r="L4" s="23" t="s">
        <v>105</v>
      </c>
      <c r="M4" s="23"/>
      <c r="O4" s="23" t="s">
        <v>33</v>
      </c>
      <c r="P4" s="24" t="s">
        <v>172</v>
      </c>
      <c r="Q4" s="23" t="s">
        <v>105</v>
      </c>
      <c r="R4" s="23"/>
      <c r="T4" s="23" t="s">
        <v>33</v>
      </c>
      <c r="U4" s="24" t="s">
        <v>94</v>
      </c>
      <c r="V4" s="23" t="s">
        <v>105</v>
      </c>
      <c r="W4" s="23"/>
      <c r="Y4" s="23" t="s">
        <v>33</v>
      </c>
      <c r="Z4" s="24" t="s">
        <v>34</v>
      </c>
      <c r="AA4" s="23" t="s">
        <v>93</v>
      </c>
      <c r="AB4" s="23"/>
      <c r="AD4" s="23" t="s">
        <v>33</v>
      </c>
      <c r="AE4" s="24" t="s">
        <v>171</v>
      </c>
      <c r="AF4" s="23" t="s">
        <v>105</v>
      </c>
      <c r="AG4" s="23"/>
      <c r="AI4" s="23" t="s">
        <v>33</v>
      </c>
      <c r="AJ4" s="24" t="s">
        <v>170</v>
      </c>
      <c r="AK4" s="23" t="s">
        <v>105</v>
      </c>
      <c r="AL4" s="23"/>
      <c r="AN4" s="23" t="s">
        <v>33</v>
      </c>
      <c r="AO4" s="24" t="s">
        <v>169</v>
      </c>
      <c r="AP4" s="23" t="s">
        <v>105</v>
      </c>
      <c r="AQ4" s="23"/>
    </row>
    <row r="5" spans="1:43">
      <c r="A5" s="11" t="s">
        <v>0</v>
      </c>
      <c r="B5" s="9">
        <v>170</v>
      </c>
      <c r="C5" s="10" t="s">
        <v>1</v>
      </c>
      <c r="E5" s="24" t="s">
        <v>35</v>
      </c>
      <c r="F5" s="24">
        <f t="shared" ref="F5:F64" si="0">AJ5</f>
        <v>127</v>
      </c>
      <c r="G5" s="26" t="s">
        <v>45</v>
      </c>
      <c r="H5" s="23"/>
      <c r="I5" s="69"/>
      <c r="J5" s="24" t="s">
        <v>35</v>
      </c>
      <c r="K5" s="25">
        <f>K6*10</f>
        <v>72</v>
      </c>
      <c r="L5" s="26" t="s">
        <v>45</v>
      </c>
      <c r="M5" s="23"/>
      <c r="O5" s="24" t="s">
        <v>35</v>
      </c>
      <c r="P5" s="25">
        <f>P6*10</f>
        <v>78.7</v>
      </c>
      <c r="Q5" s="26" t="s">
        <v>45</v>
      </c>
      <c r="R5" s="23"/>
      <c r="T5" s="24" t="s">
        <v>35</v>
      </c>
      <c r="U5" s="25">
        <f>U6*10</f>
        <v>92.2</v>
      </c>
      <c r="V5" s="26" t="s">
        <v>45</v>
      </c>
      <c r="W5" s="23"/>
      <c r="Y5" s="24" t="s">
        <v>35</v>
      </c>
      <c r="Z5" s="25">
        <v>103</v>
      </c>
      <c r="AA5" s="26" t="s">
        <v>45</v>
      </c>
      <c r="AB5" s="23"/>
      <c r="AD5" s="24" t="s">
        <v>35</v>
      </c>
      <c r="AE5" s="25">
        <f>AE6*10</f>
        <v>114</v>
      </c>
      <c r="AF5" s="26" t="s">
        <v>45</v>
      </c>
      <c r="AG5" s="23"/>
      <c r="AI5" s="24" t="s">
        <v>35</v>
      </c>
      <c r="AJ5" s="25">
        <f>AJ6*10</f>
        <v>127</v>
      </c>
      <c r="AK5" s="26" t="s">
        <v>45</v>
      </c>
      <c r="AL5" s="23"/>
      <c r="AN5" s="24" t="s">
        <v>35</v>
      </c>
      <c r="AO5" s="25">
        <f>AO6*10</f>
        <v>139</v>
      </c>
      <c r="AP5" s="26" t="s">
        <v>45</v>
      </c>
      <c r="AQ5" s="23"/>
    </row>
    <row r="6" spans="1:43">
      <c r="A6" s="11" t="s">
        <v>2</v>
      </c>
      <c r="B6" s="9">
        <v>30</v>
      </c>
      <c r="C6" s="10" t="s">
        <v>1</v>
      </c>
      <c r="E6" s="24" t="s">
        <v>35</v>
      </c>
      <c r="F6" s="24">
        <f t="shared" si="0"/>
        <v>12.7</v>
      </c>
      <c r="G6" s="26" t="s">
        <v>81</v>
      </c>
      <c r="H6" s="23"/>
      <c r="I6" s="69"/>
      <c r="J6" s="24" t="s">
        <v>35</v>
      </c>
      <c r="K6" s="25">
        <v>7.2</v>
      </c>
      <c r="L6" s="26" t="s">
        <v>81</v>
      </c>
      <c r="M6" s="23"/>
      <c r="O6" s="24" t="s">
        <v>35</v>
      </c>
      <c r="P6" s="25">
        <v>7.87</v>
      </c>
      <c r="Q6" s="26" t="s">
        <v>81</v>
      </c>
      <c r="R6" s="23"/>
      <c r="T6" s="24" t="s">
        <v>35</v>
      </c>
      <c r="U6" s="25">
        <v>9.2200000000000006</v>
      </c>
      <c r="V6" s="26" t="s">
        <v>81</v>
      </c>
      <c r="W6" s="23"/>
      <c r="Y6" s="24" t="s">
        <v>35</v>
      </c>
      <c r="Z6" s="25">
        <v>10.3</v>
      </c>
      <c r="AA6" s="26" t="s">
        <v>81</v>
      </c>
      <c r="AB6" s="23"/>
      <c r="AD6" s="24" t="s">
        <v>35</v>
      </c>
      <c r="AE6" s="25">
        <v>11.4</v>
      </c>
      <c r="AF6" s="26" t="s">
        <v>81</v>
      </c>
      <c r="AG6" s="23"/>
      <c r="AI6" s="24" t="s">
        <v>35</v>
      </c>
      <c r="AJ6" s="25">
        <v>12.7</v>
      </c>
      <c r="AK6" s="26" t="s">
        <v>81</v>
      </c>
      <c r="AL6" s="23"/>
      <c r="AN6" s="24" t="s">
        <v>35</v>
      </c>
      <c r="AO6" s="25">
        <v>13.9</v>
      </c>
      <c r="AP6" s="26" t="s">
        <v>81</v>
      </c>
      <c r="AQ6" s="23"/>
    </row>
    <row r="7" spans="1:43">
      <c r="A7" s="11" t="s">
        <v>5</v>
      </c>
      <c r="B7" s="9">
        <v>50</v>
      </c>
      <c r="C7" s="10" t="s">
        <v>6</v>
      </c>
      <c r="E7" s="24" t="s">
        <v>36</v>
      </c>
      <c r="F7" s="24">
        <f t="shared" si="0"/>
        <v>117</v>
      </c>
      <c r="G7" s="26" t="s">
        <v>45</v>
      </c>
      <c r="H7" s="23"/>
      <c r="I7" s="69"/>
      <c r="J7" s="24" t="s">
        <v>36</v>
      </c>
      <c r="K7" s="25">
        <f>K8*10</f>
        <v>64</v>
      </c>
      <c r="L7" s="26" t="s">
        <v>45</v>
      </c>
      <c r="M7" s="23"/>
      <c r="O7" s="24" t="s">
        <v>36</v>
      </c>
      <c r="P7" s="25">
        <f>P8*10</f>
        <v>71</v>
      </c>
      <c r="Q7" s="26" t="s">
        <v>45</v>
      </c>
      <c r="R7" s="23"/>
      <c r="T7" s="24" t="s">
        <v>36</v>
      </c>
      <c r="U7" s="25">
        <f>U8*10</f>
        <v>83</v>
      </c>
      <c r="V7" s="26" t="s">
        <v>45</v>
      </c>
      <c r="W7" s="23"/>
      <c r="Y7" s="24" t="s">
        <v>36</v>
      </c>
      <c r="Z7" s="25">
        <v>94</v>
      </c>
      <c r="AA7" s="26" t="s">
        <v>45</v>
      </c>
      <c r="AB7" s="23"/>
      <c r="AD7" s="24" t="s">
        <v>36</v>
      </c>
      <c r="AE7" s="25">
        <f>AE8*10</f>
        <v>103</v>
      </c>
      <c r="AF7" s="26" t="s">
        <v>45</v>
      </c>
      <c r="AG7" s="23"/>
      <c r="AI7" s="24" t="s">
        <v>36</v>
      </c>
      <c r="AJ7" s="25">
        <f>AJ8*10</f>
        <v>117</v>
      </c>
      <c r="AK7" s="26" t="s">
        <v>45</v>
      </c>
      <c r="AL7" s="23"/>
      <c r="AN7" s="24" t="s">
        <v>36</v>
      </c>
      <c r="AO7" s="25">
        <f>AO8*10</f>
        <v>129</v>
      </c>
      <c r="AP7" s="26" t="s">
        <v>45</v>
      </c>
      <c r="AQ7" s="23"/>
    </row>
    <row r="8" spans="1:43">
      <c r="A8" s="11" t="s">
        <v>8</v>
      </c>
      <c r="B8" s="9">
        <f>B7*B6</f>
        <v>1500</v>
      </c>
      <c r="C8" s="10" t="s">
        <v>9</v>
      </c>
      <c r="E8" s="24" t="s">
        <v>36</v>
      </c>
      <c r="F8" s="24">
        <f t="shared" si="0"/>
        <v>11.7</v>
      </c>
      <c r="G8" s="26" t="s">
        <v>81</v>
      </c>
      <c r="H8" s="23"/>
      <c r="I8" s="69"/>
      <c r="J8" s="24" t="s">
        <v>36</v>
      </c>
      <c r="K8" s="25">
        <v>6.4</v>
      </c>
      <c r="L8" s="26" t="s">
        <v>81</v>
      </c>
      <c r="M8" s="23"/>
      <c r="O8" s="24" t="s">
        <v>36</v>
      </c>
      <c r="P8" s="25">
        <v>7.1</v>
      </c>
      <c r="Q8" s="26" t="s">
        <v>81</v>
      </c>
      <c r="R8" s="23"/>
      <c r="T8" s="24" t="s">
        <v>36</v>
      </c>
      <c r="U8" s="25">
        <v>8.3000000000000007</v>
      </c>
      <c r="V8" s="26" t="s">
        <v>81</v>
      </c>
      <c r="W8" s="23"/>
      <c r="Y8" s="24" t="s">
        <v>36</v>
      </c>
      <c r="Z8" s="25">
        <v>9.4</v>
      </c>
      <c r="AA8" s="26" t="s">
        <v>81</v>
      </c>
      <c r="AB8" s="23"/>
      <c r="AD8" s="24" t="s">
        <v>36</v>
      </c>
      <c r="AE8" s="25">
        <v>10.3</v>
      </c>
      <c r="AF8" s="26" t="s">
        <v>81</v>
      </c>
      <c r="AG8" s="23"/>
      <c r="AI8" s="24" t="s">
        <v>36</v>
      </c>
      <c r="AJ8" s="25">
        <v>11.7</v>
      </c>
      <c r="AK8" s="26" t="s">
        <v>81</v>
      </c>
      <c r="AL8" s="23"/>
      <c r="AN8" s="24" t="s">
        <v>36</v>
      </c>
      <c r="AO8" s="25">
        <v>12.9</v>
      </c>
      <c r="AP8" s="26" t="s">
        <v>81</v>
      </c>
      <c r="AQ8" s="23"/>
    </row>
    <row r="9" spans="1:43">
      <c r="A9" s="11" t="s">
        <v>7</v>
      </c>
      <c r="B9" s="9">
        <v>0.95</v>
      </c>
      <c r="C9" s="10"/>
      <c r="E9" s="24" t="s">
        <v>37</v>
      </c>
      <c r="F9" s="24">
        <f t="shared" si="0"/>
        <v>180</v>
      </c>
      <c r="G9" s="26" t="s">
        <v>95</v>
      </c>
      <c r="H9" s="23"/>
      <c r="I9" s="69"/>
      <c r="J9" s="24" t="s">
        <v>37</v>
      </c>
      <c r="K9" s="25">
        <v>28</v>
      </c>
      <c r="L9" s="26" t="s">
        <v>95</v>
      </c>
      <c r="M9" s="23"/>
      <c r="O9" s="24" t="s">
        <v>37</v>
      </c>
      <c r="P9" s="25">
        <v>40</v>
      </c>
      <c r="Q9" s="26" t="s">
        <v>95</v>
      </c>
      <c r="R9" s="23"/>
      <c r="T9" s="24" t="s">
        <v>37</v>
      </c>
      <c r="U9" s="25">
        <v>60</v>
      </c>
      <c r="V9" s="26" t="s">
        <v>95</v>
      </c>
      <c r="W9" s="23"/>
      <c r="Y9" s="24" t="s">
        <v>37</v>
      </c>
      <c r="Z9" s="25">
        <v>94</v>
      </c>
      <c r="AA9" s="26" t="s">
        <v>95</v>
      </c>
      <c r="AB9" s="23"/>
      <c r="AD9" s="24" t="s">
        <v>37</v>
      </c>
      <c r="AE9" s="25">
        <v>124</v>
      </c>
      <c r="AF9" s="26" t="s">
        <v>95</v>
      </c>
      <c r="AG9" s="23"/>
      <c r="AI9" s="24" t="s">
        <v>37</v>
      </c>
      <c r="AJ9" s="25">
        <v>180</v>
      </c>
      <c r="AK9" s="26" t="s">
        <v>95</v>
      </c>
      <c r="AL9" s="23"/>
      <c r="AN9" s="24" t="s">
        <v>37</v>
      </c>
      <c r="AO9" s="25">
        <v>260</v>
      </c>
      <c r="AP9" s="26" t="s">
        <v>95</v>
      </c>
      <c r="AQ9" s="23"/>
    </row>
    <row r="10" spans="1:43">
      <c r="A10" s="11" t="s">
        <v>10</v>
      </c>
      <c r="B10" s="9">
        <f>B8/B9</f>
        <v>1578.9473684210527</v>
      </c>
      <c r="C10" s="10" t="s">
        <v>9</v>
      </c>
      <c r="E10" s="24" t="s">
        <v>38</v>
      </c>
      <c r="F10" s="24">
        <f t="shared" si="0"/>
        <v>280</v>
      </c>
      <c r="G10" s="26" t="s">
        <v>48</v>
      </c>
      <c r="H10" s="23"/>
      <c r="I10" s="69"/>
      <c r="J10" s="24" t="s">
        <v>38</v>
      </c>
      <c r="K10" s="25">
        <f>K11*100</f>
        <v>76.099999999999994</v>
      </c>
      <c r="L10" s="26" t="s">
        <v>48</v>
      </c>
      <c r="M10" s="23"/>
      <c r="O10" s="24" t="s">
        <v>38</v>
      </c>
      <c r="P10" s="25">
        <f>P11*100</f>
        <v>97.399999999999991</v>
      </c>
      <c r="Q10" s="26" t="s">
        <v>48</v>
      </c>
      <c r="R10" s="23"/>
      <c r="T10" s="24" t="s">
        <v>38</v>
      </c>
      <c r="U10" s="25">
        <f>U11*100</f>
        <v>125.2</v>
      </c>
      <c r="V10" s="26" t="s">
        <v>48</v>
      </c>
      <c r="W10" s="23"/>
      <c r="Y10" s="24" t="s">
        <v>38</v>
      </c>
      <c r="Z10" s="25">
        <v>174.2</v>
      </c>
      <c r="AA10" s="26" t="s">
        <v>48</v>
      </c>
      <c r="AB10" s="23"/>
      <c r="AD10" s="24" t="s">
        <v>38</v>
      </c>
      <c r="AE10" s="25">
        <f>AE11*100</f>
        <v>211</v>
      </c>
      <c r="AF10" s="26" t="s">
        <v>48</v>
      </c>
      <c r="AG10" s="23"/>
      <c r="AI10" s="24" t="s">
        <v>38</v>
      </c>
      <c r="AJ10" s="25">
        <f>AJ11*100</f>
        <v>280</v>
      </c>
      <c r="AK10" s="26" t="s">
        <v>48</v>
      </c>
      <c r="AL10" s="23"/>
      <c r="AN10" s="24" t="s">
        <v>38</v>
      </c>
      <c r="AO10" s="25">
        <f>AO11*100</f>
        <v>367.7</v>
      </c>
      <c r="AP10" s="26" t="s">
        <v>48</v>
      </c>
      <c r="AQ10" s="23"/>
    </row>
    <row r="11" spans="1:43">
      <c r="A11" s="11" t="s">
        <v>11</v>
      </c>
      <c r="B11" s="9">
        <f>B10/B5</f>
        <v>9.2879256965944279</v>
      </c>
      <c r="C11" s="10" t="s">
        <v>6</v>
      </c>
      <c r="E11" s="24" t="s">
        <v>38</v>
      </c>
      <c r="F11" s="24">
        <f t="shared" si="0"/>
        <v>2.8</v>
      </c>
      <c r="G11" s="26" t="s">
        <v>74</v>
      </c>
      <c r="H11" s="23"/>
      <c r="I11" s="69"/>
      <c r="J11" s="24" t="s">
        <v>38</v>
      </c>
      <c r="K11" s="25">
        <v>0.76100000000000001</v>
      </c>
      <c r="L11" s="26" t="s">
        <v>74</v>
      </c>
      <c r="M11" s="23"/>
      <c r="O11" s="24" t="s">
        <v>38</v>
      </c>
      <c r="P11" s="25">
        <v>0.97399999999999998</v>
      </c>
      <c r="Q11" s="26" t="s">
        <v>74</v>
      </c>
      <c r="R11" s="23"/>
      <c r="T11" s="24" t="s">
        <v>38</v>
      </c>
      <c r="U11" s="25">
        <v>1.252</v>
      </c>
      <c r="V11" s="26" t="s">
        <v>74</v>
      </c>
      <c r="W11" s="23"/>
      <c r="Y11" s="24" t="s">
        <v>38</v>
      </c>
      <c r="Z11" s="25">
        <v>1.742</v>
      </c>
      <c r="AA11" s="26" t="s">
        <v>74</v>
      </c>
      <c r="AB11" s="23"/>
      <c r="AD11" s="24" t="s">
        <v>38</v>
      </c>
      <c r="AE11" s="25">
        <v>2.11</v>
      </c>
      <c r="AF11" s="26" t="s">
        <v>74</v>
      </c>
      <c r="AG11" s="23"/>
      <c r="AI11" s="24" t="s">
        <v>38</v>
      </c>
      <c r="AJ11" s="25">
        <v>2.8</v>
      </c>
      <c r="AK11" s="26" t="s">
        <v>74</v>
      </c>
      <c r="AL11" s="23"/>
      <c r="AN11" s="24" t="s">
        <v>38</v>
      </c>
      <c r="AO11" s="25">
        <v>3.677</v>
      </c>
      <c r="AP11" s="26" t="s">
        <v>74</v>
      </c>
      <c r="AQ11" s="23"/>
    </row>
    <row r="12" spans="1:43">
      <c r="A12" s="11" t="s">
        <v>20</v>
      </c>
      <c r="B12" s="9">
        <v>100000</v>
      </c>
      <c r="C12" s="10" t="s">
        <v>21</v>
      </c>
      <c r="E12" s="24" t="s">
        <v>54</v>
      </c>
      <c r="F12" s="24">
        <f t="shared" si="0"/>
        <v>0</v>
      </c>
      <c r="G12" s="26" t="s">
        <v>48</v>
      </c>
      <c r="H12" s="23"/>
      <c r="I12" s="69"/>
      <c r="J12" s="24" t="s">
        <v>54</v>
      </c>
      <c r="K12" s="25"/>
      <c r="L12" s="26" t="s">
        <v>48</v>
      </c>
      <c r="M12" s="23"/>
      <c r="O12" s="24" t="s">
        <v>54</v>
      </c>
      <c r="P12" s="25"/>
      <c r="Q12" s="26" t="s">
        <v>48</v>
      </c>
      <c r="R12" s="23"/>
      <c r="T12" s="24" t="s">
        <v>54</v>
      </c>
      <c r="U12" s="25"/>
      <c r="V12" s="26" t="s">
        <v>48</v>
      </c>
      <c r="W12" s="23"/>
      <c r="Y12" s="24" t="s">
        <v>54</v>
      </c>
      <c r="Z12" s="25">
        <v>0</v>
      </c>
      <c r="AA12" s="26" t="s">
        <v>48</v>
      </c>
      <c r="AB12" s="23"/>
      <c r="AD12" s="24" t="s">
        <v>54</v>
      </c>
      <c r="AE12" s="25"/>
      <c r="AF12" s="26" t="s">
        <v>48</v>
      </c>
      <c r="AG12" s="23"/>
      <c r="AI12" s="24" t="s">
        <v>54</v>
      </c>
      <c r="AJ12" s="25"/>
      <c r="AK12" s="26" t="s">
        <v>48</v>
      </c>
      <c r="AL12" s="23"/>
      <c r="AN12" s="24" t="s">
        <v>54</v>
      </c>
      <c r="AO12" s="25"/>
      <c r="AP12" s="26" t="s">
        <v>48</v>
      </c>
      <c r="AQ12" s="23"/>
    </row>
    <row r="13" spans="1:43">
      <c r="A13" s="11" t="s">
        <v>22</v>
      </c>
      <c r="B13" s="9">
        <f>B6/B5</f>
        <v>0.17647058823529413</v>
      </c>
      <c r="C13" s="10"/>
      <c r="E13" s="24" t="s">
        <v>54</v>
      </c>
      <c r="F13" s="24">
        <f t="shared" si="0"/>
        <v>0</v>
      </c>
      <c r="G13" s="26" t="s">
        <v>74</v>
      </c>
      <c r="H13" s="23"/>
      <c r="I13" s="69"/>
      <c r="J13" s="24" t="s">
        <v>54</v>
      </c>
      <c r="K13" s="25"/>
      <c r="L13" s="26" t="s">
        <v>74</v>
      </c>
      <c r="M13" s="23"/>
      <c r="O13" s="24" t="s">
        <v>54</v>
      </c>
      <c r="P13" s="25"/>
      <c r="Q13" s="26" t="s">
        <v>74</v>
      </c>
      <c r="R13" s="23"/>
      <c r="T13" s="24" t="s">
        <v>54</v>
      </c>
      <c r="U13" s="25"/>
      <c r="V13" s="26" t="s">
        <v>74</v>
      </c>
      <c r="W13" s="23"/>
      <c r="Y13" s="24" t="s">
        <v>54</v>
      </c>
      <c r="Z13" s="25">
        <v>0</v>
      </c>
      <c r="AA13" s="26" t="s">
        <v>74</v>
      </c>
      <c r="AB13" s="23"/>
      <c r="AD13" s="24" t="s">
        <v>54</v>
      </c>
      <c r="AE13" s="25"/>
      <c r="AF13" s="26" t="s">
        <v>74</v>
      </c>
      <c r="AG13" s="23"/>
      <c r="AI13" s="24" t="s">
        <v>54</v>
      </c>
      <c r="AJ13" s="25"/>
      <c r="AK13" s="26" t="s">
        <v>74</v>
      </c>
      <c r="AL13" s="23"/>
      <c r="AN13" s="24" t="s">
        <v>54</v>
      </c>
      <c r="AO13" s="25"/>
      <c r="AP13" s="26" t="s">
        <v>74</v>
      </c>
      <c r="AQ13" s="23"/>
    </row>
    <row r="14" spans="1:43">
      <c r="A14" s="11" t="s">
        <v>23</v>
      </c>
      <c r="B14" s="9">
        <f>1/B12</f>
        <v>1.0000000000000001E-5</v>
      </c>
      <c r="C14" s="10" t="s">
        <v>24</v>
      </c>
      <c r="E14" s="24" t="s">
        <v>39</v>
      </c>
      <c r="F14" s="24">
        <f t="shared" si="0"/>
        <v>450.5</v>
      </c>
      <c r="G14" s="26" t="s">
        <v>48</v>
      </c>
      <c r="H14" s="23"/>
      <c r="I14" s="69"/>
      <c r="J14" s="24" t="s">
        <v>39</v>
      </c>
      <c r="K14" s="25">
        <f>K15*100</f>
        <v>141.9</v>
      </c>
      <c r="L14" s="26" t="s">
        <v>48</v>
      </c>
      <c r="M14" s="23"/>
      <c r="O14" s="24" t="s">
        <v>39</v>
      </c>
      <c r="P14" s="25">
        <f>P15*100</f>
        <v>234</v>
      </c>
      <c r="Q14" s="26" t="s">
        <v>48</v>
      </c>
      <c r="R14" s="23"/>
      <c r="T14" s="24" t="s">
        <v>39</v>
      </c>
      <c r="U14" s="25">
        <f>U15*100</f>
        <v>234</v>
      </c>
      <c r="V14" s="26" t="s">
        <v>48</v>
      </c>
      <c r="W14" s="23"/>
      <c r="Y14" s="24" t="s">
        <v>39</v>
      </c>
      <c r="Z14" s="25">
        <v>278.5</v>
      </c>
      <c r="AA14" s="26" t="s">
        <v>48</v>
      </c>
      <c r="AB14" s="23"/>
      <c r="AD14" s="24" t="s">
        <v>39</v>
      </c>
      <c r="AE14" s="25">
        <f>AE15*100</f>
        <v>343.40000000000003</v>
      </c>
      <c r="AF14" s="26" t="s">
        <v>48</v>
      </c>
      <c r="AG14" s="23"/>
      <c r="AI14" s="24" t="s">
        <v>39</v>
      </c>
      <c r="AJ14" s="25">
        <f>AJ15*100</f>
        <v>450.5</v>
      </c>
      <c r="AK14" s="26" t="s">
        <v>48</v>
      </c>
      <c r="AL14" s="23"/>
      <c r="AN14" s="24" t="s">
        <v>39</v>
      </c>
      <c r="AO14" s="25">
        <f>AO15*100</f>
        <v>518.6</v>
      </c>
      <c r="AP14" s="26" t="s">
        <v>48</v>
      </c>
      <c r="AQ14" s="23"/>
    </row>
    <row r="15" spans="1:43">
      <c r="A15" s="11"/>
      <c r="B15" s="9"/>
      <c r="C15" s="10"/>
      <c r="E15" s="24" t="s">
        <v>39</v>
      </c>
      <c r="F15" s="24">
        <f t="shared" si="0"/>
        <v>4.5049999999999999</v>
      </c>
      <c r="G15" s="26" t="s">
        <v>74</v>
      </c>
      <c r="H15" s="23"/>
      <c r="I15" s="69"/>
      <c r="J15" s="24" t="s">
        <v>39</v>
      </c>
      <c r="K15" s="25">
        <v>1.419</v>
      </c>
      <c r="L15" s="26" t="s">
        <v>74</v>
      </c>
      <c r="M15" s="23"/>
      <c r="O15" s="24" t="s">
        <v>39</v>
      </c>
      <c r="P15" s="25">
        <v>2.34</v>
      </c>
      <c r="Q15" s="26" t="s">
        <v>74</v>
      </c>
      <c r="R15" s="23"/>
      <c r="T15" s="24" t="s">
        <v>39</v>
      </c>
      <c r="U15" s="25">
        <v>2.34</v>
      </c>
      <c r="V15" s="26" t="s">
        <v>74</v>
      </c>
      <c r="W15" s="23"/>
      <c r="Y15" s="24" t="s">
        <v>39</v>
      </c>
      <c r="Z15" s="25">
        <v>2.7850000000000001</v>
      </c>
      <c r="AA15" s="26" t="s">
        <v>74</v>
      </c>
      <c r="AB15" s="23"/>
      <c r="AD15" s="24" t="s">
        <v>39</v>
      </c>
      <c r="AE15" s="25">
        <v>3.4340000000000002</v>
      </c>
      <c r="AF15" s="26" t="s">
        <v>74</v>
      </c>
      <c r="AG15" s="23"/>
      <c r="AI15" s="24" t="s">
        <v>39</v>
      </c>
      <c r="AJ15" s="25">
        <v>4.5049999999999999</v>
      </c>
      <c r="AK15" s="26" t="s">
        <v>74</v>
      </c>
      <c r="AL15" s="23"/>
      <c r="AN15" s="24" t="s">
        <v>39</v>
      </c>
      <c r="AO15" s="25">
        <v>5.1859999999999999</v>
      </c>
      <c r="AP15" s="26" t="s">
        <v>74</v>
      </c>
      <c r="AQ15" s="23"/>
    </row>
    <row r="16" spans="1:43">
      <c r="A16" s="19" t="s">
        <v>12</v>
      </c>
      <c r="B16" s="27"/>
      <c r="C16" s="21"/>
      <c r="E16" s="24" t="s">
        <v>80</v>
      </c>
      <c r="F16" s="24">
        <f t="shared" si="0"/>
        <v>337.875</v>
      </c>
      <c r="G16" s="26" t="s">
        <v>48</v>
      </c>
      <c r="H16" s="23"/>
      <c r="I16" s="69"/>
      <c r="J16" s="24" t="s">
        <v>80</v>
      </c>
      <c r="K16" s="25">
        <f>0.75*K14</f>
        <v>106.42500000000001</v>
      </c>
      <c r="L16" s="26" t="s">
        <v>48</v>
      </c>
      <c r="M16" s="23"/>
      <c r="O16" s="24" t="s">
        <v>80</v>
      </c>
      <c r="P16" s="25">
        <f>0.75*P14</f>
        <v>175.5</v>
      </c>
      <c r="Q16" s="26" t="s">
        <v>48</v>
      </c>
      <c r="R16" s="23"/>
      <c r="T16" s="24" t="s">
        <v>80</v>
      </c>
      <c r="U16" s="25">
        <f>0.75*U14</f>
        <v>175.5</v>
      </c>
      <c r="V16" s="26" t="s">
        <v>48</v>
      </c>
      <c r="W16" s="23"/>
      <c r="Y16" s="24" t="s">
        <v>80</v>
      </c>
      <c r="Z16" s="25">
        <f>0.75*Z14</f>
        <v>208.875</v>
      </c>
      <c r="AA16" s="26" t="s">
        <v>48</v>
      </c>
      <c r="AB16" s="23"/>
      <c r="AD16" s="24" t="s">
        <v>80</v>
      </c>
      <c r="AE16" s="25">
        <f>0.75*AE14</f>
        <v>257.55</v>
      </c>
      <c r="AF16" s="26" t="s">
        <v>48</v>
      </c>
      <c r="AG16" s="23"/>
      <c r="AI16" s="24" t="s">
        <v>80</v>
      </c>
      <c r="AJ16" s="25">
        <f>0.75*AJ14</f>
        <v>337.875</v>
      </c>
      <c r="AK16" s="26" t="s">
        <v>48</v>
      </c>
      <c r="AL16" s="23"/>
      <c r="AN16" s="24" t="s">
        <v>80</v>
      </c>
      <c r="AO16" s="25">
        <f>0.75*AO14</f>
        <v>388.95000000000005</v>
      </c>
      <c r="AP16" s="26" t="s">
        <v>48</v>
      </c>
      <c r="AQ16" s="23"/>
    </row>
    <row r="17" spans="1:43" ht="15.75" thickBot="1">
      <c r="A17" s="11" t="s">
        <v>13</v>
      </c>
      <c r="B17" s="9">
        <f>B7</f>
        <v>50</v>
      </c>
      <c r="C17" s="10" t="s">
        <v>6</v>
      </c>
      <c r="E17" s="24" t="s">
        <v>80</v>
      </c>
      <c r="F17" s="24">
        <f t="shared" si="0"/>
        <v>3.3787500000000001</v>
      </c>
      <c r="G17" s="26" t="s">
        <v>74</v>
      </c>
      <c r="H17" s="23"/>
      <c r="I17" s="69"/>
      <c r="J17" s="24" t="s">
        <v>80</v>
      </c>
      <c r="K17" s="56">
        <f>0.75*K15</f>
        <v>1.0642499999999999</v>
      </c>
      <c r="L17" s="26" t="s">
        <v>74</v>
      </c>
      <c r="M17" s="23"/>
      <c r="O17" s="24" t="s">
        <v>80</v>
      </c>
      <c r="P17" s="56">
        <f>0.75*P15</f>
        <v>1.7549999999999999</v>
      </c>
      <c r="Q17" s="26" t="s">
        <v>74</v>
      </c>
      <c r="R17" s="23"/>
      <c r="T17" s="24" t="s">
        <v>80</v>
      </c>
      <c r="U17" s="56">
        <f>0.75*U15</f>
        <v>1.7549999999999999</v>
      </c>
      <c r="V17" s="26" t="s">
        <v>74</v>
      </c>
      <c r="W17" s="23"/>
      <c r="Y17" s="24" t="s">
        <v>80</v>
      </c>
      <c r="Z17" s="56">
        <f>0.75*Z15</f>
        <v>2.0887500000000001</v>
      </c>
      <c r="AA17" s="26" t="s">
        <v>74</v>
      </c>
      <c r="AB17" s="23"/>
      <c r="AD17" s="24" t="s">
        <v>80</v>
      </c>
      <c r="AE17" s="56">
        <f>0.75*AE15</f>
        <v>2.5754999999999999</v>
      </c>
      <c r="AF17" s="26" t="s">
        <v>74</v>
      </c>
      <c r="AG17" s="23"/>
      <c r="AI17" s="24" t="s">
        <v>80</v>
      </c>
      <c r="AJ17" s="56">
        <f>0.75*AJ15</f>
        <v>3.3787500000000001</v>
      </c>
      <c r="AK17" s="26" t="s">
        <v>74</v>
      </c>
      <c r="AL17" s="23"/>
      <c r="AN17" s="24" t="s">
        <v>80</v>
      </c>
      <c r="AO17" s="56">
        <f>0.75*AO15</f>
        <v>3.8895</v>
      </c>
      <c r="AP17" s="26" t="s">
        <v>74</v>
      </c>
      <c r="AQ17" s="23"/>
    </row>
    <row r="18" spans="1:43">
      <c r="A18" s="11" t="s">
        <v>15</v>
      </c>
      <c r="B18" s="9">
        <v>10</v>
      </c>
      <c r="C18" s="10" t="s">
        <v>17</v>
      </c>
      <c r="E18" s="54" t="s">
        <v>103</v>
      </c>
      <c r="F18" s="76">
        <f t="shared" si="0"/>
        <v>12.6129</v>
      </c>
      <c r="G18" s="55" t="s">
        <v>66</v>
      </c>
      <c r="H18" s="23"/>
      <c r="I18" s="69"/>
      <c r="J18" s="54" t="s">
        <v>103</v>
      </c>
      <c r="K18" s="58">
        <v>1.08</v>
      </c>
      <c r="L18" s="55" t="s">
        <v>66</v>
      </c>
      <c r="M18" s="23"/>
      <c r="O18" s="54" t="s">
        <v>103</v>
      </c>
      <c r="P18" s="58">
        <v>2.9329999999999998</v>
      </c>
      <c r="Q18" s="55" t="s">
        <v>66</v>
      </c>
      <c r="R18" s="23"/>
      <c r="T18" s="54" t="s">
        <v>103</v>
      </c>
      <c r="U18" s="58">
        <v>2.9329999999999998</v>
      </c>
      <c r="V18" s="55" t="s">
        <v>66</v>
      </c>
      <c r="W18" s="23"/>
      <c r="Y18" s="54" t="s">
        <v>103</v>
      </c>
      <c r="Z18" s="58">
        <v>4.8520000000000003</v>
      </c>
      <c r="AA18" s="55" t="s">
        <v>66</v>
      </c>
      <c r="AB18" s="23"/>
      <c r="AD18" s="54" t="s">
        <v>103</v>
      </c>
      <c r="AE18" s="58">
        <v>7.2453000000000003</v>
      </c>
      <c r="AF18" s="55" t="s">
        <v>66</v>
      </c>
      <c r="AG18" s="23"/>
      <c r="AI18" s="54" t="s">
        <v>103</v>
      </c>
      <c r="AJ18" s="58">
        <v>12.6129</v>
      </c>
      <c r="AK18" s="55" t="s">
        <v>66</v>
      </c>
      <c r="AL18" s="23"/>
      <c r="AN18" s="54" t="s">
        <v>103</v>
      </c>
      <c r="AO18" s="58">
        <v>19.069800000000001</v>
      </c>
      <c r="AP18" s="55" t="s">
        <v>66</v>
      </c>
      <c r="AQ18" s="23"/>
    </row>
    <row r="19" spans="1:43" ht="15.75" thickBot="1">
      <c r="A19" s="11" t="s">
        <v>14</v>
      </c>
      <c r="B19" s="9">
        <f>B17*B18/100</f>
        <v>5</v>
      </c>
      <c r="C19" s="10" t="s">
        <v>6</v>
      </c>
      <c r="E19" s="54" t="s">
        <v>103</v>
      </c>
      <c r="F19" s="77">
        <f t="shared" si="0"/>
        <v>126129</v>
      </c>
      <c r="G19" s="55" t="s">
        <v>31</v>
      </c>
      <c r="H19" s="23"/>
      <c r="I19" s="69"/>
      <c r="J19" s="54" t="s">
        <v>103</v>
      </c>
      <c r="K19" s="59">
        <f>K18*10000</f>
        <v>10800</v>
      </c>
      <c r="L19" s="55" t="s">
        <v>31</v>
      </c>
      <c r="M19" s="23"/>
      <c r="O19" s="54" t="s">
        <v>103</v>
      </c>
      <c r="P19" s="59">
        <f>P18*10000</f>
        <v>29330</v>
      </c>
      <c r="Q19" s="55" t="s">
        <v>31</v>
      </c>
      <c r="R19" s="23"/>
      <c r="T19" s="54" t="s">
        <v>103</v>
      </c>
      <c r="U19" s="59">
        <f>U18*10000</f>
        <v>29330</v>
      </c>
      <c r="V19" s="55" t="s">
        <v>31</v>
      </c>
      <c r="W19" s="23"/>
      <c r="Y19" s="54" t="s">
        <v>103</v>
      </c>
      <c r="Z19" s="59">
        <f>Z18*10000</f>
        <v>48520</v>
      </c>
      <c r="AA19" s="55" t="s">
        <v>31</v>
      </c>
      <c r="AB19" s="23"/>
      <c r="AD19" s="54" t="s">
        <v>103</v>
      </c>
      <c r="AE19" s="59">
        <f>AE18*10000</f>
        <v>72453</v>
      </c>
      <c r="AF19" s="55" t="s">
        <v>31</v>
      </c>
      <c r="AG19" s="23"/>
      <c r="AI19" s="54" t="s">
        <v>103</v>
      </c>
      <c r="AJ19" s="59">
        <f>AJ18*10000</f>
        <v>126129</v>
      </c>
      <c r="AK19" s="55" t="s">
        <v>31</v>
      </c>
      <c r="AL19" s="23"/>
      <c r="AN19" s="54" t="s">
        <v>103</v>
      </c>
      <c r="AO19" s="59">
        <f>AO18*10000</f>
        <v>190698</v>
      </c>
      <c r="AP19" s="55" t="s">
        <v>31</v>
      </c>
      <c r="AQ19" s="23"/>
    </row>
    <row r="20" spans="1:43">
      <c r="A20" s="11" t="s">
        <v>16</v>
      </c>
      <c r="B20" s="9">
        <f>B17+B19</f>
        <v>55</v>
      </c>
      <c r="C20" s="10" t="s">
        <v>6</v>
      </c>
      <c r="E20" s="24" t="s">
        <v>40</v>
      </c>
      <c r="F20" s="75">
        <f t="shared" si="0"/>
        <v>133.69999999999999</v>
      </c>
      <c r="G20" s="26" t="s">
        <v>74</v>
      </c>
      <c r="H20" s="23"/>
      <c r="I20" s="69"/>
      <c r="J20" s="24" t="s">
        <v>40</v>
      </c>
      <c r="K20" s="57">
        <v>42.5</v>
      </c>
      <c r="L20" s="26" t="s">
        <v>74</v>
      </c>
      <c r="M20" s="23"/>
      <c r="O20" s="24" t="s">
        <v>40</v>
      </c>
      <c r="P20" s="57">
        <v>53.4</v>
      </c>
      <c r="Q20" s="26" t="s">
        <v>74</v>
      </c>
      <c r="R20" s="23"/>
      <c r="T20" s="24" t="s">
        <v>40</v>
      </c>
      <c r="U20" s="57">
        <v>69.900000000000006</v>
      </c>
      <c r="V20" s="26" t="s">
        <v>74</v>
      </c>
      <c r="W20" s="23"/>
      <c r="Y20" s="24" t="s">
        <v>40</v>
      </c>
      <c r="Z20" s="57">
        <v>87.9</v>
      </c>
      <c r="AA20" s="26" t="s">
        <v>74</v>
      </c>
      <c r="AB20" s="23"/>
      <c r="AD20" s="24" t="s">
        <v>40</v>
      </c>
      <c r="AE20" s="57">
        <v>107.9</v>
      </c>
      <c r="AF20" s="26" t="s">
        <v>74</v>
      </c>
      <c r="AG20" s="23"/>
      <c r="AI20" s="24" t="s">
        <v>40</v>
      </c>
      <c r="AJ20" s="57">
        <v>133.69999999999999</v>
      </c>
      <c r="AK20" s="26" t="s">
        <v>74</v>
      </c>
      <c r="AL20" s="23"/>
      <c r="AN20" s="24" t="s">
        <v>40</v>
      </c>
      <c r="AO20" s="57">
        <v>163.1</v>
      </c>
      <c r="AP20" s="26" t="s">
        <v>74</v>
      </c>
      <c r="AQ20" s="23"/>
    </row>
    <row r="21" spans="1:43">
      <c r="A21" s="11" t="s">
        <v>101</v>
      </c>
      <c r="B21" s="46">
        <f>((B5-B6)*B13)/(2*B19*B12)</f>
        <v>2.4705882352941178E-5</v>
      </c>
      <c r="C21" s="10" t="s">
        <v>19</v>
      </c>
      <c r="E21" s="24" t="s">
        <v>91</v>
      </c>
      <c r="F21" s="24">
        <f t="shared" si="0"/>
        <v>0</v>
      </c>
      <c r="G21" s="26"/>
      <c r="H21" s="23"/>
      <c r="I21" s="69"/>
      <c r="J21" s="24" t="s">
        <v>91</v>
      </c>
      <c r="K21" s="25"/>
      <c r="L21" s="26"/>
      <c r="M21" s="23"/>
      <c r="O21" s="24" t="s">
        <v>91</v>
      </c>
      <c r="P21" s="25"/>
      <c r="Q21" s="26"/>
      <c r="R21" s="23"/>
      <c r="T21" s="24" t="s">
        <v>91</v>
      </c>
      <c r="U21" s="25"/>
      <c r="V21" s="26"/>
      <c r="W21" s="23"/>
      <c r="Y21" s="24" t="s">
        <v>91</v>
      </c>
      <c r="Z21" s="25">
        <v>124</v>
      </c>
      <c r="AA21" s="26"/>
      <c r="AB21" s="23"/>
      <c r="AD21" s="24" t="s">
        <v>91</v>
      </c>
      <c r="AE21" s="25"/>
      <c r="AF21" s="26"/>
      <c r="AG21" s="23"/>
      <c r="AI21" s="24" t="s">
        <v>91</v>
      </c>
      <c r="AJ21" s="25"/>
      <c r="AK21" s="26"/>
      <c r="AL21" s="23"/>
      <c r="AN21" s="24" t="s">
        <v>91</v>
      </c>
      <c r="AO21" s="25"/>
      <c r="AP21" s="26"/>
      <c r="AQ21" s="23"/>
    </row>
    <row r="22" spans="1:43">
      <c r="A22" s="11" t="s">
        <v>102</v>
      </c>
      <c r="B22" s="46">
        <f>B21</f>
        <v>2.4705882352941178E-5</v>
      </c>
      <c r="C22" s="10" t="s">
        <v>19</v>
      </c>
      <c r="E22" s="24" t="s">
        <v>92</v>
      </c>
      <c r="F22" s="24">
        <v>1650</v>
      </c>
      <c r="G22" s="26"/>
      <c r="H22" s="23"/>
      <c r="I22" s="69"/>
      <c r="J22" s="24" t="s">
        <v>92</v>
      </c>
      <c r="K22" s="25"/>
      <c r="L22" s="26"/>
      <c r="M22" s="23"/>
      <c r="O22" s="24" t="s">
        <v>92</v>
      </c>
      <c r="P22" s="25"/>
      <c r="Q22" s="26"/>
      <c r="R22" s="23"/>
      <c r="T22" s="24" t="s">
        <v>92</v>
      </c>
      <c r="U22" s="25"/>
      <c r="V22" s="26"/>
      <c r="W22" s="23"/>
      <c r="Y22" s="24" t="s">
        <v>92</v>
      </c>
      <c r="Z22" s="25">
        <v>1650</v>
      </c>
      <c r="AA22" s="26"/>
      <c r="AB22" s="23"/>
      <c r="AD22" s="24" t="s">
        <v>92</v>
      </c>
      <c r="AE22" s="25"/>
      <c r="AF22" s="26"/>
      <c r="AG22" s="23"/>
      <c r="AI22" s="24" t="s">
        <v>92</v>
      </c>
      <c r="AJ22" s="25"/>
      <c r="AK22" s="26"/>
      <c r="AL22" s="23"/>
      <c r="AN22" s="24" t="s">
        <v>92</v>
      </c>
      <c r="AO22" s="25"/>
      <c r="AP22" s="26"/>
      <c r="AQ22" s="23"/>
    </row>
    <row r="23" spans="1:43">
      <c r="A23" s="11" t="s">
        <v>55</v>
      </c>
      <c r="B23" s="9">
        <f>B17*SQRT(1+(1/3)*(B19/B17)^2)</f>
        <v>50.083264004389058</v>
      </c>
      <c r="C23" s="10" t="s">
        <v>56</v>
      </c>
      <c r="E23" s="24" t="s">
        <v>104</v>
      </c>
      <c r="F23" s="24">
        <f t="shared" si="0"/>
        <v>2273</v>
      </c>
      <c r="G23" s="26"/>
      <c r="H23" s="23"/>
      <c r="I23" s="69"/>
      <c r="J23" s="24" t="s">
        <v>104</v>
      </c>
      <c r="K23" s="25">
        <v>1000</v>
      </c>
      <c r="L23" s="26"/>
      <c r="M23" s="23"/>
      <c r="O23" s="24" t="s">
        <v>104</v>
      </c>
      <c r="P23" s="25">
        <v>1182</v>
      </c>
      <c r="Q23" s="26"/>
      <c r="R23" s="23"/>
      <c r="T23" s="24" t="s">
        <v>104</v>
      </c>
      <c r="U23" s="25">
        <v>1318</v>
      </c>
      <c r="V23" s="26"/>
      <c r="W23" s="23"/>
      <c r="Y23" s="24" t="s">
        <v>104</v>
      </c>
      <c r="Z23" s="25">
        <v>1682</v>
      </c>
      <c r="AA23" s="26"/>
      <c r="AB23" s="23"/>
      <c r="AD23" s="24" t="s">
        <v>104</v>
      </c>
      <c r="AE23" s="25">
        <v>1909</v>
      </c>
      <c r="AF23" s="26"/>
      <c r="AG23" s="23"/>
      <c r="AI23" s="24" t="s">
        <v>104</v>
      </c>
      <c r="AJ23" s="25">
        <v>2273</v>
      </c>
      <c r="AK23" s="26"/>
      <c r="AL23" s="23"/>
      <c r="AN23" s="24" t="s">
        <v>104</v>
      </c>
      <c r="AO23" s="25">
        <v>2727</v>
      </c>
      <c r="AP23" s="26"/>
      <c r="AQ23" s="23"/>
    </row>
    <row r="24" spans="1:43">
      <c r="A24" s="13" t="s">
        <v>71</v>
      </c>
      <c r="B24" s="14"/>
      <c r="C24" s="15"/>
      <c r="E24" s="24" t="s">
        <v>52</v>
      </c>
      <c r="F24" s="24">
        <f t="shared" si="0"/>
        <v>0</v>
      </c>
      <c r="G24" s="26" t="s">
        <v>53</v>
      </c>
      <c r="H24" s="23"/>
      <c r="I24" s="69"/>
      <c r="J24" s="24" t="s">
        <v>52</v>
      </c>
      <c r="K24" s="25"/>
      <c r="L24" s="26" t="s">
        <v>53</v>
      </c>
      <c r="M24" s="23"/>
      <c r="O24" s="24" t="s">
        <v>52</v>
      </c>
      <c r="P24" s="25"/>
      <c r="Q24" s="26" t="s">
        <v>53</v>
      </c>
      <c r="R24" s="23"/>
      <c r="T24" s="24" t="s">
        <v>52</v>
      </c>
      <c r="U24" s="25"/>
      <c r="V24" s="26" t="s">
        <v>53</v>
      </c>
      <c r="W24" s="23"/>
      <c r="Y24" s="24" t="s">
        <v>52</v>
      </c>
      <c r="Z24" s="25"/>
      <c r="AA24" s="26" t="s">
        <v>53</v>
      </c>
      <c r="AB24" s="23"/>
      <c r="AD24" s="24" t="s">
        <v>52</v>
      </c>
      <c r="AE24" s="25"/>
      <c r="AF24" s="26" t="s">
        <v>53</v>
      </c>
      <c r="AG24" s="23"/>
      <c r="AI24" s="24" t="s">
        <v>52</v>
      </c>
      <c r="AJ24" s="25"/>
      <c r="AK24" s="26" t="s">
        <v>53</v>
      </c>
      <c r="AL24" s="23"/>
      <c r="AN24" s="24" t="s">
        <v>52</v>
      </c>
      <c r="AO24" s="25"/>
      <c r="AP24" s="26" t="s">
        <v>53</v>
      </c>
      <c r="AQ24" s="23"/>
    </row>
    <row r="25" spans="1:43">
      <c r="A25" s="11" t="s">
        <v>26</v>
      </c>
      <c r="B25" s="9">
        <v>0.22</v>
      </c>
      <c r="C25" s="10" t="s">
        <v>27</v>
      </c>
      <c r="E25" s="24" t="s">
        <v>57</v>
      </c>
      <c r="F25" s="24">
        <f>F59</f>
        <v>33</v>
      </c>
      <c r="G25" s="26" t="s">
        <v>58</v>
      </c>
      <c r="H25" s="23"/>
      <c r="I25" s="69"/>
      <c r="J25" s="24" t="s">
        <v>57</v>
      </c>
      <c r="K25" s="22"/>
      <c r="L25" s="26" t="s">
        <v>58</v>
      </c>
      <c r="M25" s="23"/>
      <c r="O25" s="24" t="s">
        <v>57</v>
      </c>
      <c r="P25" s="22"/>
      <c r="Q25" s="26" t="s">
        <v>58</v>
      </c>
      <c r="R25" s="23"/>
      <c r="T25" s="24" t="s">
        <v>57</v>
      </c>
      <c r="U25" s="22"/>
      <c r="V25" s="26" t="s">
        <v>58</v>
      </c>
      <c r="W25" s="23"/>
      <c r="Y25" s="24" t="s">
        <v>57</v>
      </c>
      <c r="Z25" s="22"/>
      <c r="AA25" s="26" t="s">
        <v>58</v>
      </c>
      <c r="AB25" s="23"/>
      <c r="AD25" s="24" t="s">
        <v>57</v>
      </c>
      <c r="AE25" s="22"/>
      <c r="AF25" s="26" t="s">
        <v>58</v>
      </c>
      <c r="AG25" s="23"/>
      <c r="AI25" s="24" t="s">
        <v>57</v>
      </c>
      <c r="AJ25" s="22"/>
      <c r="AK25" s="26" t="s">
        <v>58</v>
      </c>
      <c r="AL25" s="23"/>
      <c r="AN25" s="24" t="s">
        <v>57</v>
      </c>
      <c r="AO25" s="22"/>
      <c r="AP25" s="26" t="s">
        <v>58</v>
      </c>
      <c r="AQ25" s="23"/>
    </row>
    <row r="26" spans="1:43" ht="15.75" thickBot="1">
      <c r="A26" s="70" t="s">
        <v>176</v>
      </c>
      <c r="B26" s="9">
        <f>(0.4*PI()*F25*(B19)*(10^-4))/(F29+(F6/F22))</f>
        <v>0.44117647058823534</v>
      </c>
      <c r="C26" s="71" t="s">
        <v>27</v>
      </c>
      <c r="E26" s="24" t="s">
        <v>89</v>
      </c>
      <c r="F26" s="74">
        <f t="shared" si="0"/>
        <v>0</v>
      </c>
      <c r="G26" s="26" t="s">
        <v>58</v>
      </c>
      <c r="H26" s="23"/>
      <c r="I26" s="69"/>
      <c r="J26" s="24" t="s">
        <v>89</v>
      </c>
      <c r="K26" s="60"/>
      <c r="L26" s="26" t="s">
        <v>58</v>
      </c>
      <c r="M26" s="23"/>
      <c r="O26" s="24" t="s">
        <v>89</v>
      </c>
      <c r="P26" s="60"/>
      <c r="Q26" s="26" t="s">
        <v>58</v>
      </c>
      <c r="R26" s="23"/>
      <c r="T26" s="24" t="s">
        <v>89</v>
      </c>
      <c r="U26" s="60"/>
      <c r="V26" s="26" t="s">
        <v>58</v>
      </c>
      <c r="W26" s="23"/>
      <c r="Y26" s="24" t="s">
        <v>89</v>
      </c>
      <c r="Z26" s="60"/>
      <c r="AA26" s="26" t="s">
        <v>58</v>
      </c>
      <c r="AB26" s="23"/>
      <c r="AD26" s="24" t="s">
        <v>89</v>
      </c>
      <c r="AE26" s="60"/>
      <c r="AF26" s="26" t="s">
        <v>58</v>
      </c>
      <c r="AG26" s="23"/>
      <c r="AI26" s="24" t="s">
        <v>89</v>
      </c>
      <c r="AJ26" s="60"/>
      <c r="AK26" s="26" t="s">
        <v>58</v>
      </c>
      <c r="AL26" s="23"/>
      <c r="AN26" s="24" t="s">
        <v>89</v>
      </c>
      <c r="AO26" s="60"/>
      <c r="AP26" s="26" t="s">
        <v>58</v>
      </c>
      <c r="AQ26" s="23"/>
    </row>
    <row r="27" spans="1:43">
      <c r="A27" s="11" t="s">
        <v>185</v>
      </c>
      <c r="B27" s="9">
        <f>8*10^6</f>
        <v>8000000</v>
      </c>
      <c r="C27" s="10" t="s">
        <v>28</v>
      </c>
      <c r="E27" s="54" t="s">
        <v>64</v>
      </c>
      <c r="F27" s="76">
        <f t="shared" si="0"/>
        <v>120749.40170940169</v>
      </c>
      <c r="G27" s="55" t="s">
        <v>63</v>
      </c>
      <c r="H27" s="23"/>
      <c r="I27" s="69"/>
      <c r="J27" s="54" t="s">
        <v>64</v>
      </c>
      <c r="K27" s="58">
        <f>K28*100000</f>
        <v>5136.0793687500009</v>
      </c>
      <c r="L27" s="55" t="s">
        <v>63</v>
      </c>
      <c r="M27" s="23"/>
      <c r="O27" s="54" t="s">
        <v>64</v>
      </c>
      <c r="P27" s="58">
        <f>P28*100000</f>
        <v>12506.489239436622</v>
      </c>
      <c r="Q27" s="55" t="s">
        <v>63</v>
      </c>
      <c r="R27" s="23"/>
      <c r="T27" s="54" t="s">
        <v>64</v>
      </c>
      <c r="U27" s="58">
        <f>U28*100000</f>
        <v>17676.912578313251</v>
      </c>
      <c r="V27" s="55" t="s">
        <v>63</v>
      </c>
      <c r="W27" s="23"/>
      <c r="Y27" s="54" t="s">
        <v>64</v>
      </c>
      <c r="Z27" s="58">
        <f>Z28*100000</f>
        <v>35962.811659574465</v>
      </c>
      <c r="AA27" s="55" t="s">
        <v>63</v>
      </c>
      <c r="AB27" s="23"/>
      <c r="AD27" s="54" t="s">
        <v>64</v>
      </c>
      <c r="AE27" s="58">
        <f>AE28*100000</f>
        <v>59372.859805825239</v>
      </c>
      <c r="AF27" s="55" t="s">
        <v>63</v>
      </c>
      <c r="AG27" s="23"/>
      <c r="AI27" s="54" t="s">
        <v>64</v>
      </c>
      <c r="AJ27" s="58">
        <f>AJ28*100000</f>
        <v>120749.40170940169</v>
      </c>
      <c r="AK27" s="55" t="s">
        <v>63</v>
      </c>
      <c r="AL27" s="23"/>
      <c r="AN27" s="54" t="s">
        <v>64</v>
      </c>
      <c r="AO27" s="58">
        <f>AO28*100000</f>
        <v>217415.27502015501</v>
      </c>
      <c r="AP27" s="55" t="s">
        <v>63</v>
      </c>
      <c r="AQ27" s="23"/>
    </row>
    <row r="28" spans="1:43" ht="15.75" thickBot="1">
      <c r="A28" s="11" t="s">
        <v>186</v>
      </c>
      <c r="B28" s="9">
        <f>B27/10000</f>
        <v>800</v>
      </c>
      <c r="C28" s="10" t="s">
        <v>72</v>
      </c>
      <c r="E28" s="54" t="s">
        <v>65</v>
      </c>
      <c r="F28" s="77">
        <f t="shared" si="0"/>
        <v>1.2074940170940169</v>
      </c>
      <c r="G28" s="55" t="s">
        <v>60</v>
      </c>
      <c r="H28" s="23"/>
      <c r="I28" s="69"/>
      <c r="J28" s="54" t="s">
        <v>65</v>
      </c>
      <c r="K28" s="59">
        <f>(K15*K11^2*B31)/K8</f>
        <v>5.136079368750001E-2</v>
      </c>
      <c r="L28" s="55" t="s">
        <v>60</v>
      </c>
      <c r="M28" s="23"/>
      <c r="O28" s="54" t="s">
        <v>65</v>
      </c>
      <c r="P28" s="59">
        <f>(P15*P11^2*$B$31)/P8</f>
        <v>0.12506489239436622</v>
      </c>
      <c r="Q28" s="55" t="s">
        <v>60</v>
      </c>
      <c r="R28" s="23"/>
      <c r="T28" s="54" t="s">
        <v>65</v>
      </c>
      <c r="U28" s="59">
        <f>(U15*U11^2*$B$31)/U8</f>
        <v>0.1767691257831325</v>
      </c>
      <c r="V28" s="55" t="s">
        <v>60</v>
      </c>
      <c r="W28" s="23"/>
      <c r="Y28" s="54" t="s">
        <v>65</v>
      </c>
      <c r="Z28" s="59">
        <f>(Z15*Z11^2*$B$31)/Z8</f>
        <v>0.35962811659574467</v>
      </c>
      <c r="AA28" s="55" t="s">
        <v>60</v>
      </c>
      <c r="AB28" s="23"/>
      <c r="AD28" s="54" t="s">
        <v>65</v>
      </c>
      <c r="AE28" s="59">
        <f>(AE15*AE11^2*$B$31)/AE8</f>
        <v>0.5937285980582524</v>
      </c>
      <c r="AF28" s="55" t="s">
        <v>60</v>
      </c>
      <c r="AG28" s="23"/>
      <c r="AI28" s="54" t="s">
        <v>65</v>
      </c>
      <c r="AJ28" s="59">
        <f>(AJ15*AJ11^2*$B$31)/AJ8</f>
        <v>1.2074940170940169</v>
      </c>
      <c r="AK28" s="55" t="s">
        <v>60</v>
      </c>
      <c r="AL28" s="23"/>
      <c r="AN28" s="54" t="s">
        <v>65</v>
      </c>
      <c r="AO28" s="59">
        <f>(AO15*AO11^2*$B$31)/AO8</f>
        <v>2.1741527502015501</v>
      </c>
      <c r="AP28" s="55" t="s">
        <v>60</v>
      </c>
      <c r="AQ28" s="23"/>
    </row>
    <row r="29" spans="1:43">
      <c r="A29" s="11" t="s">
        <v>186</v>
      </c>
      <c r="B29" s="9">
        <f>B27/1000000</f>
        <v>8</v>
      </c>
      <c r="C29" s="10" t="s">
        <v>29</v>
      </c>
      <c r="E29" s="24" t="s">
        <v>90</v>
      </c>
      <c r="F29" s="75">
        <f>F60</f>
        <v>3.9301256400733613E-2</v>
      </c>
      <c r="G29" s="26" t="s">
        <v>81</v>
      </c>
      <c r="H29" s="23"/>
      <c r="I29" s="69"/>
      <c r="J29" s="24" t="s">
        <v>90</v>
      </c>
      <c r="K29" s="61"/>
      <c r="L29" s="26" t="s">
        <v>81</v>
      </c>
      <c r="M29" s="23"/>
      <c r="O29" s="24" t="s">
        <v>90</v>
      </c>
      <c r="P29" s="61"/>
      <c r="Q29" s="26" t="s">
        <v>81</v>
      </c>
      <c r="R29" s="23"/>
      <c r="T29" s="24" t="s">
        <v>90</v>
      </c>
      <c r="U29" s="61"/>
      <c r="V29" s="26" t="s">
        <v>81</v>
      </c>
      <c r="W29" s="23"/>
      <c r="Y29" s="24" t="s">
        <v>90</v>
      </c>
      <c r="Z29" s="61"/>
      <c r="AA29" s="26" t="s">
        <v>81</v>
      </c>
      <c r="AB29" s="23"/>
      <c r="AD29" s="24" t="s">
        <v>90</v>
      </c>
      <c r="AE29" s="61"/>
      <c r="AF29" s="26" t="s">
        <v>81</v>
      </c>
      <c r="AG29" s="23"/>
      <c r="AI29" s="24" t="s">
        <v>90</v>
      </c>
      <c r="AJ29" s="61"/>
      <c r="AK29" s="26" t="s">
        <v>81</v>
      </c>
      <c r="AL29" s="23"/>
      <c r="AN29" s="24" t="s">
        <v>90</v>
      </c>
      <c r="AO29" s="61"/>
      <c r="AP29" s="26" t="s">
        <v>81</v>
      </c>
      <c r="AQ29" s="23"/>
    </row>
    <row r="30" spans="1:43">
      <c r="A30" s="11" t="s">
        <v>18</v>
      </c>
      <c r="B30" s="53">
        <f>0.5*B21*(B20^2)</f>
        <v>3.7367647058823533E-2</v>
      </c>
      <c r="C30" s="10" t="s">
        <v>9</v>
      </c>
      <c r="E30" s="30"/>
      <c r="F30" s="31"/>
      <c r="G30" s="32"/>
      <c r="H30" s="33"/>
    </row>
    <row r="31" spans="1:43">
      <c r="A31" s="11" t="s">
        <v>174</v>
      </c>
      <c r="B31" s="9">
        <v>0.4</v>
      </c>
      <c r="C31" s="12"/>
      <c r="E31" s="19" t="s">
        <v>41</v>
      </c>
      <c r="F31" s="20"/>
      <c r="G31" s="21"/>
      <c r="H31" s="27"/>
    </row>
    <row r="32" spans="1:43">
      <c r="A32" s="11" t="s">
        <v>25</v>
      </c>
      <c r="B32" s="9">
        <f>2*B30/(B31*B25*B27)</f>
        <v>1.0615808823529411E-7</v>
      </c>
      <c r="C32" s="10" t="s">
        <v>30</v>
      </c>
      <c r="E32" s="24" t="s">
        <v>42</v>
      </c>
      <c r="F32" s="25">
        <v>43.8</v>
      </c>
      <c r="G32" s="26" t="s">
        <v>45</v>
      </c>
      <c r="H32" s="23"/>
    </row>
    <row r="33" spans="1:15">
      <c r="A33" s="11" t="s">
        <v>25</v>
      </c>
      <c r="B33" s="9">
        <f>B32*100000000</f>
        <v>10.615808823529411</v>
      </c>
      <c r="C33" s="10" t="s">
        <v>66</v>
      </c>
      <c r="E33" s="24" t="s">
        <v>43</v>
      </c>
      <c r="F33" s="25">
        <v>15.2</v>
      </c>
      <c r="G33" s="26" t="s">
        <v>45</v>
      </c>
      <c r="H33" s="23"/>
    </row>
    <row r="34" spans="1:15">
      <c r="A34" s="11" t="s">
        <v>25</v>
      </c>
      <c r="B34" s="9">
        <f>B32*10^12</f>
        <v>106158.08823529411</v>
      </c>
      <c r="C34" s="10" t="s">
        <v>31</v>
      </c>
      <c r="E34" s="24" t="s">
        <v>44</v>
      </c>
      <c r="F34" s="25">
        <f>2*15.2</f>
        <v>30.4</v>
      </c>
      <c r="G34" s="26" t="s">
        <v>45</v>
      </c>
      <c r="H34" s="23"/>
    </row>
    <row r="35" spans="1:15">
      <c r="A35" s="11" t="s">
        <v>187</v>
      </c>
      <c r="B35" s="9">
        <f>B36*10000</f>
        <v>6733302.4592469055</v>
      </c>
      <c r="C35" s="10" t="s">
        <v>28</v>
      </c>
      <c r="E35" s="24" t="s">
        <v>46</v>
      </c>
      <c r="F35" s="25">
        <v>15.2</v>
      </c>
      <c r="G35" s="26" t="s">
        <v>45</v>
      </c>
      <c r="H35" s="23"/>
      <c r="K35" s="72" t="s">
        <v>177</v>
      </c>
      <c r="L35" s="73" t="s">
        <v>178</v>
      </c>
      <c r="M35" s="73"/>
      <c r="N35" s="73"/>
      <c r="O35" s="73"/>
    </row>
    <row r="36" spans="1:15">
      <c r="A36" s="11" t="s">
        <v>188</v>
      </c>
      <c r="B36" s="9">
        <f>(2*B30*(10^4))/(B25*F18*B31)</f>
        <v>673.33024592469053</v>
      </c>
      <c r="C36" s="10" t="s">
        <v>72</v>
      </c>
      <c r="E36" s="24" t="s">
        <v>47</v>
      </c>
      <c r="F36" s="25">
        <f>F35/2</f>
        <v>7.6</v>
      </c>
      <c r="G36" s="26" t="s">
        <v>45</v>
      </c>
      <c r="H36" s="23"/>
      <c r="K36" s="72" t="s">
        <v>179</v>
      </c>
      <c r="L36" s="73" t="s">
        <v>180</v>
      </c>
      <c r="M36" s="73"/>
      <c r="N36" s="73"/>
      <c r="O36" s="73"/>
    </row>
    <row r="37" spans="1:15">
      <c r="A37" s="11" t="s">
        <v>188</v>
      </c>
      <c r="B37" s="9">
        <f>B36/100</f>
        <v>6.7333024592469055</v>
      </c>
      <c r="C37" s="10" t="s">
        <v>29</v>
      </c>
      <c r="E37" s="24" t="s">
        <v>51</v>
      </c>
      <c r="F37" s="25">
        <v>32.5</v>
      </c>
      <c r="G37" s="26" t="s">
        <v>45</v>
      </c>
      <c r="H37" s="23"/>
      <c r="K37" s="72" t="s">
        <v>181</v>
      </c>
      <c r="L37" s="73" t="s">
        <v>182</v>
      </c>
      <c r="M37" s="73"/>
      <c r="N37" s="73"/>
      <c r="O37" s="73"/>
    </row>
    <row r="38" spans="1:15">
      <c r="E38" s="24" t="s">
        <v>49</v>
      </c>
      <c r="F38" s="25">
        <f>F37-F35</f>
        <v>17.3</v>
      </c>
      <c r="G38" s="26" t="s">
        <v>45</v>
      </c>
      <c r="H38" s="23"/>
      <c r="K38" s="72" t="s">
        <v>183</v>
      </c>
      <c r="L38" s="73" t="s">
        <v>184</v>
      </c>
      <c r="M38" s="73"/>
      <c r="N38" s="73"/>
      <c r="O38" s="73"/>
    </row>
    <row r="39" spans="1:15">
      <c r="A39" s="19" t="s">
        <v>73</v>
      </c>
      <c r="B39" s="20"/>
      <c r="C39" s="21"/>
      <c r="E39" s="24" t="s">
        <v>50</v>
      </c>
      <c r="F39" s="25">
        <f>16.1*2</f>
        <v>32.200000000000003</v>
      </c>
      <c r="G39" s="26" t="s">
        <v>45</v>
      </c>
      <c r="H39" s="23"/>
    </row>
    <row r="40" spans="1:15" ht="15.75" thickBot="1">
      <c r="A40" s="18" t="s">
        <v>59</v>
      </c>
      <c r="B40" s="64">
        <f>0.145*B8*B25^2*(10^-4)</f>
        <v>1.0526999999999997E-3</v>
      </c>
      <c r="C40" s="17"/>
      <c r="E40" s="23"/>
      <c r="F40" s="25"/>
      <c r="G40" s="26"/>
      <c r="H40" s="23"/>
    </row>
    <row r="41" spans="1:15">
      <c r="A41" s="62" t="s">
        <v>61</v>
      </c>
      <c r="B41" s="65">
        <f>B30^2/(B40)</f>
        <v>1.3264377759217283</v>
      </c>
      <c r="C41" s="63" t="s">
        <v>60</v>
      </c>
      <c r="E41" s="19" t="s">
        <v>164</v>
      </c>
      <c r="F41" s="20"/>
      <c r="G41" s="27"/>
      <c r="H41" s="27"/>
    </row>
    <row r="42" spans="1:15" ht="15.75" thickBot="1">
      <c r="A42" s="62" t="s">
        <v>62</v>
      </c>
      <c r="B42" s="59">
        <f>B41*100000</f>
        <v>132643.77759217282</v>
      </c>
      <c r="C42" s="63" t="s">
        <v>63</v>
      </c>
      <c r="E42" s="6" t="s">
        <v>82</v>
      </c>
      <c r="F42" s="7">
        <f>B23/B28</f>
        <v>6.2604080005486326E-2</v>
      </c>
      <c r="G42" s="8" t="s">
        <v>74</v>
      </c>
      <c r="H42" s="5"/>
    </row>
    <row r="43" spans="1:15">
      <c r="A43" s="1"/>
      <c r="B43" s="4"/>
      <c r="C43" s="3"/>
      <c r="E43" s="6" t="s">
        <v>82</v>
      </c>
      <c r="F43" s="22">
        <f>F42*100</f>
        <v>6.2604080005486322</v>
      </c>
      <c r="G43" s="8" t="s">
        <v>48</v>
      </c>
      <c r="H43" s="6" t="s">
        <v>166</v>
      </c>
    </row>
    <row r="44" spans="1:15" ht="15.75" thickBot="1">
      <c r="A44" s="19" t="s">
        <v>69</v>
      </c>
      <c r="B44" s="68"/>
      <c r="C44" s="21"/>
      <c r="E44" s="6" t="s">
        <v>137</v>
      </c>
      <c r="F44" s="7">
        <f>SQRT(F42/PI())*2</f>
        <v>0.28232957748834803</v>
      </c>
      <c r="G44" s="8" t="s">
        <v>81</v>
      </c>
      <c r="H44" s="5"/>
    </row>
    <row r="45" spans="1:15">
      <c r="A45" s="66" t="s">
        <v>67</v>
      </c>
      <c r="B45" s="65">
        <f>(2*B30*10^4)/(B25*B28*B31)</f>
        <v>10.615808823529411</v>
      </c>
      <c r="C45" s="67" t="s">
        <v>66</v>
      </c>
      <c r="E45" s="6" t="s">
        <v>137</v>
      </c>
      <c r="F45" s="7">
        <f>F44*100</f>
        <v>28.232957748834803</v>
      </c>
      <c r="G45" s="8" t="s">
        <v>45</v>
      </c>
      <c r="H45" s="5"/>
    </row>
    <row r="46" spans="1:15" ht="15.75" thickBot="1">
      <c r="A46" s="66" t="s">
        <v>68</v>
      </c>
      <c r="B46" s="59">
        <f>B45*10000</f>
        <v>106158.08823529411</v>
      </c>
      <c r="C46" s="67" t="s">
        <v>31</v>
      </c>
      <c r="E46" s="6" t="s">
        <v>138</v>
      </c>
      <c r="F46" s="22">
        <f>'AWG Chart'!D39</f>
        <v>8.107319665559963E-3</v>
      </c>
      <c r="G46" s="8" t="s">
        <v>48</v>
      </c>
      <c r="H46" s="6">
        <f>'AWG Chart'!A39</f>
        <v>38</v>
      </c>
      <c r="I46" s="1" t="s">
        <v>189</v>
      </c>
    </row>
    <row r="47" spans="1:15">
      <c r="A47" s="28" t="s">
        <v>159</v>
      </c>
      <c r="B47" s="28"/>
      <c r="C47" s="28"/>
      <c r="E47" s="6" t="s">
        <v>83</v>
      </c>
      <c r="F47" s="7">
        <f>B58/F46</f>
        <v>560.14692817590071</v>
      </c>
      <c r="G47" s="8" t="s">
        <v>84</v>
      </c>
      <c r="H47" s="5"/>
    </row>
    <row r="48" spans="1:15">
      <c r="A48" s="5" t="s">
        <v>144</v>
      </c>
      <c r="B48" s="7">
        <f>(6.62/SQRT(B12))*1</f>
        <v>2.0934278110314671E-2</v>
      </c>
      <c r="C48" s="8" t="s">
        <v>81</v>
      </c>
      <c r="E48" s="6" t="s">
        <v>139</v>
      </c>
      <c r="F48" s="22">
        <f>ROUND(F47,0)</f>
        <v>560</v>
      </c>
      <c r="G48" s="8" t="s">
        <v>84</v>
      </c>
      <c r="H48" s="5"/>
    </row>
    <row r="49" spans="1:8">
      <c r="A49" s="5" t="s">
        <v>145</v>
      </c>
      <c r="B49" s="7">
        <f>10*B48</f>
        <v>0.20934278110314672</v>
      </c>
      <c r="C49" s="8" t="s">
        <v>45</v>
      </c>
      <c r="E49" s="6" t="s">
        <v>140</v>
      </c>
      <c r="F49" s="7">
        <f>SQRT(F46/PI())*2</f>
        <v>0.1016</v>
      </c>
      <c r="G49" s="8" t="s">
        <v>48</v>
      </c>
      <c r="H49" s="5"/>
    </row>
    <row r="50" spans="1:8">
      <c r="A50" s="5" t="s">
        <v>146</v>
      </c>
      <c r="B50" s="7">
        <f>2*B48</f>
        <v>4.1868556220629342E-2</v>
      </c>
      <c r="C50" s="8" t="s">
        <v>81</v>
      </c>
      <c r="E50" s="6" t="s">
        <v>141</v>
      </c>
      <c r="F50" s="7">
        <f>0.1*F49</f>
        <v>1.0160000000000001E-2</v>
      </c>
      <c r="G50" s="8" t="s">
        <v>74</v>
      </c>
      <c r="H50" s="5"/>
    </row>
    <row r="51" spans="1:8">
      <c r="A51" s="5" t="s">
        <v>147</v>
      </c>
      <c r="B51" s="7">
        <f>10*B50</f>
        <v>0.41868556220629344</v>
      </c>
      <c r="C51" s="8" t="s">
        <v>45</v>
      </c>
      <c r="E51" s="6" t="s">
        <v>142</v>
      </c>
      <c r="F51" s="7">
        <f>F46*F48/0.907</f>
        <v>5.005621844226658</v>
      </c>
      <c r="G51" s="8" t="s">
        <v>48</v>
      </c>
      <c r="H51" s="5" t="s">
        <v>143</v>
      </c>
    </row>
    <row r="52" spans="1:8">
      <c r="A52" s="5" t="s">
        <v>148</v>
      </c>
      <c r="B52" s="5">
        <f>PI()*B48^2</f>
        <v>1.3767841308798053E-3</v>
      </c>
      <c r="C52" s="8" t="s">
        <v>74</v>
      </c>
      <c r="E52" s="6" t="s">
        <v>142</v>
      </c>
      <c r="F52" s="7">
        <f>0.1*F51</f>
        <v>0.50056218442266587</v>
      </c>
      <c r="G52" s="8" t="s">
        <v>74</v>
      </c>
      <c r="H52" s="5"/>
    </row>
    <row r="53" spans="1:8">
      <c r="A53" s="5" t="s">
        <v>149</v>
      </c>
      <c r="B53" s="5">
        <f>100*B52</f>
        <v>0.13767841308798054</v>
      </c>
      <c r="C53" s="8" t="s">
        <v>48</v>
      </c>
      <c r="E53" s="6" t="s">
        <v>88</v>
      </c>
      <c r="F53" s="7">
        <v>0.81508000000000003</v>
      </c>
      <c r="G53" s="8" t="s">
        <v>87</v>
      </c>
      <c r="H53" s="5"/>
    </row>
    <row r="54" spans="1:8">
      <c r="A54" s="28" t="s">
        <v>157</v>
      </c>
      <c r="B54" s="28"/>
      <c r="C54" s="28"/>
      <c r="E54" s="6" t="s">
        <v>85</v>
      </c>
      <c r="F54" s="7">
        <v>8.1508000000000003</v>
      </c>
      <c r="G54" s="8" t="s">
        <v>86</v>
      </c>
      <c r="H54" s="5"/>
    </row>
    <row r="55" spans="1:8">
      <c r="A55" s="5" t="s">
        <v>162</v>
      </c>
      <c r="B55" s="7">
        <f>F44</f>
        <v>0.28232957748834803</v>
      </c>
      <c r="C55" s="8" t="s">
        <v>81</v>
      </c>
      <c r="E55" s="6" t="s">
        <v>190</v>
      </c>
      <c r="F55" s="22">
        <v>100</v>
      </c>
      <c r="G55" s="78" t="s">
        <v>84</v>
      </c>
      <c r="H55" s="5"/>
    </row>
    <row r="56" spans="1:8">
      <c r="A56" s="5" t="s">
        <v>160</v>
      </c>
      <c r="B56" s="7">
        <f>B55-B50</f>
        <v>0.24046102126771868</v>
      </c>
      <c r="C56" s="8" t="s">
        <v>45</v>
      </c>
      <c r="E56" s="6" t="s">
        <v>191</v>
      </c>
      <c r="F56" s="22">
        <f>F48/F55</f>
        <v>5.6</v>
      </c>
      <c r="G56" s="8" t="s">
        <v>86</v>
      </c>
      <c r="H56" s="5"/>
    </row>
    <row r="57" spans="1:8">
      <c r="A57" s="5" t="s">
        <v>161</v>
      </c>
      <c r="B57" s="5">
        <f>PI()*B56^2/4</f>
        <v>4.5412902064034838E-2</v>
      </c>
      <c r="C57" s="8" t="s">
        <v>74</v>
      </c>
    </row>
    <row r="58" spans="1:8">
      <c r="A58" s="5" t="s">
        <v>165</v>
      </c>
      <c r="B58" s="41">
        <f>100*B57</f>
        <v>4.5412902064034837</v>
      </c>
      <c r="C58" s="8" t="s">
        <v>48</v>
      </c>
      <c r="D58" s="1" t="s">
        <v>167</v>
      </c>
      <c r="E58" s="6" t="s">
        <v>192</v>
      </c>
      <c r="F58" s="7">
        <f>0.6*F17/F42</f>
        <v>32.382074775675029</v>
      </c>
      <c r="G58" s="8" t="s">
        <v>58</v>
      </c>
    </row>
    <row r="59" spans="1:8">
      <c r="A59" s="5" t="s">
        <v>163</v>
      </c>
      <c r="B59" s="5">
        <f>(B20*SQRT(1/3))/B57</f>
        <v>699.23443255518112</v>
      </c>
      <c r="C59" s="8" t="s">
        <v>72</v>
      </c>
      <c r="E59" s="6" t="s">
        <v>193</v>
      </c>
      <c r="F59" s="22">
        <f>ROUNDUP(F58,0)</f>
        <v>33</v>
      </c>
      <c r="G59" s="78" t="s">
        <v>58</v>
      </c>
    </row>
    <row r="60" spans="1:8">
      <c r="A60" s="5" t="s">
        <v>168</v>
      </c>
      <c r="B60" s="5">
        <f>(0.866*B58)/B49</f>
        <v>18.786209383583572</v>
      </c>
      <c r="C60" s="8"/>
      <c r="E60" s="79" t="s">
        <v>194</v>
      </c>
      <c r="F60" s="7">
        <f>(0.4*PI()*F59*F11*10^-8)/B22-(F6/F22)</f>
        <v>3.9301256400733613E-2</v>
      </c>
      <c r="G60" s="78" t="s">
        <v>81</v>
      </c>
    </row>
    <row r="61" spans="1:8">
      <c r="A61" s="28" t="s">
        <v>75</v>
      </c>
      <c r="B61" s="29"/>
      <c r="C61" s="29"/>
    </row>
    <row r="62" spans="1:8">
      <c r="A62" t="s">
        <v>76</v>
      </c>
      <c r="E62" s="4"/>
    </row>
    <row r="63" spans="1:8">
      <c r="A63" t="s">
        <v>77</v>
      </c>
      <c r="B63">
        <v>0.6</v>
      </c>
      <c r="E63" s="4"/>
    </row>
    <row r="64" spans="1:8">
      <c r="A64" t="s">
        <v>78</v>
      </c>
      <c r="B64">
        <v>0.75</v>
      </c>
      <c r="E64" s="4"/>
    </row>
    <row r="65" spans="1:19">
      <c r="A65" t="s">
        <v>79</v>
      </c>
      <c r="E65" s="4"/>
    </row>
    <row r="66" spans="1:19">
      <c r="E66" s="2" t="s">
        <v>96</v>
      </c>
    </row>
    <row r="67" spans="1:19">
      <c r="E67" s="4" t="s">
        <v>97</v>
      </c>
    </row>
    <row r="68" spans="1:19">
      <c r="E68" s="4" t="s">
        <v>98</v>
      </c>
    </row>
    <row r="69" spans="1:19">
      <c r="E69" s="4" t="s">
        <v>99</v>
      </c>
    </row>
    <row r="70" spans="1:19">
      <c r="E70" s="4" t="s">
        <v>100</v>
      </c>
    </row>
    <row r="71" spans="1:19">
      <c r="E71" s="4" t="s">
        <v>158</v>
      </c>
    </row>
    <row r="72" spans="1:19">
      <c r="A72" s="49" t="s">
        <v>106</v>
      </c>
      <c r="B72" s="49"/>
      <c r="C72" s="49"/>
      <c r="D72" s="49"/>
      <c r="E72" s="49"/>
      <c r="F72" s="49"/>
      <c r="G72" s="49"/>
      <c r="H72" s="49"/>
      <c r="I72" s="49"/>
      <c r="J72" s="50"/>
      <c r="K72" s="50"/>
      <c r="L72" s="50"/>
      <c r="M72" s="50"/>
      <c r="N72" s="50"/>
      <c r="O72" s="50"/>
      <c r="P72" s="50"/>
      <c r="Q72" s="50"/>
      <c r="R72" s="50"/>
      <c r="S72" s="50"/>
    </row>
    <row r="73" spans="1:19">
      <c r="A73" s="3" t="s">
        <v>108</v>
      </c>
      <c r="B73" s="3" t="s">
        <v>109</v>
      </c>
      <c r="E73" s="1" t="s">
        <v>136</v>
      </c>
    </row>
    <row r="74" spans="1:19">
      <c r="A74" s="3" t="s">
        <v>107</v>
      </c>
      <c r="B74" s="4">
        <f>F11</f>
        <v>2.8</v>
      </c>
      <c r="C74" s="1" t="s">
        <v>74</v>
      </c>
      <c r="E74">
        <v>0</v>
      </c>
    </row>
    <row r="75" spans="1:19">
      <c r="A75" s="3" t="s">
        <v>111</v>
      </c>
      <c r="B75" s="4">
        <v>19</v>
      </c>
    </row>
    <row r="76" spans="1:19">
      <c r="A76" s="3" t="s">
        <v>110</v>
      </c>
      <c r="B76" s="4">
        <v>0.2</v>
      </c>
      <c r="C76" s="1" t="s">
        <v>81</v>
      </c>
    </row>
    <row r="77" spans="1:19">
      <c r="A77" s="3" t="s">
        <v>120</v>
      </c>
      <c r="B77" s="4">
        <v>2.9750000000000001</v>
      </c>
      <c r="C77" s="1" t="s">
        <v>81</v>
      </c>
    </row>
    <row r="78" spans="1:19">
      <c r="A78" s="3" t="s">
        <v>121</v>
      </c>
      <c r="B78" s="4">
        <f>(1+(B76/SQRT(B74))*LN(2*B77/B76))</f>
        <v>1.4055206445139583</v>
      </c>
      <c r="C78" s="1"/>
    </row>
    <row r="79" spans="1:19">
      <c r="A79" s="3" t="s">
        <v>112</v>
      </c>
      <c r="B79" s="4">
        <f>(0.4*PI()*B75^2*B74*(10^-8))/B76</f>
        <v>6.3510437084971251E-5</v>
      </c>
      <c r="C79" s="1" t="s">
        <v>19</v>
      </c>
    </row>
    <row r="80" spans="1:19">
      <c r="A80" s="3" t="s">
        <v>113</v>
      </c>
      <c r="B80" s="4">
        <f>(0.4*PI()*B75^2*F11*(10^-8))/(B76+(F6/F22))</f>
        <v>6.1156825906158482E-5</v>
      </c>
      <c r="C80" s="1" t="s">
        <v>19</v>
      </c>
    </row>
    <row r="81" spans="1:3">
      <c r="A81" s="3" t="s">
        <v>122</v>
      </c>
      <c r="B81" s="35">
        <f>B79*B78</f>
        <v>8.9265230465031994E-5</v>
      </c>
      <c r="C81" s="1" t="s">
        <v>19</v>
      </c>
    </row>
    <row r="82" spans="1:3">
      <c r="A82" s="3" t="s">
        <v>123</v>
      </c>
      <c r="B82" s="35">
        <f>B78*B80</f>
        <v>8.5957181364051805E-5</v>
      </c>
      <c r="C82" s="1" t="s">
        <v>19</v>
      </c>
    </row>
    <row r="83" spans="1:3">
      <c r="A83" s="3" t="s">
        <v>114</v>
      </c>
      <c r="B83" s="4">
        <f>F22/(1+F22*(B76/F6))</f>
        <v>61.146775605485828</v>
      </c>
    </row>
    <row r="84" spans="1:3">
      <c r="A84" s="3" t="s">
        <v>115</v>
      </c>
      <c r="B84" s="4">
        <v>124</v>
      </c>
    </row>
    <row r="85" spans="1:3">
      <c r="A85" s="3" t="s">
        <v>117</v>
      </c>
      <c r="B85" s="4">
        <f>(B84*(0.4*PI()*B75*B7)/F6)/10000</f>
        <v>1.165605085331898</v>
      </c>
      <c r="C85" s="1" t="s">
        <v>27</v>
      </c>
    </row>
    <row r="86" spans="1:3">
      <c r="A86" s="3" t="s">
        <v>116</v>
      </c>
      <c r="B86" s="34">
        <f>(0.4*PI()*B75*B7)/(B76+(F6/F22))/10000</f>
        <v>0.57478219836615119</v>
      </c>
      <c r="C86" s="1" t="s">
        <v>27</v>
      </c>
    </row>
    <row r="87" spans="1:3">
      <c r="A87" s="3" t="s">
        <v>118</v>
      </c>
      <c r="B87" s="4">
        <f>(0.4*PI()*B75*B7*(10^-4)/(B25*10000))</f>
        <v>5.4263873107460068E-5</v>
      </c>
      <c r="C87" s="1" t="s">
        <v>119</v>
      </c>
    </row>
    <row r="88" spans="1:3">
      <c r="A88" s="3" t="s">
        <v>130</v>
      </c>
      <c r="B88" s="34">
        <f>(0.4*PI()*B75*(B7+B19)*(10^-4))/(B76+(F6/F22))</f>
        <v>0.63226041820276635</v>
      </c>
      <c r="C88" s="1" t="s">
        <v>27</v>
      </c>
    </row>
    <row r="89" spans="1:3">
      <c r="A89" s="3" t="s">
        <v>124</v>
      </c>
      <c r="B89">
        <f>(B75/F6)*(B7+B19)</f>
        <v>82.28346456692914</v>
      </c>
      <c r="C89" s="1" t="s">
        <v>125</v>
      </c>
    </row>
    <row r="90" spans="1:3">
      <c r="A90" s="3" t="s">
        <v>126</v>
      </c>
      <c r="B90">
        <f>B89*B84/10000</f>
        <v>1.0203149606299213</v>
      </c>
      <c r="C90" s="1" t="s">
        <v>27</v>
      </c>
    </row>
    <row r="91" spans="1:3">
      <c r="A91" s="3" t="s">
        <v>127</v>
      </c>
      <c r="B91">
        <f>(B75/F6)*(B7-B19)</f>
        <v>67.322834645669289</v>
      </c>
      <c r="C91" s="1" t="s">
        <v>125</v>
      </c>
    </row>
    <row r="92" spans="1:3">
      <c r="A92" s="3" t="s">
        <v>128</v>
      </c>
      <c r="B92">
        <f>B91*B84/10000</f>
        <v>0.83480314960629909</v>
      </c>
      <c r="C92" s="1" t="s">
        <v>27</v>
      </c>
    </row>
    <row r="93" spans="1:3">
      <c r="A93" s="3" t="s">
        <v>129</v>
      </c>
      <c r="B93">
        <f>(B90-B92)/2</f>
        <v>9.2755905511811121E-2</v>
      </c>
      <c r="C93" s="1" t="s">
        <v>27</v>
      </c>
    </row>
    <row r="94" spans="1:3">
      <c r="A94" s="3" t="s">
        <v>131</v>
      </c>
      <c r="B94" s="36">
        <v>80</v>
      </c>
      <c r="C94" s="1" t="s">
        <v>133</v>
      </c>
    </row>
    <row r="95" spans="1:3">
      <c r="A95" s="3" t="s">
        <v>135</v>
      </c>
      <c r="B95">
        <f>B94*F6*B74</f>
        <v>2844.7999999999997</v>
      </c>
      <c r="C95" s="1" t="s">
        <v>132</v>
      </c>
    </row>
    <row r="96" spans="1:3">
      <c r="A96" s="3" t="s">
        <v>134</v>
      </c>
      <c r="B96">
        <f>B95/1000</f>
        <v>2.8447999999999998</v>
      </c>
      <c r="C96" s="1" t="s">
        <v>9</v>
      </c>
    </row>
  </sheetData>
  <mergeCells count="6">
    <mergeCell ref="A72:I72"/>
    <mergeCell ref="A1:J2"/>
    <mergeCell ref="L35:O35"/>
    <mergeCell ref="L36:O36"/>
    <mergeCell ref="L37:O37"/>
    <mergeCell ref="L38:O3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A0B51-818B-4449-9713-11ABF587102C}">
  <dimension ref="A1:G51"/>
  <sheetViews>
    <sheetView topLeftCell="A29" workbookViewId="0">
      <selection activeCell="D39" sqref="D39"/>
    </sheetView>
  </sheetViews>
  <sheetFormatPr defaultRowHeight="15"/>
  <cols>
    <col min="1" max="1" width="11.42578125" bestFit="1" customWidth="1"/>
    <col min="2" max="2" width="27" bestFit="1" customWidth="1"/>
    <col min="3" max="3" width="24.5703125" bestFit="1" customWidth="1"/>
    <col min="4" max="4" width="34.28515625" bestFit="1" customWidth="1"/>
    <col min="5" max="5" width="33.28515625" bestFit="1" customWidth="1"/>
    <col min="6" max="6" width="11.5703125" bestFit="1" customWidth="1"/>
    <col min="7" max="7" width="11.85546875" bestFit="1" customWidth="1"/>
  </cols>
  <sheetData>
    <row r="1" spans="1:7">
      <c r="A1" s="39" t="s">
        <v>150</v>
      </c>
      <c r="B1" s="39" t="s">
        <v>151</v>
      </c>
      <c r="C1" s="39" t="s">
        <v>152</v>
      </c>
      <c r="D1" s="39" t="s">
        <v>153</v>
      </c>
      <c r="E1" s="39" t="s">
        <v>156</v>
      </c>
      <c r="F1" s="39" t="s">
        <v>154</v>
      </c>
      <c r="G1" s="39" t="s">
        <v>155</v>
      </c>
    </row>
    <row r="2" spans="1:7">
      <c r="A2" s="40">
        <v>1</v>
      </c>
      <c r="B2" s="43">
        <v>0.28929700000000003</v>
      </c>
      <c r="C2" s="38">
        <v>7.3481437999999999</v>
      </c>
      <c r="D2" s="42">
        <f>PI()*(C2/2)^2</f>
        <v>42.407744503968885</v>
      </c>
      <c r="E2" s="42">
        <f>0.01*D2</f>
        <v>0.42407744503968886</v>
      </c>
      <c r="F2" s="33"/>
      <c r="G2" s="33"/>
    </row>
    <row r="3" spans="1:7">
      <c r="A3" s="40">
        <v>2</v>
      </c>
      <c r="B3" s="43">
        <v>0.25762699999999999</v>
      </c>
      <c r="C3" s="38">
        <v>6.5437257999999998</v>
      </c>
      <c r="D3" s="42">
        <f t="shared" ref="D3:D51" si="0">PI()*(C3/2)^2</f>
        <v>33.631022161263758</v>
      </c>
      <c r="E3" s="42">
        <f t="shared" ref="E3:E51" si="1">0.01*D3</f>
        <v>0.33631022161263757</v>
      </c>
      <c r="F3" s="33"/>
      <c r="G3" s="33"/>
    </row>
    <row r="4" spans="1:7">
      <c r="A4" s="40">
        <v>3</v>
      </c>
      <c r="B4" s="43">
        <v>0.22942299999999999</v>
      </c>
      <c r="C4" s="38">
        <v>5.8273441999999998</v>
      </c>
      <c r="D4" s="42">
        <f t="shared" si="0"/>
        <v>26.670504042769874</v>
      </c>
      <c r="E4" s="42">
        <f t="shared" si="1"/>
        <v>0.26670504042769877</v>
      </c>
      <c r="F4" s="33"/>
      <c r="G4" s="33"/>
    </row>
    <row r="5" spans="1:7">
      <c r="A5" s="40">
        <v>4</v>
      </c>
      <c r="B5" s="43">
        <v>0.20430000000000001</v>
      </c>
      <c r="C5" s="38">
        <v>5.1892199999999997</v>
      </c>
      <c r="D5" s="42">
        <f t="shared" si="0"/>
        <v>21.149205049236116</v>
      </c>
      <c r="E5" s="42">
        <f t="shared" si="1"/>
        <v>0.21149205049236117</v>
      </c>
      <c r="F5" s="33"/>
      <c r="G5" s="33"/>
    </row>
    <row r="6" spans="1:7">
      <c r="A6" s="40">
        <v>5</v>
      </c>
      <c r="B6" s="43">
        <v>0.18190000000000001</v>
      </c>
      <c r="C6" s="38">
        <v>4.62026</v>
      </c>
      <c r="D6" s="42">
        <f t="shared" si="0"/>
        <v>16.765739452461158</v>
      </c>
      <c r="E6" s="42">
        <f t="shared" si="1"/>
        <v>0.16765739452461159</v>
      </c>
      <c r="F6" s="33"/>
      <c r="G6" s="33"/>
    </row>
    <row r="7" spans="1:7">
      <c r="A7" s="40">
        <v>6</v>
      </c>
      <c r="B7" s="43">
        <v>0.16200000000000001</v>
      </c>
      <c r="C7" s="38">
        <v>4.1147999999999998</v>
      </c>
      <c r="D7" s="42">
        <f t="shared" si="0"/>
        <v>13.298031081434729</v>
      </c>
      <c r="E7" s="42">
        <f t="shared" si="1"/>
        <v>0.1329803108143473</v>
      </c>
      <c r="F7" s="33"/>
      <c r="G7" s="33"/>
    </row>
    <row r="8" spans="1:7">
      <c r="A8" s="40">
        <v>7</v>
      </c>
      <c r="B8" s="43">
        <v>0.14430000000000001</v>
      </c>
      <c r="C8" s="38">
        <v>3.6652200000000001</v>
      </c>
      <c r="D8" s="42">
        <f t="shared" si="0"/>
        <v>10.550911416432855</v>
      </c>
      <c r="E8" s="42">
        <f t="shared" si="1"/>
        <v>0.10550911416432855</v>
      </c>
      <c r="F8" s="33"/>
      <c r="G8" s="33"/>
    </row>
    <row r="9" spans="1:7">
      <c r="A9" s="40">
        <v>8</v>
      </c>
      <c r="B9" s="43">
        <v>0.1285</v>
      </c>
      <c r="C9" s="38">
        <v>3.2639</v>
      </c>
      <c r="D9" s="42">
        <f t="shared" si="0"/>
        <v>8.3668805717276573</v>
      </c>
      <c r="E9" s="42">
        <f t="shared" si="1"/>
        <v>8.366880571727657E-2</v>
      </c>
      <c r="F9" s="33"/>
      <c r="G9" s="33"/>
    </row>
    <row r="10" spans="1:7">
      <c r="A10" s="40">
        <v>9</v>
      </c>
      <c r="B10" s="43">
        <v>0.1144</v>
      </c>
      <c r="C10" s="38">
        <v>2.9057599999999999</v>
      </c>
      <c r="D10" s="42">
        <f t="shared" si="0"/>
        <v>6.6314631936414266</v>
      </c>
      <c r="E10" s="42">
        <f t="shared" si="1"/>
        <v>6.6314631936414264E-2</v>
      </c>
      <c r="F10" s="33"/>
      <c r="G10" s="33"/>
    </row>
    <row r="11" spans="1:7">
      <c r="A11" s="40">
        <v>10</v>
      </c>
      <c r="B11" s="43">
        <v>0.1019</v>
      </c>
      <c r="C11" s="38">
        <v>2.58826</v>
      </c>
      <c r="D11" s="42">
        <f t="shared" si="0"/>
        <v>5.2614528470315687</v>
      </c>
      <c r="E11" s="42">
        <f t="shared" si="1"/>
        <v>5.261452847031569E-2</v>
      </c>
      <c r="F11" s="33"/>
      <c r="G11" s="33"/>
    </row>
    <row r="12" spans="1:7">
      <c r="A12" s="40">
        <v>11</v>
      </c>
      <c r="B12" s="43">
        <v>9.0700000000000003E-2</v>
      </c>
      <c r="C12" s="38">
        <v>2.3037800000000002</v>
      </c>
      <c r="D12" s="42">
        <f t="shared" si="0"/>
        <v>4.1684240097207743</v>
      </c>
      <c r="E12" s="42">
        <f t="shared" si="1"/>
        <v>4.1684240097207746E-2</v>
      </c>
      <c r="F12" s="33"/>
      <c r="G12" s="33"/>
    </row>
    <row r="13" spans="1:7">
      <c r="A13" s="40">
        <v>12</v>
      </c>
      <c r="B13" s="43">
        <v>8.0799999999999997E-2</v>
      </c>
      <c r="C13" s="38">
        <v>2.0523199999999999</v>
      </c>
      <c r="D13" s="42">
        <f t="shared" si="0"/>
        <v>3.3081107163350878</v>
      </c>
      <c r="E13" s="42">
        <f t="shared" si="1"/>
        <v>3.308110716335088E-2</v>
      </c>
      <c r="F13" s="33"/>
      <c r="G13" s="33"/>
    </row>
    <row r="14" spans="1:7">
      <c r="A14" s="40">
        <v>13</v>
      </c>
      <c r="B14" s="43">
        <v>7.1999999999999995E-2</v>
      </c>
      <c r="C14" s="38">
        <v>1.8287999999999998</v>
      </c>
      <c r="D14" s="42">
        <f t="shared" si="0"/>
        <v>2.6267715716414277</v>
      </c>
      <c r="E14" s="42">
        <f t="shared" si="1"/>
        <v>2.6267715716414279E-2</v>
      </c>
      <c r="F14" s="33"/>
      <c r="G14" s="33"/>
    </row>
    <row r="15" spans="1:7">
      <c r="A15" s="40">
        <v>14</v>
      </c>
      <c r="B15" s="43">
        <v>6.4100000000000004E-2</v>
      </c>
      <c r="C15" s="38">
        <v>1.6281399999999999</v>
      </c>
      <c r="D15" s="42">
        <f t="shared" si="0"/>
        <v>2.0819647571905895</v>
      </c>
      <c r="E15" s="42">
        <f t="shared" si="1"/>
        <v>2.0819647571905894E-2</v>
      </c>
      <c r="F15" s="33"/>
      <c r="G15" s="33"/>
    </row>
    <row r="16" spans="1:7">
      <c r="A16" s="40">
        <v>15</v>
      </c>
      <c r="B16" s="43">
        <v>5.7099999999999998E-2</v>
      </c>
      <c r="C16" s="38">
        <v>1.45034</v>
      </c>
      <c r="D16" s="42">
        <f t="shared" si="0"/>
        <v>1.6520741319242727</v>
      </c>
      <c r="E16" s="42">
        <f t="shared" si="1"/>
        <v>1.6520741319242728E-2</v>
      </c>
      <c r="F16" s="33"/>
      <c r="G16" s="33"/>
    </row>
    <row r="17" spans="1:7">
      <c r="A17" s="40">
        <v>16</v>
      </c>
      <c r="B17" s="43">
        <v>5.0799999999999998E-2</v>
      </c>
      <c r="C17" s="38">
        <v>1.2903199999999999</v>
      </c>
      <c r="D17" s="42">
        <f t="shared" si="0"/>
        <v>1.3076295888581664</v>
      </c>
      <c r="E17" s="42">
        <f t="shared" si="1"/>
        <v>1.3076295888581665E-2</v>
      </c>
      <c r="F17" s="33"/>
      <c r="G17" s="33"/>
    </row>
    <row r="18" spans="1:7">
      <c r="A18" s="40">
        <v>17</v>
      </c>
      <c r="B18" s="43">
        <v>4.53E-2</v>
      </c>
      <c r="C18" s="38">
        <v>1.15062</v>
      </c>
      <c r="D18" s="42">
        <f t="shared" si="0"/>
        <v>1.0398093507811841</v>
      </c>
      <c r="E18" s="42">
        <f t="shared" si="1"/>
        <v>1.0398093507811842E-2</v>
      </c>
      <c r="F18" s="33"/>
      <c r="G18" s="33"/>
    </row>
    <row r="19" spans="1:7">
      <c r="A19" s="40">
        <v>18</v>
      </c>
      <c r="B19" s="43">
        <v>4.0300000000000002E-2</v>
      </c>
      <c r="C19" s="38">
        <v>1.02362</v>
      </c>
      <c r="D19" s="42">
        <f t="shared" si="0"/>
        <v>0.82293854972745495</v>
      </c>
      <c r="E19" s="42">
        <f t="shared" si="1"/>
        <v>8.2293854972745502E-3</v>
      </c>
      <c r="F19" s="33"/>
      <c r="G19" s="33"/>
    </row>
    <row r="20" spans="1:7">
      <c r="A20" s="40">
        <v>19</v>
      </c>
      <c r="B20" s="43">
        <v>3.5900000000000001E-2</v>
      </c>
      <c r="C20" s="38">
        <v>0.91186</v>
      </c>
      <c r="D20" s="42">
        <f t="shared" si="0"/>
        <v>0.65304966613564597</v>
      </c>
      <c r="E20" s="42">
        <f t="shared" si="1"/>
        <v>6.5304966613564594E-3</v>
      </c>
      <c r="F20" s="33"/>
      <c r="G20" s="33"/>
    </row>
    <row r="21" spans="1:7">
      <c r="A21" s="40">
        <v>20</v>
      </c>
      <c r="B21" s="43">
        <v>3.2000000000000001E-2</v>
      </c>
      <c r="C21" s="38">
        <v>0.81279999999999997</v>
      </c>
      <c r="D21" s="42">
        <f t="shared" si="0"/>
        <v>0.51886845859583763</v>
      </c>
      <c r="E21" s="42">
        <f t="shared" si="1"/>
        <v>5.1886845859583763E-3</v>
      </c>
      <c r="F21" s="33"/>
      <c r="G21" s="33"/>
    </row>
    <row r="22" spans="1:7">
      <c r="A22" s="40">
        <v>21</v>
      </c>
      <c r="B22" s="43">
        <v>2.8500000000000001E-2</v>
      </c>
      <c r="C22" s="38">
        <v>0.72389999999999999</v>
      </c>
      <c r="D22" s="42">
        <f t="shared" si="0"/>
        <v>0.41157314989694249</v>
      </c>
      <c r="E22" s="42">
        <f t="shared" si="1"/>
        <v>4.1157314989694249E-3</v>
      </c>
      <c r="F22" s="33"/>
      <c r="G22" s="33"/>
    </row>
    <row r="23" spans="1:7">
      <c r="A23" s="40">
        <v>22</v>
      </c>
      <c r="B23" s="43">
        <v>2.53E-2</v>
      </c>
      <c r="C23" s="38">
        <v>0.64261999999999997</v>
      </c>
      <c r="D23" s="42">
        <f t="shared" si="0"/>
        <v>0.32433839029551731</v>
      </c>
      <c r="E23" s="42">
        <f t="shared" si="1"/>
        <v>3.2433839029551732E-3</v>
      </c>
      <c r="F23" s="33"/>
      <c r="G23" s="33"/>
    </row>
    <row r="24" spans="1:7">
      <c r="A24" s="40">
        <v>23</v>
      </c>
      <c r="B24" s="43">
        <v>2.2599999999999999E-2</v>
      </c>
      <c r="C24" s="38">
        <v>0.57403999999999988</v>
      </c>
      <c r="D24" s="42">
        <f t="shared" si="0"/>
        <v>0.25880591202383785</v>
      </c>
      <c r="E24" s="42">
        <f t="shared" si="1"/>
        <v>2.5880591202383785E-3</v>
      </c>
      <c r="F24" s="33"/>
      <c r="G24" s="33"/>
    </row>
    <row r="25" spans="1:7">
      <c r="A25" s="40">
        <v>24</v>
      </c>
      <c r="B25" s="43">
        <v>2.01E-2</v>
      </c>
      <c r="C25" s="38">
        <v>0.51053999999999999</v>
      </c>
      <c r="D25" s="42">
        <f t="shared" si="0"/>
        <v>0.20471488863018006</v>
      </c>
      <c r="E25" s="42">
        <f t="shared" si="1"/>
        <v>2.0471488863018006E-3</v>
      </c>
      <c r="F25" s="33"/>
      <c r="G25" s="33"/>
    </row>
    <row r="26" spans="1:7">
      <c r="A26" s="40">
        <v>25</v>
      </c>
      <c r="B26" s="43">
        <v>1.7899999999999999E-2</v>
      </c>
      <c r="C26" s="38">
        <v>0.45465999999999995</v>
      </c>
      <c r="D26" s="42">
        <f t="shared" si="0"/>
        <v>0.16235414337762921</v>
      </c>
      <c r="E26" s="42">
        <f t="shared" si="1"/>
        <v>1.6235414337762921E-3</v>
      </c>
      <c r="F26" s="33"/>
      <c r="G26" s="33"/>
    </row>
    <row r="27" spans="1:7">
      <c r="A27" s="40">
        <v>26</v>
      </c>
      <c r="B27" s="43">
        <v>1.5900000000000001E-2</v>
      </c>
      <c r="C27" s="38">
        <v>0.40386</v>
      </c>
      <c r="D27" s="42">
        <f t="shared" si="0"/>
        <v>0.12810071779063839</v>
      </c>
      <c r="E27" s="42">
        <f t="shared" si="1"/>
        <v>1.2810071779063839E-3</v>
      </c>
      <c r="F27" s="33"/>
      <c r="G27" s="33"/>
    </row>
    <row r="28" spans="1:7">
      <c r="A28" s="40">
        <v>27</v>
      </c>
      <c r="B28" s="43">
        <v>1.4200000000000001E-2</v>
      </c>
      <c r="C28" s="38">
        <v>0.36068</v>
      </c>
      <c r="D28" s="42">
        <f t="shared" si="0"/>
        <v>0.10217249608521946</v>
      </c>
      <c r="E28" s="42">
        <f t="shared" si="1"/>
        <v>1.0217249608521946E-3</v>
      </c>
      <c r="F28" s="33"/>
      <c r="G28" s="33"/>
    </row>
    <row r="29" spans="1:7">
      <c r="A29" s="40">
        <v>28</v>
      </c>
      <c r="B29" s="43">
        <v>1.26E-2</v>
      </c>
      <c r="C29" s="38">
        <v>0.32003999999999999</v>
      </c>
      <c r="D29" s="42">
        <f t="shared" si="0"/>
        <v>8.0444879381518744E-2</v>
      </c>
      <c r="E29" s="42">
        <f t="shared" si="1"/>
        <v>8.0444879381518744E-4</v>
      </c>
      <c r="F29" s="33"/>
      <c r="G29" s="33"/>
    </row>
    <row r="30" spans="1:7">
      <c r="A30" s="40">
        <v>29</v>
      </c>
      <c r="B30" s="43">
        <v>1.1299999999999999E-2</v>
      </c>
      <c r="C30" s="38">
        <v>0.28701999999999994</v>
      </c>
      <c r="D30" s="42">
        <f t="shared" si="0"/>
        <v>6.4701478005959462E-2</v>
      </c>
      <c r="E30" s="42">
        <f t="shared" si="1"/>
        <v>6.4701478005959462E-4</v>
      </c>
      <c r="F30" s="33"/>
      <c r="G30" s="33"/>
    </row>
    <row r="31" spans="1:7">
      <c r="A31" s="40">
        <v>30</v>
      </c>
      <c r="B31" s="43">
        <v>0.01</v>
      </c>
      <c r="C31" s="38">
        <v>0.254</v>
      </c>
      <c r="D31" s="42">
        <f t="shared" si="0"/>
        <v>5.0670747909749778E-2</v>
      </c>
      <c r="E31" s="42">
        <f t="shared" si="1"/>
        <v>5.067074790974978E-4</v>
      </c>
      <c r="F31" s="33"/>
      <c r="G31" s="33"/>
    </row>
    <row r="32" spans="1:7">
      <c r="A32" s="40">
        <v>31</v>
      </c>
      <c r="B32" s="43">
        <v>8.8999999999999999E-3</v>
      </c>
      <c r="C32" s="38">
        <v>0.22605999999999998</v>
      </c>
      <c r="D32" s="42">
        <f t="shared" si="0"/>
        <v>4.0136299419312793E-2</v>
      </c>
      <c r="E32" s="42">
        <f t="shared" si="1"/>
        <v>4.0136299419312794E-4</v>
      </c>
      <c r="F32" s="33"/>
      <c r="G32" s="33"/>
    </row>
    <row r="33" spans="1:7">
      <c r="A33" s="40">
        <v>32</v>
      </c>
      <c r="B33" s="43">
        <v>8.0000000000000002E-3</v>
      </c>
      <c r="C33" s="38">
        <v>0.20319999999999999</v>
      </c>
      <c r="D33" s="42">
        <f t="shared" si="0"/>
        <v>3.2429278662239852E-2</v>
      </c>
      <c r="E33" s="42">
        <f t="shared" si="1"/>
        <v>3.2429278662239852E-4</v>
      </c>
      <c r="F33" s="33"/>
      <c r="G33" s="33"/>
    </row>
    <row r="34" spans="1:7">
      <c r="A34" s="40">
        <v>33</v>
      </c>
      <c r="B34" s="43">
        <v>7.1000000000000004E-3</v>
      </c>
      <c r="C34" s="38">
        <v>0.18034</v>
      </c>
      <c r="D34" s="42">
        <f t="shared" si="0"/>
        <v>2.5543124021304865E-2</v>
      </c>
      <c r="E34" s="42">
        <f t="shared" si="1"/>
        <v>2.5543124021304865E-4</v>
      </c>
      <c r="F34" s="33"/>
      <c r="G34" s="33"/>
    </row>
    <row r="35" spans="1:7">
      <c r="A35" s="40">
        <v>34</v>
      </c>
      <c r="B35" s="43">
        <v>6.3E-3</v>
      </c>
      <c r="C35" s="38">
        <v>0.16002</v>
      </c>
      <c r="D35" s="42">
        <f t="shared" si="0"/>
        <v>2.0111219845379686E-2</v>
      </c>
      <c r="E35" s="42">
        <f t="shared" si="1"/>
        <v>2.0111219845379686E-4</v>
      </c>
      <c r="F35" s="33"/>
      <c r="G35" s="33"/>
    </row>
    <row r="36" spans="1:7">
      <c r="A36" s="40">
        <v>35</v>
      </c>
      <c r="B36" s="43">
        <v>5.5999999999999999E-3</v>
      </c>
      <c r="C36" s="38">
        <v>0.14223999999999998</v>
      </c>
      <c r="D36" s="42">
        <f t="shared" si="0"/>
        <v>1.5890346544497523E-2</v>
      </c>
      <c r="E36" s="42">
        <f t="shared" si="1"/>
        <v>1.5890346544497524E-4</v>
      </c>
      <c r="F36" s="33"/>
      <c r="G36" s="33"/>
    </row>
    <row r="37" spans="1:7">
      <c r="A37" s="40">
        <v>36</v>
      </c>
      <c r="B37" s="43">
        <v>5.0000000000000001E-3</v>
      </c>
      <c r="C37" s="38">
        <v>0.127</v>
      </c>
      <c r="D37" s="42">
        <f t="shared" si="0"/>
        <v>1.2667686977437444E-2</v>
      </c>
      <c r="E37" s="42">
        <f t="shared" si="1"/>
        <v>1.2667686977437445E-4</v>
      </c>
      <c r="F37" s="33"/>
      <c r="G37" s="33"/>
    </row>
    <row r="38" spans="1:7">
      <c r="A38" s="40">
        <v>37</v>
      </c>
      <c r="B38" s="43">
        <v>4.4999999999999997E-3</v>
      </c>
      <c r="C38" s="38">
        <v>0.11429999999999998</v>
      </c>
      <c r="D38" s="42">
        <f t="shared" si="0"/>
        <v>1.0260826451724327E-2</v>
      </c>
      <c r="E38" s="42">
        <f t="shared" si="1"/>
        <v>1.0260826451724328E-4</v>
      </c>
      <c r="F38" s="33"/>
      <c r="G38" s="33"/>
    </row>
    <row r="39" spans="1:7">
      <c r="A39" s="40">
        <v>38</v>
      </c>
      <c r="B39" s="43">
        <v>4.0000000000000001E-3</v>
      </c>
      <c r="C39" s="38">
        <v>0.1016</v>
      </c>
      <c r="D39" s="42">
        <f t="shared" si="0"/>
        <v>8.107319665559963E-3</v>
      </c>
      <c r="E39" s="42">
        <f t="shared" si="1"/>
        <v>8.1073196655599629E-5</v>
      </c>
      <c r="F39" s="33"/>
      <c r="G39" s="33"/>
    </row>
    <row r="40" spans="1:7">
      <c r="A40" s="40">
        <v>39</v>
      </c>
      <c r="B40" s="43">
        <v>3.5000000000000001E-3</v>
      </c>
      <c r="C40" s="37">
        <v>8.8899999999999993E-2</v>
      </c>
      <c r="D40" s="42">
        <f t="shared" si="0"/>
        <v>6.2071666189443464E-3</v>
      </c>
      <c r="E40" s="42">
        <f t="shared" si="1"/>
        <v>6.2071666189443463E-5</v>
      </c>
      <c r="F40" s="33"/>
      <c r="G40" s="33"/>
    </row>
    <row r="41" spans="1:7">
      <c r="A41" s="40">
        <v>40</v>
      </c>
      <c r="B41" s="43">
        <v>3.0999999999999999E-3</v>
      </c>
      <c r="C41" s="37">
        <v>7.8739999999999991E-2</v>
      </c>
      <c r="D41" s="42">
        <f t="shared" si="0"/>
        <v>4.8694588741269515E-3</v>
      </c>
      <c r="E41" s="42">
        <f t="shared" si="1"/>
        <v>4.8694588741269513E-5</v>
      </c>
      <c r="F41" s="33"/>
      <c r="G41" s="33"/>
    </row>
    <row r="42" spans="1:7">
      <c r="A42" s="40">
        <v>41</v>
      </c>
      <c r="B42" s="43">
        <v>2.8E-3</v>
      </c>
      <c r="C42" s="37">
        <v>7.1119999999999989E-2</v>
      </c>
      <c r="D42" s="42">
        <f t="shared" si="0"/>
        <v>3.9725866361243808E-3</v>
      </c>
      <c r="E42" s="42">
        <f t="shared" si="1"/>
        <v>3.972586636124381E-5</v>
      </c>
      <c r="F42" s="33"/>
      <c r="G42" s="33"/>
    </row>
    <row r="43" spans="1:7">
      <c r="A43" s="40">
        <v>42</v>
      </c>
      <c r="B43" s="43">
        <v>2.5000000000000001E-3</v>
      </c>
      <c r="C43" s="37">
        <v>6.3500000000000001E-2</v>
      </c>
      <c r="D43" s="42">
        <f t="shared" si="0"/>
        <v>3.1669217443593611E-3</v>
      </c>
      <c r="E43" s="42">
        <f t="shared" si="1"/>
        <v>3.1669217443593612E-5</v>
      </c>
      <c r="F43" s="33"/>
      <c r="G43" s="33"/>
    </row>
    <row r="44" spans="1:7">
      <c r="A44" s="40">
        <v>43</v>
      </c>
      <c r="B44" s="43">
        <v>2.2000000000000001E-3</v>
      </c>
      <c r="C44" s="37">
        <v>5.5879999999999999E-2</v>
      </c>
      <c r="D44" s="42">
        <f t="shared" si="0"/>
        <v>2.452464198831889E-3</v>
      </c>
      <c r="E44" s="42">
        <f t="shared" si="1"/>
        <v>2.4524641988318891E-5</v>
      </c>
      <c r="F44" s="33"/>
      <c r="G44" s="33"/>
    </row>
    <row r="45" spans="1:7">
      <c r="A45" s="40">
        <v>44</v>
      </c>
      <c r="B45" s="43">
        <v>2E-3</v>
      </c>
      <c r="C45" s="37">
        <v>5.0799999999999998E-2</v>
      </c>
      <c r="D45" s="42">
        <f t="shared" si="0"/>
        <v>2.0268299163899908E-3</v>
      </c>
      <c r="E45" s="42">
        <f t="shared" si="1"/>
        <v>2.0268299163899907E-5</v>
      </c>
      <c r="F45" s="33"/>
      <c r="G45" s="33"/>
    </row>
    <row r="46" spans="1:7">
      <c r="A46" s="40">
        <v>45</v>
      </c>
      <c r="B46" s="43">
        <v>1.8E-3</v>
      </c>
      <c r="C46" s="37">
        <v>4.5719999999999997E-2</v>
      </c>
      <c r="D46" s="42">
        <f t="shared" si="0"/>
        <v>1.6417322322758922E-3</v>
      </c>
      <c r="E46" s="42">
        <f t="shared" si="1"/>
        <v>1.6417322322758923E-5</v>
      </c>
      <c r="F46" s="33"/>
      <c r="G46" s="33"/>
    </row>
    <row r="47" spans="1:7">
      <c r="A47" s="40">
        <v>46</v>
      </c>
      <c r="B47" s="43">
        <v>1.6000000000000001E-3</v>
      </c>
      <c r="C47" s="37">
        <v>4.0640000000000003E-2</v>
      </c>
      <c r="D47" s="42">
        <f t="shared" si="0"/>
        <v>1.2971711464895945E-3</v>
      </c>
      <c r="E47" s="42">
        <f t="shared" si="1"/>
        <v>1.2971711464895946E-5</v>
      </c>
      <c r="F47" s="33"/>
      <c r="G47" s="33"/>
    </row>
    <row r="48" spans="1:7">
      <c r="A48" s="40">
        <v>47</v>
      </c>
      <c r="B48" s="43">
        <v>1.4E-3</v>
      </c>
      <c r="C48" s="37">
        <v>3.5559999999999994E-2</v>
      </c>
      <c r="D48" s="42">
        <f t="shared" si="0"/>
        <v>9.9314665903109519E-4</v>
      </c>
      <c r="E48" s="42">
        <f t="shared" si="1"/>
        <v>9.9314665903109524E-6</v>
      </c>
      <c r="F48" s="33"/>
      <c r="G48" s="33"/>
    </row>
    <row r="49" spans="1:7">
      <c r="A49" s="40">
        <v>48</v>
      </c>
      <c r="B49" s="43">
        <v>1.1999999999999999E-3</v>
      </c>
      <c r="C49" s="37">
        <v>3.0479999999999997E-2</v>
      </c>
      <c r="D49" s="42">
        <f t="shared" si="0"/>
        <v>7.2965876990039658E-4</v>
      </c>
      <c r="E49" s="42">
        <f t="shared" si="1"/>
        <v>7.2965876990039659E-6</v>
      </c>
      <c r="F49" s="33"/>
      <c r="G49" s="33"/>
    </row>
    <row r="50" spans="1:7">
      <c r="A50" s="40">
        <v>49</v>
      </c>
      <c r="B50" s="43">
        <v>1.1000000000000001E-3</v>
      </c>
      <c r="C50" s="37">
        <v>2.794E-2</v>
      </c>
      <c r="D50" s="42">
        <f t="shared" si="0"/>
        <v>6.1311604970797225E-4</v>
      </c>
      <c r="E50" s="42">
        <f t="shared" si="1"/>
        <v>6.1311604970797228E-6</v>
      </c>
      <c r="F50" s="33"/>
      <c r="G50" s="33"/>
    </row>
    <row r="51" spans="1:7" ht="15.75" thickBot="1">
      <c r="A51" s="40">
        <v>50</v>
      </c>
      <c r="B51" s="44">
        <v>1E-3</v>
      </c>
      <c r="C51" s="37">
        <v>2.5399999999999999E-2</v>
      </c>
      <c r="D51" s="42">
        <f t="shared" si="0"/>
        <v>5.0670747909749769E-4</v>
      </c>
      <c r="E51" s="42">
        <f t="shared" si="1"/>
        <v>5.0670747909749768E-6</v>
      </c>
      <c r="F51" s="33"/>
      <c r="G51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Inductor Design Selector</vt:lpstr>
      <vt:lpstr>AWG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McElroy</dc:creator>
  <cp:lastModifiedBy>Scott McElroy</cp:lastModifiedBy>
  <dcterms:created xsi:type="dcterms:W3CDTF">2023-08-23T03:18:10Z</dcterms:created>
  <dcterms:modified xsi:type="dcterms:W3CDTF">2023-09-25T04:01:03Z</dcterms:modified>
</cp:coreProperties>
</file>