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mcelroy\Desktop\Personal\InductorDesign\inductor_design\"/>
    </mc:Choice>
  </mc:AlternateContent>
  <xr:revisionPtr revIDLastSave="0" documentId="13_ncr:1_{BB5D084A-66B4-4E4F-AE2F-AB1D9C019D9E}" xr6:coauthVersionLast="47" xr6:coauthVersionMax="47" xr10:uidLastSave="{00000000-0000-0000-0000-000000000000}"/>
  <bookViews>
    <workbookView xWindow="28680" yWindow="-120" windowWidth="38640" windowHeight="21120" xr2:uid="{880F8341-2F0F-419A-8A65-B6E7E097180D}"/>
  </bookViews>
  <sheets>
    <sheet name="Inductor Design Sel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8" i="1" s="1"/>
  <c r="F8" i="1"/>
  <c r="F6" i="1"/>
  <c r="F13" i="1"/>
  <c r="F38" i="1"/>
  <c r="F37" i="1"/>
  <c r="F35" i="1"/>
  <c r="F10" i="1" s="1"/>
  <c r="F11" i="1" s="1"/>
  <c r="F33" i="1"/>
  <c r="B14" i="1"/>
  <c r="B13" i="1"/>
  <c r="B17" i="1"/>
  <c r="B19" i="1" s="1"/>
  <c r="B23" i="1" s="1"/>
  <c r="B8" i="1"/>
  <c r="B10" i="1" s="1"/>
  <c r="B11" i="1" s="1"/>
  <c r="B27" i="1" l="1"/>
  <c r="F14" i="1"/>
  <c r="B36" i="1"/>
  <c r="F41" i="1" l="1"/>
  <c r="F42" i="1" s="1"/>
  <c r="F44" i="1" s="1"/>
  <c r="F45" i="1" s="1"/>
  <c r="F46" i="1" s="1"/>
  <c r="F47" i="1" s="1"/>
  <c r="F15" i="1"/>
  <c r="F16" i="1"/>
  <c r="F17" i="1" s="1"/>
  <c r="F19" i="1"/>
  <c r="F18" i="1" s="1"/>
  <c r="F26" i="1"/>
  <c r="F27" i="1" s="1"/>
  <c r="B20" i="1"/>
  <c r="B21" i="1"/>
  <c r="F24" i="1" l="1"/>
  <c r="F25" i="1" s="1"/>
  <c r="F28" i="1" s="1"/>
  <c r="B29" i="1"/>
  <c r="B41" i="1" s="1"/>
  <c r="B42" i="1" l="1"/>
  <c r="B31" i="1"/>
  <c r="B37" i="1"/>
  <c r="B38" i="1" s="1"/>
  <c r="B33" i="1" l="1"/>
  <c r="B32" i="1"/>
</calcChain>
</file>

<file path=xl/sharedStrings.xml><?xml version="1.0" encoding="utf-8"?>
<sst xmlns="http://schemas.openxmlformats.org/spreadsheetml/2006/main" count="210" uniqueCount="113">
  <si>
    <t>Inductor Design Calculator</t>
  </si>
  <si>
    <t>Vin</t>
  </si>
  <si>
    <t>V</t>
  </si>
  <si>
    <t>Vout</t>
  </si>
  <si>
    <t>Topology</t>
  </si>
  <si>
    <t>Buck</t>
  </si>
  <si>
    <t>Iout</t>
  </si>
  <si>
    <t>A</t>
  </si>
  <si>
    <t>efficiency</t>
  </si>
  <si>
    <t>Pout</t>
  </si>
  <si>
    <t>W</t>
  </si>
  <si>
    <t>Pin</t>
  </si>
  <si>
    <t>Iin</t>
  </si>
  <si>
    <t>Inductor</t>
  </si>
  <si>
    <t>I_ind_DC</t>
  </si>
  <si>
    <t>I_ripple</t>
  </si>
  <si>
    <t>I_ripple_percent</t>
  </si>
  <si>
    <t>I_peak</t>
  </si>
  <si>
    <t>%</t>
  </si>
  <si>
    <t>Energy - Wm</t>
  </si>
  <si>
    <t>H</t>
  </si>
  <si>
    <t>Frequency</t>
  </si>
  <si>
    <t>Hz</t>
  </si>
  <si>
    <t>Duty</t>
  </si>
  <si>
    <t>Ts</t>
  </si>
  <si>
    <t>seconds</t>
  </si>
  <si>
    <t>Window Utilization Factor Ku</t>
  </si>
  <si>
    <t>Area Product Ap</t>
  </si>
  <si>
    <t>Saturation Flux Density Bm</t>
  </si>
  <si>
    <t>Tesla</t>
  </si>
  <si>
    <t>A/m^2</t>
  </si>
  <si>
    <t>Current Density (m^2)</t>
  </si>
  <si>
    <t>Current Density (mm^2)</t>
  </si>
  <si>
    <t>A/mm^2</t>
  </si>
  <si>
    <t>m^4</t>
  </si>
  <si>
    <t>mm^4</t>
  </si>
  <si>
    <t>Ferrite Core</t>
  </si>
  <si>
    <t>Type</t>
  </si>
  <si>
    <t>ETD44</t>
  </si>
  <si>
    <t>Magnetic Path Length (MPL)</t>
  </si>
  <si>
    <t>Mean Length per Turn (MLT)</t>
  </si>
  <si>
    <t>Core Weight (Wfte)</t>
  </si>
  <si>
    <t>Cross Sectional Area (Ac)</t>
  </si>
  <si>
    <t>Window Area (Wa)</t>
  </si>
  <si>
    <t>Surface Area (At)</t>
  </si>
  <si>
    <t>Core Dimensions</t>
  </si>
  <si>
    <t>Length</t>
  </si>
  <si>
    <t>Width</t>
  </si>
  <si>
    <t>Height</t>
  </si>
  <si>
    <t>mm</t>
  </si>
  <si>
    <t>Center Post Diameter</t>
  </si>
  <si>
    <t>Center Post Radius</t>
  </si>
  <si>
    <t>mm^2</t>
  </si>
  <si>
    <t>Window Width</t>
  </si>
  <si>
    <t>Window Height</t>
  </si>
  <si>
    <t>Outer wall to outer wall width</t>
  </si>
  <si>
    <t>Effective Volume</t>
  </si>
  <si>
    <t>mm^3</t>
  </si>
  <si>
    <t>Effective Cross Section (Ae)</t>
  </si>
  <si>
    <t>Area Product (Ap) accounting for Ku</t>
  </si>
  <si>
    <t>I_Lrms</t>
  </si>
  <si>
    <t>Arms</t>
  </si>
  <si>
    <t>Wire Selection</t>
  </si>
  <si>
    <t>N</t>
  </si>
  <si>
    <t>turns</t>
  </si>
  <si>
    <t>Ke</t>
  </si>
  <si>
    <t>cm^5</t>
  </si>
  <si>
    <t>Kg (cm^5)</t>
  </si>
  <si>
    <t>Kg (mm^5)</t>
  </si>
  <si>
    <t>mm^5</t>
  </si>
  <si>
    <t>Kg (core, mm^5)</t>
  </si>
  <si>
    <t>Kg (core, cm^5)</t>
  </si>
  <si>
    <t>cm^4</t>
  </si>
  <si>
    <t>Ap (calc - cm)</t>
  </si>
  <si>
    <t>Ap (calc - mm)</t>
  </si>
  <si>
    <t>Ap Method</t>
  </si>
  <si>
    <t>Power Stage Parameters</t>
  </si>
  <si>
    <t>Core Parameters</t>
  </si>
  <si>
    <t>A/cm^2</t>
  </si>
  <si>
    <t>Kg Method</t>
  </si>
  <si>
    <t>cm^2</t>
  </si>
  <si>
    <t>Window S parameters</t>
  </si>
  <si>
    <t>S1 (conductor area/wire area)</t>
  </si>
  <si>
    <t>S2 (wound area/usable window area)</t>
  </si>
  <si>
    <t>S3 (usable window area/window area)</t>
  </si>
  <si>
    <t>S4 (usable window area/(usable window area+insulation))</t>
  </si>
  <si>
    <t>Window Area (Wa) effective</t>
  </si>
  <si>
    <t>cm</t>
  </si>
  <si>
    <t>Bare Wire Area (Calc)</t>
  </si>
  <si>
    <t>Bare Wire Selected</t>
  </si>
  <si>
    <t>28AWG</t>
  </si>
  <si>
    <t>Number of strands</t>
  </si>
  <si>
    <t>strands</t>
  </si>
  <si>
    <t>Number of strands selected</t>
  </si>
  <si>
    <t>Bare Wire Area selected</t>
  </si>
  <si>
    <t>Resistance (uOhm/cm)</t>
  </si>
  <si>
    <r>
      <rPr>
        <b/>
        <sz val="11"/>
        <color theme="1"/>
        <rFont val="Calibri"/>
        <family val="2"/>
      </rPr>
      <t>µΩ</t>
    </r>
    <r>
      <rPr>
        <b/>
        <i/>
        <sz val="11"/>
        <color theme="1"/>
        <rFont val="Calibri"/>
        <family val="2"/>
        <scheme val="minor"/>
      </rPr>
      <t>/cm</t>
    </r>
  </si>
  <si>
    <r>
      <rPr>
        <b/>
        <sz val="11"/>
        <color theme="1"/>
        <rFont val="Calibri"/>
        <family val="2"/>
      </rPr>
      <t>Ω</t>
    </r>
    <r>
      <rPr>
        <b/>
        <i/>
        <sz val="11"/>
        <color theme="1"/>
        <rFont val="Calibri"/>
        <family val="2"/>
        <scheme val="minor"/>
      </rPr>
      <t>/km</t>
    </r>
  </si>
  <si>
    <t>Resistance (Ohm/km)</t>
  </si>
  <si>
    <t>N (rounded)</t>
  </si>
  <si>
    <t>lg (gapped length)</t>
  </si>
  <si>
    <t>Effective Permeability (Urc)</t>
  </si>
  <si>
    <t>Permeability</t>
  </si>
  <si>
    <t>Epocs</t>
  </si>
  <si>
    <t>ETD39</t>
  </si>
  <si>
    <t>grams</t>
  </si>
  <si>
    <t>Notes:</t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</si>
  <si>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current density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</si>
  <si>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energy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</si>
  <si>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Bsat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</si>
  <si>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decreased</t>
    </r>
    <r>
      <rPr>
        <i/>
        <sz val="11"/>
        <color theme="1"/>
        <rFont val="Calibri"/>
        <family val="2"/>
        <scheme val="minor"/>
      </rPr>
      <t xml:space="preserve"> window utilization</t>
    </r>
  </si>
  <si>
    <t>L_ind (calc)</t>
  </si>
  <si>
    <t>L_ind (selected)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</si>
</sst>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3" borderId="2" xfId="0" applyFill="1" applyBorder="1"/>
    <xf numFmtId="0" fontId="1" fillId="3" borderId="2" xfId="0" applyFont="1" applyFill="1" applyBorder="1"/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/>
    <xf numFmtId="0" fontId="3" fillId="3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8" fillId="5" borderId="2" xfId="0" applyFont="1" applyFill="1" applyBorder="1"/>
    <xf numFmtId="0" fontId="5" fillId="5" borderId="2" xfId="0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1" fillId="6" borderId="2" xfId="0" applyFont="1" applyFill="1" applyBorder="1"/>
    <xf numFmtId="0" fontId="3" fillId="7" borderId="2" xfId="0" applyFont="1" applyFill="1" applyBorder="1"/>
    <xf numFmtId="0" fontId="1" fillId="7" borderId="2" xfId="0" applyFont="1" applyFill="1" applyBorder="1"/>
    <xf numFmtId="0" fontId="6" fillId="8" borderId="2" xfId="0" applyFont="1" applyFill="1" applyBorder="1"/>
    <xf numFmtId="0" fontId="7" fillId="8" borderId="2" xfId="0" applyFont="1" applyFill="1" applyBorder="1"/>
    <xf numFmtId="0" fontId="8" fillId="8" borderId="2" xfId="0" applyFont="1" applyFill="1" applyBorder="1"/>
    <xf numFmtId="0" fontId="4" fillId="2" borderId="2" xfId="0" applyFont="1" applyFill="1" applyBorder="1"/>
    <xf numFmtId="0" fontId="0" fillId="9" borderId="2" xfId="0" applyFill="1" applyBorder="1"/>
    <xf numFmtId="0" fontId="1" fillId="9" borderId="2" xfId="0" applyFont="1" applyFill="1" applyBorder="1"/>
    <xf numFmtId="0" fontId="4" fillId="9" borderId="2" xfId="0" applyFont="1" applyFill="1" applyBorder="1"/>
    <xf numFmtId="0" fontId="3" fillId="9" borderId="2" xfId="0" applyFont="1" applyFill="1" applyBorder="1"/>
    <xf numFmtId="0" fontId="5" fillId="8" borderId="2" xfId="0" applyFont="1" applyFill="1" applyBorder="1"/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8" borderId="0" xfId="0" applyFont="1" applyFill="1"/>
    <xf numFmtId="0" fontId="5" fillId="8" borderId="0" xfId="0" applyFont="1" applyFill="1"/>
    <xf numFmtId="0" fontId="1" fillId="0" borderId="2" xfId="0" applyFont="1" applyFill="1" applyBorder="1"/>
    <xf numFmtId="0" fontId="4" fillId="0" borderId="2" xfId="0" applyFont="1" applyFill="1" applyBorder="1"/>
    <xf numFmtId="0" fontId="3" fillId="0" borderId="2" xfId="0" applyFont="1" applyFill="1" applyBorder="1"/>
    <xf numFmtId="0" fontId="0" fillId="0" borderId="2" xfId="0" applyFill="1" applyBorder="1"/>
    <xf numFmtId="11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677-D162-484C-A08B-46DF1FF04C8F}">
  <dimension ref="A1:M54"/>
  <sheetViews>
    <sheetView tabSelected="1" zoomScale="120" zoomScaleNormal="120" workbookViewId="0">
      <selection activeCell="B23" sqref="B23"/>
    </sheetView>
  </sheetViews>
  <sheetFormatPr defaultRowHeight="15" x14ac:dyDescent="0.25"/>
  <cols>
    <col min="1" max="1" width="53.85546875" bestFit="1" customWidth="1"/>
    <col min="2" max="2" width="13.5703125" bestFit="1" customWidth="1"/>
    <col min="3" max="3" width="11.28515625" bestFit="1" customWidth="1"/>
    <col min="5" max="5" width="33.140625" bestFit="1" customWidth="1"/>
    <col min="6" max="6" width="9.42578125" bestFit="1" customWidth="1"/>
    <col min="10" max="10" width="34.28515625" bestFit="1" customWidth="1"/>
    <col min="11" max="11" width="9.42578125" bestFit="1" customWidth="1"/>
  </cols>
  <sheetData>
    <row r="1" spans="1:13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13" x14ac:dyDescent="0.25">
      <c r="A2" s="34"/>
      <c r="B2" s="34"/>
      <c r="C2" s="34"/>
      <c r="D2" s="34"/>
      <c r="E2" s="34"/>
      <c r="F2" s="34"/>
      <c r="G2" s="34"/>
      <c r="H2" s="34"/>
      <c r="I2" s="34"/>
    </row>
    <row r="3" spans="1:13" x14ac:dyDescent="0.25">
      <c r="A3" s="15" t="s">
        <v>76</v>
      </c>
      <c r="B3" s="18"/>
      <c r="C3" s="18"/>
      <c r="E3" s="24" t="s">
        <v>36</v>
      </c>
      <c r="F3" s="32"/>
      <c r="G3" s="32"/>
      <c r="H3" s="32"/>
      <c r="J3" s="24" t="s">
        <v>36</v>
      </c>
      <c r="K3" s="32"/>
      <c r="L3" s="32"/>
      <c r="M3" s="32"/>
    </row>
    <row r="4" spans="1:13" x14ac:dyDescent="0.25">
      <c r="A4" s="7" t="s">
        <v>4</v>
      </c>
      <c r="B4" s="8" t="s">
        <v>5</v>
      </c>
      <c r="C4" s="6"/>
      <c r="E4" s="28" t="s">
        <v>37</v>
      </c>
      <c r="F4" s="28" t="s">
        <v>38</v>
      </c>
      <c r="G4" s="28" t="s">
        <v>103</v>
      </c>
      <c r="H4" s="28"/>
      <c r="J4" s="28" t="s">
        <v>37</v>
      </c>
      <c r="K4" s="28" t="s">
        <v>104</v>
      </c>
      <c r="L4" s="28"/>
      <c r="M4" s="28"/>
    </row>
    <row r="5" spans="1:13" x14ac:dyDescent="0.25">
      <c r="A5" s="7" t="s">
        <v>1</v>
      </c>
      <c r="B5" s="9">
        <v>400</v>
      </c>
      <c r="C5" s="10" t="s">
        <v>2</v>
      </c>
      <c r="E5" s="29" t="s">
        <v>39</v>
      </c>
      <c r="F5" s="30">
        <v>115.35</v>
      </c>
      <c r="G5" s="31" t="s">
        <v>49</v>
      </c>
      <c r="H5" s="28"/>
      <c r="J5" s="29" t="s">
        <v>39</v>
      </c>
      <c r="K5" s="30"/>
      <c r="L5" s="31" t="s">
        <v>49</v>
      </c>
      <c r="M5" s="28"/>
    </row>
    <row r="6" spans="1:13" x14ac:dyDescent="0.25">
      <c r="A6" s="7" t="s">
        <v>3</v>
      </c>
      <c r="B6" s="9">
        <v>66.5</v>
      </c>
      <c r="C6" s="10" t="s">
        <v>2</v>
      </c>
      <c r="E6" s="29" t="s">
        <v>39</v>
      </c>
      <c r="F6" s="30">
        <f>F5/10</f>
        <v>11.535</v>
      </c>
      <c r="G6" s="31" t="s">
        <v>87</v>
      </c>
      <c r="H6" s="28"/>
      <c r="J6" s="29" t="s">
        <v>39</v>
      </c>
      <c r="K6" s="30">
        <v>9.2200000000000006</v>
      </c>
      <c r="L6" s="31" t="s">
        <v>87</v>
      </c>
      <c r="M6" s="28"/>
    </row>
    <row r="7" spans="1:13" x14ac:dyDescent="0.25">
      <c r="A7" s="7" t="s">
        <v>6</v>
      </c>
      <c r="B7" s="9">
        <v>1.5</v>
      </c>
      <c r="C7" s="10" t="s">
        <v>7</v>
      </c>
      <c r="E7" s="29" t="s">
        <v>40</v>
      </c>
      <c r="F7" s="30">
        <v>55</v>
      </c>
      <c r="G7" s="31" t="s">
        <v>49</v>
      </c>
      <c r="H7" s="28"/>
      <c r="J7" s="29" t="s">
        <v>40</v>
      </c>
      <c r="K7" s="30"/>
      <c r="L7" s="31" t="s">
        <v>49</v>
      </c>
      <c r="M7" s="28"/>
    </row>
    <row r="8" spans="1:13" x14ac:dyDescent="0.25">
      <c r="A8" s="7" t="s">
        <v>9</v>
      </c>
      <c r="B8" s="9">
        <f>B7*B6</f>
        <v>99.75</v>
      </c>
      <c r="C8" s="10" t="s">
        <v>10</v>
      </c>
      <c r="E8" s="29" t="s">
        <v>40</v>
      </c>
      <c r="F8" s="30">
        <f>F7/10</f>
        <v>5.5</v>
      </c>
      <c r="G8" s="31" t="s">
        <v>87</v>
      </c>
      <c r="H8" s="28"/>
      <c r="J8" s="29" t="s">
        <v>40</v>
      </c>
      <c r="K8" s="30">
        <v>8.3000000000000007</v>
      </c>
      <c r="L8" s="31" t="s">
        <v>87</v>
      </c>
      <c r="M8" s="28"/>
    </row>
    <row r="9" spans="1:13" x14ac:dyDescent="0.25">
      <c r="A9" s="7" t="s">
        <v>8</v>
      </c>
      <c r="B9" s="9">
        <v>0.95</v>
      </c>
      <c r="C9" s="10"/>
      <c r="E9" s="29" t="s">
        <v>41</v>
      </c>
      <c r="F9" s="30"/>
      <c r="G9" s="31"/>
      <c r="H9" s="28"/>
      <c r="J9" s="29" t="s">
        <v>41</v>
      </c>
      <c r="K9" s="30">
        <v>60</v>
      </c>
      <c r="L9" s="31" t="s">
        <v>105</v>
      </c>
      <c r="M9" s="28"/>
    </row>
    <row r="10" spans="1:13" x14ac:dyDescent="0.25">
      <c r="A10" s="7" t="s">
        <v>11</v>
      </c>
      <c r="B10" s="9">
        <f>B8/B9</f>
        <v>105</v>
      </c>
      <c r="C10" s="10" t="s">
        <v>10</v>
      </c>
      <c r="E10" s="29" t="s">
        <v>42</v>
      </c>
      <c r="F10" s="30">
        <f>PI()*F35^2</f>
        <v>181.45839167134645</v>
      </c>
      <c r="G10" s="31" t="s">
        <v>52</v>
      </c>
      <c r="H10" s="28"/>
      <c r="J10" s="29" t="s">
        <v>42</v>
      </c>
      <c r="K10" s="30"/>
      <c r="L10" s="31" t="s">
        <v>52</v>
      </c>
      <c r="M10" s="28"/>
    </row>
    <row r="11" spans="1:13" x14ac:dyDescent="0.25">
      <c r="A11" s="7" t="s">
        <v>12</v>
      </c>
      <c r="B11" s="9">
        <f>B10/B5</f>
        <v>0.26250000000000001</v>
      </c>
      <c r="C11" s="10" t="s">
        <v>7</v>
      </c>
      <c r="E11" s="29" t="s">
        <v>42</v>
      </c>
      <c r="F11" s="30">
        <f>F10/100</f>
        <v>1.8145839167134645</v>
      </c>
      <c r="G11" s="31" t="s">
        <v>80</v>
      </c>
      <c r="H11" s="28"/>
      <c r="J11" s="29" t="s">
        <v>42</v>
      </c>
      <c r="K11" s="30">
        <v>1.252</v>
      </c>
      <c r="L11" s="31" t="s">
        <v>80</v>
      </c>
      <c r="M11" s="28"/>
    </row>
    <row r="12" spans="1:13" x14ac:dyDescent="0.25">
      <c r="A12" s="7" t="s">
        <v>21</v>
      </c>
      <c r="B12" s="9">
        <v>200000</v>
      </c>
      <c r="C12" s="10" t="s">
        <v>22</v>
      </c>
      <c r="E12" s="29" t="s">
        <v>58</v>
      </c>
      <c r="F12" s="30">
        <v>173</v>
      </c>
      <c r="G12" s="31" t="s">
        <v>52</v>
      </c>
      <c r="H12" s="28"/>
      <c r="J12" s="29" t="s">
        <v>58</v>
      </c>
      <c r="K12" s="30"/>
      <c r="L12" s="31" t="s">
        <v>52</v>
      </c>
      <c r="M12" s="28"/>
    </row>
    <row r="13" spans="1:13" x14ac:dyDescent="0.25">
      <c r="A13" s="7" t="s">
        <v>23</v>
      </c>
      <c r="B13" s="9">
        <f>B6/B5</f>
        <v>0.16625000000000001</v>
      </c>
      <c r="C13" s="10"/>
      <c r="E13" s="29" t="s">
        <v>58</v>
      </c>
      <c r="F13" s="30">
        <f>F12/100</f>
        <v>1.73</v>
      </c>
      <c r="G13" s="31" t="s">
        <v>80</v>
      </c>
      <c r="H13" s="28"/>
      <c r="J13" s="29" t="s">
        <v>58</v>
      </c>
      <c r="K13" s="30"/>
      <c r="L13" s="31" t="s">
        <v>80</v>
      </c>
      <c r="M13" s="28"/>
    </row>
    <row r="14" spans="1:13" x14ac:dyDescent="0.25">
      <c r="A14" s="7" t="s">
        <v>24</v>
      </c>
      <c r="B14" s="9">
        <f>1/B12</f>
        <v>5.0000000000000004E-6</v>
      </c>
      <c r="C14" s="10" t="s">
        <v>25</v>
      </c>
      <c r="E14" s="29" t="s">
        <v>43</v>
      </c>
      <c r="F14" s="30">
        <f>F37*F38</f>
        <v>557.06000000000006</v>
      </c>
      <c r="G14" s="31" t="s">
        <v>52</v>
      </c>
      <c r="H14" s="28"/>
      <c r="J14" s="29" t="s">
        <v>43</v>
      </c>
      <c r="K14" s="30"/>
      <c r="L14" s="31" t="s">
        <v>52</v>
      </c>
      <c r="M14" s="28"/>
    </row>
    <row r="15" spans="1:13" x14ac:dyDescent="0.25">
      <c r="A15" s="7"/>
      <c r="B15" s="9"/>
      <c r="C15" s="10"/>
      <c r="E15" s="29" t="s">
        <v>43</v>
      </c>
      <c r="F15" s="30">
        <f>F14/100</f>
        <v>5.5706000000000007</v>
      </c>
      <c r="G15" s="31" t="s">
        <v>80</v>
      </c>
      <c r="H15" s="28"/>
      <c r="J15" s="29" t="s">
        <v>43</v>
      </c>
      <c r="K15" s="30">
        <v>2.34</v>
      </c>
      <c r="L15" s="31" t="s">
        <v>80</v>
      </c>
      <c r="M15" s="28"/>
    </row>
    <row r="16" spans="1:13" x14ac:dyDescent="0.25">
      <c r="A16" s="24" t="s">
        <v>13</v>
      </c>
      <c r="B16" s="32"/>
      <c r="C16" s="26"/>
      <c r="E16" s="29" t="s">
        <v>86</v>
      </c>
      <c r="F16" s="30">
        <f>F14*B53</f>
        <v>417.79500000000007</v>
      </c>
      <c r="G16" s="31" t="s">
        <v>52</v>
      </c>
      <c r="H16" s="28"/>
      <c r="J16" s="29" t="s">
        <v>86</v>
      </c>
      <c r="K16" s="30"/>
      <c r="L16" s="31" t="s">
        <v>52</v>
      </c>
      <c r="M16" s="28"/>
    </row>
    <row r="17" spans="1:13" x14ac:dyDescent="0.25">
      <c r="A17" s="7" t="s">
        <v>14</v>
      </c>
      <c r="B17" s="9">
        <f>B7</f>
        <v>1.5</v>
      </c>
      <c r="C17" s="10" t="s">
        <v>7</v>
      </c>
      <c r="E17" s="29" t="s">
        <v>86</v>
      </c>
      <c r="F17" s="30">
        <f>F16/100</f>
        <v>4.1779500000000009</v>
      </c>
      <c r="G17" s="31" t="s">
        <v>80</v>
      </c>
      <c r="H17" s="28"/>
      <c r="J17" s="29" t="s">
        <v>86</v>
      </c>
      <c r="K17" s="30"/>
      <c r="L17" s="31" t="s">
        <v>80</v>
      </c>
      <c r="M17" s="28"/>
    </row>
    <row r="18" spans="1:13" x14ac:dyDescent="0.25">
      <c r="A18" s="7" t="s">
        <v>16</v>
      </c>
      <c r="B18" s="9">
        <v>7</v>
      </c>
      <c r="C18" s="10" t="s">
        <v>18</v>
      </c>
      <c r="E18" s="29" t="s">
        <v>59</v>
      </c>
      <c r="F18" s="27">
        <f>F19/10000</f>
        <v>3.8548552000000003</v>
      </c>
      <c r="G18" s="31" t="s">
        <v>72</v>
      </c>
      <c r="H18" s="28"/>
      <c r="J18" s="29" t="s">
        <v>59</v>
      </c>
      <c r="K18" s="27">
        <v>2.93</v>
      </c>
      <c r="L18" s="31" t="s">
        <v>72</v>
      </c>
      <c r="M18" s="28"/>
    </row>
    <row r="19" spans="1:13" x14ac:dyDescent="0.25">
      <c r="A19" s="7" t="s">
        <v>15</v>
      </c>
      <c r="B19" s="9">
        <f>B17*B18/100</f>
        <v>0.105</v>
      </c>
      <c r="C19" s="10" t="s">
        <v>7</v>
      </c>
      <c r="E19" s="29" t="s">
        <v>59</v>
      </c>
      <c r="F19" s="27">
        <f>F14*F12*B30</f>
        <v>38548.552000000003</v>
      </c>
      <c r="G19" s="31" t="s">
        <v>35</v>
      </c>
      <c r="H19" s="28"/>
      <c r="J19" s="29" t="s">
        <v>59</v>
      </c>
      <c r="K19" s="27"/>
      <c r="L19" s="31" t="s">
        <v>35</v>
      </c>
      <c r="M19" s="28"/>
    </row>
    <row r="20" spans="1:13" x14ac:dyDescent="0.25">
      <c r="A20" s="7" t="s">
        <v>17</v>
      </c>
      <c r="B20" s="9">
        <f>B17+B19</f>
        <v>1.605</v>
      </c>
      <c r="C20" s="10" t="s">
        <v>7</v>
      </c>
      <c r="E20" s="29" t="s">
        <v>44</v>
      </c>
      <c r="F20" s="30"/>
      <c r="G20" s="31"/>
      <c r="H20" s="28"/>
      <c r="J20" s="29" t="s">
        <v>44</v>
      </c>
      <c r="K20" s="30">
        <v>69.900000000000006</v>
      </c>
      <c r="L20" s="31" t="s">
        <v>80</v>
      </c>
      <c r="M20" s="28"/>
    </row>
    <row r="21" spans="1:13" x14ac:dyDescent="0.25">
      <c r="A21" s="7" t="s">
        <v>111</v>
      </c>
      <c r="B21" s="41">
        <f>((B5-B6)*B13)/(2*B19*B12)</f>
        <v>1.3201041666666667E-3</v>
      </c>
      <c r="C21" s="10" t="s">
        <v>20</v>
      </c>
      <c r="E21" s="29" t="s">
        <v>101</v>
      </c>
      <c r="F21" s="30">
        <v>124</v>
      </c>
      <c r="G21" s="31"/>
      <c r="H21" s="28"/>
      <c r="J21" s="29" t="s">
        <v>101</v>
      </c>
      <c r="K21" s="30"/>
      <c r="L21" s="31"/>
      <c r="M21" s="28"/>
    </row>
    <row r="22" spans="1:13" x14ac:dyDescent="0.25">
      <c r="A22" s="7" t="s">
        <v>112</v>
      </c>
      <c r="B22" s="41">
        <v>2.5000000000000001E-3</v>
      </c>
      <c r="C22" s="10" t="s">
        <v>20</v>
      </c>
      <c r="E22" s="29" t="s">
        <v>102</v>
      </c>
      <c r="F22" s="30">
        <v>1650</v>
      </c>
      <c r="G22" s="31"/>
      <c r="H22" s="28"/>
      <c r="J22" s="29" t="s">
        <v>102</v>
      </c>
      <c r="K22" s="30">
        <v>2500</v>
      </c>
      <c r="L22" s="31"/>
      <c r="M22" s="28"/>
    </row>
    <row r="23" spans="1:13" x14ac:dyDescent="0.25">
      <c r="A23" s="7" t="s">
        <v>60</v>
      </c>
      <c r="B23" s="9">
        <f>B17*SQRT(1+(1/3)*(B19/B17)^2)</f>
        <v>1.5012245001997535</v>
      </c>
      <c r="C23" s="10" t="s">
        <v>61</v>
      </c>
      <c r="E23" s="29" t="s">
        <v>56</v>
      </c>
      <c r="F23" s="30">
        <v>17800</v>
      </c>
      <c r="G23" s="31" t="s">
        <v>57</v>
      </c>
      <c r="H23" s="28"/>
      <c r="J23" s="29" t="s">
        <v>56</v>
      </c>
      <c r="K23" s="30"/>
      <c r="L23" s="31" t="s">
        <v>57</v>
      </c>
      <c r="M23" s="28"/>
    </row>
    <row r="24" spans="1:13" x14ac:dyDescent="0.25">
      <c r="A24" s="15" t="s">
        <v>77</v>
      </c>
      <c r="B24" s="16"/>
      <c r="C24" s="17"/>
      <c r="E24" s="29" t="s">
        <v>63</v>
      </c>
      <c r="F24" s="27" t="e">
        <f>F17*B52/F47</f>
        <v>#DIV/0!</v>
      </c>
      <c r="G24" s="31" t="s">
        <v>64</v>
      </c>
      <c r="H24" s="28"/>
      <c r="J24" s="29" t="s">
        <v>63</v>
      </c>
      <c r="K24" s="27"/>
      <c r="L24" s="31" t="s">
        <v>64</v>
      </c>
      <c r="M24" s="28"/>
    </row>
    <row r="25" spans="1:13" x14ac:dyDescent="0.25">
      <c r="A25" s="13" t="s">
        <v>28</v>
      </c>
      <c r="B25" s="11">
        <v>0.22</v>
      </c>
      <c r="C25" s="12" t="s">
        <v>29</v>
      </c>
      <c r="E25" s="29" t="s">
        <v>99</v>
      </c>
      <c r="F25" s="27" t="e">
        <f>ROUNDUP(F24,0)</f>
        <v>#DIV/0!</v>
      </c>
      <c r="G25" s="31" t="s">
        <v>64</v>
      </c>
      <c r="H25" s="28"/>
      <c r="J25" s="29" t="s">
        <v>99</v>
      </c>
      <c r="K25" s="27"/>
      <c r="L25" s="31" t="s">
        <v>64</v>
      </c>
      <c r="M25" s="28"/>
    </row>
    <row r="26" spans="1:13" x14ac:dyDescent="0.25">
      <c r="A26" s="13" t="s">
        <v>31</v>
      </c>
      <c r="B26" s="11">
        <f>2.5*10^6</f>
        <v>2500000</v>
      </c>
      <c r="C26" s="12" t="s">
        <v>30</v>
      </c>
      <c r="E26" s="29" t="s">
        <v>70</v>
      </c>
      <c r="F26" s="27">
        <f>(F14*F10^2*B30)/F7</f>
        <v>133399.2510080263</v>
      </c>
      <c r="G26" s="31" t="s">
        <v>69</v>
      </c>
      <c r="H26" s="28"/>
      <c r="J26" s="29" t="s">
        <v>70</v>
      </c>
      <c r="K26" s="27"/>
      <c r="L26" s="31" t="s">
        <v>69</v>
      </c>
      <c r="M26" s="28"/>
    </row>
    <row r="27" spans="1:13" x14ac:dyDescent="0.25">
      <c r="A27" s="13" t="s">
        <v>32</v>
      </c>
      <c r="B27" s="11">
        <f>B26/10000</f>
        <v>250</v>
      </c>
      <c r="C27" s="12" t="s">
        <v>78</v>
      </c>
      <c r="E27" s="29" t="s">
        <v>71</v>
      </c>
      <c r="F27" s="27">
        <f>F26/100000</f>
        <v>1.333992510080263</v>
      </c>
      <c r="G27" s="31" t="s">
        <v>66</v>
      </c>
      <c r="H27" s="28"/>
      <c r="J27" s="29" t="s">
        <v>71</v>
      </c>
      <c r="K27" s="27">
        <v>0.17699999999999999</v>
      </c>
      <c r="L27" s="31" t="s">
        <v>66</v>
      </c>
      <c r="M27" s="28"/>
    </row>
    <row r="28" spans="1:13" x14ac:dyDescent="0.25">
      <c r="A28" s="13" t="s">
        <v>32</v>
      </c>
      <c r="B28" s="11">
        <f>B26/1000000</f>
        <v>2.5</v>
      </c>
      <c r="C28" s="12" t="s">
        <v>33</v>
      </c>
      <c r="E28" s="29" t="s">
        <v>100</v>
      </c>
      <c r="F28" s="27" t="e">
        <f>((0.4*PI()*(F25^2)*F11*10^-8)/B21)-(F6/F22)</f>
        <v>#DIV/0!</v>
      </c>
      <c r="G28" s="31" t="s">
        <v>87</v>
      </c>
      <c r="H28" s="28"/>
      <c r="J28" s="29" t="s">
        <v>100</v>
      </c>
      <c r="K28" s="27"/>
      <c r="L28" s="31" t="s">
        <v>87</v>
      </c>
      <c r="M28" s="28"/>
    </row>
    <row r="29" spans="1:13" x14ac:dyDescent="0.25">
      <c r="A29" s="13" t="s">
        <v>19</v>
      </c>
      <c r="B29" s="11">
        <f>0.5*B21*B20^2</f>
        <v>1.70031066796875E-3</v>
      </c>
      <c r="C29" s="12" t="s">
        <v>10</v>
      </c>
      <c r="E29" s="37"/>
      <c r="F29" s="38"/>
      <c r="G29" s="39"/>
      <c r="H29" s="40"/>
    </row>
    <row r="30" spans="1:13" x14ac:dyDescent="0.25">
      <c r="A30" s="13" t="s">
        <v>26</v>
      </c>
      <c r="B30" s="11">
        <v>0.4</v>
      </c>
      <c r="C30" s="14"/>
      <c r="E30" s="24" t="s">
        <v>45</v>
      </c>
      <c r="F30" s="25"/>
      <c r="G30" s="26"/>
      <c r="H30" s="32"/>
    </row>
    <row r="31" spans="1:13" x14ac:dyDescent="0.25">
      <c r="A31" s="13" t="s">
        <v>27</v>
      </c>
      <c r="B31" s="11">
        <f>2*B29/(B30*B25*B26)</f>
        <v>1.5457369708806814E-8</v>
      </c>
      <c r="C31" s="12" t="s">
        <v>34</v>
      </c>
      <c r="E31" s="29" t="s">
        <v>46</v>
      </c>
      <c r="F31" s="30">
        <v>43.8</v>
      </c>
      <c r="G31" s="31" t="s">
        <v>49</v>
      </c>
      <c r="H31" s="28"/>
    </row>
    <row r="32" spans="1:13" x14ac:dyDescent="0.25">
      <c r="A32" s="13" t="s">
        <v>27</v>
      </c>
      <c r="B32" s="11">
        <f>B31*100000000</f>
        <v>1.5457369708806814</v>
      </c>
      <c r="C32" s="12" t="s">
        <v>72</v>
      </c>
      <c r="E32" s="29" t="s">
        <v>47</v>
      </c>
      <c r="F32" s="30">
        <v>15.2</v>
      </c>
      <c r="G32" s="31" t="s">
        <v>49</v>
      </c>
      <c r="H32" s="28"/>
    </row>
    <row r="33" spans="1:8" x14ac:dyDescent="0.25">
      <c r="A33" s="13" t="s">
        <v>27</v>
      </c>
      <c r="B33" s="11">
        <f>B31*10^12</f>
        <v>15457.369708806815</v>
      </c>
      <c r="C33" s="12" t="s">
        <v>35</v>
      </c>
      <c r="E33" s="29" t="s">
        <v>48</v>
      </c>
      <c r="F33" s="30">
        <f>2*15.2</f>
        <v>30.4</v>
      </c>
      <c r="G33" s="31" t="s">
        <v>49</v>
      </c>
      <c r="H33" s="28"/>
    </row>
    <row r="34" spans="1:8" x14ac:dyDescent="0.25">
      <c r="B34" s="4"/>
      <c r="E34" s="29" t="s">
        <v>50</v>
      </c>
      <c r="F34" s="30">
        <v>15.2</v>
      </c>
      <c r="G34" s="31" t="s">
        <v>49</v>
      </c>
      <c r="H34" s="28"/>
    </row>
    <row r="35" spans="1:8" x14ac:dyDescent="0.25">
      <c r="A35" s="24" t="s">
        <v>79</v>
      </c>
      <c r="B35" s="25"/>
      <c r="C35" s="26"/>
      <c r="E35" s="29" t="s">
        <v>51</v>
      </c>
      <c r="F35" s="30">
        <f>F34/2</f>
        <v>7.6</v>
      </c>
      <c r="G35" s="31" t="s">
        <v>49</v>
      </c>
      <c r="H35" s="28"/>
    </row>
    <row r="36" spans="1:8" x14ac:dyDescent="0.25">
      <c r="A36" s="21" t="s">
        <v>65</v>
      </c>
      <c r="B36" s="19">
        <f>0.145*B8*B25^2*(10^-4)</f>
        <v>7.000455E-5</v>
      </c>
      <c r="C36" s="20"/>
      <c r="E36" s="29" t="s">
        <v>55</v>
      </c>
      <c r="F36" s="30">
        <v>32.5</v>
      </c>
      <c r="G36" s="31" t="s">
        <v>49</v>
      </c>
      <c r="H36" s="28"/>
    </row>
    <row r="37" spans="1:8" x14ac:dyDescent="0.25">
      <c r="A37" s="21" t="s">
        <v>67</v>
      </c>
      <c r="B37" s="27">
        <f>B29^2/(B36)</f>
        <v>4.1298120873690877E-2</v>
      </c>
      <c r="C37" s="20" t="s">
        <v>66</v>
      </c>
      <c r="E37" s="29" t="s">
        <v>53</v>
      </c>
      <c r="F37" s="30">
        <f>F36-F34</f>
        <v>17.3</v>
      </c>
      <c r="G37" s="31" t="s">
        <v>49</v>
      </c>
      <c r="H37" s="28"/>
    </row>
    <row r="38" spans="1:8" x14ac:dyDescent="0.25">
      <c r="A38" s="21" t="s">
        <v>68</v>
      </c>
      <c r="B38" s="27">
        <f>B37*100000</f>
        <v>4129.8120873690877</v>
      </c>
      <c r="C38" s="20" t="s">
        <v>69</v>
      </c>
      <c r="E38" s="29" t="s">
        <v>54</v>
      </c>
      <c r="F38" s="30">
        <f>16.1*2</f>
        <v>32.200000000000003</v>
      </c>
      <c r="G38" s="31" t="s">
        <v>49</v>
      </c>
      <c r="H38" s="28"/>
    </row>
    <row r="39" spans="1:8" x14ac:dyDescent="0.25">
      <c r="A39" s="1"/>
      <c r="B39" s="5"/>
      <c r="C39" s="3"/>
      <c r="E39" s="28"/>
      <c r="F39" s="30"/>
      <c r="G39" s="31"/>
      <c r="H39" s="28"/>
    </row>
    <row r="40" spans="1:8" x14ac:dyDescent="0.25">
      <c r="A40" s="24" t="s">
        <v>75</v>
      </c>
      <c r="B40" s="25"/>
      <c r="C40" s="26"/>
      <c r="E40" s="24" t="s">
        <v>62</v>
      </c>
      <c r="F40" s="25"/>
      <c r="G40" s="32"/>
      <c r="H40" s="32"/>
    </row>
    <row r="41" spans="1:8" x14ac:dyDescent="0.25">
      <c r="A41" s="23" t="s">
        <v>73</v>
      </c>
      <c r="B41" s="27">
        <f>(2*B29*10^4)/(B25*B27*B30)</f>
        <v>1.5457369708806821</v>
      </c>
      <c r="C41" s="22" t="s">
        <v>72</v>
      </c>
      <c r="E41" s="29" t="s">
        <v>88</v>
      </c>
      <c r="F41" s="30">
        <f>B23/B27</f>
        <v>6.0048980007990143E-3</v>
      </c>
      <c r="G41" s="31" t="s">
        <v>80</v>
      </c>
      <c r="H41" s="28"/>
    </row>
    <row r="42" spans="1:8" x14ac:dyDescent="0.25">
      <c r="A42" s="23" t="s">
        <v>74</v>
      </c>
      <c r="B42" s="27">
        <f>B41*10000</f>
        <v>15457.36970880682</v>
      </c>
      <c r="C42" s="22" t="s">
        <v>35</v>
      </c>
      <c r="E42" s="29" t="s">
        <v>88</v>
      </c>
      <c r="F42" s="30">
        <f>F41*100</f>
        <v>0.60048980007990138</v>
      </c>
      <c r="G42" s="31" t="s">
        <v>52</v>
      </c>
      <c r="H42" s="28"/>
    </row>
    <row r="43" spans="1:8" x14ac:dyDescent="0.25">
      <c r="A43" s="1"/>
      <c r="E43" s="29" t="s">
        <v>89</v>
      </c>
      <c r="F43" s="30">
        <v>2.08</v>
      </c>
      <c r="G43" s="31" t="s">
        <v>52</v>
      </c>
      <c r="H43" s="28" t="s">
        <v>90</v>
      </c>
    </row>
    <row r="44" spans="1:8" x14ac:dyDescent="0.25">
      <c r="A44" s="2" t="s">
        <v>106</v>
      </c>
      <c r="E44" s="29" t="s">
        <v>91</v>
      </c>
      <c r="F44" s="30">
        <f>F42/F43</f>
        <v>0.28869701926918334</v>
      </c>
      <c r="G44" s="31" t="s">
        <v>92</v>
      </c>
      <c r="H44" s="28"/>
    </row>
    <row r="45" spans="1:8" x14ac:dyDescent="0.25">
      <c r="A45" s="4" t="s">
        <v>107</v>
      </c>
      <c r="E45" s="29" t="s">
        <v>93</v>
      </c>
      <c r="F45" s="30">
        <f>ROUND(F44,0)</f>
        <v>0</v>
      </c>
      <c r="G45" s="31" t="s">
        <v>92</v>
      </c>
      <c r="H45" s="28"/>
    </row>
    <row r="46" spans="1:8" x14ac:dyDescent="0.25">
      <c r="A46" s="4" t="s">
        <v>108</v>
      </c>
      <c r="E46" s="29" t="s">
        <v>94</v>
      </c>
      <c r="F46" s="30">
        <f>F45*F43</f>
        <v>0</v>
      </c>
      <c r="G46" s="31" t="s">
        <v>52</v>
      </c>
      <c r="H46" s="28"/>
    </row>
    <row r="47" spans="1:8" x14ac:dyDescent="0.25">
      <c r="A47" s="4" t="s">
        <v>109</v>
      </c>
      <c r="E47" s="29" t="s">
        <v>94</v>
      </c>
      <c r="F47" s="30">
        <f>0.1*F46</f>
        <v>0</v>
      </c>
      <c r="G47" s="31" t="s">
        <v>80</v>
      </c>
      <c r="H47" s="28"/>
    </row>
    <row r="48" spans="1:8" x14ac:dyDescent="0.25">
      <c r="A48" s="4" t="s">
        <v>110</v>
      </c>
      <c r="E48" s="29" t="s">
        <v>98</v>
      </c>
      <c r="F48" s="30">
        <v>0.81508000000000003</v>
      </c>
      <c r="G48" s="31" t="s">
        <v>97</v>
      </c>
      <c r="H48" s="28"/>
    </row>
    <row r="49" spans="1:8" x14ac:dyDescent="0.25">
      <c r="E49" s="29" t="s">
        <v>95</v>
      </c>
      <c r="F49" s="30">
        <v>8.1508000000000003</v>
      </c>
      <c r="G49" s="31" t="s">
        <v>96</v>
      </c>
      <c r="H49" s="28"/>
    </row>
    <row r="50" spans="1:8" x14ac:dyDescent="0.25">
      <c r="A50" s="35" t="s">
        <v>81</v>
      </c>
      <c r="B50" s="36"/>
      <c r="C50" s="36"/>
    </row>
    <row r="51" spans="1:8" x14ac:dyDescent="0.25">
      <c r="A51" t="s">
        <v>82</v>
      </c>
    </row>
    <row r="52" spans="1:8" x14ac:dyDescent="0.25">
      <c r="A52" t="s">
        <v>83</v>
      </c>
      <c r="B52">
        <v>0.6</v>
      </c>
    </row>
    <row r="53" spans="1:8" x14ac:dyDescent="0.25">
      <c r="A53" t="s">
        <v>84</v>
      </c>
      <c r="B53">
        <v>0.75</v>
      </c>
    </row>
    <row r="54" spans="1:8" x14ac:dyDescent="0.25">
      <c r="A54" t="s">
        <v>85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Inductor Design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McElroy</dc:creator>
  <cp:lastModifiedBy>Scott McElroy</cp:lastModifiedBy>
  <dcterms:created xsi:type="dcterms:W3CDTF">2023-08-23T03:18:10Z</dcterms:created>
  <dcterms:modified xsi:type="dcterms:W3CDTF">2023-08-24T20:53:01Z</dcterms:modified>
</cp:coreProperties>
</file>